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mc:AlternateContent xmlns:mc="http://schemas.openxmlformats.org/markup-compatibility/2006">
    <mc:Choice Requires="x15">
      <x15ac:absPath xmlns:x15ac="http://schemas.microsoft.com/office/spreadsheetml/2010/11/ac" url="C:\Users\Uni-Benutzer\Desktop\PROJEKTS\Aptauja ar Yvonne\REZULTĀTI\"/>
    </mc:Choice>
  </mc:AlternateContent>
  <xr:revisionPtr revIDLastSave="0" documentId="13_ncr:1_{0D1C744F-5ABF-4709-A0E8-F5DCB1B697E7}" xr6:coauthVersionLast="47" xr6:coauthVersionMax="47" xr10:uidLastSave="{00000000-0000-0000-0000-000000000000}"/>
  <bookViews>
    <workbookView xWindow="-108" yWindow="-108" windowWidth="23256" windowHeight="12456" tabRatio="879" firstSheet="10" activeTab="17" xr2:uid="{00000000-000D-0000-FFFF-FFFF00000000}"/>
  </bookViews>
  <sheets>
    <sheet name="Kopējie" sheetId="1" r:id="rId1"/>
    <sheet name="Populist answer analysis" sheetId="15" r:id="rId2"/>
    <sheet name="Mediji" sheetId="18" r:id="rId3"/>
    <sheet name="Perceived discrimination" sheetId="17" r:id="rId4"/>
    <sheet name="Gender equality" sheetId="11" r:id="rId5"/>
    <sheet name="School groups" sheetId="2" r:id="rId6"/>
    <sheet name="Language usage (BI) " sheetId="10" r:id="rId7"/>
    <sheet name="Study Language" sheetId="7" r:id="rId8"/>
    <sheet name="For presentation" sheetId="13" r:id="rId9"/>
    <sheet name="Spoken about politics" sheetId="14" r:id="rId10"/>
    <sheet name="Gender cities" sheetId="3" r:id="rId11"/>
    <sheet name="Religion cities" sheetId="4" r:id="rId12"/>
    <sheet name="Language City" sheetId="5" r:id="rId13"/>
    <sheet name="Study Abroad" sheetId="6" r:id="rId14"/>
    <sheet name="Izgrieztais saturs" sheetId="16" r:id="rId15"/>
    <sheet name="Language usage (LV)" sheetId="8" r:id="rId16"/>
    <sheet name="Language usage (RU)" sheetId="9" r:id="rId17"/>
    <sheet name="Experiences of discrimination" sheetId="12" r:id="rId18"/>
  </sheets>
  <calcPr calcId="191029"/>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44" i="1" l="1"/>
  <c r="A343" i="1"/>
  <c r="A342" i="1"/>
  <c r="Q18" i="13"/>
  <c r="V24" i="11"/>
  <c r="V25" i="11"/>
  <c r="V26" i="11"/>
  <c r="V27" i="11"/>
  <c r="V23" i="11"/>
  <c r="Q24" i="11"/>
  <c r="R24" i="11"/>
  <c r="S24" i="11"/>
  <c r="T24" i="11"/>
  <c r="U24" i="11"/>
  <c r="Q25" i="11"/>
  <c r="R25" i="11"/>
  <c r="S25" i="11"/>
  <c r="T25" i="11"/>
  <c r="U25" i="11"/>
  <c r="Q26" i="11"/>
  <c r="R26" i="11"/>
  <c r="S26" i="11"/>
  <c r="T26" i="11"/>
  <c r="U26" i="11"/>
  <c r="Q27" i="11"/>
  <c r="R27" i="11"/>
  <c r="S27" i="11"/>
  <c r="T27" i="11"/>
  <c r="U27" i="11"/>
  <c r="R23" i="11"/>
  <c r="S23" i="11"/>
  <c r="T23" i="11"/>
  <c r="U23" i="11"/>
  <c r="Q23" i="11"/>
  <c r="N39" i="11"/>
  <c r="N40" i="11"/>
  <c r="N41" i="11"/>
  <c r="N38" i="11"/>
  <c r="M38" i="11"/>
  <c r="M39" i="11"/>
  <c r="M40" i="11"/>
  <c r="M41" i="11"/>
  <c r="L38" i="11"/>
  <c r="L39" i="11"/>
  <c r="L40" i="11"/>
  <c r="L41" i="11"/>
  <c r="K38" i="11"/>
  <c r="K39" i="11"/>
  <c r="K40" i="11"/>
  <c r="K41" i="11"/>
  <c r="J38" i="11"/>
  <c r="J39" i="11"/>
  <c r="J40" i="11"/>
  <c r="J41" i="11"/>
  <c r="J37" i="11"/>
  <c r="K37" i="11"/>
  <c r="L37" i="11"/>
  <c r="M37" i="11"/>
  <c r="I38" i="11"/>
  <c r="I39" i="11"/>
  <c r="I40" i="11"/>
  <c r="I41" i="11"/>
  <c r="I37" i="11"/>
  <c r="J83" i="2"/>
  <c r="L79" i="2"/>
  <c r="O79" i="2"/>
  <c r="P79" i="2"/>
  <c r="N79" i="2"/>
  <c r="M79" i="2"/>
  <c r="O78" i="2"/>
  <c r="P78" i="2"/>
  <c r="E37" i="15"/>
  <c r="D39" i="15"/>
  <c r="D38" i="15"/>
  <c r="CI342" i="1" l="1"/>
  <c r="BH343" i="1"/>
  <c r="BH342" i="1"/>
  <c r="D62" i="15"/>
  <c r="D57" i="15"/>
  <c r="D61" i="15"/>
  <c r="D56" i="15"/>
  <c r="D60" i="15"/>
  <c r="D55" i="15"/>
  <c r="D59" i="15"/>
  <c r="D54" i="15"/>
  <c r="E39" i="15"/>
  <c r="E38" i="15"/>
  <c r="E36" i="15"/>
  <c r="M342" i="1" l="1"/>
  <c r="M21" i="13"/>
  <c r="M19" i="13"/>
  <c r="O19" i="13"/>
  <c r="N19" i="13"/>
  <c r="L19" i="13"/>
  <c r="B36" i="18"/>
  <c r="B35" i="18"/>
  <c r="B34" i="18"/>
  <c r="B33" i="18"/>
  <c r="B32" i="18"/>
  <c r="B31" i="18"/>
  <c r="B30" i="18"/>
  <c r="B29" i="18"/>
  <c r="B28" i="18"/>
  <c r="B27" i="18"/>
  <c r="B26" i="18"/>
  <c r="B25" i="18"/>
  <c r="B24" i="18"/>
  <c r="B23" i="18"/>
  <c r="B22" i="18"/>
  <c r="B21" i="18"/>
  <c r="B2" i="18"/>
  <c r="L16" i="18"/>
  <c r="L15" i="18"/>
  <c r="L14" i="18"/>
  <c r="L13" i="18"/>
  <c r="L12" i="18"/>
  <c r="L11" i="18"/>
  <c r="L10" i="18"/>
  <c r="L9" i="18"/>
  <c r="L8" i="18"/>
  <c r="L7" i="18"/>
  <c r="L6" i="18"/>
  <c r="L5" i="18"/>
  <c r="L4" i="18"/>
  <c r="L3" i="18"/>
  <c r="L2" i="18"/>
  <c r="B16" i="18" l="1"/>
  <c r="B15" i="18"/>
  <c r="B14" i="18"/>
  <c r="B13" i="18"/>
  <c r="B12" i="18"/>
  <c r="B11" i="18"/>
  <c r="B10" i="18"/>
  <c r="B9" i="18"/>
  <c r="B8" i="18"/>
  <c r="B7" i="18"/>
  <c r="B6" i="18"/>
  <c r="B5" i="18"/>
  <c r="B4" i="18"/>
  <c r="B3" i="18"/>
  <c r="J4" i="17"/>
  <c r="A4" i="17"/>
  <c r="J18" i="17"/>
  <c r="J14" i="17"/>
  <c r="J16" i="17"/>
  <c r="J12" i="17"/>
  <c r="J10" i="17"/>
  <c r="A12" i="17"/>
  <c r="J8" i="17"/>
  <c r="A8" i="17"/>
  <c r="A18" i="17"/>
  <c r="A16" i="17"/>
  <c r="A14" i="17"/>
  <c r="A10" i="17"/>
  <c r="A6" i="17"/>
  <c r="J6" i="17"/>
  <c r="DV344" i="1"/>
  <c r="DU344" i="1"/>
  <c r="DV342" i="1"/>
  <c r="DU342" i="1"/>
  <c r="DT344" i="1"/>
  <c r="DT342" i="1"/>
  <c r="DR344" i="1"/>
  <c r="DR342" i="1"/>
  <c r="DQ342" i="1"/>
  <c r="DQ344" i="1"/>
  <c r="DP344" i="1"/>
  <c r="DP342" i="1"/>
  <c r="CX343" i="1"/>
  <c r="CX346" i="1"/>
  <c r="CW346" i="1"/>
  <c r="CX345" i="1"/>
  <c r="CW345" i="1"/>
  <c r="CX344" i="1"/>
  <c r="CW344" i="1"/>
  <c r="CW343" i="1"/>
  <c r="CX342" i="1"/>
  <c r="CW342" i="1"/>
  <c r="CW360" i="1"/>
  <c r="CW358" i="1"/>
  <c r="I17" i="12"/>
  <c r="I16" i="12"/>
  <c r="I15" i="12"/>
  <c r="I14" i="12"/>
  <c r="I13" i="12"/>
  <c r="B16" i="12"/>
  <c r="B15" i="12"/>
  <c r="B14" i="12"/>
  <c r="B13" i="12"/>
  <c r="I8" i="12"/>
  <c r="I7" i="12"/>
  <c r="I6" i="12"/>
  <c r="I5" i="12"/>
  <c r="I4" i="12"/>
  <c r="B7" i="12"/>
  <c r="B6" i="12"/>
  <c r="B5" i="12"/>
  <c r="B4" i="12"/>
  <c r="CV386" i="1"/>
  <c r="CV393" i="1"/>
  <c r="CV390" i="1"/>
  <c r="CV392" i="1"/>
  <c r="CV389" i="1"/>
  <c r="CV387" i="1"/>
  <c r="CV384" i="1"/>
  <c r="CV377" i="1"/>
  <c r="CV378" i="1"/>
  <c r="CV383" i="1"/>
  <c r="CV380" i="1"/>
  <c r="CV381" i="1"/>
  <c r="CV364" i="1"/>
  <c r="CX366" i="1"/>
  <c r="CX360" i="1"/>
  <c r="CX365" i="1"/>
  <c r="CX359" i="1"/>
  <c r="CX363" i="1"/>
  <c r="CX362" i="1"/>
  <c r="CU364" i="1"/>
  <c r="CV368" i="1"/>
  <c r="CV367" i="1"/>
  <c r="CV365" i="1"/>
  <c r="CV362" i="1"/>
  <c r="CV360" i="1"/>
  <c r="CW368" i="1"/>
  <c r="CW367" i="1"/>
  <c r="CW364" i="1"/>
  <c r="CW362" i="1"/>
  <c r="CV374" i="1"/>
  <c r="CV373" i="1"/>
  <c r="CV371" i="1"/>
  <c r="CV370" i="1"/>
  <c r="CU367" i="1"/>
  <c r="CU368" i="1"/>
  <c r="CU370" i="1"/>
  <c r="CU371" i="1"/>
  <c r="CU374" i="1"/>
  <c r="CU373" i="1"/>
  <c r="CS397" i="1"/>
  <c r="CT397" i="1"/>
  <c r="CS394" i="1"/>
  <c r="CT394" i="1"/>
  <c r="CS391" i="1"/>
  <c r="CT391" i="1"/>
  <c r="CT387" i="1"/>
  <c r="CT384" i="1"/>
  <c r="CT383" i="1"/>
  <c r="CT381" i="1"/>
  <c r="CT380" i="1"/>
  <c r="CT386" i="1"/>
  <c r="CT368" i="1"/>
  <c r="CU362" i="1"/>
  <c r="CV354" i="1"/>
  <c r="CV352" i="1"/>
  <c r="CU354" i="1"/>
  <c r="CU352" i="1"/>
  <c r="CS378" i="1"/>
  <c r="CS374" i="1"/>
  <c r="CS370" i="1"/>
  <c r="CS366" i="1"/>
  <c r="CS372" i="1"/>
  <c r="CS376" i="1"/>
  <c r="CS368" i="1"/>
  <c r="CS364" i="1"/>
  <c r="CT378" i="1"/>
  <c r="CT374" i="1"/>
  <c r="CT370" i="1"/>
  <c r="CT364" i="1"/>
  <c r="CT366" i="1"/>
  <c r="CT376" i="1"/>
  <c r="CT372" i="1"/>
  <c r="CU360" i="1"/>
  <c r="E7" i="11"/>
  <c r="Y16" i="11"/>
  <c r="EU369" i="1"/>
  <c r="ET369" i="1"/>
  <c r="EU368" i="1"/>
  <c r="ET368" i="1"/>
  <c r="EU367" i="1"/>
  <c r="ET367" i="1"/>
  <c r="EU366" i="1"/>
  <c r="ET366" i="1"/>
  <c r="EU365" i="1"/>
  <c r="ET365" i="1"/>
  <c r="EU364" i="1"/>
  <c r="ET364" i="1"/>
  <c r="EU362" i="1"/>
  <c r="ET362" i="1"/>
  <c r="EU361" i="1"/>
  <c r="ET361" i="1"/>
  <c r="EU360" i="1"/>
  <c r="ET360" i="1"/>
  <c r="EU359" i="1"/>
  <c r="ET359" i="1"/>
  <c r="EU358" i="1"/>
  <c r="ET358" i="1"/>
  <c r="EU357" i="1"/>
  <c r="ET357" i="1"/>
  <c r="ES369" i="1"/>
  <c r="ES368" i="1"/>
  <c r="ES367" i="1"/>
  <c r="ES366" i="1"/>
  <c r="ES365" i="1"/>
  <c r="ES364" i="1"/>
  <c r="ES362" i="1"/>
  <c r="ES361" i="1"/>
  <c r="ES360" i="1"/>
  <c r="ES359" i="1"/>
  <c r="ES358" i="1"/>
  <c r="ES357" i="1"/>
  <c r="ER369" i="1"/>
  <c r="ER368" i="1"/>
  <c r="ER367" i="1"/>
  <c r="ER366" i="1"/>
  <c r="ER365" i="1"/>
  <c r="ER364" i="1"/>
  <c r="ER362" i="1"/>
  <c r="ER361" i="1"/>
  <c r="ER360" i="1"/>
  <c r="ER359" i="1"/>
  <c r="ER358" i="1"/>
  <c r="ER357" i="1"/>
  <c r="EQ369" i="1"/>
  <c r="EQ368" i="1"/>
  <c r="EQ367" i="1"/>
  <c r="EQ366" i="1"/>
  <c r="EQ365" i="1"/>
  <c r="EQ364" i="1"/>
  <c r="EQ362" i="1"/>
  <c r="EQ361" i="1"/>
  <c r="EQ360" i="1"/>
  <c r="EQ359" i="1"/>
  <c r="EQ358" i="1"/>
  <c r="EQ357" i="1"/>
  <c r="EQ355" i="1"/>
  <c r="EU355" i="1"/>
  <c r="ET355" i="1"/>
  <c r="EU354" i="1"/>
  <c r="ET354" i="1"/>
  <c r="EU353" i="1"/>
  <c r="ET353" i="1"/>
  <c r="EU352" i="1"/>
  <c r="ET352" i="1"/>
  <c r="EU351" i="1"/>
  <c r="ET351" i="1"/>
  <c r="EU350" i="1"/>
  <c r="ET350" i="1"/>
  <c r="EU348" i="1"/>
  <c r="ET348" i="1"/>
  <c r="EU347" i="1"/>
  <c r="ET347" i="1"/>
  <c r="EU346" i="1"/>
  <c r="ET346" i="1"/>
  <c r="EU345" i="1"/>
  <c r="ET345" i="1"/>
  <c r="EU344" i="1"/>
  <c r="ET344" i="1"/>
  <c r="EU343" i="1"/>
  <c r="ET343" i="1"/>
  <c r="ES355" i="1"/>
  <c r="ES354" i="1"/>
  <c r="ES353" i="1"/>
  <c r="ES352" i="1"/>
  <c r="ES351" i="1"/>
  <c r="ES350" i="1"/>
  <c r="ES348" i="1"/>
  <c r="ES347" i="1"/>
  <c r="ES346" i="1"/>
  <c r="ES345" i="1"/>
  <c r="ES344" i="1"/>
  <c r="ES343" i="1"/>
  <c r="ER355" i="1"/>
  <c r="ER354" i="1"/>
  <c r="ER353" i="1"/>
  <c r="ER352" i="1"/>
  <c r="ER351" i="1"/>
  <c r="ER350" i="1"/>
  <c r="ER348" i="1"/>
  <c r="ER347" i="1"/>
  <c r="ER346" i="1"/>
  <c r="ER345" i="1"/>
  <c r="ER344" i="1"/>
  <c r="ER343" i="1"/>
  <c r="EQ354" i="1"/>
  <c r="EQ353" i="1"/>
  <c r="EQ352" i="1"/>
  <c r="EQ351" i="1"/>
  <c r="EQ350" i="1"/>
  <c r="EQ348" i="1"/>
  <c r="EQ347" i="1"/>
  <c r="EQ346" i="1"/>
  <c r="EQ345" i="1"/>
  <c r="EQ344" i="1"/>
  <c r="EQ343" i="1"/>
  <c r="EN343" i="1"/>
  <c r="EN354" i="1"/>
  <c r="EM354" i="1"/>
  <c r="EN353" i="1"/>
  <c r="EM353" i="1"/>
  <c r="EN352" i="1"/>
  <c r="EM352" i="1"/>
  <c r="EN351" i="1"/>
  <c r="EM351" i="1"/>
  <c r="EN350" i="1"/>
  <c r="EM350" i="1"/>
  <c r="EN347" i="1"/>
  <c r="EM347" i="1"/>
  <c r="EN346" i="1"/>
  <c r="EM346" i="1"/>
  <c r="EN345" i="1"/>
  <c r="EM345" i="1"/>
  <c r="EN344" i="1"/>
  <c r="EM344" i="1"/>
  <c r="EM343" i="1"/>
  <c r="EL354" i="1"/>
  <c r="EL353" i="1"/>
  <c r="EL352" i="1"/>
  <c r="EL351" i="1"/>
  <c r="EL350" i="1"/>
  <c r="EL347" i="1"/>
  <c r="EL346" i="1"/>
  <c r="EL345" i="1"/>
  <c r="EL344" i="1"/>
  <c r="EL343" i="1"/>
  <c r="M76" i="2"/>
  <c r="AB65" i="2"/>
  <c r="Y65" i="2"/>
  <c r="V65" i="2"/>
  <c r="N65" i="2"/>
  <c r="F69" i="2"/>
  <c r="E69" i="2"/>
  <c r="D69" i="2"/>
  <c r="C69" i="2"/>
  <c r="B69" i="2"/>
  <c r="A69" i="2"/>
  <c r="O27" i="11"/>
  <c r="O26" i="11"/>
  <c r="O25" i="11"/>
  <c r="O24" i="11"/>
  <c r="O23" i="11"/>
  <c r="N27" i="11"/>
  <c r="N26" i="11"/>
  <c r="N25" i="11"/>
  <c r="N24" i="11"/>
  <c r="N23" i="11"/>
  <c r="M27" i="11"/>
  <c r="M26" i="11"/>
  <c r="M25" i="11"/>
  <c r="M24" i="11"/>
  <c r="M23" i="11"/>
  <c r="L27" i="11"/>
  <c r="L26" i="11"/>
  <c r="L25" i="11"/>
  <c r="L24" i="11"/>
  <c r="L23" i="11"/>
  <c r="K27" i="11"/>
  <c r="K26" i="11"/>
  <c r="K25" i="11"/>
  <c r="K24" i="11"/>
  <c r="K23" i="11"/>
  <c r="G34" i="11"/>
  <c r="G32" i="11"/>
  <c r="G31" i="11"/>
  <c r="G30" i="11"/>
  <c r="F34" i="11"/>
  <c r="F33" i="11"/>
  <c r="F32" i="11"/>
  <c r="F31" i="11"/>
  <c r="F30" i="11"/>
  <c r="E34" i="11"/>
  <c r="E33" i="11"/>
  <c r="E32" i="11"/>
  <c r="E31" i="11"/>
  <c r="E30" i="11"/>
  <c r="D34" i="11"/>
  <c r="D33" i="11"/>
  <c r="D32" i="11"/>
  <c r="D31" i="11"/>
  <c r="D30" i="11"/>
  <c r="C34" i="11"/>
  <c r="C33" i="11"/>
  <c r="C32" i="11"/>
  <c r="C31" i="11"/>
  <c r="C30" i="11"/>
  <c r="G27" i="11"/>
  <c r="G26" i="11"/>
  <c r="G40" i="11" s="1"/>
  <c r="G25" i="11"/>
  <c r="G24" i="11"/>
  <c r="G23" i="11"/>
  <c r="F27" i="11"/>
  <c r="F26" i="11"/>
  <c r="F25" i="11"/>
  <c r="F24" i="11"/>
  <c r="F23" i="11"/>
  <c r="E27" i="11"/>
  <c r="E26" i="11"/>
  <c r="E25" i="11"/>
  <c r="E24" i="11"/>
  <c r="E23" i="11"/>
  <c r="D27" i="11"/>
  <c r="D26" i="11"/>
  <c r="D25" i="11"/>
  <c r="D24" i="11"/>
  <c r="D23" i="11"/>
  <c r="C27" i="11"/>
  <c r="C26" i="11"/>
  <c r="C25" i="11"/>
  <c r="C24" i="11"/>
  <c r="C23" i="11"/>
  <c r="K4" i="11"/>
  <c r="D20" i="11"/>
  <c r="AH78" i="2"/>
  <c r="AH77" i="2"/>
  <c r="AG78" i="2"/>
  <c r="AF78" i="2"/>
  <c r="AF77" i="2"/>
  <c r="AE78" i="2"/>
  <c r="AE77" i="2"/>
  <c r="AD78" i="2"/>
  <c r="AD77" i="2"/>
  <c r="AB78" i="2"/>
  <c r="AB77" i="2"/>
  <c r="AA78" i="2"/>
  <c r="AA77" i="2"/>
  <c r="Z78" i="2"/>
  <c r="Z77" i="2"/>
  <c r="Y78" i="2"/>
  <c r="X78" i="2"/>
  <c r="X77" i="2"/>
  <c r="V78" i="2"/>
  <c r="V77" i="2"/>
  <c r="U78" i="2"/>
  <c r="U77" i="2"/>
  <c r="T78" i="2"/>
  <c r="S78" i="2"/>
  <c r="S77" i="2"/>
  <c r="R78" i="2"/>
  <c r="R77" i="2"/>
  <c r="L78" i="2"/>
  <c r="P77" i="2"/>
  <c r="N78" i="2"/>
  <c r="N77" i="2"/>
  <c r="M78" i="2"/>
  <c r="M77" i="2"/>
  <c r="L77" i="2"/>
  <c r="M34" i="13"/>
  <c r="M32" i="13"/>
  <c r="M31" i="13"/>
  <c r="M30" i="13"/>
  <c r="M29" i="13"/>
  <c r="AH76" i="2"/>
  <c r="AG76" i="2"/>
  <c r="AF76" i="2"/>
  <c r="Z76" i="2"/>
  <c r="Y76" i="2"/>
  <c r="AD76" i="2"/>
  <c r="X76" i="2"/>
  <c r="AA76" i="2"/>
  <c r="S76" i="2"/>
  <c r="V76" i="2"/>
  <c r="U76" i="2"/>
  <c r="T76" i="2"/>
  <c r="P76" i="2"/>
  <c r="O76" i="2"/>
  <c r="N70" i="2"/>
  <c r="AB72" i="2"/>
  <c r="AH72" i="2"/>
  <c r="AB71" i="2"/>
  <c r="AH71" i="2"/>
  <c r="AA72" i="2"/>
  <c r="AG72" i="2"/>
  <c r="AA71" i="2"/>
  <c r="AG71" i="2"/>
  <c r="Z72" i="2"/>
  <c r="AF72" i="2"/>
  <c r="Z71" i="2"/>
  <c r="AF71" i="2"/>
  <c r="Y72" i="2"/>
  <c r="Y71" i="2"/>
  <c r="X71" i="2"/>
  <c r="X72" i="2"/>
  <c r="AD72" i="2"/>
  <c r="AD71" i="2"/>
  <c r="P71" i="2"/>
  <c r="P70" i="2"/>
  <c r="V72" i="2"/>
  <c r="O71" i="2"/>
  <c r="O70" i="2"/>
  <c r="U72" i="2"/>
  <c r="N71" i="2"/>
  <c r="T72" i="2"/>
  <c r="L71" i="2"/>
  <c r="L70" i="2"/>
  <c r="M70" i="2"/>
  <c r="M71" i="2"/>
  <c r="S72" i="2"/>
  <c r="Y22" i="11"/>
  <c r="Y10" i="11"/>
  <c r="R10" i="11"/>
  <c r="F5" i="11"/>
  <c r="AH73" i="2"/>
  <c r="AG73" i="2"/>
  <c r="AF73" i="2"/>
  <c r="AE72" i="2"/>
  <c r="T74" i="2"/>
  <c r="T73" i="2"/>
  <c r="R73" i="2"/>
  <c r="V74" i="2"/>
  <c r="V73" i="2"/>
  <c r="U73" i="2"/>
  <c r="S73" i="2"/>
  <c r="AH69" i="2"/>
  <c r="AG69" i="2"/>
  <c r="AF69" i="2"/>
  <c r="AE69" i="2"/>
  <c r="AD69" i="2"/>
  <c r="AB69" i="2"/>
  <c r="AA69" i="2"/>
  <c r="Z69" i="2"/>
  <c r="Y69" i="2"/>
  <c r="X69" i="2"/>
  <c r="R70" i="2"/>
  <c r="R69" i="2"/>
  <c r="S69" i="2"/>
  <c r="V69" i="2"/>
  <c r="U69" i="2"/>
  <c r="T69" i="2"/>
  <c r="AH68" i="2"/>
  <c r="AG68" i="2"/>
  <c r="AF68" i="2"/>
  <c r="AE68" i="2"/>
  <c r="AD68" i="2"/>
  <c r="AB68" i="2"/>
  <c r="AA68" i="2"/>
  <c r="Z68" i="2"/>
  <c r="Y68" i="2"/>
  <c r="X68" i="2"/>
  <c r="V68" i="2"/>
  <c r="U68" i="2"/>
  <c r="T68" i="2"/>
  <c r="S68" i="2"/>
  <c r="R68" i="2"/>
  <c r="P68" i="2"/>
  <c r="O68" i="2"/>
  <c r="N68" i="2"/>
  <c r="M68" i="2"/>
  <c r="L68" i="2"/>
  <c r="K32" i="10"/>
  <c r="K31" i="10"/>
  <c r="G30" i="10"/>
  <c r="G29" i="10"/>
  <c r="L25" i="10"/>
  <c r="N29" i="10"/>
  <c r="I29" i="10"/>
  <c r="M29" i="10"/>
  <c r="H29" i="10"/>
  <c r="L29" i="10"/>
  <c r="N28" i="10"/>
  <c r="I28" i="10"/>
  <c r="M28" i="10"/>
  <c r="H28" i="10"/>
  <c r="L28" i="10"/>
  <c r="G28" i="10"/>
  <c r="N27" i="10"/>
  <c r="I27" i="10"/>
  <c r="M27" i="10"/>
  <c r="H27" i="10"/>
  <c r="L27" i="10"/>
  <c r="G27" i="10"/>
  <c r="N26" i="10"/>
  <c r="I26" i="10"/>
  <c r="M26" i="10"/>
  <c r="H26" i="10"/>
  <c r="L26" i="10"/>
  <c r="G26" i="10"/>
  <c r="N25" i="10"/>
  <c r="I25" i="10"/>
  <c r="M25" i="10"/>
  <c r="H25" i="10"/>
  <c r="G25" i="10"/>
  <c r="B26" i="10"/>
  <c r="B25" i="10"/>
  <c r="G32" i="10"/>
  <c r="G31" i="10"/>
  <c r="A25" i="10"/>
  <c r="E5" i="10"/>
  <c r="N5" i="10"/>
  <c r="E15" i="10"/>
  <c r="P28" i="13"/>
  <c r="C25" i="10"/>
  <c r="K14" i="7"/>
  <c r="M14" i="7"/>
  <c r="M9" i="7"/>
  <c r="M13" i="7"/>
  <c r="L13" i="7"/>
  <c r="L14" i="7"/>
  <c r="L9" i="7"/>
  <c r="L8" i="7"/>
  <c r="K9" i="7"/>
  <c r="K13" i="7"/>
  <c r="K8" i="7"/>
  <c r="P9" i="7"/>
  <c r="K4" i="7"/>
  <c r="L3" i="7"/>
  <c r="K3" i="7"/>
  <c r="M4" i="7"/>
  <c r="L4" i="7"/>
  <c r="I14" i="6"/>
  <c r="I10" i="6"/>
  <c r="I9" i="6"/>
  <c r="I8" i="6"/>
  <c r="H8" i="6"/>
  <c r="G10" i="6"/>
  <c r="G9" i="6"/>
  <c r="G8" i="6"/>
  <c r="F8" i="6"/>
  <c r="F10" i="6"/>
  <c r="F9" i="6"/>
  <c r="E8" i="6"/>
  <c r="E10" i="6"/>
  <c r="E9" i="6"/>
  <c r="D8" i="6"/>
  <c r="D10" i="6"/>
  <c r="D9" i="6"/>
  <c r="C8" i="6"/>
  <c r="C10" i="6"/>
  <c r="C9" i="6"/>
  <c r="B8" i="6"/>
  <c r="B10" i="6"/>
  <c r="B9" i="6"/>
  <c r="H10" i="6"/>
  <c r="H9" i="6"/>
  <c r="H3" i="6"/>
  <c r="D37" i="13"/>
  <c r="C37" i="13"/>
  <c r="C41" i="13"/>
  <c r="C40" i="13"/>
  <c r="C39" i="13"/>
  <c r="C38" i="13"/>
  <c r="X30" i="15"/>
  <c r="Y30" i="15"/>
  <c r="X29" i="15"/>
  <c r="Y29" i="15"/>
  <c r="Y26" i="15"/>
  <c r="Y28" i="15"/>
  <c r="X28" i="15"/>
  <c r="X27" i="15"/>
  <c r="Y27" i="15"/>
  <c r="X26" i="15"/>
  <c r="X25" i="15"/>
  <c r="Y25" i="15"/>
  <c r="X13" i="15"/>
  <c r="Y21" i="15"/>
  <c r="Y20" i="15"/>
  <c r="X21" i="15"/>
  <c r="X20" i="15"/>
  <c r="X19" i="15"/>
  <c r="Y19" i="15"/>
  <c r="Y18" i="15"/>
  <c r="X14" i="15"/>
  <c r="Y13" i="15"/>
  <c r="X18" i="15"/>
  <c r="Y16" i="15"/>
  <c r="Y15" i="15"/>
  <c r="X16" i="15"/>
  <c r="X15" i="15"/>
  <c r="Y14" i="15"/>
  <c r="R13" i="15"/>
  <c r="R20" i="15"/>
  <c r="T23" i="15"/>
  <c r="T22" i="15"/>
  <c r="R23" i="15"/>
  <c r="R22" i="15"/>
  <c r="T19" i="15"/>
  <c r="R19" i="15"/>
  <c r="T20" i="15"/>
  <c r="T17" i="15"/>
  <c r="U16" i="15"/>
  <c r="U17" i="15"/>
  <c r="U671" i="1"/>
  <c r="U672" i="1"/>
  <c r="U673" i="1"/>
  <c r="U674" i="1"/>
  <c r="U675" i="1"/>
  <c r="U676" i="1"/>
  <c r="U677" i="1"/>
  <c r="U678" i="1"/>
  <c r="U679" i="1"/>
  <c r="U680" i="1"/>
  <c r="U681" i="1"/>
  <c r="U682" i="1"/>
  <c r="U683" i="1"/>
  <c r="U684"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S17" i="15" s="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345" i="1"/>
  <c r="U346" i="1"/>
  <c r="U347" i="1"/>
  <c r="U348" i="1"/>
  <c r="U349" i="1"/>
  <c r="S16" i="15" s="1"/>
  <c r="U350" i="1"/>
  <c r="U351" i="1"/>
  <c r="U344" i="1"/>
  <c r="U343" i="1"/>
  <c r="T16" i="15"/>
  <c r="R17" i="15"/>
  <c r="R16" i="15"/>
  <c r="U14" i="15"/>
  <c r="S14" i="15"/>
  <c r="T14" i="15"/>
  <c r="R14" i="15"/>
  <c r="U13" i="15"/>
  <c r="S13" i="15"/>
  <c r="T13" i="15"/>
  <c r="AD4" i="15"/>
  <c r="X42" i="15"/>
  <c r="X35" i="15"/>
  <c r="N35" i="15"/>
  <c r="P32" i="15"/>
  <c r="M32" i="15"/>
  <c r="AJ48" i="15"/>
  <c r="AJ52" i="15"/>
  <c r="AL35" i="15"/>
  <c r="AJ51" i="15"/>
  <c r="AL34" i="15"/>
  <c r="AJ47" i="15"/>
  <c r="AJ50" i="15"/>
  <c r="AL33" i="15"/>
  <c r="AL31" i="15"/>
  <c r="AL30" i="15"/>
  <c r="AJ46" i="15"/>
  <c r="AL29" i="15"/>
  <c r="AJ44" i="15"/>
  <c r="AL27" i="15"/>
  <c r="AJ43" i="15"/>
  <c r="AL26" i="15"/>
  <c r="AJ42" i="15"/>
  <c r="AL25" i="15"/>
  <c r="AJ40" i="15"/>
  <c r="AL23" i="15"/>
  <c r="AJ39" i="15"/>
  <c r="AL22" i="15"/>
  <c r="AJ38" i="15"/>
  <c r="AL21" i="15"/>
  <c r="AE52" i="15"/>
  <c r="AE35" i="15"/>
  <c r="AE51" i="15"/>
  <c r="AE34" i="15"/>
  <c r="AE50" i="15"/>
  <c r="AE33" i="15"/>
  <c r="AE48" i="15"/>
  <c r="AE31" i="15"/>
  <c r="AE47" i="15"/>
  <c r="AE30" i="15"/>
  <c r="AE46" i="15"/>
  <c r="AE29" i="15"/>
  <c r="AE44" i="15"/>
  <c r="AE27" i="15"/>
  <c r="AE43" i="15"/>
  <c r="AE26" i="15"/>
  <c r="AE42" i="15"/>
  <c r="AE25" i="15"/>
  <c r="AE40" i="15"/>
  <c r="AE23" i="15"/>
  <c r="AE39" i="15"/>
  <c r="AE22" i="15"/>
  <c r="AE38" i="15"/>
  <c r="AE21" i="15"/>
  <c r="AM35" i="15"/>
  <c r="AF35" i="15"/>
  <c r="AM34" i="15"/>
  <c r="AF34" i="15"/>
  <c r="AM33" i="15"/>
  <c r="AF33" i="15"/>
  <c r="AM31" i="15"/>
  <c r="AF31" i="15"/>
  <c r="AM30" i="15"/>
  <c r="AF30" i="15"/>
  <c r="AM29" i="15"/>
  <c r="AF29" i="15"/>
  <c r="AM27" i="15"/>
  <c r="AF27" i="15"/>
  <c r="AM26" i="15"/>
  <c r="AF26" i="15"/>
  <c r="AM25" i="15"/>
  <c r="AF25" i="15"/>
  <c r="AM23" i="15"/>
  <c r="AF23" i="15"/>
  <c r="AM22" i="15"/>
  <c r="AF22" i="15"/>
  <c r="AM21" i="15"/>
  <c r="AF21" i="15"/>
  <c r="W75" i="15"/>
  <c r="W67" i="15"/>
  <c r="W74" i="15"/>
  <c r="W66" i="15"/>
  <c r="W73" i="15"/>
  <c r="W65" i="15"/>
  <c r="W72" i="15"/>
  <c r="W64" i="15"/>
  <c r="W71" i="15"/>
  <c r="W63" i="15"/>
  <c r="W58" i="15"/>
  <c r="W50" i="15"/>
  <c r="W57" i="15"/>
  <c r="W49" i="15"/>
  <c r="W56" i="15"/>
  <c r="W48" i="15"/>
  <c r="W55" i="15"/>
  <c r="W47" i="15"/>
  <c r="W54" i="15"/>
  <c r="W46" i="15"/>
  <c r="R75" i="15"/>
  <c r="R67" i="15"/>
  <c r="R74" i="15"/>
  <c r="R66" i="15"/>
  <c r="R73" i="15"/>
  <c r="R65" i="15"/>
  <c r="R72" i="15"/>
  <c r="R64" i="15"/>
  <c r="R71" i="15"/>
  <c r="R63" i="15"/>
  <c r="R58" i="15"/>
  <c r="R50" i="15"/>
  <c r="R57" i="15"/>
  <c r="R49" i="15"/>
  <c r="R56" i="15"/>
  <c r="R48" i="15"/>
  <c r="R55" i="15"/>
  <c r="R47" i="15"/>
  <c r="R54" i="15"/>
  <c r="R46" i="15"/>
  <c r="X67" i="15"/>
  <c r="X66" i="15"/>
  <c r="X65" i="15"/>
  <c r="X64" i="15"/>
  <c r="X63" i="15"/>
  <c r="S63" i="15"/>
  <c r="X50" i="15"/>
  <c r="X49" i="15"/>
  <c r="X48" i="15"/>
  <c r="X47" i="15"/>
  <c r="X46" i="15"/>
  <c r="S67" i="15"/>
  <c r="S66" i="15"/>
  <c r="S65" i="15"/>
  <c r="S64" i="15"/>
  <c r="S50" i="15"/>
  <c r="S49" i="15"/>
  <c r="S48" i="15"/>
  <c r="S47" i="15"/>
  <c r="S46" i="15"/>
  <c r="M40" i="15"/>
  <c r="S8" i="15"/>
  <c r="R8" i="15"/>
  <c r="R5" i="15"/>
  <c r="S7" i="15"/>
  <c r="R7" i="15"/>
  <c r="R4" i="15"/>
  <c r="S5" i="15"/>
  <c r="S4" i="15"/>
  <c r="E47" i="15"/>
  <c r="E43" i="15"/>
  <c r="G47" i="15"/>
  <c r="G43" i="15"/>
  <c r="G46" i="15"/>
  <c r="G42" i="15"/>
  <c r="F47" i="15"/>
  <c r="F43" i="15"/>
  <c r="F46" i="15"/>
  <c r="F42" i="15"/>
  <c r="E46" i="15"/>
  <c r="E42" i="15"/>
  <c r="D47" i="15"/>
  <c r="D43" i="15"/>
  <c r="D46" i="15"/>
  <c r="D42" i="15"/>
  <c r="G38" i="15"/>
  <c r="G36" i="15"/>
  <c r="F38" i="15"/>
  <c r="F36" i="15"/>
  <c r="D36" i="15"/>
  <c r="G39" i="15"/>
  <c r="G33" i="15"/>
  <c r="G32" i="15"/>
  <c r="G37" i="15"/>
  <c r="G31" i="15"/>
  <c r="G30" i="15"/>
  <c r="F39" i="15"/>
  <c r="F33" i="15"/>
  <c r="F32" i="15"/>
  <c r="F37" i="15"/>
  <c r="F31" i="15"/>
  <c r="F30" i="15"/>
  <c r="D37" i="15"/>
  <c r="D33" i="15"/>
  <c r="D32" i="15"/>
  <c r="D31" i="15"/>
  <c r="D30" i="15"/>
  <c r="E30" i="15"/>
  <c r="E31" i="15"/>
  <c r="E32" i="15"/>
  <c r="E33" i="15"/>
  <c r="J4" i="15"/>
  <c r="P41" i="15"/>
  <c r="O41" i="15"/>
  <c r="N41" i="15"/>
  <c r="M41" i="15"/>
  <c r="P40" i="15"/>
  <c r="O40" i="15"/>
  <c r="N40" i="15"/>
  <c r="P39" i="15"/>
  <c r="O39" i="15"/>
  <c r="N39" i="15"/>
  <c r="M39" i="15"/>
  <c r="P38" i="15"/>
  <c r="O38" i="15"/>
  <c r="N38" i="15"/>
  <c r="M38" i="15"/>
  <c r="P37" i="15"/>
  <c r="O37" i="15"/>
  <c r="N37" i="15"/>
  <c r="M37" i="15"/>
  <c r="P36" i="15"/>
  <c r="O36" i="15"/>
  <c r="N36" i="15"/>
  <c r="M36" i="15"/>
  <c r="P35" i="15"/>
  <c r="O35" i="15"/>
  <c r="M35" i="15"/>
  <c r="P34" i="15"/>
  <c r="O34" i="15"/>
  <c r="N34" i="15"/>
  <c r="M34" i="15"/>
  <c r="P33" i="15"/>
  <c r="O33" i="15"/>
  <c r="N33" i="15"/>
  <c r="M33" i="15"/>
  <c r="O32" i="15"/>
  <c r="N32" i="15"/>
  <c r="P31" i="15"/>
  <c r="O31" i="15"/>
  <c r="N31" i="15"/>
  <c r="M31" i="15"/>
  <c r="P30" i="15"/>
  <c r="O30" i="15"/>
  <c r="N30" i="15"/>
  <c r="M30" i="15"/>
  <c r="W35" i="15"/>
  <c r="AG14" i="15"/>
  <c r="AF14" i="15"/>
  <c r="AG13" i="15"/>
  <c r="AF13" i="15"/>
  <c r="AG12" i="15"/>
  <c r="AF12" i="15"/>
  <c r="AG11" i="15"/>
  <c r="AF11" i="15"/>
  <c r="AG7" i="15"/>
  <c r="AF7" i="15"/>
  <c r="AG6" i="15"/>
  <c r="AF6" i="15"/>
  <c r="AG5" i="15"/>
  <c r="AF5" i="15"/>
  <c r="AG4" i="15"/>
  <c r="AF4" i="15"/>
  <c r="AD14" i="15"/>
  <c r="AD13" i="15"/>
  <c r="AD12" i="15"/>
  <c r="AD11" i="15"/>
  <c r="AD7" i="15"/>
  <c r="AD6" i="15"/>
  <c r="AD5" i="15"/>
  <c r="AE14" i="15"/>
  <c r="AE13" i="15"/>
  <c r="AE12" i="15"/>
  <c r="AE11" i="15"/>
  <c r="AE4" i="15"/>
  <c r="AE7" i="15"/>
  <c r="AE6" i="15"/>
  <c r="AE5" i="15"/>
  <c r="M24" i="15"/>
  <c r="L24" i="15"/>
  <c r="M23" i="15"/>
  <c r="L23" i="15"/>
  <c r="M22" i="15"/>
  <c r="L22" i="15"/>
  <c r="M21" i="15"/>
  <c r="L21" i="15"/>
  <c r="M20" i="15"/>
  <c r="L20" i="15"/>
  <c r="K24" i="15"/>
  <c r="J24" i="15"/>
  <c r="K23" i="15"/>
  <c r="J23" i="15"/>
  <c r="K22" i="15"/>
  <c r="J22" i="15"/>
  <c r="K21" i="15"/>
  <c r="J21" i="15"/>
  <c r="K20" i="15"/>
  <c r="J20" i="15"/>
  <c r="M18" i="15"/>
  <c r="L18" i="15"/>
  <c r="M17" i="15"/>
  <c r="L17" i="15"/>
  <c r="M16" i="15"/>
  <c r="L16" i="15"/>
  <c r="M15" i="15"/>
  <c r="L15" i="15"/>
  <c r="M14" i="15"/>
  <c r="L14" i="15"/>
  <c r="K18" i="15"/>
  <c r="J18" i="15"/>
  <c r="K17" i="15"/>
  <c r="J17" i="15"/>
  <c r="K16" i="15"/>
  <c r="J16" i="15"/>
  <c r="K15" i="15"/>
  <c r="J15" i="15"/>
  <c r="K14" i="15"/>
  <c r="J14" i="15"/>
  <c r="M12" i="15"/>
  <c r="L12" i="15"/>
  <c r="M11" i="15"/>
  <c r="L11" i="15"/>
  <c r="M10" i="15"/>
  <c r="L10" i="15"/>
  <c r="M9" i="15"/>
  <c r="L9" i="15"/>
  <c r="K12" i="15"/>
  <c r="J12" i="15"/>
  <c r="K11" i="15"/>
  <c r="J11" i="15"/>
  <c r="K10" i="15"/>
  <c r="J10" i="15"/>
  <c r="K9" i="15"/>
  <c r="J9" i="15"/>
  <c r="K4" i="15"/>
  <c r="M7" i="15"/>
  <c r="L7" i="15"/>
  <c r="M6" i="15"/>
  <c r="L6" i="15"/>
  <c r="M5" i="15"/>
  <c r="L5" i="15"/>
  <c r="M4" i="15"/>
  <c r="L4" i="15"/>
  <c r="K7" i="15"/>
  <c r="J7" i="15"/>
  <c r="K6" i="15"/>
  <c r="J6" i="15"/>
  <c r="K5" i="15"/>
  <c r="J5" i="15"/>
  <c r="B52" i="15"/>
  <c r="D18" i="15"/>
  <c r="B18" i="15"/>
  <c r="D17" i="15"/>
  <c r="B17" i="15"/>
  <c r="D16" i="15"/>
  <c r="B16" i="15"/>
  <c r="D14" i="15"/>
  <c r="B14" i="15"/>
  <c r="D13" i="15"/>
  <c r="B13" i="15"/>
  <c r="D12" i="15"/>
  <c r="B12" i="15"/>
  <c r="D10" i="15"/>
  <c r="B10" i="15"/>
  <c r="D9" i="15"/>
  <c r="B9" i="15"/>
  <c r="D8" i="15"/>
  <c r="B8" i="15"/>
  <c r="D6" i="15"/>
  <c r="B6" i="15"/>
  <c r="D5" i="15"/>
  <c r="B5" i="15"/>
  <c r="D4" i="15"/>
  <c r="B4" i="15"/>
  <c r="F9" i="13"/>
  <c r="D56" i="13"/>
  <c r="C56" i="13"/>
  <c r="B56" i="13"/>
  <c r="A56" i="13"/>
  <c r="X39" i="13"/>
  <c r="W39" i="13"/>
  <c r="V39" i="13"/>
  <c r="U39" i="13"/>
  <c r="S39" i="13"/>
  <c r="R39" i="13"/>
  <c r="L48" i="13"/>
  <c r="K48" i="13"/>
  <c r="J48" i="13"/>
  <c r="I48" i="13"/>
  <c r="B3" i="13"/>
  <c r="J3" i="13"/>
  <c r="J10" i="13"/>
  <c r="Z3" i="13"/>
  <c r="R3" i="13"/>
  <c r="F10" i="13"/>
  <c r="J9" i="13"/>
  <c r="D8" i="13"/>
  <c r="O3" i="13"/>
  <c r="AE3" i="13"/>
  <c r="N3" i="13"/>
  <c r="AD3" i="13"/>
  <c r="M3" i="13"/>
  <c r="AC3" i="13"/>
  <c r="L3" i="13"/>
  <c r="AB3" i="13"/>
  <c r="K3" i="13"/>
  <c r="AA3" i="13"/>
  <c r="G3" i="13"/>
  <c r="W3" i="13"/>
  <c r="F3" i="13"/>
  <c r="V3" i="13"/>
  <c r="E3" i="13"/>
  <c r="U3" i="13"/>
  <c r="D3" i="13"/>
  <c r="T3" i="13"/>
  <c r="C3" i="13"/>
  <c r="S3" i="13"/>
  <c r="AE5" i="13"/>
  <c r="AE4" i="13"/>
  <c r="AD5" i="13"/>
  <c r="AD4" i="13"/>
  <c r="AC5" i="13"/>
  <c r="AC4" i="13"/>
  <c r="AB5" i="13"/>
  <c r="AB4" i="13"/>
  <c r="AA5" i="13"/>
  <c r="AA4" i="13"/>
  <c r="Z5" i="13"/>
  <c r="Z4" i="13"/>
  <c r="W5" i="13"/>
  <c r="W4" i="13"/>
  <c r="V5" i="13"/>
  <c r="V4" i="13"/>
  <c r="U5" i="13"/>
  <c r="U4" i="13"/>
  <c r="T5" i="13"/>
  <c r="T4" i="13"/>
  <c r="S5" i="13"/>
  <c r="S4" i="13"/>
  <c r="R5" i="13"/>
  <c r="R4" i="13"/>
  <c r="G32" i="13"/>
  <c r="G31" i="13"/>
  <c r="F31" i="13"/>
  <c r="G30" i="13"/>
  <c r="F30" i="13"/>
  <c r="C30" i="13"/>
  <c r="G29" i="13"/>
  <c r="C29" i="13"/>
  <c r="G28" i="13"/>
  <c r="B25" i="13"/>
  <c r="C20" i="13"/>
  <c r="C19" i="13"/>
  <c r="C17" i="13"/>
  <c r="AC20" i="11"/>
  <c r="V20" i="11"/>
  <c r="AB20" i="11"/>
  <c r="U20" i="11"/>
  <c r="AA20" i="11"/>
  <c r="Z20" i="11"/>
  <c r="S20" i="11"/>
  <c r="Y20" i="11"/>
  <c r="R20" i="11"/>
  <c r="AC19" i="11"/>
  <c r="V19" i="11"/>
  <c r="AB19" i="11"/>
  <c r="U19" i="11"/>
  <c r="AA19" i="11"/>
  <c r="Z19" i="11"/>
  <c r="S19" i="11"/>
  <c r="Y19" i="11"/>
  <c r="R19" i="11"/>
  <c r="AC18" i="11"/>
  <c r="V18" i="11"/>
  <c r="AB18" i="11"/>
  <c r="U18" i="11"/>
  <c r="AA18" i="11"/>
  <c r="T18" i="11"/>
  <c r="Z18" i="11"/>
  <c r="S18" i="11"/>
  <c r="Y18" i="11"/>
  <c r="AC17" i="11"/>
  <c r="V17" i="11"/>
  <c r="AB17" i="11"/>
  <c r="U17" i="11"/>
  <c r="AA17" i="11"/>
  <c r="Z17" i="11"/>
  <c r="S17" i="11"/>
  <c r="Y17" i="11"/>
  <c r="R17" i="11"/>
  <c r="AC16" i="11"/>
  <c r="V16" i="11"/>
  <c r="AB16" i="11"/>
  <c r="U16" i="11"/>
  <c r="AA16" i="11"/>
  <c r="T16" i="11"/>
  <c r="Z16" i="11"/>
  <c r="R16" i="11"/>
  <c r="AC8" i="11"/>
  <c r="V8" i="11"/>
  <c r="U8" i="11"/>
  <c r="AA8" i="11"/>
  <c r="T8" i="11"/>
  <c r="Z8" i="11"/>
  <c r="S8" i="11"/>
  <c r="Y8" i="11"/>
  <c r="AC7" i="11"/>
  <c r="V7" i="11"/>
  <c r="AB7" i="11"/>
  <c r="U7" i="11"/>
  <c r="AA7" i="11"/>
  <c r="T7" i="11"/>
  <c r="Z7" i="11"/>
  <c r="S7" i="11"/>
  <c r="AC6" i="11"/>
  <c r="V6" i="11"/>
  <c r="AB6" i="11"/>
  <c r="U6" i="11"/>
  <c r="AA6" i="11"/>
  <c r="T6" i="11"/>
  <c r="Z6" i="11"/>
  <c r="S6" i="11"/>
  <c r="AC5" i="11"/>
  <c r="V5" i="11"/>
  <c r="AB5" i="11"/>
  <c r="U5" i="11"/>
  <c r="T5" i="11"/>
  <c r="Z5" i="11"/>
  <c r="S5" i="11"/>
  <c r="Y5" i="11"/>
  <c r="AC4" i="11"/>
  <c r="AB4" i="11"/>
  <c r="AA4" i="11"/>
  <c r="S4" i="11"/>
  <c r="Y4" i="11"/>
  <c r="R4" i="11"/>
  <c r="V4" i="11"/>
  <c r="U4" i="11"/>
  <c r="M4" i="11"/>
  <c r="O20" i="11"/>
  <c r="O19" i="11"/>
  <c r="N19" i="11"/>
  <c r="M20" i="11"/>
  <c r="M19" i="11"/>
  <c r="L20" i="11"/>
  <c r="L19" i="11"/>
  <c r="K20" i="11"/>
  <c r="O18" i="11"/>
  <c r="N18" i="11"/>
  <c r="M18" i="11"/>
  <c r="L18" i="11"/>
  <c r="O17" i="11"/>
  <c r="N17" i="11"/>
  <c r="L17" i="11"/>
  <c r="K17" i="11"/>
  <c r="O16" i="11"/>
  <c r="N16" i="11"/>
  <c r="M16" i="11"/>
  <c r="K16" i="11"/>
  <c r="G16" i="11"/>
  <c r="F16" i="11"/>
  <c r="G20" i="11"/>
  <c r="G19" i="11"/>
  <c r="F20" i="11"/>
  <c r="F19" i="11"/>
  <c r="D19" i="11"/>
  <c r="G18" i="11"/>
  <c r="F18" i="11"/>
  <c r="E18" i="11"/>
  <c r="D18" i="11"/>
  <c r="G17" i="11"/>
  <c r="F17" i="11"/>
  <c r="D17" i="11"/>
  <c r="O8" i="11"/>
  <c r="N8" i="11"/>
  <c r="O7" i="11"/>
  <c r="N7" i="11"/>
  <c r="O6" i="11"/>
  <c r="N6" i="11"/>
  <c r="O5" i="11"/>
  <c r="N5" i="11"/>
  <c r="O4" i="11"/>
  <c r="N4" i="11"/>
  <c r="G8" i="11"/>
  <c r="G7" i="11"/>
  <c r="F7" i="11"/>
  <c r="G6" i="11"/>
  <c r="G5" i="11"/>
  <c r="G4" i="11"/>
  <c r="F4" i="11"/>
  <c r="M8" i="11"/>
  <c r="M7" i="11"/>
  <c r="L8" i="11"/>
  <c r="L7" i="11"/>
  <c r="K8" i="11"/>
  <c r="C8" i="11"/>
  <c r="M6" i="11"/>
  <c r="L6" i="11"/>
  <c r="K7" i="11"/>
  <c r="M5" i="11"/>
  <c r="L5" i="11"/>
  <c r="K6" i="11"/>
  <c r="D5" i="11"/>
  <c r="K5" i="11"/>
  <c r="C5" i="11"/>
  <c r="E4" i="11"/>
  <c r="L4" i="11"/>
  <c r="E8" i="11"/>
  <c r="D8" i="11"/>
  <c r="D7" i="11"/>
  <c r="E6" i="11"/>
  <c r="AA19" i="10"/>
  <c r="R19" i="10"/>
  <c r="AA18" i="10"/>
  <c r="R18" i="10"/>
  <c r="AA17" i="10"/>
  <c r="R17" i="10"/>
  <c r="AA16" i="10"/>
  <c r="R16" i="10"/>
  <c r="AA15" i="10"/>
  <c r="R15" i="10"/>
  <c r="Z19" i="10"/>
  <c r="Q19" i="10"/>
  <c r="Z18" i="10"/>
  <c r="Q18" i="10"/>
  <c r="Z17" i="10"/>
  <c r="Q17" i="10"/>
  <c r="Z16" i="10"/>
  <c r="Q16" i="10"/>
  <c r="Z15" i="10"/>
  <c r="Q15" i="10"/>
  <c r="Y19" i="10"/>
  <c r="P19" i="10"/>
  <c r="Y18" i="10"/>
  <c r="P18" i="10"/>
  <c r="Y17" i="10"/>
  <c r="P17" i="10"/>
  <c r="Y16" i="10"/>
  <c r="Y15" i="10"/>
  <c r="P16" i="10"/>
  <c r="P15" i="10"/>
  <c r="X19" i="10"/>
  <c r="X18" i="10"/>
  <c r="X17" i="10"/>
  <c r="O17" i="10"/>
  <c r="X16" i="10"/>
  <c r="O16" i="10"/>
  <c r="X15" i="10"/>
  <c r="O15" i="10"/>
  <c r="W19" i="10"/>
  <c r="N19" i="10"/>
  <c r="W18" i="10"/>
  <c r="N18" i="10"/>
  <c r="W17" i="10"/>
  <c r="N17" i="10"/>
  <c r="W16" i="10"/>
  <c r="N16" i="10"/>
  <c r="W15" i="10"/>
  <c r="N15" i="10"/>
  <c r="U19" i="10"/>
  <c r="L19" i="10"/>
  <c r="U18" i="10"/>
  <c r="M18" i="10"/>
  <c r="V19" i="10"/>
  <c r="M19" i="10"/>
  <c r="V18" i="10"/>
  <c r="V17" i="10"/>
  <c r="M17" i="10"/>
  <c r="V16" i="10"/>
  <c r="M16" i="10"/>
  <c r="V15" i="10"/>
  <c r="M15" i="10"/>
  <c r="AA9" i="10"/>
  <c r="R9" i="10"/>
  <c r="AA8" i="10"/>
  <c r="R8" i="10"/>
  <c r="AA7" i="10"/>
  <c r="R7" i="10"/>
  <c r="AA6" i="10"/>
  <c r="R6" i="10"/>
  <c r="AA5" i="10"/>
  <c r="R5" i="10"/>
  <c r="Z9" i="10"/>
  <c r="Q9" i="10"/>
  <c r="Z8" i="10"/>
  <c r="Q8" i="10"/>
  <c r="Z7" i="10"/>
  <c r="Q7" i="10"/>
  <c r="Z6" i="10"/>
  <c r="Q6" i="10"/>
  <c r="Z5" i="10"/>
  <c r="Q5" i="10"/>
  <c r="Y9" i="10"/>
  <c r="P9" i="10"/>
  <c r="Y8" i="10"/>
  <c r="P8" i="10"/>
  <c r="Y7" i="10"/>
  <c r="P7" i="10"/>
  <c r="Y6" i="10"/>
  <c r="P6" i="10"/>
  <c r="Y5" i="10"/>
  <c r="P5" i="10"/>
  <c r="X9" i="10"/>
  <c r="O9" i="10"/>
  <c r="X8" i="10"/>
  <c r="O8" i="10"/>
  <c r="X7" i="10"/>
  <c r="O7" i="10"/>
  <c r="X6" i="10"/>
  <c r="O6" i="10"/>
  <c r="X5" i="10"/>
  <c r="O5" i="10"/>
  <c r="W9" i="10"/>
  <c r="N9" i="10"/>
  <c r="W8" i="10"/>
  <c r="N8" i="10"/>
  <c r="W7" i="10"/>
  <c r="N7" i="10"/>
  <c r="W6" i="10"/>
  <c r="N6" i="10"/>
  <c r="W5" i="10"/>
  <c r="V9" i="10"/>
  <c r="M9" i="10"/>
  <c r="V8" i="10"/>
  <c r="M8" i="10"/>
  <c r="V7" i="10"/>
  <c r="M7" i="10"/>
  <c r="V6" i="10"/>
  <c r="M6" i="10"/>
  <c r="V5" i="10"/>
  <c r="M5" i="10"/>
  <c r="U17" i="10"/>
  <c r="L17" i="10"/>
  <c r="U16" i="10"/>
  <c r="L16" i="10"/>
  <c r="U15" i="10"/>
  <c r="L15" i="10"/>
  <c r="U9" i="10"/>
  <c r="L9" i="10"/>
  <c r="U8" i="10"/>
  <c r="L8" i="10"/>
  <c r="U7" i="10"/>
  <c r="L7" i="10"/>
  <c r="U6" i="10"/>
  <c r="L6" i="10"/>
  <c r="U5" i="10"/>
  <c r="L5" i="10"/>
  <c r="I19" i="10"/>
  <c r="I18" i="10"/>
  <c r="I17" i="10"/>
  <c r="I16" i="10"/>
  <c r="I15" i="10"/>
  <c r="H19" i="10"/>
  <c r="H18" i="10"/>
  <c r="H17" i="10"/>
  <c r="H16" i="10"/>
  <c r="H15" i="10"/>
  <c r="G19" i="10"/>
  <c r="G18" i="10"/>
  <c r="G17" i="10"/>
  <c r="G16" i="10"/>
  <c r="G15" i="10"/>
  <c r="F17" i="10"/>
  <c r="F16" i="10"/>
  <c r="F15" i="10"/>
  <c r="E19" i="10"/>
  <c r="E18" i="10"/>
  <c r="E17" i="10"/>
  <c r="E16" i="10"/>
  <c r="D19" i="10"/>
  <c r="D18" i="10"/>
  <c r="D17" i="10"/>
  <c r="D16" i="10"/>
  <c r="D15" i="10"/>
  <c r="H9" i="10"/>
  <c r="H8" i="10"/>
  <c r="I7" i="10"/>
  <c r="I6" i="10"/>
  <c r="I5" i="10"/>
  <c r="H7" i="10"/>
  <c r="H6" i="10"/>
  <c r="H5" i="10"/>
  <c r="G9" i="10"/>
  <c r="G8" i="10"/>
  <c r="G7" i="10"/>
  <c r="G6" i="10"/>
  <c r="G5" i="10"/>
  <c r="F9" i="10"/>
  <c r="F8" i="10"/>
  <c r="F7" i="10"/>
  <c r="F6" i="10"/>
  <c r="F5" i="10"/>
  <c r="E9" i="10"/>
  <c r="E8" i="10"/>
  <c r="E7" i="10"/>
  <c r="E6" i="10"/>
  <c r="D9" i="10"/>
  <c r="D8" i="10"/>
  <c r="D7" i="10"/>
  <c r="D6" i="10"/>
  <c r="D5" i="10"/>
  <c r="C9" i="10"/>
  <c r="L18" i="10"/>
  <c r="C18" i="10"/>
  <c r="C17" i="10"/>
  <c r="C16" i="10"/>
  <c r="C15" i="10"/>
  <c r="C8" i="10"/>
  <c r="C7" i="10"/>
  <c r="C6" i="10"/>
  <c r="C5" i="10"/>
  <c r="F19" i="10"/>
  <c r="F18" i="10"/>
  <c r="I5" i="9"/>
  <c r="H5" i="9"/>
  <c r="D5" i="9"/>
  <c r="C8" i="9"/>
  <c r="C7" i="9"/>
  <c r="C6" i="9"/>
  <c r="C5" i="9"/>
  <c r="AA19" i="9"/>
  <c r="R19" i="9"/>
  <c r="AA18" i="9"/>
  <c r="R18" i="9"/>
  <c r="AA17" i="9"/>
  <c r="R17" i="9"/>
  <c r="AA16" i="9"/>
  <c r="R16" i="9"/>
  <c r="AA15" i="9"/>
  <c r="R15" i="9"/>
  <c r="AA9" i="9"/>
  <c r="R9" i="9"/>
  <c r="AA8" i="9"/>
  <c r="R8" i="9"/>
  <c r="AA7" i="9"/>
  <c r="R7" i="9"/>
  <c r="AA6" i="9"/>
  <c r="R6" i="9"/>
  <c r="AA5" i="9"/>
  <c r="R5" i="9"/>
  <c r="Z18" i="9"/>
  <c r="Q18" i="9"/>
  <c r="Z17" i="9"/>
  <c r="Q17" i="9"/>
  <c r="Z16" i="9"/>
  <c r="Q16" i="9"/>
  <c r="Z15" i="9"/>
  <c r="Q15" i="9"/>
  <c r="Z9" i="9"/>
  <c r="Q9" i="9"/>
  <c r="Z8" i="9"/>
  <c r="Q8" i="9"/>
  <c r="Z7" i="9"/>
  <c r="Q7" i="9"/>
  <c r="Z6" i="9"/>
  <c r="Q6" i="9"/>
  <c r="Z5" i="9"/>
  <c r="Q5" i="9"/>
  <c r="Y19" i="9"/>
  <c r="P19" i="9"/>
  <c r="Y18" i="9"/>
  <c r="P18" i="9"/>
  <c r="Y17" i="9"/>
  <c r="P17" i="9"/>
  <c r="Y16" i="9"/>
  <c r="P16" i="9"/>
  <c r="Y15" i="9"/>
  <c r="P15" i="9"/>
  <c r="Y9" i="9"/>
  <c r="P9" i="9"/>
  <c r="Y8" i="9"/>
  <c r="P8" i="9"/>
  <c r="Y7" i="9"/>
  <c r="P7" i="9"/>
  <c r="Y6" i="9"/>
  <c r="P6" i="9"/>
  <c r="Y5" i="9"/>
  <c r="P5" i="9"/>
  <c r="X16" i="9"/>
  <c r="O16" i="9"/>
  <c r="X15" i="9"/>
  <c r="O15" i="9"/>
  <c r="X9" i="9"/>
  <c r="O9" i="9"/>
  <c r="X8" i="9"/>
  <c r="O8" i="9"/>
  <c r="X7" i="9"/>
  <c r="O7" i="9"/>
  <c r="X6" i="9"/>
  <c r="O6" i="9"/>
  <c r="X5" i="9"/>
  <c r="O5" i="9"/>
  <c r="W18" i="9"/>
  <c r="W19" i="9"/>
  <c r="N19" i="9"/>
  <c r="M18" i="9"/>
  <c r="W17" i="9"/>
  <c r="N17" i="9"/>
  <c r="W16" i="9"/>
  <c r="N16" i="9"/>
  <c r="W15" i="9"/>
  <c r="N15" i="9"/>
  <c r="W9" i="9"/>
  <c r="N9" i="9"/>
  <c r="W8" i="9"/>
  <c r="N8" i="9"/>
  <c r="W7" i="9"/>
  <c r="N7" i="9"/>
  <c r="W6" i="9"/>
  <c r="N6" i="9"/>
  <c r="W5" i="9"/>
  <c r="N5" i="9"/>
  <c r="V19" i="9"/>
  <c r="M19" i="9"/>
  <c r="V18" i="9"/>
  <c r="V17" i="9"/>
  <c r="M17" i="9"/>
  <c r="V16" i="9"/>
  <c r="M16" i="9"/>
  <c r="V15" i="9"/>
  <c r="M15" i="9"/>
  <c r="V9" i="9"/>
  <c r="M9" i="9"/>
  <c r="V8" i="9"/>
  <c r="M8" i="9"/>
  <c r="V7" i="9"/>
  <c r="M7" i="9"/>
  <c r="V6" i="9"/>
  <c r="M6" i="9"/>
  <c r="V5" i="9"/>
  <c r="M5" i="9"/>
  <c r="U19" i="9"/>
  <c r="L19" i="9"/>
  <c r="U18" i="9"/>
  <c r="L18" i="9"/>
  <c r="U17" i="9"/>
  <c r="L17" i="9"/>
  <c r="U16" i="9"/>
  <c r="L16" i="9"/>
  <c r="U15" i="9"/>
  <c r="L15" i="9"/>
  <c r="U9" i="9"/>
  <c r="L9" i="9"/>
  <c r="U8" i="9"/>
  <c r="L8" i="9"/>
  <c r="U7" i="9"/>
  <c r="L7" i="9"/>
  <c r="U6" i="9"/>
  <c r="L6" i="9"/>
  <c r="U5" i="9"/>
  <c r="L5" i="9"/>
  <c r="I9" i="9"/>
  <c r="I8" i="9"/>
  <c r="I7" i="9"/>
  <c r="I6" i="9"/>
  <c r="H9" i="9"/>
  <c r="H8" i="9"/>
  <c r="H7" i="9"/>
  <c r="H6" i="9"/>
  <c r="G9" i="9"/>
  <c r="G8" i="9"/>
  <c r="G7" i="9"/>
  <c r="G6" i="9"/>
  <c r="G5" i="9"/>
  <c r="F9" i="9"/>
  <c r="F8" i="9"/>
  <c r="F7" i="9"/>
  <c r="F5" i="9"/>
  <c r="I19" i="9"/>
  <c r="I18" i="9"/>
  <c r="I17" i="9"/>
  <c r="I16" i="9"/>
  <c r="I15" i="9"/>
  <c r="Q19" i="9"/>
  <c r="H19" i="9"/>
  <c r="H18" i="9"/>
  <c r="H17" i="9"/>
  <c r="H16" i="9"/>
  <c r="H15" i="9"/>
  <c r="G19" i="9"/>
  <c r="G18" i="9"/>
  <c r="G17" i="9"/>
  <c r="G16" i="9"/>
  <c r="G15" i="9"/>
  <c r="O19" i="9"/>
  <c r="F19" i="9"/>
  <c r="O18" i="9"/>
  <c r="F18" i="9"/>
  <c r="O17" i="9"/>
  <c r="F17" i="9"/>
  <c r="F16" i="9"/>
  <c r="F15" i="9"/>
  <c r="E19" i="9"/>
  <c r="N18" i="9"/>
  <c r="E18" i="9"/>
  <c r="E17" i="9"/>
  <c r="E16" i="9"/>
  <c r="E15" i="9"/>
  <c r="D19" i="9"/>
  <c r="D18" i="9"/>
  <c r="D17" i="9"/>
  <c r="D16" i="9"/>
  <c r="D15" i="9"/>
  <c r="E9" i="9"/>
  <c r="E8" i="9"/>
  <c r="E7" i="9"/>
  <c r="E6" i="9"/>
  <c r="E5" i="9"/>
  <c r="D9" i="9"/>
  <c r="D8" i="9"/>
  <c r="D7" i="9"/>
  <c r="D6" i="9"/>
  <c r="C19" i="9"/>
  <c r="C18" i="9"/>
  <c r="C17" i="9"/>
  <c r="C16" i="9"/>
  <c r="C15" i="9"/>
  <c r="C9" i="9"/>
  <c r="F6" i="9"/>
  <c r="I5" i="8"/>
  <c r="D6" i="8"/>
  <c r="D5" i="8"/>
  <c r="L9" i="8"/>
  <c r="L8" i="8"/>
  <c r="L7" i="8"/>
  <c r="C6" i="8"/>
  <c r="C5" i="8"/>
  <c r="AA19" i="8"/>
  <c r="AA9" i="8"/>
  <c r="AA18" i="8"/>
  <c r="AA8" i="8"/>
  <c r="AA17" i="8"/>
  <c r="AA7" i="8"/>
  <c r="AA16" i="8"/>
  <c r="AA6" i="8"/>
  <c r="AA15" i="8"/>
  <c r="AA5" i="8"/>
  <c r="Z19" i="8"/>
  <c r="Z9" i="8"/>
  <c r="Z18" i="8"/>
  <c r="Z8" i="8"/>
  <c r="Z17" i="8"/>
  <c r="Z7" i="8"/>
  <c r="Z16" i="8"/>
  <c r="Z6" i="8"/>
  <c r="Z15" i="8"/>
  <c r="Z5" i="8"/>
  <c r="Y19" i="8"/>
  <c r="Y9" i="8"/>
  <c r="Y18" i="8"/>
  <c r="Y8" i="8"/>
  <c r="Y17" i="8"/>
  <c r="Y7" i="8"/>
  <c r="Y16" i="8"/>
  <c r="Y6" i="8"/>
  <c r="Y15" i="8"/>
  <c r="Y5" i="8"/>
  <c r="X19" i="8"/>
  <c r="X9" i="8"/>
  <c r="X18" i="8"/>
  <c r="X8" i="8"/>
  <c r="X17" i="8"/>
  <c r="X7" i="8"/>
  <c r="X16" i="8"/>
  <c r="X6" i="8"/>
  <c r="X15" i="8"/>
  <c r="X5" i="8"/>
  <c r="W19" i="8"/>
  <c r="W9" i="8"/>
  <c r="W18" i="8"/>
  <c r="W8" i="8"/>
  <c r="W17" i="8"/>
  <c r="W7" i="8"/>
  <c r="W16" i="8"/>
  <c r="W6" i="8"/>
  <c r="W15" i="8"/>
  <c r="W5" i="8"/>
  <c r="V19" i="8"/>
  <c r="V9" i="8"/>
  <c r="V18" i="8"/>
  <c r="V8" i="8"/>
  <c r="V17" i="8"/>
  <c r="V7" i="8"/>
  <c r="V16" i="8"/>
  <c r="V6" i="8"/>
  <c r="V15" i="8"/>
  <c r="V5" i="8"/>
  <c r="U19" i="8"/>
  <c r="U9" i="8"/>
  <c r="U18" i="8"/>
  <c r="U8" i="8"/>
  <c r="U17" i="8"/>
  <c r="U7" i="8"/>
  <c r="U16" i="8"/>
  <c r="U6" i="8"/>
  <c r="U15" i="8"/>
  <c r="U5" i="8"/>
  <c r="R19" i="8"/>
  <c r="R18" i="8"/>
  <c r="R8" i="8"/>
  <c r="R17" i="8"/>
  <c r="R7" i="8"/>
  <c r="R16" i="8"/>
  <c r="R6" i="8"/>
  <c r="R15" i="8"/>
  <c r="R5" i="8"/>
  <c r="Q19" i="8"/>
  <c r="P19" i="8"/>
  <c r="Q18" i="8"/>
  <c r="P18" i="8"/>
  <c r="Q17" i="8"/>
  <c r="H17" i="8"/>
  <c r="Q16" i="8"/>
  <c r="H16" i="8"/>
  <c r="Q15" i="8"/>
  <c r="H15" i="8"/>
  <c r="G19" i="8"/>
  <c r="G18" i="8"/>
  <c r="P17" i="8"/>
  <c r="G17" i="8"/>
  <c r="P16" i="8"/>
  <c r="G16" i="8"/>
  <c r="P15" i="8"/>
  <c r="G15" i="8"/>
  <c r="O19" i="8"/>
  <c r="F19" i="8"/>
  <c r="O18" i="8"/>
  <c r="F18" i="8"/>
  <c r="O17" i="8"/>
  <c r="F17" i="8"/>
  <c r="O16" i="8"/>
  <c r="F16" i="8"/>
  <c r="O15" i="8"/>
  <c r="F15" i="8"/>
  <c r="N19" i="8"/>
  <c r="E19" i="8"/>
  <c r="N18" i="8"/>
  <c r="E18" i="8"/>
  <c r="N17" i="8"/>
  <c r="E17" i="8"/>
  <c r="N16" i="8"/>
  <c r="E16" i="8"/>
  <c r="N15" i="8"/>
  <c r="E15" i="8"/>
  <c r="M18" i="8"/>
  <c r="M19" i="8"/>
  <c r="D19" i="8"/>
  <c r="D18" i="8"/>
  <c r="M17" i="8"/>
  <c r="D17" i="8"/>
  <c r="M16" i="8"/>
  <c r="D16" i="8"/>
  <c r="M15" i="8"/>
  <c r="D15" i="8"/>
  <c r="L19" i="8"/>
  <c r="C19" i="8"/>
  <c r="L18" i="8"/>
  <c r="C18" i="8"/>
  <c r="L17" i="8"/>
  <c r="C17" i="8"/>
  <c r="L16" i="8"/>
  <c r="C16" i="8"/>
  <c r="L15" i="8"/>
  <c r="C15" i="8"/>
  <c r="I19" i="8"/>
  <c r="I18" i="8"/>
  <c r="I17" i="8"/>
  <c r="I16" i="8"/>
  <c r="I15" i="8"/>
  <c r="H19" i="8"/>
  <c r="H18" i="8"/>
  <c r="Q5" i="8"/>
  <c r="P5" i="8"/>
  <c r="O5" i="8"/>
  <c r="N5" i="8"/>
  <c r="M5" i="8"/>
  <c r="L6" i="8"/>
  <c r="L5" i="8"/>
  <c r="Q9" i="8"/>
  <c r="Q8" i="8"/>
  <c r="Q7" i="8"/>
  <c r="Q6" i="8"/>
  <c r="P8" i="8"/>
  <c r="N8" i="8"/>
  <c r="P7" i="8"/>
  <c r="N7" i="8"/>
  <c r="N9" i="8"/>
  <c r="M9" i="8"/>
  <c r="M8" i="8"/>
  <c r="M7" i="8"/>
  <c r="M6" i="8"/>
  <c r="E9" i="8"/>
  <c r="E8" i="8"/>
  <c r="E7" i="8"/>
  <c r="I6" i="8"/>
  <c r="H6" i="8"/>
  <c r="P6" i="8"/>
  <c r="G6" i="8"/>
  <c r="O6" i="8"/>
  <c r="F6" i="8"/>
  <c r="N6" i="8"/>
  <c r="E6" i="8"/>
  <c r="F5" i="8"/>
  <c r="E5" i="8"/>
  <c r="I7" i="8"/>
  <c r="H9" i="8"/>
  <c r="H8" i="8"/>
  <c r="H7" i="8"/>
  <c r="H5" i="8"/>
  <c r="G5" i="8"/>
  <c r="H4" i="6"/>
  <c r="H2" i="6"/>
  <c r="G3" i="4"/>
  <c r="F4" i="4"/>
  <c r="F3" i="4"/>
  <c r="F2" i="4"/>
  <c r="E3" i="4"/>
  <c r="D4" i="4"/>
  <c r="D3" i="4"/>
  <c r="D2" i="4"/>
  <c r="C4" i="4"/>
  <c r="C3" i="4"/>
  <c r="C2" i="4"/>
  <c r="B3" i="4"/>
  <c r="D4" i="3"/>
  <c r="D3" i="3"/>
  <c r="C4" i="3"/>
  <c r="C3" i="3"/>
  <c r="B4" i="3"/>
  <c r="B3" i="3"/>
  <c r="Y81" i="2" l="1"/>
  <c r="S80" i="2"/>
  <c r="N80" i="2"/>
  <c r="G41" i="11"/>
  <c r="G39" i="11"/>
  <c r="G38" i="11"/>
  <c r="G37" i="11"/>
  <c r="F41" i="11"/>
  <c r="F40" i="11"/>
  <c r="F39" i="11"/>
  <c r="F38" i="11"/>
  <c r="F37" i="11"/>
  <c r="E41" i="11"/>
  <c r="E40" i="11"/>
  <c r="E39" i="11"/>
  <c r="E38" i="11"/>
  <c r="E37" i="11"/>
  <c r="D41" i="11"/>
  <c r="D40" i="11"/>
  <c r="D39" i="11"/>
  <c r="D38" i="11"/>
  <c r="C41" i="11"/>
  <c r="C40" i="11"/>
  <c r="C39" i="11"/>
  <c r="C38" i="11"/>
  <c r="C37" i="11"/>
  <c r="D37" i="11"/>
  <c r="S81" i="2"/>
  <c r="N81" i="2"/>
  <c r="X80" i="2"/>
  <c r="F5" i="3"/>
  <c r="H8" i="4"/>
  <c r="I12" i="6"/>
  <c r="J6" i="6"/>
  <c r="J1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AK10" authorId="0" shapeId="0" xr:uid="{7D7BF54F-1181-43B0-95DF-9F5D29DEC492}">
      <text>
        <r>
          <rPr>
            <b/>
            <sz val="9"/>
            <color indexed="81"/>
            <rFont val="Tahoma"/>
            <family val="2"/>
          </rPr>
          <t>Uni-Benutzer:</t>
        </r>
        <r>
          <rPr>
            <sz val="9"/>
            <color indexed="81"/>
            <rFont val="Tahoma"/>
            <family val="2"/>
          </rPr>
          <t xml:space="preserve">
Risk of data being skewed, due to no answers for reflpopdown.</t>
        </r>
      </text>
    </comment>
    <comment ref="E145" authorId="0" shapeId="0" xr:uid="{03C186DE-2F15-40FC-9598-C1698B788421}">
      <text>
        <r>
          <rPr>
            <b/>
            <sz val="9"/>
            <color indexed="81"/>
            <rFont val="Tahoma"/>
            <family val="2"/>
          </rPr>
          <t>Uni-Benutzer:</t>
        </r>
        <r>
          <rPr>
            <sz val="9"/>
            <color indexed="81"/>
            <rFont val="Tahoma"/>
            <family val="2"/>
          </rPr>
          <t xml:space="preserve">
Pieskaitīt latviešu grupai.</t>
        </r>
      </text>
    </comment>
    <comment ref="O237" authorId="0" shapeId="0" xr:uid="{8BB265D9-06F2-488E-BA8C-CB230E59DB06}">
      <text>
        <r>
          <rPr>
            <b/>
            <sz val="9"/>
            <color indexed="81"/>
            <rFont val="Tahoma"/>
            <family val="2"/>
          </rPr>
          <t>Uni-Benutzer:</t>
        </r>
        <r>
          <rPr>
            <sz val="9"/>
            <color indexed="81"/>
            <rFont val="Tahoma"/>
            <family val="2"/>
          </rPr>
          <t xml:space="preserve">
Tikai ukraiņu valoda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AG22" authorId="0" shapeId="0" xr:uid="{928EEB58-185D-4C4A-BBC6-856AB938AF49}">
      <text>
        <r>
          <rPr>
            <b/>
            <sz val="9"/>
            <color indexed="81"/>
            <rFont val="Tahoma"/>
            <family val="2"/>
          </rPr>
          <t>Uni-Benutzer:</t>
        </r>
        <r>
          <rPr>
            <sz val="9"/>
            <color indexed="81"/>
            <rFont val="Tahoma"/>
            <family val="2"/>
          </rPr>
          <t xml:space="preserve">
Almost half of the Russians, that have discussed either society or society and politics in family.
But also not noticable difference between option 6.</t>
        </r>
      </text>
    </comment>
    <comment ref="H30" authorId="0" shapeId="0" xr:uid="{D6AC91E8-F7FC-451C-BD12-920E82532FBF}">
      <text>
        <r>
          <rPr>
            <b/>
            <sz val="9"/>
            <color indexed="81"/>
            <rFont val="Tahoma"/>
            <family val="2"/>
          </rPr>
          <t>Uni-Benutzer:</t>
        </r>
        <r>
          <rPr>
            <sz val="9"/>
            <color indexed="81"/>
            <rFont val="Tahoma"/>
            <family val="2"/>
          </rPr>
          <t xml:space="preserve">
For Russians self-identification of Russians as seperate group as defence mechanism, that also implies heightened attention to nationalistic leanings?</t>
        </r>
      </text>
    </comment>
    <comment ref="AG31" authorId="0" shapeId="0" xr:uid="{5349C366-BEAD-4A6F-BF00-47D1A0D4FB8E}">
      <text>
        <r>
          <rPr>
            <b/>
            <sz val="9"/>
            <color indexed="81"/>
            <rFont val="Tahoma"/>
            <family val="2"/>
          </rPr>
          <t>Uni-Benutzer:</t>
        </r>
        <r>
          <rPr>
            <sz val="9"/>
            <color indexed="81"/>
            <rFont val="Tahoma"/>
            <family val="2"/>
          </rPr>
          <t xml:space="preserve">
More than half and half respectivelly for those Russian speakers, that have discussed both subjects in school.</t>
        </r>
      </text>
    </comment>
    <comment ref="H33" authorId="0" shapeId="0" xr:uid="{C3437587-16BD-4024-97F2-048B0F20CCF7}">
      <text>
        <r>
          <rPr>
            <b/>
            <sz val="9"/>
            <color indexed="81"/>
            <rFont val="Tahoma"/>
            <family val="2"/>
          </rPr>
          <t>Uni-Benutzer:</t>
        </r>
        <r>
          <rPr>
            <sz val="9"/>
            <color indexed="81"/>
            <rFont val="Tahoma"/>
            <family val="2"/>
          </rPr>
          <t xml:space="preserve">
More favourable look at Russians as part of Latvian society an indicator of more political left leanings and therefore recognition of national populistic rhetoric?</t>
        </r>
      </text>
    </comment>
    <comment ref="T49" authorId="0" shapeId="0" xr:uid="{580574C9-FA92-41AD-83EC-72CF1AF5F639}">
      <text>
        <r>
          <rPr>
            <b/>
            <sz val="9"/>
            <color indexed="81"/>
            <rFont val="Tahoma"/>
            <family val="2"/>
          </rPr>
          <t>Uni-Benutzer:</t>
        </r>
        <r>
          <rPr>
            <sz val="9"/>
            <color indexed="81"/>
            <rFont val="Tahoma"/>
            <family val="2"/>
          </rPr>
          <t xml:space="preserve">
Sign of this group of Russian speaking participants focusing on the ethnic and national aspect?</t>
        </r>
      </text>
    </comment>
    <comment ref="T63" authorId="0" shapeId="0" xr:uid="{D70B6338-72DC-426D-8300-B7EC7BDBC17D}">
      <text>
        <r>
          <rPr>
            <b/>
            <sz val="9"/>
            <color indexed="81"/>
            <rFont val="Tahoma"/>
            <family val="2"/>
          </rPr>
          <t>Uni-Benutzer:</t>
        </r>
        <r>
          <rPr>
            <sz val="9"/>
            <color indexed="81"/>
            <rFont val="Tahoma"/>
            <family val="2"/>
          </rPr>
          <t xml:space="preserve">
But why?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N4" authorId="0" shapeId="0" xr:uid="{667E0595-8B0F-4628-9741-BD1E13B90C6F}">
      <text>
        <r>
          <rPr>
            <b/>
            <sz val="9"/>
            <color indexed="81"/>
            <rFont val="Tahoma"/>
            <family val="2"/>
          </rPr>
          <t>Uni-Benutzer:</t>
        </r>
        <r>
          <rPr>
            <sz val="9"/>
            <color indexed="81"/>
            <rFont val="Tahoma"/>
            <family val="2"/>
          </rPr>
          <t xml:space="preserve">
Dabūt tehnikuma grupu, kurā visdrīzāk vairāk meiteņu?
Grāmatvedības vai klientu apkalpošanas nodaļa?</t>
        </r>
      </text>
    </comment>
    <comment ref="A5" authorId="0" shapeId="0" xr:uid="{10F46540-0335-43F3-84D9-79A2D897C084}">
      <text>
        <r>
          <rPr>
            <b/>
            <sz val="9"/>
            <color indexed="81"/>
            <rFont val="Tahoma"/>
            <family val="2"/>
          </rPr>
          <t>Uni-Benutzer:</t>
        </r>
        <r>
          <rPr>
            <sz val="9"/>
            <color indexed="81"/>
            <rFont val="Tahoma"/>
            <family val="2"/>
          </rPr>
          <t xml:space="preserve">
Dabūt vēl vienu latviešu skolu ar, vēlams, lielāku meiteņu skaitu.</t>
        </r>
      </text>
    </comment>
    <comment ref="AF5" authorId="0" shapeId="0" xr:uid="{BDD7DAC3-B5FD-4286-BEC9-CB0ABF7A4440}">
      <text>
        <r>
          <rPr>
            <b/>
            <sz val="9"/>
            <color indexed="81"/>
            <rFont val="Tahoma"/>
            <family val="2"/>
          </rPr>
          <t>Uni-Benutzer:</t>
        </r>
        <r>
          <rPr>
            <sz val="9"/>
            <color indexed="81"/>
            <rFont val="Tahoma"/>
            <family val="2"/>
          </rPr>
          <t xml:space="preserve">
One faulty answer added to this category</t>
        </r>
      </text>
    </comment>
    <comment ref="R6" authorId="0" shapeId="0" xr:uid="{31BA3DEF-2612-415E-BE7D-B47F489EC408}">
      <text>
        <r>
          <rPr>
            <b/>
            <sz val="9"/>
            <color indexed="81"/>
            <rFont val="Tahoma"/>
            <family val="2"/>
          </rPr>
          <t>Uni-Benutzer:</t>
        </r>
        <r>
          <rPr>
            <sz val="9"/>
            <color indexed="81"/>
            <rFont val="Tahoma"/>
            <family val="2"/>
          </rPr>
          <t xml:space="preserve">
Italian</t>
        </r>
      </text>
    </comment>
    <comment ref="H12" authorId="0" shapeId="0" xr:uid="{9AEDBFAA-64E3-4875-AF1E-1C56F0ED9C1A}">
      <text>
        <r>
          <rPr>
            <b/>
            <sz val="9"/>
            <color indexed="81"/>
            <rFont val="Tahoma"/>
            <family val="2"/>
          </rPr>
          <t>Uni-Benutzer:</t>
        </r>
        <r>
          <rPr>
            <sz val="9"/>
            <color indexed="81"/>
            <rFont val="Tahoma"/>
            <family val="2"/>
          </rPr>
          <t xml:space="preserve">
Non-binary</t>
        </r>
      </text>
    </comment>
    <comment ref="AA16" authorId="0" shapeId="0" xr:uid="{D7729828-00A0-4DD8-860F-6B0C611C9FFC}">
      <text>
        <r>
          <rPr>
            <b/>
            <sz val="9"/>
            <color indexed="81"/>
            <rFont val="Tahoma"/>
            <family val="2"/>
          </rPr>
          <t>Uni-Benutzer:</t>
        </r>
        <r>
          <rPr>
            <sz val="9"/>
            <color indexed="81"/>
            <rFont val="Tahoma"/>
            <family val="2"/>
          </rPr>
          <t xml:space="preserve">
This group didn't have this question group added.</t>
        </r>
      </text>
    </comment>
    <comment ref="A17" authorId="0" shapeId="0" xr:uid="{0E3EF088-3E87-4BAE-BE50-1C5A0FA00E34}">
      <text>
        <r>
          <rPr>
            <b/>
            <sz val="9"/>
            <color indexed="81"/>
            <rFont val="Tahoma"/>
            <family val="2"/>
          </rPr>
          <t>Uni-Benutzer:</t>
        </r>
        <r>
          <rPr>
            <sz val="9"/>
            <color indexed="81"/>
            <rFont val="Tahoma"/>
            <family val="2"/>
          </rPr>
          <t xml:space="preserve">
Dabūt vēl vienu latviešu skolu ar, vēlams, lielāku meiteņu skaitu.</t>
        </r>
      </text>
    </comment>
    <comment ref="A28" authorId="0" shapeId="0" xr:uid="{636CDA00-764F-4427-9268-A7C0E98C3A8E}">
      <text>
        <r>
          <rPr>
            <b/>
            <sz val="9"/>
            <color indexed="81"/>
            <rFont val="Tahoma"/>
            <family val="2"/>
          </rPr>
          <t>Uni-Benutzer:</t>
        </r>
        <r>
          <rPr>
            <sz val="9"/>
            <color indexed="81"/>
            <rFont val="Tahoma"/>
            <family val="2"/>
          </rPr>
          <t xml:space="preserve">
Dabūt vēl vienu latviešu skolu ar, vēlams, lielāku meiteņu skaitu.</t>
        </r>
      </text>
    </comment>
    <comment ref="N43" authorId="0" shapeId="0" xr:uid="{C46F75BE-692B-4028-8F29-707BFA90D28D}">
      <text>
        <r>
          <rPr>
            <b/>
            <sz val="9"/>
            <color indexed="81"/>
            <rFont val="Tahoma"/>
            <family val="2"/>
          </rPr>
          <t>Uni-Benutzer:</t>
        </r>
        <r>
          <rPr>
            <sz val="9"/>
            <color indexed="81"/>
            <rFont val="Tahoma"/>
            <family val="2"/>
          </rPr>
          <t xml:space="preserve">
Dabūt tehnikuma grupu, kurā visdrīzāk vairāk meiteņu?
Grāmatvedības vai klientu apkalpošanas nodaļa?</t>
        </r>
      </text>
    </comment>
    <comment ref="A45" authorId="0" shapeId="0" xr:uid="{21876507-67D6-4EC2-B673-F925CBB14AD0}">
      <text>
        <r>
          <rPr>
            <b/>
            <sz val="9"/>
            <color indexed="81"/>
            <rFont val="Tahoma"/>
            <family val="2"/>
          </rPr>
          <t>Uni-Benutzer:</t>
        </r>
        <r>
          <rPr>
            <sz val="9"/>
            <color indexed="81"/>
            <rFont val="Tahoma"/>
            <family val="2"/>
          </rPr>
          <t xml:space="preserve">
Atskaitīt vienu no reflection un recognition statistikas</t>
        </r>
      </text>
    </comment>
    <comment ref="R45" authorId="0" shapeId="0" xr:uid="{4593AD12-973C-4049-AE14-1F752E67B5B0}">
      <text>
        <r>
          <rPr>
            <b/>
            <sz val="9"/>
            <color indexed="81"/>
            <rFont val="Tahoma"/>
            <family val="2"/>
          </rPr>
          <t>Uni-Benutzer:</t>
        </r>
        <r>
          <rPr>
            <sz val="9"/>
            <color indexed="81"/>
            <rFont val="Tahoma"/>
            <family val="2"/>
          </rPr>
          <t xml:space="preserve">
Angļu</t>
        </r>
      </text>
    </comment>
    <comment ref="A46" authorId="0" shapeId="0" xr:uid="{9A722F2F-3B19-41D3-B8D3-6DCA968B8B60}">
      <text>
        <r>
          <rPr>
            <b/>
            <sz val="9"/>
            <color indexed="81"/>
            <rFont val="Tahoma"/>
            <family val="2"/>
          </rPr>
          <t>Uni-Benutzer:</t>
        </r>
        <r>
          <rPr>
            <sz val="9"/>
            <color indexed="81"/>
            <rFont val="Tahoma"/>
            <family val="2"/>
          </rPr>
          <t xml:space="preserve">
Arī viens pie populisma vārdiem iztrūkst</t>
        </r>
      </text>
    </comment>
    <comment ref="A47" authorId="0" shapeId="0" xr:uid="{207C1298-8C73-471E-8157-5309CB067416}">
      <text>
        <r>
          <rPr>
            <b/>
            <sz val="9"/>
            <color indexed="81"/>
            <rFont val="Tahoma"/>
            <family val="2"/>
          </rPr>
          <t>Uni-Benutzer:</t>
        </r>
        <r>
          <rPr>
            <sz val="9"/>
            <color indexed="81"/>
            <rFont val="Tahoma"/>
            <family val="2"/>
          </rPr>
          <t xml:space="preserve">
Arī trūkst viens pie populisma vārdiem.</t>
        </r>
      </text>
    </comment>
    <comment ref="H50" authorId="0" shapeId="0" xr:uid="{8D53FDD6-43A9-4B43-8E77-7390E019E7E6}">
      <text>
        <r>
          <rPr>
            <b/>
            <sz val="9"/>
            <color indexed="81"/>
            <rFont val="Tahoma"/>
            <family val="2"/>
          </rPr>
          <t>Uni-Benutzer:</t>
        </r>
        <r>
          <rPr>
            <sz val="9"/>
            <color indexed="81"/>
            <rFont val="Tahoma"/>
            <family val="2"/>
          </rPr>
          <t xml:space="preserve">
Non-binary</t>
        </r>
      </text>
    </comment>
    <comment ref="A55" authorId="0" shapeId="0" xr:uid="{473FA39D-957D-4E15-966A-DF4839848AEE}">
      <text>
        <r>
          <rPr>
            <b/>
            <sz val="9"/>
            <color indexed="81"/>
            <rFont val="Tahoma"/>
            <family val="2"/>
          </rPr>
          <t>Uni-Benutzer:</t>
        </r>
        <r>
          <rPr>
            <sz val="9"/>
            <color indexed="81"/>
            <rFont val="Tahoma"/>
            <family val="2"/>
          </rPr>
          <t xml:space="preserve">
Atskaitīt vienu no reflection un recognition statistikas</t>
        </r>
      </text>
    </comment>
    <comment ref="A56" authorId="0" shapeId="0" xr:uid="{42A880C5-86B6-4DF9-9C20-58D3D2F243F3}">
      <text>
        <r>
          <rPr>
            <b/>
            <sz val="9"/>
            <color indexed="81"/>
            <rFont val="Tahoma"/>
            <family val="2"/>
          </rPr>
          <t>Uni-Benutzer:</t>
        </r>
        <r>
          <rPr>
            <sz val="9"/>
            <color indexed="81"/>
            <rFont val="Tahoma"/>
            <family val="2"/>
          </rPr>
          <t xml:space="preserve">
Arī viens pie populisma vārdiem iztrūkst</t>
        </r>
      </text>
    </comment>
    <comment ref="A57" authorId="0" shapeId="0" xr:uid="{21407838-D46A-4954-9D6B-937024B0F0DB}">
      <text>
        <r>
          <rPr>
            <b/>
            <sz val="9"/>
            <color indexed="81"/>
            <rFont val="Tahoma"/>
            <family val="2"/>
          </rPr>
          <t>Uni-Benutzer:</t>
        </r>
        <r>
          <rPr>
            <sz val="9"/>
            <color indexed="81"/>
            <rFont val="Tahoma"/>
            <family val="2"/>
          </rPr>
          <t xml:space="preserve">
Arī trūkst viens pie populisma vārdiem.</t>
        </r>
      </text>
    </comment>
    <comment ref="F59" authorId="0" shapeId="0" xr:uid="{8ED016E3-36BE-4AF5-9DC8-183FF8D2FFB9}">
      <text>
        <r>
          <rPr>
            <b/>
            <sz val="9"/>
            <color indexed="81"/>
            <rFont val="Tahoma"/>
            <family val="2"/>
          </rPr>
          <t>Uni-Benutzer:</t>
        </r>
        <r>
          <rPr>
            <sz val="9"/>
            <color indexed="81"/>
            <rFont val="Tahoma"/>
            <family val="2"/>
          </rPr>
          <t xml:space="preserve">
plus 1</t>
        </r>
      </text>
    </comment>
    <comment ref="I67" authorId="0" shapeId="0" xr:uid="{1572E5AA-BFB6-431F-86F5-3EAB03050B28}">
      <text>
        <r>
          <rPr>
            <b/>
            <sz val="9"/>
            <color indexed="81"/>
            <rFont val="Tahoma"/>
            <family val="2"/>
          </rPr>
          <t>Uni-Benutzer:</t>
        </r>
        <r>
          <rPr>
            <sz val="9"/>
            <color indexed="81"/>
            <rFont val="Tahoma"/>
            <family val="2"/>
          </rPr>
          <t xml:space="preserve">
After adding two faulty answers and three from the september list.</t>
        </r>
      </text>
    </comment>
    <comment ref="AE71" authorId="0" shapeId="0" xr:uid="{CE4741CA-FA43-4232-BBA0-DE83FF66D0A9}">
      <text>
        <r>
          <rPr>
            <b/>
            <sz val="9"/>
            <color indexed="81"/>
            <rFont val="Tahoma"/>
            <family val="2"/>
          </rPr>
          <t>Uni-Benutzer:</t>
        </r>
        <r>
          <rPr>
            <sz val="9"/>
            <color indexed="81"/>
            <rFont val="Tahoma"/>
            <family val="2"/>
          </rPr>
          <t xml:space="preserve">
Added 1, who had answered "Maisiņš" for gender.</t>
        </r>
      </text>
    </comment>
    <comment ref="R72" authorId="0" shapeId="0" xr:uid="{C1977F96-4AEE-47D5-A15E-D7D3E1590615}">
      <text>
        <r>
          <rPr>
            <b/>
            <sz val="9"/>
            <color indexed="81"/>
            <rFont val="Tahoma"/>
            <family val="2"/>
          </rPr>
          <t>Uni-Benutzer:</t>
        </r>
        <r>
          <rPr>
            <sz val="9"/>
            <color indexed="81"/>
            <rFont val="Tahoma"/>
            <family val="2"/>
          </rPr>
          <t xml:space="preserve">
Added 2 (Maisiņš and Helisexual)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J19" authorId="0" shapeId="0" xr:uid="{97D78F18-2CA6-44FA-9C73-A6C464056347}">
      <text>
        <r>
          <rPr>
            <b/>
            <sz val="9"/>
            <color indexed="81"/>
            <rFont val="Tahoma"/>
            <family val="2"/>
          </rPr>
          <t>Uni-Benutzer:</t>
        </r>
        <r>
          <rPr>
            <sz val="9"/>
            <color indexed="81"/>
            <rFont val="Tahoma"/>
            <family val="2"/>
          </rPr>
          <t xml:space="preserve">
After adding two faulty answers and three from the september list.</t>
        </r>
      </text>
    </comment>
    <comment ref="B37" authorId="0" shapeId="0" xr:uid="{C91D9DB7-ED4B-43B7-946C-A85FFB8E570A}">
      <text>
        <r>
          <rPr>
            <b/>
            <sz val="9"/>
            <color indexed="81"/>
            <rFont val="Tahoma"/>
            <family val="2"/>
          </rPr>
          <t>Uni-Benutzer:</t>
        </r>
        <r>
          <rPr>
            <sz val="9"/>
            <color indexed="81"/>
            <rFont val="Tahoma"/>
            <family val="2"/>
          </rPr>
          <t xml:space="preserve">
Added one, who hasn't answered this question.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A1" authorId="0" shapeId="0" xr:uid="{9D7C618B-5E91-4293-85B9-105D2A30F326}">
      <text>
        <r>
          <rPr>
            <b/>
            <sz val="9"/>
            <color indexed="81"/>
            <rFont val="Tahoma"/>
            <family val="2"/>
          </rPr>
          <t xml:space="preserve">Uni-Benutzer
</t>
        </r>
        <r>
          <rPr>
            <sz val="9"/>
            <color indexed="81"/>
            <rFont val="Tahoma"/>
            <family val="2"/>
          </rPr>
          <t>Not counted due to not answering enough questions.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U3" authorId="0" shapeId="0" xr:uid="{1FB86C5C-46C6-4B77-8747-2E107D088871}">
      <text>
        <r>
          <rPr>
            <b/>
            <sz val="9"/>
            <color indexed="81"/>
            <rFont val="Tahoma"/>
            <family val="2"/>
          </rPr>
          <t>Uni-Benutzer:</t>
        </r>
        <r>
          <rPr>
            <sz val="9"/>
            <color indexed="81"/>
            <rFont val="Tahoma"/>
            <family val="2"/>
          </rPr>
          <t xml:space="preserve">
Pievienot 152. numura atbildes.</t>
        </r>
      </text>
    </comment>
    <comment ref="D15" authorId="0" shapeId="0" xr:uid="{937E0BC5-B037-48EE-BA49-3A9B6E7B9E10}">
      <text>
        <r>
          <rPr>
            <b/>
            <sz val="9"/>
            <color indexed="81"/>
            <rFont val="Tahoma"/>
            <family val="2"/>
          </rPr>
          <t>Uni-Benutzer:</t>
        </r>
        <r>
          <rPr>
            <sz val="9"/>
            <color indexed="81"/>
            <rFont val="Tahoma"/>
            <family val="2"/>
          </rPr>
          <t xml:space="preserve">
Pačekot, vai nav korelācijas ar to, cik ļoti identificējas ar latviešiem vai krieviem, vai ar to, kādā valodā izglītība.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U3" authorId="0" shapeId="0" xr:uid="{60CC961C-C934-49D3-B989-C730FBE8EB5B}">
      <text>
        <r>
          <rPr>
            <b/>
            <sz val="9"/>
            <color indexed="81"/>
            <rFont val="Tahoma"/>
            <family val="2"/>
          </rPr>
          <t>Uni-Benutzer:</t>
        </r>
        <r>
          <rPr>
            <sz val="9"/>
            <color indexed="81"/>
            <rFont val="Tahoma"/>
            <family val="2"/>
          </rPr>
          <t xml:space="preserve">
Pievienot 152. numura atbildes.</t>
        </r>
      </text>
    </comment>
    <comment ref="E19" authorId="0" shapeId="0" xr:uid="{AA59C4C1-7A8A-400B-BE4E-4F2EA2EF6E68}">
      <text>
        <r>
          <rPr>
            <b/>
            <sz val="9"/>
            <color indexed="81"/>
            <rFont val="Tahoma"/>
            <family val="2"/>
          </rPr>
          <t>Uni-Benutzer:</t>
        </r>
        <r>
          <rPr>
            <sz val="9"/>
            <color indexed="81"/>
            <rFont val="Tahoma"/>
            <family val="2"/>
          </rPr>
          <t xml:space="preserve">
Vai šeit nav tie, kam darba nav?</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Uni-Benutzer</author>
  </authors>
  <commentList>
    <comment ref="B8" authorId="0" shapeId="0" xr:uid="{CAD3E323-1342-4912-AA29-CD82C9F96D4F}">
      <text>
        <r>
          <rPr>
            <b/>
            <sz val="9"/>
            <color indexed="81"/>
            <rFont val="Tahoma"/>
            <family val="2"/>
          </rPr>
          <t>Uni-Benutzer:</t>
        </r>
        <r>
          <rPr>
            <sz val="9"/>
            <color indexed="81"/>
            <rFont val="Tahoma"/>
            <family val="2"/>
          </rPr>
          <t xml:space="preserve">
Pieskaitīts 145. numurs</t>
        </r>
      </text>
    </comment>
    <comment ref="B17" authorId="0" shapeId="0" xr:uid="{794B882D-6882-404B-B1DD-BF0DCBA3A4BE}">
      <text>
        <r>
          <rPr>
            <b/>
            <sz val="9"/>
            <color indexed="81"/>
            <rFont val="Tahoma"/>
            <family val="2"/>
          </rPr>
          <t>Uni-Benutzer:</t>
        </r>
        <r>
          <rPr>
            <sz val="9"/>
            <color indexed="81"/>
            <rFont val="Tahoma"/>
            <family val="2"/>
          </rPr>
          <t xml:space="preserve">
Pieskaitīts 145. numurs, kuram atbildes trūkst</t>
        </r>
      </text>
    </comment>
  </commentList>
</comments>
</file>

<file path=xl/sharedStrings.xml><?xml version="1.0" encoding="utf-8"?>
<sst xmlns="http://schemas.openxmlformats.org/spreadsheetml/2006/main" count="86594" uniqueCount="18264">
  <si>
    <t>City</t>
  </si>
  <si>
    <t>Atbildes ID</t>
  </si>
  <si>
    <t>Nosūtīšanas datums</t>
  </si>
  <si>
    <t>Pēdēja lapa</t>
  </si>
  <si>
    <t>Sākuma valoda</t>
  </si>
  <si>
    <t>Sākotnējā vērtība</t>
  </si>
  <si>
    <t>Sākuma datums</t>
  </si>
  <si>
    <t>Pēdējās darbības datums</t>
  </si>
  <si>
    <t>Vispārēja datu aizsardzības regula un cita informācija. Lai piedalītos aptaujā, lūdzu, ievadiet kodu:</t>
  </si>
  <si>
    <t>Vecums (gados):</t>
  </si>
  <si>
    <t>Dzimums (dzimumidentitāte):</t>
  </si>
  <si>
    <t>Dzimums (dzimumidentitāte): [Cita atbilde]</t>
  </si>
  <si>
    <t>Dzimtā valoda(s): [Latviešu]</t>
  </si>
  <si>
    <t>Dzimtā valoda(s): [Krievu  ]</t>
  </si>
  <si>
    <t>Dzimtā valoda(s): [Ukraiņu ]</t>
  </si>
  <si>
    <t>Dzimtā valoda(s): [Angļu]</t>
  </si>
  <si>
    <t>Dzimtā valoda(s): [Poļu]</t>
  </si>
  <si>
    <t>Dzimtā valoda(s): [Cita atbilde]</t>
  </si>
  <si>
    <t>Lielāko dzīves daļu esmu pavadījis šajā reģionā:</t>
  </si>
  <si>
    <t>Lielāko dzīves daļu esmu pavadījis šajā reģionā: [Cita atbilde]</t>
  </si>
  <si>
    <t>Reliģiskās ticības ziņā sevi uzskatu par:</t>
  </si>
  <si>
    <t>Reliģiskās ticības ziņā sevi uzskatu par: [Cita atbilde]</t>
  </si>
  <si>
    <t>Politiķis, uzrunādams publiku: "Mēs... [... esam sabiedrība, kas sastāv no dažādiem, taču vienlīdzīgiem indivīdiem."]</t>
  </si>
  <si>
    <t>Politiķis, uzrunādams publiku: "Mēs... [... esam gatavi sadarboties sabiedrības labumam."]</t>
  </si>
  <si>
    <t>Politiķis, uzrunādams publiku: "Mēs... [... esam neiznīcināma nācija, ko nospiež svešzemju ietekmes."]</t>
  </si>
  <si>
    <t>Politiķis, uzrunādams publiku: "Mēs... [... esam spēcīga nācija, kura piemēro ārzemju likumdošanu."]</t>
  </si>
  <si>
    <t>Politiķis, uzrunādams publiku: "Mēs... [... esam tuvu tam, lai zaudētu savu identitāti, savu dzīvesveidu."]</t>
  </si>
  <si>
    <t>Politiķis, uzrunādams publiku: "Mēs... [... piedzīvojam identitātes pārmaiņas."]</t>
  </si>
  <si>
    <t>Politiķis, uzrunādams publiku: "Mēs... [es nezinu]</t>
  </si>
  <si>
    <t>Politiķis, runādams par pašreizējo valdību: "Pašreizējā valdība... [... pastāvīgi aizmirst par vienkāršajiem ļaudīm."]</t>
  </si>
  <si>
    <t>Politiķis, runādams par pašreizējo valdību: "Pašreizējā valdība... [... ne vienmēr ņem vērā visas sabiedrības daļas."]</t>
  </si>
  <si>
    <t>Politiķis, runādams par pašreizējo valdību: "Pašreizējā valdība... [... ir uzpirkusi un kontrolē valsts medijus."]</t>
  </si>
  <si>
    <t>Politiķis, runādams par pašreizējo valdību: "Pašreizējā valdība... [... ir pelnījusi cieņu, par spīti mūsu politiskajām domstarpībām."]</t>
  </si>
  <si>
    <t>Politiķis, runādams par pašreizējo valdību: "Pašreizējā valdība... [... saskārusies ar krīzi, rīkojās pilnīgi bezatbildīgi."]</t>
  </si>
  <si>
    <t>Politiķis, runādams par pašreizējo valdību: "Pašreizējā valdība... [... ir veikusi pieņemamu darbu, taču mēs to varam uzlabot."]</t>
  </si>
  <si>
    <t>Politiķis, runādams par pašreizējo valdību: "Pašreizējā valdība... [es nezinu]</t>
  </si>
  <si>
    <t>Politiķis, runādams par sabiedrību: "Mūsu valstī... [... jāstrādā ar to daudzveidību, kāda mums ir."]</t>
  </si>
  <si>
    <t>Politiķis, runādams par sabiedrību: "Mūsu valstī... [... ir pienākums atbalstīt un aizsargāt īstās ģimenes."]</t>
  </si>
  <si>
    <t>Politiķis, runādams par sabiedrību: "Mūsu valstī... [... pastāv iekļaujoša, demokrātiska pilsoniskā sabiedrībā."]</t>
  </si>
  <si>
    <t>Politiķis, runādams par sabiedrību: "Mūsu valstī... [... vienmēr bijusi multietniska sabiedrība."]</t>
  </si>
  <si>
    <t>Politiķis, runādams par sabiedrību: "Mūsu valstī... [... nav pienākums piekāpties katras minoritātes katrai prasībai."]</t>
  </si>
  <si>
    <t>Politiķis, runādams par sabiedrību: "Mūsu valstī... [... nevar izpildīt visu minoritāšu vēlmes."]</t>
  </si>
  <si>
    <t>Politiķis, runādams par sabiedrību: "Mūsu valstī... [es nezinu]</t>
  </si>
  <si>
    <t>Politiķis, runādams par politisku vai ar likumdošanu saistītu rīcību: "Ja nobalsosit par mums... [..., mēs izdarīsim tā, lai katra Jūsu balss tiktu sadzirdēta parlamentā."]</t>
  </si>
  <si>
    <t>Politiķis, runādams par politisku vai ar likumdošanu saistītu rīcību: "Ja nobalsosit par mums... [..., mēs pārstāvēsim Jūsu intereses parlamentā."]</t>
  </si>
  <si>
    <t>Politiķis, runādams par politisku vai ar likumdošanu saistītu rīcību: "Ja nobalsosit par mums... [..., mēs sāksim risināt pašas nozīmīgākās problēmas."]</t>
  </si>
  <si>
    <t>Politiķis, runādams par politisku vai ar likumdošanu saistītu rīcību: "Ja nobalsosit par mums... [..., pašas nozīmīgākās problēmas tiks atrisinātas nekavējoties."]</t>
  </si>
  <si>
    <t>Politiķis, runādams par politisku vai ar likumdošanu saistītu rīcību: "Ja nobalsosit par mums... [..., mēs pieņemsim likumus īstās Latvijas nākotnes nodrošināšanai."]</t>
  </si>
  <si>
    <t>Politiķis, runādams par politisku vai ar likumdošanu saistītu rīcību: "Ja nobalsosit par mums... [..., mēs rūpīgi pārskatīsim un pilnveidosim likumdošanu."]</t>
  </si>
  <si>
    <t>Politiķis, runādams par politisku vai ar likumdošanu saistītu rīcību: "Ja nobalsosit par mums... [es nezinu]</t>
  </si>
  <si>
    <t>Kuri vārdi, ja tos izmantotu politiķi, varētu novest pie tā, ka viņus nodēvē par populistiem? [a) progresīvists | b) progresīvs]</t>
  </si>
  <si>
    <t>Kuri vārdi, ja tos izmantotu politiķi, varētu novest pie tā, ka viņus nodēvē par populistiem? [a) likumdošanas izmaiņas | b) radikāla reforma]</t>
  </si>
  <si>
    <t>Kuri vārdi, ja tos izmantotu politiķi, varētu novest pie tā, ka viņus nodēvē par populistiem? [a) globālā sasilšana | b) klimata pārmaiņas]</t>
  </si>
  <si>
    <t>Kuri vārdi, ja tos izmantotu politiķi, varētu novest pie tā, ka viņus nodēvē par populistiem? [a) tradicionāla ģimene | b) moderna ģimene]</t>
  </si>
  <si>
    <t>Kuri vārdi, ja tos izmantotu politiķi, varētu novest pie tā, ka viņus nodēvē par populistiem? [a) piespiedu vakcinācija | b) vakcināciju brīvība]</t>
  </si>
  <si>
    <t>Kuri vārdi, ja tos izmantotu politiķi, varētu novest pie tā, ka viņus nodēvē par populistiem? [a) krīze | b) grūts uzdevums]</t>
  </si>
  <si>
    <t>Cik, Jūsuprāt, sievietes un vīrieši ir vienlīdzīgi katrā no šīm sfērām? [Ģimenes dzīvē]</t>
  </si>
  <si>
    <t>Cik, Jūsuprāt, sievietes un vīrieši ir vienlīdzīgi katrā no šīm sfērām? [Darbā / nodarbinātībā]</t>
  </si>
  <si>
    <t>Cik, Jūsuprāt, sievietes un vīrieši ir vienlīdzīgi katrā no šīm sfērām? [Izglītībā]</t>
  </si>
  <si>
    <t>Cik, Jūsuprāt, sievietes un vīrieši ir vienlīdzīgi katrā no šīm sfērām? [Kultūrā]</t>
  </si>
  <si>
    <t>Cik, Jūsuprāt, sievietes un vīrieši ir vienlīdzīgi katrā no šīm sfērām? [Politikā]</t>
  </si>
  <si>
    <t>Kura no šīm politiskajām partijām būt varējusi veiktu kuru apgalvojumu par viendzimuma laulību?(katrai partijai viens apgalvojums) ["Valsts ir veidota uz šādiem pamatiem: indivīds – stipra ģimene – neatkarīga uzņēmējdarbība – spēcīgi reģioni – spēcīga val</t>
  </si>
  <si>
    <t>Kura no šīm politiskajām partijām būt varējusi veiktu kuru apgalvojumu par viendzimuma laulību?(katrai partijai viens apgalvojums) [ "Ja runa ir par LGBTQ tiesībām, tad mums jāseko ES rekomendācijām un standartiem."]</t>
  </si>
  <si>
    <t>Kura no šīm politiskajām partijām būt varējusi veiktu kuru apgalvojumu par viendzimuma laulību?(katrai partijai viens apgalvojums) ["Par dabisku ģimeni! Tas ir vienīgais ceļš!"]</t>
  </si>
  <si>
    <t>Kura no šīm politiskajām partijām būt varējusi veiktu kuru apgalvojumu par viendzimuma laulību?(katrai partijai viens apgalvojums) ["Ir jāaptur Rietumu LGBT propaganda, it sevišķi skolās!"]</t>
  </si>
  <si>
    <t>Kura no šīm politiskajām partijām būt varējusi veiktu kuru apgalvojumu par viendzimuma laulību?(katrai partijai viens apgalvojums) ["Godīgie ļaudi reģionos, kurus mēs pārstāvam, nekad neatbalstītu viendzimuma laulības."]</t>
  </si>
  <si>
    <t>Kura no šīm politiskajām partijām būt varējusi veiktu kuru apgalvojumu par viendzimuma laulību?(katrai partijai viens apgalvojums) [ "Homoseksuāliem pāriem un transpersonām jābūt tādām pašām juridiskām laulību tiesībām kā heteroseksuāliem pāriem."]</t>
  </si>
  <si>
    <t>Kura no šīm politiskajām partijām būt varējusi veiktu kuru apgalvojumu par viendzimuma laulību?(katrai partijai viens apgalvojums) ["Geju praids ir līdzvērtīgs komunistu maršam, komunistu teroram."]</t>
  </si>
  <si>
    <t>Kurš no sekojošajiem apgalvojumiem vislabāk apraksta Jūsu skatpunktu par klimata pārmaiņām?</t>
  </si>
  <si>
    <t>Vai Jūs šķirojat?</t>
  </si>
  <si>
    <t>Kura no šīm politiskajām partijām būt varējusi veiktu kuru apgalvojumu par "zaļo" politiku un ekoloģiju (katrai partijai viens apgalvojums)? ["Ekonomiku ir nepieciešams modernizēt tam, lai līdz ANO noteiktajam termiņam – 2050. gadam – sasniegtu klimata ne</t>
  </si>
  <si>
    <t>Kura no šīm politiskajām partijām būt varējusi veiktu kuru apgalvojumu par "zaļo" politiku un ekoloģiju (katrai partijai viens apgalvojums)? [ "Mēs palielināsim finansējumu pētījumiem, kas izstrādā un rada klimata neitrālus produktus vai tehnoloģijas noza</t>
  </si>
  <si>
    <t>Kura no šīm politiskajām partijām būt varējusi veiktu kuru apgalvojumu par "zaļo" politiku un ekoloģiju (katrai partijai viens apgalvojums)? ["Latvijai pēc iespējas ātrāk un plašāk nepieciešams pāriet uz klimatneitrālām tehnoloģijām – vēja ģeneratoriem, s</t>
  </si>
  <si>
    <t>Kura no šīm politiskajām partijām būt varējusi veiktu kuru apgalvojumu par "zaļo" politiku un ekoloģiju (katrai partijai viens apgalvojums)? ["ES ambiciozajām klimata normām jābūt, pirmkārt, piemērotām Latvijai un mūsu dzīves reālijām."]</t>
  </si>
  <si>
    <t>Kura no šīm politiskajām partijām būt varējusi veiktu kuru apgalvojumu par "zaļo" politiku un ekoloģiju (katrai partijai viens apgalvojums)? ["Šobrīd Latvijā pašas asākās problēmas ir saistītas nevis ar ekoloģiju, bet gan sociālo un etnisko sadalījumu."]</t>
  </si>
  <si>
    <t>Kura no šīm politiskajām partijām būt varējusi veiktu kuru apgalvojumu par "zaļo" politiku un ekoloģiju (katrai partijai viens apgalvojums)? ["Mēs nodrošināsim sabalansētu, videi draudzīgas lauksaimniecības, mežsaimniecības un zivsaimniecības nozaru attīs</t>
  </si>
  <si>
    <t xml:space="preserve">Kura no šīm politiskajām partijām būt varējusi veiktu kuru apgalvojumu par "zaļo" politiku un ekoloģiju (katrai partijai viens apgalvojums)? ["Latvijai nepieciešams koncentrēties uz gāzes, elektronenerģijas un degvielu cenu samazināšanu valstī. Sankcijas </t>
  </si>
  <si>
    <t>Kura no šīm vadošajām politiskajām partijām būt varējusi veiktu kuru apgalvojumu par demokrātijas un valstiskuma nākotni (katrai partijai viens apgalvojums)? ["Mēs atbalstām vienotu un iekļaujošu politisku nāciju, kas balstīta Eiropas vērtībās un Latvijas</t>
  </si>
  <si>
    <t>Kura no šīm vadošajām politiskajām partijām būt varējusi veiktu kuru apgalvojumu par demokrātijas un valstiskuma nākotni (katrai partijai viens apgalvojums)? ["Latviju jāpārveido pēc iekļaujoša, inovatīva socioekonomiskā modeļa, kāds tas ir Ziemeļvalstīs.</t>
  </si>
  <si>
    <t>Kura no šīm vadošajām politiskajām partijām būt varējusi veiktu kuru apgalvojumu par demokrātijas un valstiskuma nākotni (katrai partijai viens apgalvojums)? ["Trauksmainos laikos ir svarīgi pieturēties pie fundamentālām vērtībām: valodas, kultūras, ģimen</t>
  </si>
  <si>
    <t>Kura no šīm vadošajām politiskajām partijām būt varējusi veiktu kuru apgalvojumu par demokrātijas un valstiskuma nākotni (katrai partijai viens apgalvojums)? ["Vadošajai partijai jāsastāv no pieredzējušiem krīzes menedžeriem un uzņēmējiem, kuri prot veikt</t>
  </si>
  <si>
    <t>Kura no šīm vadošajām politiskajām partijām būt varējusi veiktu kuru apgalvojumu par demokrātijas un valstiskuma nākotni (katrai partijai viens apgalvojums)? ["Mēs pārstāvēsim simtiem tūkstošu ignorētu mūsu pilsoņu balsis, mēs Latvijā izveidosim pavisam j</t>
  </si>
  <si>
    <t xml:space="preserve">Kura no šīm vadošajām politiskajām partijām būt varējusi veiktu kuru apgalvojumu par demokrātijas un valstiskuma nākotni (katrai partijai viens apgalvojums)? ["Pie valdības galda jābūt spēcīgam, pieredzējušam, neatkarīgam, tautas mīlētam līderim, kurš ir </t>
  </si>
  <si>
    <t>Kura no šīm vadošajām politiskajām partijām būt varējusi veiktu kuru apgalvojumu par demokrātijas un valstiskuma nākotni (katrai partijai viens apgalvojums)? ["Latvijai jākļūst par Eiropas "Silikona ieleju" un "Ziemeļu Dubaiju". Mūsu kinoindustrijai jākļū</t>
  </si>
  <si>
    <t>Cik ļoti Jūs interesē sekojošie politiskie jautājumi Latvijas sakarā? [ekoloģiskā politika (atjaunojamie energoresursi, kūdrāji...)]</t>
  </si>
  <si>
    <t>Cik ļoti Jūs interesē sekojošie politiskie jautājumi Latvijas sakarā? [LGBTIQ* tiesības]</t>
  </si>
  <si>
    <t>Cik ļoti Jūs interesē sekojošie politiskie jautājumi Latvijas sakarā? [demokrātijas sistēma / procesi]</t>
  </si>
  <si>
    <t>Cik ļoti Jūs interesē sekojošie politiskie jautājumi Latvijas sakarā? [sieviešu tiesības]</t>
  </si>
  <si>
    <t>Kas Jums ienāk prātā, kad dzirdat vārdu "populisms"? Kā Jūs to aprakstītu? (piemēram, var minēt politiķi; ideoloģiju; notikumu; incidentu utt.)Atbilde "nezinu" arī ir pieļaujama.</t>
  </si>
  <si>
    <t>Jūsuprat, kuram no šiem reģioniem vai institūcijām Latvija ir piederīgāka? [Ziemeļeiropas valstīm]</t>
  </si>
  <si>
    <t>Jūsuprat, kuram no šiem reģioniem vai institūcijām Latvija ir piederīgāka? [Rietumeiropai]</t>
  </si>
  <si>
    <t>Jūsuprat, kuram no šiem reģioniem vai institūcijām Latvija ir piederīgāka? [Austrumeiropai]</t>
  </si>
  <si>
    <t>Jūsuprat, kuram no šiem reģioniem vai institūcijām Latvija ir piederīgāka? [Eiropas Savienībai]</t>
  </si>
  <si>
    <t>Jūsuprat, kuram no šiem reģioniem vai institūcijām Latvija ir piederīgāka? [Baltijas valstīm]</t>
  </si>
  <si>
    <t>Jūsuprat, kuram no šiem reģioniem vai institūcijām Latvija ir piederīgāka? [Latvija ir daļa no plašākas postsociālisma sfēras]</t>
  </si>
  <si>
    <t>{(if(is_empty(randnumber),rand(1,2),randnumber.NAOK))}.</t>
  </si>
  <si>
    <t>{if((tongueLAT_SQ001.NAOK=="Y" &amp;amp;&amp;amp; tongueLAT_SQ002.NAOK=="Y"), if(randnumber.NAOK=='1', 'Manuprāt, krievvalodīgie Latvijā ir...', 'Kā krievvalodīgais/ā Latvijā es jūtos kā...'), if(tongueLAT_SQ001.NAOK=="Y", 'Manuprāt, krievvalodīgie Latvijā ir...'</t>
  </si>
  <si>
    <t>Skatoties pēc {if(tongueLAT_SQ002.NAOK=="Y", 'šīs skalas', 'šīm skalām')}, cik spēcīgi jūs izjūtat piederību kādai no šīm {if(tongueLAT_SQ002.NAOK=="Y", 'grupa', 'grupām')}:     [latviešiem:| it nemaz | pilnībā]</t>
  </si>
  <si>
    <t>Skatoties pēc {if(tongueLAT_SQ002.NAOK=="Y", 'šīs skalas', 'šīm skalām')}, cik spēcīgi jūs izjūtat piederību kādai no šīm {if(tongueLAT_SQ002.NAOK=="Y", 'grupa', 'grupām')}:     [Latvijas krieviem:| it nemaz | pilnībā]</t>
  </si>
  <si>
    <t>Skatoties pēc {if(tongueLAT_SQ002.NAOK=="Y", 'šīs skalas', 'šīm skalām')}, cik spēcīgi jūs izjūtat piederību kādai no šīm {if(tongueLAT_SQ002.NAOK=="Y", 'grupa', 'grupām')}:     [krieviem (Krievijas):| it nemaz | pilnībā]</t>
  </si>
  <si>
    <t>Kā Jūs aprakstītu savstarpējās attiecības starp cilvēkiem, kuriem dzimtā valoda ir latviešu, un cilvēkiem, kuriem dzimtā valoda ir krievu? [Latvijā kopumā]</t>
  </si>
  <si>
    <t>Kā Jūs aprakstītu savstarpējās attiecības starp cilvēkiem, kuriem dzimtā valoda ir latviešu, un cilvēkiem, kuriem dzimtā valoda ir krievu? [Jūsu pašreizējā dzīvesvietā]</t>
  </si>
  <si>
    <t>Kā Jūs aprakstītu savstarpējās attiecības starp cilvēkiem, kuriem dzimtā valoda ir latviešu, un cilvēkiem, kuriem dzimtā valoda ir krievu? [Jūsu personiskās attiecības ar {if((tongueLAT_SQ001.NAOK=="Y" &amp;amp;&amp;amp; tongueLAT_SQ002.NAOK=="Y"), if(randnumber.</t>
  </si>
  <si>
    <t>Vai Jums kādreiz ir bijusi sajūta, ka esat ticis diskriminēts, kad izmantojāt latviešu valodu kādā no šiem kontekstiem? [Darbā]</t>
  </si>
  <si>
    <t>Vai Jums kādreiz ir bijusi sajūta, ka esat ticis diskriminēts, kad izmantojāt latviešu valodu kādā no šiem kontekstiem? [Skolas / universitātes vidē]</t>
  </si>
  <si>
    <t>Vai Jums kādreiz ir bijusi sajūta, ka esat ticis diskriminēts, kad izmantojāt latviešu valodu kādā no šiem kontekstiem? [Sportā]</t>
  </si>
  <si>
    <t>Vai Jums kādreiz ir bijusi sajūta, ka esat ticis diskriminēts, kad izmantojāt latviešu valodu kādā no šiem kontekstiem? [Citos hobijos / interešu grupās]</t>
  </si>
  <si>
    <t>Vai Jums kādreiz ir bijusi sajūta, ka esat ticis diskriminēts, kad izmantojāt latviešu valodu kādā no šiem kontekstiem? [Uz ielas / veikalā utt.]</t>
  </si>
  <si>
    <t>Vai Jums kādreiz ir bijusi sajūta, ka esat ticis diskriminēts, kad izmantojāt krievu valodu kādā no šiem kontekstiem? [Darbā]</t>
  </si>
  <si>
    <t>Vai Jums kādreiz ir bijusi sajūta, ka esat ticis diskriminēts, kad izmantojāt krievu valodu kādā no šiem kontekstiem? [Skolas / universitātes vidē]</t>
  </si>
  <si>
    <t>Vai Jums kādreiz ir bijusi sajūta, ka esat ticis diskriminēts, kad izmantojāt krievu valodu kādā no šiem kontekstiem? [Sportā]</t>
  </si>
  <si>
    <t>Vai Jums kādreiz ir bijusi sajūta, ka esat ticis diskriminēts, kad izmantojāt krievu valodu kādā no šiem kontekstiem? [Citos hobijos / interešu grupās]</t>
  </si>
  <si>
    <t>Vai Jums kādreiz ir bijusi sajūta, ka esat ticis diskriminēts, kad izmantojāt krievu valodu kādā no šiem kontekstiem? [Uz ielas / veikalā utt.]</t>
  </si>
  <si>
    <t>Lūdzu, īsi aprakstiet situāciju, kurā jūs izmantojāt "nepareizo valodu". Kuru valodu (vai valodas) izmantojāt, ar kādiem cilvēkiem, ar kādu mērķi?</t>
  </si>
  <si>
    <t>Vai šobrīt esat nodarbināts?</t>
  </si>
  <si>
    <t>Vai pēdējo septiņu dienu laikā esat darba vietā runājuši par sabiedrību, valsts vēsturi un / vai arī politiku? [Sabiedrību]</t>
  </si>
  <si>
    <t>Vai pēdējo septiņu dienu laikā esat darba vietā runājuši par sabiedrību, valsts vēsturi un / vai arī politiku? [Valsts vēsturi]</t>
  </si>
  <si>
    <t>Vai pēdējo septiņu dienu laikā esat darba vietā runājuši par sabiedrību, valsts vēsturi un / vai arī politiku? [Politiku]</t>
  </si>
  <si>
    <t>Vai pēdējo septiņu dienu laikā esat darba vietā runājuši par sabiedrību, valsts vēsturi un / vai arī politiku? [Nē]</t>
  </si>
  <si>
    <t>Vai pēdējo septiņu dienu laikā esat ģimenē runājuši par sabiedrību, valsts vēsturi un / vai arī politiku? [Sabiedrību]</t>
  </si>
  <si>
    <t>Vai pēdējo septiņu dienu laikā esat ģimenē runājuši par sabiedrību, valsts vēsturi un / vai arī politiku? [Valsts vēsturi]</t>
  </si>
  <si>
    <t>Vai pēdējo septiņu dienu laikā esat ģimenē runājuši par sabiedrību, valsts vēsturi un / vai arī politiku? [Politiku]</t>
  </si>
  <si>
    <t>Vai pēdējo septiņu dienu laikā esat ģimenē runājuši par sabiedrību, valsts vēsturi un / vai arī politiku? [Nē]</t>
  </si>
  <si>
    <t>Vai pēdējo septiņu dienu laikā esat skolā / universitātē runājuši par sabiedrību, valsts vēsturi un / vai arī politiku? [Sabiedrību]</t>
  </si>
  <si>
    <t>Vai pēdējo septiņu dienu laikā esat skolā / universitātē runājuši par sabiedrību, valsts vēsturi un / vai arī politiku? [Valsts vēsturi]</t>
  </si>
  <si>
    <t>Vai pēdējo septiņu dienu laikā esat skolā / universitātē runājuši par sabiedrību, valsts vēsturi un / vai arī politiku? [Politiku ]</t>
  </si>
  <si>
    <t>Vai pēdējo septiņu dienu laikā esat skolā / universitātē runājuši par sabiedrību, valsts vēsturi un / vai arī politiku? [Nē]</t>
  </si>
  <si>
    <t>Cik bieži izmantojat latviešu valodu šajos kontekstos?  [Ģimenē]</t>
  </si>
  <si>
    <t>Cik bieži izmantojat latviešu valodu šajos kontekstos?  [Skolā (ārpus nodarbībām)]</t>
  </si>
  <si>
    <t>Cik bieži izmantojat latviešu valodu šajos kontekstos?  [Darbā]</t>
  </si>
  <si>
    <t>Cik bieži izmantojat latviešu valodu šajos kontekstos?  [Ar draugiem]</t>
  </si>
  <si>
    <t>Cik bieži izmantojat latviešu valodu šajos kontekstos?  [Sportā]</t>
  </si>
  <si>
    <t>Cik bieži izmantojat latviešu valodu šajos kontekstos?  [Hobijos / citās interešu grupās]</t>
  </si>
  <si>
    <t>Cik bieži izmantojat latviešu valodu šajos kontekstos?  [Uz ielas / veikalā utt.]</t>
  </si>
  <si>
    <t>Cik bieži izmantojat krievu valodu šajos kontekstos?  [Ģimenē]</t>
  </si>
  <si>
    <t>Cik bieži izmantojat krievu valodu šajos kontekstos?  [Skolā (ārpus nodarbībām)]</t>
  </si>
  <si>
    <t>Cik bieži izmantojat krievu valodu šajos kontekstos?  [Darbā]</t>
  </si>
  <si>
    <t>Cik bieži izmantojat krievu valodu šajos kontekstos?  [Ar draugiem]</t>
  </si>
  <si>
    <t>Cik bieži izmantojat krievu valodu šajos kontekstos?  [Sportā]</t>
  </si>
  <si>
    <t>Cik bieži izmantojat krievu valodu šajos kontekstos?  [Hobijos / citās interešu grupās]</t>
  </si>
  <si>
    <t>Cik bieži izmantojat krievu valodu šajos kontekstos?  [Uz ielas / veikalā utt.]</t>
  </si>
  <si>
    <t>Domājot par to, kas definē demokrātiju, kuras trīs no šīm kategorijām Jums vispirms ienāk prātā? [Rangs 1]</t>
  </si>
  <si>
    <t>Domājot par to, kas definē demokrātiju, kuras trīs no šīm kategorijām Jums vispirms ienāk prātā? [Rangs 2]</t>
  </si>
  <si>
    <t>Domājot par to, kas definē demokrātiju, kuras trīs no šīm kategorijām Jums vispirms ienāk prātā? [Rangs 3]</t>
  </si>
  <si>
    <t>Domājot par to, kas definē demokrātiju, kuras trīs no šīm kategorijām Jums vispirms ienāk prātā? [Rangs 4]</t>
  </si>
  <si>
    <t>Domājot par to, kas definē demokrātiju, kuras trīs no šīm kategorijām Jums vispirms ienāk prātā? [Rangs 5]</t>
  </si>
  <si>
    <t>Cik labi katra no šīm demokrātiskajām kategorijām funkcionē Latvijā? [Brīvas vēlēšanas un plurālisms]</t>
  </si>
  <si>
    <t>Cik labi katra no šīm demokrātiskajām kategorijām funkcionē Latvijā? [Pilsoniskās brīvības (vārda brīvība, tiesības uz taisnīgu tiesu)]</t>
  </si>
  <si>
    <t>Cik labi katra no šīm demokrātiskajām kategorijām funkcionē Latvijā? [Vienlīdz pieejama izglītība, veselības aprūpe, sociālais nodrošinājums]</t>
  </si>
  <si>
    <t>Cik labi katra no šīm demokrātiskajām kategorijām funkcionē Latvijā? [Varas līdzsvars starp parlamentu, prezidentu un tiesām, lai neviena no institūcijām nespētu sevī koncentrēt lielāko daļu varas]</t>
  </si>
  <si>
    <t>Cik labi katra no šīm demokrātiskajām kategorijām funkcionē Latvijā? [Vienlīdzīgas tiesības minoritātēm un ievainojamām sabiedrības grupām]</t>
  </si>
  <si>
    <t>Kāds ir augstākais izglītības līmenis, kādu esat pabeiguši?</t>
  </si>
  <si>
    <t>Kāds ir augstākais izglītības līmenis, kādu esat pabeiguši? [Cita atbilde]</t>
  </si>
  <si>
    <t>Vai esat mācījušies vairāk par pusi no pamatskolas vai / un vidusskolas vai arodskolas gadiem ārzemēs? [Jā, pamatskolā]</t>
  </si>
  <si>
    <t>Vai esat mācījušies vairāk par pusi no pamatskolas vai / un vidusskolas vai arodskolas gadiem ārzemēs? [Jā, vidusskolā]</t>
  </si>
  <si>
    <t>Vai esat mācījušies vairāk par pusi no pamatskolas vai / un vidusskolas vai arodskolas gadiem ārzemēs? [Jā, arodskolā]</t>
  </si>
  <si>
    <t>Vai esat mācījušies vairāk par pusi no pamatskolas vai / un vidusskolas vai arodskolas gadiem ārzemēs? [Nē, lielākoties vai tikai mācījos Latvijā]</t>
  </si>
  <si>
    <t>Kādā valodā jūs lielākoties saņēmāt pamatizglītību, neskaitot svešvalodu stundas?</t>
  </si>
  <si>
    <t>Kādā valodā jūs lielākoties saņēmāt pamatizglītību, neskaitot svešvalodu stundas? [Cita atbilde]</t>
  </si>
  <si>
    <t>Kādā valodā jūs lielākoties saņēmāt / saņemat vidējo izglītību, neskaitot svešvalodu stundas?</t>
  </si>
  <si>
    <t>Kādā valodā jūs lielākoties saņēmāt / saņemat vidējo izglītību, neskaitot svešvalodu stundas? [Cita atbilde]</t>
  </si>
  <si>
    <t>Runāšana:   </t>
  </si>
  <si>
    <t>Rakstīšana:</t>
  </si>
  <si>
    <t>Klausīšanās:</t>
  </si>
  <si>
    <t>Lasīšana:</t>
  </si>
  <si>
    <t>Runāšana:   2</t>
  </si>
  <si>
    <t>Rakstīšana:   </t>
  </si>
  <si>
    <t>Klausīšanās:   </t>
  </si>
  <si>
    <t>Lasīšana:   </t>
  </si>
  <si>
    <t>Cik bieži un kādā kontekstā Jūs izmantojat latviešu valodu? [Darbā]</t>
  </si>
  <si>
    <t>Cik bieži un kādā kontekstā Jūs izmantojat latviešu valodu? [Skolas / universitātes vidē]</t>
  </si>
  <si>
    <t>Cik bieži un kādā kontekstā Jūs izmantojat latviešu valodu? [Sportā]</t>
  </si>
  <si>
    <t>Cik bieži un kādā kontekstā Jūs izmantojat latviešu valodu? [Citos hobijos / interešu grupās]</t>
  </si>
  <si>
    <t>Cik bieži un kādā kontekstā Jūs izmantojat latviešu valodu? [Uz ielas / veikalā utt.]</t>
  </si>
  <si>
    <t>Cik bieži un kādā kontekstā Jūs izmantojat krievu valodu? [Darbā]</t>
  </si>
  <si>
    <t>Cik bieži un kādā kontekstā Jūs izmantojat krievu valodu? [Skolas / universitātes vidē]</t>
  </si>
  <si>
    <t>Cik bieži un kādā kontekstā Jūs izmantojat krievu valodu? [Sportā]</t>
  </si>
  <si>
    <t>Cik bieži un kādā kontekstā Jūs izmantojat krievu valodu? [Citos hobijos / interešu grupās]</t>
  </si>
  <si>
    <t>Cik bieži un kādā kontekstā Jūs izmantojat krievu valodu? [Uz ielas / veikalā utt.]</t>
  </si>
  <si>
    <t>Vai Jūs gribētu uzlabot savas latviešu valodas zināšanas?</t>
  </si>
  <si>
    <t>Vai Jūs gribētu uzlabot savas latviešu valodas zināšanas? [Cita atbilde]</t>
  </si>
  <si>
    <t>Kā jums liekas, cik ticami ir, ka tuvākajā nākotnē (aptuveni gada laikā) veiksit darbības, lai uzlabotu savas latviešu valodas zināšanas?</t>
  </si>
  <si>
    <t>Jūsuprat, kuram no šiem reģioniem vai institūcijām Latvija ir piederīgāka? [Ziemeļeiropas valstīm]3</t>
  </si>
  <si>
    <t>Jūsuprat, kuram no šiem reģioniem vai institūcijām Latvija ir piederīgāka? [Rietumeiropai]4</t>
  </si>
  <si>
    <t>Jūsuprat, kuram no šiem reģioniem vai institūcijām Latvija ir piederīgāka? [Austrumeiropai]5</t>
  </si>
  <si>
    <t>Jūsuprat, kuram no šiem reģioniem vai institūcijām Latvija ir piederīgāka? [Eiropas Savienībai]6</t>
  </si>
  <si>
    <t>Jūsuprat, kuram no šiem reģioniem vai institūcijām Latvija ir piederīgāka? [Baltijas valstīm]7</t>
  </si>
  <si>
    <t>Jūsuprat, kuram no šiem reģioniem vai institūcijām Latvija ir piederīgāka? [Latvija ir daļa no plašākas postsociālisma sfēras]8</t>
  </si>
  <si>
    <t>Manuprāt, krievvalodīgie Latvijā ir...  [| ...daļa Latvijas sabiedrības. | ...sveša valodiskā grupa]</t>
  </si>
  <si>
    <t>Skatoties pēc šīs skalas, cik spēcīgi jūs izjūtat piederību šai grupai:  [latviešiem:| it nemaz | pilnībā]</t>
  </si>
  <si>
    <t>Skatoties pēc šīs skalas, cik spēcīgi jūs izjūtat piederību šai grupai:  [Latvijas krieviem:| it nemaz | pilnībā]</t>
  </si>
  <si>
    <t>Skatoties pēc šīs skalas, cik spēcīgi jūs izjūtat piederību šai grupai:  [krieviem (Krievijas):| it nemaz | pilnībā]</t>
  </si>
  <si>
    <t>Kā Jūs aprakstītu savstarpējās attiecības starp cilvēkiem, kam dzimtā valoda ir latviešu, un tiem, kam krievu? Vai varat sniegt kādu piemēru no personiskās peredzes:</t>
  </si>
  <si>
    <t>Kurus no šiem TV un / vai radio kanāliem esat izmantojuši pēdējo septiņu dienu laikā? [ARD / ZDF (TV vai tiešsaites straumēšana)]</t>
  </si>
  <si>
    <t>Kurus no šiem TV un / vai radio kanāliem esat izmantojuši pēdējo septiņu dienu laikā? [Dozd TV / TV Rain (TV vai tiešsaites straumēšana)                               ]</t>
  </si>
  <si>
    <t>Kurus no šiem TV un / vai radio kanāliem esat izmantojuši pēdējo septiņu dienu laikā? [Latvijas Radio (jebkurš kanāls)                                        ]</t>
  </si>
  <si>
    <t>Kurus no šiem TV un / vai radio kanāliem esat izmantojuši pēdējo septiņu dienu laikā? [LTV (jebkurš kanāls, TV vai tiešsaites straumēšana)                 ]</t>
  </si>
  <si>
    <t>Kurus no šiem TV un / vai radio kanāliem esat izmantojuši pēdējo septiņu dienu laikā? [НТВ (TV vai tiešsaites straumēšana)]</t>
  </si>
  <si>
    <t>Kurus no šiem TV un / vai radio kanāliem esat izmantojuši pēdējo septiņu dienu laikā? [8TV]</t>
  </si>
  <si>
    <t>Kurus no šiem TV un / vai radio kanāliem esat izmantojuši pēdējo septiņu dienu laikā? [Pirmais Baltijas kanāls (PBK)                              ]</t>
  </si>
  <si>
    <t>Kurus no šiem TV un / vai radio kanāliem esat izmantojuši pēdējo septiņu dienu laikā? [Radio Baltcom]</t>
  </si>
  <si>
    <t>Kurus no šiem TV un / vai radio kanāliem esat izmantojuši pēdējo septiņu dienu laikā? [Radio Skonto]</t>
  </si>
  <si>
    <t>Kurus no šiem TV un / vai radio kanāliem esat izmantojuši pēdējo septiņu dienu laikā? [Россия 1 (TV vai tiešsaites straumēšana)                                   ]</t>
  </si>
  <si>
    <t>Kurus no šiem TV un / vai radio kanāliem esat izmantojuši pēdējo septiņu dienu laikā? [straumēšanas servisi (Netflix, Amazon Prime, Mubi, HBO…)      ]</t>
  </si>
  <si>
    <t>Kurus no šiem TV un / vai radio kanāliem esat izmantojuši pēdējo septiņu dienu laikā? [TV3 / TV3 Plus / TV 6 / TV3 Life / TV3 Sport / TV3 Mini (TV vai tiešsaites straumēšana)]</t>
  </si>
  <si>
    <t>Kurus no šiem TV un / vai radio kanāliem esat izmantojuši pēdējo septiņu dienu laikā? [Первый канал (TV vai tiešsaites straumēšana)]</t>
  </si>
  <si>
    <t>Kurus no šiem TV un / vai radio kanāliem esat izmantojuši pēdējo septiņu dienu laikā? [BBC / CNN]</t>
  </si>
  <si>
    <t>Kurus no šiem TV un / vai radio kanāliem esat izmantojuši pēdējo septiņu dienu laikā? [TNT (TV vai tiešsaites straumēšana)]</t>
  </si>
  <si>
    <t>Kurus no šiem TV un / vai radio kanāliem esat izmantojuši pēdējo septiņu dienu laikā? [Nevienu no augstākminētajiem]</t>
  </si>
  <si>
    <t>Kurus no šiem TV un / vai radio kanāliem esat izmantojuši pēdējo septiņu dienu laikā? [Cita atbilde]</t>
  </si>
  <si>
    <t>Ierakstiet tikai, ja skatāties citus kanālus. [Citi kanāli latviešu valodā (kādi?):]</t>
  </si>
  <si>
    <t>Ierakstiet tikai, ja skatāties citus kanālus. [Citi kanāli latviešu valodā (kādi?):][Komentārs]</t>
  </si>
  <si>
    <t>Ierakstiet tikai, ja skatāties citus kanālus. [Citi kanāli angļu valodā (kādi?):]</t>
  </si>
  <si>
    <t>Ierakstiet tikai, ja skatāties citus kanālus. [Citi kanāli angļu valodā (kādi?):][Komentārs]</t>
  </si>
  <si>
    <t>Ierakstiet tikai, ja skatāties citus kanālus. [Citi kanāli krievu valodā (kādi?):]</t>
  </si>
  <si>
    <t>Ierakstiet tikai, ja skatāties citus kanālus. [Citi kanāli krievu valodā (kādi?):][Komentārs]</t>
  </si>
  <si>
    <t>Ierakstiet tikai, ja skatāties citus kanālus. [Citi kanāli vācu valodā (kādi?):]</t>
  </si>
  <si>
    <t>Ierakstiet tikai, ja skatāties citus kanālus. [Citi kanāli vācu valodā (kādi?):][Komentārs]</t>
  </si>
  <si>
    <t>Kurus no šiem izdevumiem esat lasījuši vai mājaslapas apmeklējuši pēdējo septiņu dienu laikā? [BBC                                                                                                       ]</t>
  </si>
  <si>
    <t>Kurus no šiem izdevumiem esat lasījuši vai mājaslapas apmeklējuši pēdējo septiņu dienu laikā? [CNN                                                                                                     ]</t>
  </si>
  <si>
    <t>Kurus no šiem izdevumiem esat lasījuši vai mājaslapas apmeklējuši pēdējo septiņu dienu laikā? [Латвийские вести (laikraksts vai tiešsaitē)                 ]</t>
  </si>
  <si>
    <t>Kurus no šiem izdevumiem esat lasījuši vai mājaslapas apmeklējuši pēdējo septiņu dienu laikā? [lsm.lv (latviski)]</t>
  </si>
  <si>
    <t>Kurus no šiem izdevumiem esat lasījuši vai mājaslapas apmeklējuši pēdējo septiņu dienu laikā? [lsm.lv (krieviski)   ]</t>
  </si>
  <si>
    <t>Kurus no šiem izdevumiem esat lasījuši vai mājaslapas apmeklējuši pēdējo septiņu dienu laikā? [MK Латвия (laikraksts vai tiešsaitē)                          ]</t>
  </si>
  <si>
    <t>Kurus no šiem izdevumiem esat lasījuši vai mājaslapas apmeklējuši pēdējo septiņu dienu laikā? [Новая Газета]</t>
  </si>
  <si>
    <t>Kurus no šiem izdevumiem esat lasījuši vai mājaslapas apmeklējuši pēdējo septiņu dienu laikā? [Kas Jauns (laikraksts vai tiešsaitē)]</t>
  </si>
  <si>
    <t>Kurus no šiem izdevumiem esat lasījuši vai mājaslapas apmeklējuši pēdējo septiņu dienu laikā? [Ir (laikraksts vai tiešsaitē) ]</t>
  </si>
  <si>
    <t>Kurus no šiem izdevumiem esat lasījuši vai mājaslapas apmeklējuši pēdējo septiņu dienu laikā? [Latvijas Avīze (laikraksts vai tiešsaitē)]</t>
  </si>
  <si>
    <t>Kurus no šiem izdevumiem esat lasījuši vai mājaslapas apmeklējuši pēdējo septiņu dienu laikā? [Diena (laikraksts vai tiešsaitē)]</t>
  </si>
  <si>
    <t>Kurus no šiem izdevumiem esat lasījuši vai mājaslapas apmeklējuši pēdējo septiņu dienu laikā? [Neatkarīgā Rīta Avīze (laikraksts vai tiešsaitē)]</t>
  </si>
  <si>
    <t>Kurus no šiem izdevumiem esat lasījuši vai mājaslapas apmeklējuši pēdējo septiņu dienu laikā? [Delfi / TVNET / Apollo (latviski)]</t>
  </si>
  <si>
    <t>Kurus no šiem izdevumiem esat lasījuši vai mājaslapas apmeklējuši pēdējo septiņu dienu laikā? [Delfi / TVNET / Apollo (krieviski)]</t>
  </si>
  <si>
    <t>Kurus no šiem izdevumiem esat lasījuši vai mājaslapas apmeklējuši pēdējo septiņu dienu laikā? [Vesti.ru]</t>
  </si>
  <si>
    <t>Kurus no šiem izdevumiem esat lasījuši vai mājaslapas apmeklējuši pēdējo septiņu dienu laikā? [РИА Новости]</t>
  </si>
  <si>
    <t>Kurus no šiem izdevumiem esat lasījuši vai mājaslapas apmeklējuši pēdējo septiņu dienu laikā? [liepajniekiem.lv]</t>
  </si>
  <si>
    <t>Kurus no šiem izdevumiem esat lasījuši vai mājaslapas apmeklējuši pēdējo septiņu dienu laikā? [chayka.lv / grani.lv]</t>
  </si>
  <si>
    <t>Kurus no šiem izdevumiem esat lasījuši vai mājaslapas apmeklējuši pēdējo septiņu dienu laikā? [Nevienu no augstākminētajām]</t>
  </si>
  <si>
    <t>Kurus no šiem izdevumiem esat lasījuši vai mājaslapas apmeklējuši pēdējo septiņu dienu laikā? [Cita atbilde]</t>
  </si>
  <si>
    <t>Rakstiet tikai tad, ja lasiet citus medijus. [Citi laikraksti / mājaslapas latviešu valodā (kādi?):]</t>
  </si>
  <si>
    <t>Rakstiet tikai tad, ja lasiet citus medijus. [Citi laikraksti / mājaslapas latviešu valodā (kādi?):][Komentārs]</t>
  </si>
  <si>
    <t>Rakstiet tikai tad, ja lasiet citus medijus. [Citi laikraksti / mājaslapas angļu valodā (kādi?):]</t>
  </si>
  <si>
    <t>Rakstiet tikai tad, ja lasiet citus medijus. [Citi laikraksti / mājaslapas angļu valodā (kādi?):][Komentārs]</t>
  </si>
  <si>
    <t>Rakstiet tikai tad, ja lasiet citus medijus. [Citi laikraksti / mājaslapas krievu valodā (kādi?):]</t>
  </si>
  <si>
    <t>Rakstiet tikai tad, ja lasiet citus medijus. [Citi laikraksti / mājaslapas krievu valodā (kādi?):][Komentārs]</t>
  </si>
  <si>
    <t>Rakstiet tikai tad, ja lasiet citus medijus. [Citi laikraksti / mājaslapas vācu valodā (kādi?):]</t>
  </si>
  <si>
    <t>Rakstiet tikai tad, ja lasiet citus medijus. [Citi laikraksti / mājaslapas vācu valodā (kādi?):][Komentārs]</t>
  </si>
  <si>
    <t>Kuru no sekojošajiem sociāliem tīkliem esat izmantojuši pēdējo 24 stundu laikā? [TikTok]</t>
  </si>
  <si>
    <t>Kuru no sekojošajiem sociāliem tīkliem esat izmantojuši pēdējo 24 stundu laikā? [Instagram]</t>
  </si>
  <si>
    <t>Kuru no sekojošajiem sociāliem tīkliem esat izmantojuši pēdējo 24 stundu laikā? [Facebook]</t>
  </si>
  <si>
    <t>Kuru no sekojošajiem sociāliem tīkliem esat izmantojuši pēdējo 24 stundu laikā? [ВКонтакте]</t>
  </si>
  <si>
    <t>Kuru no sekojošajiem sociāliem tīkliem esat izmantojuši pēdējo 24 stundu laikā? [YouTube]</t>
  </si>
  <si>
    <t>Kuru no sekojošajiem sociāliem tīkliem esat izmantojuši pēdējo 24 stundu laikā? [Telegram]</t>
  </si>
  <si>
    <t>Kuru no sekojošajiem sociāliem tīkliem esat izmantojuši pēdējo 24 stundu laikā? [Одноклассники]</t>
  </si>
  <si>
    <t>Kuru no sekojošajiem sociāliem tīkliem esat izmantojuši pēdējo 24 stundu laikā? [Whatsapp]</t>
  </si>
  <si>
    <t>Kuru no sekojošajiem sociāliem tīkliem esat izmantojuši pēdējo 24 stundu laikā? [Reddit]</t>
  </si>
  <si>
    <t>Kuru no sekojošajiem sociāliem tīkliem esat izmantojuši pēdējo 24 stundu laikā? [Draugiem]</t>
  </si>
  <si>
    <t>Kuru no sekojošajiem sociāliem tīkliem esat izmantojuši pēdējo 24 stundu laikā? [Twitter]</t>
  </si>
  <si>
    <t>Kuru no sekojošajiem sociāliem tīkliem esat izmantojuši pēdējo 24 stundu laikā? [Rutube]</t>
  </si>
  <si>
    <t>Kuru no sekojošajiem sociāliem tīkliem esat izmantojuši pēdējo 24 stundu laikā? [Snapchat]</t>
  </si>
  <si>
    <t>Kuru no sekojošajiem sociāliem tīkliem esat izmantojuši pēdējo 24 stundu laikā? [Nevienu no iepriekšminētajām]</t>
  </si>
  <si>
    <t>Kuru no sekojošajiem sociāliem tīkliem esat izmantojuši pēdējo 24 stundu laikā? [Cita atbilde]</t>
  </si>
  <si>
    <t>Esat sasniedzis aptaujas beigas. Paldies par Jūsu laiku un interesi! Šādas aptaujas sniedz mums dziļāku sapratni par to, ko cilvēki (kā Jūs!) domā par noteiktiem jautājumiem.  Ja vēlaties par kaut ko izteikt domas, lūdzu, rakstiet šeit. Arī būsim pateicīg</t>
  </si>
  <si>
    <t>Laiks kopā</t>
  </si>
  <si>
    <t>Grupas laiks: Ieejas kods</t>
  </si>
  <si>
    <t>Jautājuma laiks: acode</t>
  </si>
  <si>
    <t>Grupas laiks: Personiskā informācija</t>
  </si>
  <si>
    <t>Jautājuma laiks: age</t>
  </si>
  <si>
    <t>Jautājuma laiks: gender</t>
  </si>
  <si>
    <t>Jautājuma laiks: tongueLAT</t>
  </si>
  <si>
    <t>Jautājuma laiks: regionLAT</t>
  </si>
  <si>
    <t>Jautājuma laiks: religion</t>
  </si>
  <si>
    <t>Grupas laiks: Politiskās valodas izmantošana</t>
  </si>
  <si>
    <t>Jautājuma laiks: reflpoptarget</t>
  </si>
  <si>
    <t>Jautājuma laiks: reflpopgov</t>
  </si>
  <si>
    <t>Jautājuma laiks: reflpopdown</t>
  </si>
  <si>
    <t>Jautājuma laiks: reflpopleg</t>
  </si>
  <si>
    <t>Jautājuma laiks: reflpopwords3</t>
  </si>
  <si>
    <t>Grupas laiks: Politiskās valodas izmantošana 2</t>
  </si>
  <si>
    <t>Jautājuma laiks: genderfem</t>
  </si>
  <si>
    <t>Jautājuma laiks: Latgendrec</t>
  </si>
  <si>
    <t>Jautājuma laiks: Reclatenergy</t>
  </si>
  <si>
    <t>Jautājuma laiks: rec</t>
  </si>
  <si>
    <t>Jautājuma laiks: Latgreenrec</t>
  </si>
  <si>
    <t>Jautājuma laiks: Reclatdemoc</t>
  </si>
  <si>
    <t>Jautājuma laiks: politicsinterestLAT</t>
  </si>
  <si>
    <t>Jautājuma laiks: Recpopulism</t>
  </si>
  <si>
    <t>Grupas laiks: Piederība</t>
  </si>
  <si>
    <t>Jautājuma laiks: belonggeneralEST</t>
  </si>
  <si>
    <t>Jautājuma laiks: randnumber</t>
  </si>
  <si>
    <t>Jautājuma laiks: belonging1</t>
  </si>
  <si>
    <t>Jautājuma laiks: belonging2</t>
  </si>
  <si>
    <t>Jautājuma laiks: relationgeneral</t>
  </si>
  <si>
    <t>Jautājuma laiks: allwronglangEstLat</t>
  </si>
  <si>
    <t>Jautājuma laiks: allwronglangRus</t>
  </si>
  <si>
    <t>Jautājuma laiks: allwronglangkomm</t>
  </si>
  <si>
    <t>Grupas laiks: Sarunas par sabiedriski nozīmīgām tēmām</t>
  </si>
  <si>
    <t>Jautājuma laiks: workLAT</t>
  </si>
  <si>
    <t>Jautājuma laiks: workdiscussLAT</t>
  </si>
  <si>
    <t>Jautājuma laiks: famdiscussLAT</t>
  </si>
  <si>
    <t>Jautājuma laiks: schooldiscussLAT</t>
  </si>
  <si>
    <t>Jautājuma laiks: domainleisureLAT</t>
  </si>
  <si>
    <t>Jautājuma laiks: domainleisureLATCopy</t>
  </si>
  <si>
    <t>Grupas laiks: Demokrātija Latvijā</t>
  </si>
  <si>
    <t>Jautājuma laiks: demogeneralrankLAT</t>
  </si>
  <si>
    <t>Jautājuma laiks: demofuncLAT</t>
  </si>
  <si>
    <t>Grupas laiks: Izglītība un valodas</t>
  </si>
  <si>
    <t>Jautājuma laiks: educ</t>
  </si>
  <si>
    <t>Jautājuma laiks: abroadschool</t>
  </si>
  <si>
    <t>Jautājuma laiks: langschoolprime</t>
  </si>
  <si>
    <t>Jautājuma laiks: langschoolsec</t>
  </si>
  <si>
    <t>Grupas laiks: Valodas prasmes</t>
  </si>
  <si>
    <t>Jautājuma laiks: langskills1speak</t>
  </si>
  <si>
    <t>Jautājuma laiks: langskills2write</t>
  </si>
  <si>
    <t>Jautājuma laiks: langskills3underst</t>
  </si>
  <si>
    <t>Jautājuma laiks: langskills4read</t>
  </si>
  <si>
    <t>Grupas laiks: Valodas prasmes 2</t>
  </si>
  <si>
    <t>Jautājuma laiks: otherlangskills1spea</t>
  </si>
  <si>
    <t>Jautājuma laiks: otherlangskills2writ</t>
  </si>
  <si>
    <t>Jautājuma laiks: otherlangskills3unde</t>
  </si>
  <si>
    <t>Jautājuma laiks: otherlangskills4read</t>
  </si>
  <si>
    <t>Grupas laiks:</t>
  </si>
  <si>
    <t>Jautājuma laiks: otherlanguseEstLat</t>
  </si>
  <si>
    <t>Jautājuma laiks: otherlanguseRus</t>
  </si>
  <si>
    <t>Jautājuma laiks: otherlangimprov</t>
  </si>
  <si>
    <t>Jautājuma laiks: otherlangimprovactio</t>
  </si>
  <si>
    <t>Grupas laiks: Piederība 2</t>
  </si>
  <si>
    <t>Jautājuma laiks: belonggeneralESTCopy</t>
  </si>
  <si>
    <t>Jautājuma laiks: belonging1Copy</t>
  </si>
  <si>
    <t>Jautājuma laiks: belonging2Copy</t>
  </si>
  <si>
    <t>Jautājuma laiks: otherrelationship</t>
  </si>
  <si>
    <t>Grupas laiks: Mediji un valoda</t>
  </si>
  <si>
    <t>Jautājuma laiks: mediaTvRadioLAT</t>
  </si>
  <si>
    <t>Jautājuma laiks: mediaTvRadioLATkomm</t>
  </si>
  <si>
    <t>Jautājuma laiks: mediaPapersWebLAT</t>
  </si>
  <si>
    <t>Jautājuma laiks: mediaPapersLATkomm</t>
  </si>
  <si>
    <t>Jautājuma laiks: mediaSoMeLAT</t>
  </si>
  <si>
    <t>Grupas laiks: Komentārs</t>
  </si>
  <si>
    <t>Jautājuma laiks: lastwords</t>
  </si>
  <si>
    <t>Rīga</t>
  </si>
  <si>
    <t>2023-04-24 07:37:18</t>
  </si>
  <si>
    <t>ru</t>
  </si>
  <si>
    <t>2023-04-24 07:05:34</t>
  </si>
  <si>
    <t>lapa</t>
  </si>
  <si>
    <t>Cita atbilde</t>
  </si>
  <si>
    <t>Nē</t>
  </si>
  <si>
    <t>Jā</t>
  </si>
  <si>
    <t>Rīgā/ Rīgas rajonā</t>
  </si>
  <si>
    <t>ateistu(ti), nereliģiozu</t>
  </si>
  <si>
    <t>Lielākoties nevienlīdzīgi</t>
  </si>
  <si>
    <t>Lielākoties vienlīdzīgi</t>
  </si>
  <si>
    <t>Nevienlīdzīgi</t>
  </si>
  <si>
    <t>Zaļo un Zemnieku savienība</t>
  </si>
  <si>
    <t>"Latvija pirmajā vietā"</t>
  </si>
  <si>
    <t>Politiskā partija "Stabilitātei"</t>
  </si>
  <si>
    <t>Jaunā Vienotība</t>
  </si>
  <si>
    <t>"Apvienotais saraksts"</t>
  </si>
  <si>
    <t>"Progresīvie"</t>
  </si>
  <si>
    <t>Nacionālā Apvienība</t>
  </si>
  <si>
    <t>Cīņai ar klimata pārmaiņām būtu jābūt vairumam pasaules valstu galvenajai prioritātei.</t>
  </si>
  <si>
    <t>jā, visu, ko iespējams šķirot</t>
  </si>
  <si>
    <t>Ārkārtīgi</t>
  </si>
  <si>
    <t>Populisms, ka es domāju, ir iespēja popularizēt kaut-kadu jaunu un nepopulāro ideju vai koncepciju</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</si>
  <si>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t>
  </si>
  <si>
    <t>Drīzāk saspīlētas</t>
  </si>
  <si>
    <t>Ļoti saspīlētas</t>
  </si>
  <si>
    <t>Dažreiz</t>
  </si>
  <si>
    <t>Reti</t>
  </si>
  <si>
    <t>nē</t>
  </si>
  <si>
    <t>N/A</t>
  </si>
  <si>
    <t>(gandrīz) nekad</t>
  </si>
  <si>
    <t>(gandrīz) katru dienu</t>
  </si>
  <si>
    <t>pāris reižu nedēļā</t>
  </si>
  <si>
    <t>brīvas vēlēšanas un plurālisms</t>
  </si>
  <si>
    <t>pilsoniskās brīvības (vārda brīvība, tiesības uz tiesisko aizsardzību)</t>
  </si>
  <si>
    <t>vienlīdz pieejama izglītība, veselības aprūpe, sociālais nodrošinājums</t>
  </si>
  <si>
    <t>citreiz labi, citreiz slikti</t>
  </si>
  <si>
    <t>labi</t>
  </si>
  <si>
    <t>knapi/gandrīz necik</t>
  </si>
  <si>
    <t>slikti</t>
  </si>
  <si>
    <t>vidējo izglītību</t>
  </si>
  <si>
    <t>krievu</t>
  </si>
  <si>
    <t>vienlīdz latviešu un krievu</t>
  </si>
  <si>
    <t>Spēju pastāstīt par savu hobiju / darbu.</t>
  </si>
  <si>
    <t>Spēju uzrakstīt motivācijas vēstuli darbam/ par savu darba pieredzi.</t>
  </si>
  <si>
    <t>Viegli saprotu radio programmas / podkāstus par saviem hobijiem/darbības sfēru.</t>
  </si>
  <si>
    <t>Spēju izlasīt garus tekstus par vēstures, politikas un zinātnes tēmām.</t>
  </si>
  <si>
    <t>2023-04-24 07:43:33</t>
  </si>
  <si>
    <t>lv</t>
  </si>
  <si>
    <t>2023-04-24 07:06:30</t>
  </si>
  <si>
    <t>vīriešu</t>
  </si>
  <si>
    <t>Vienlīdzīgi</t>
  </si>
  <si>
    <t>nezinu</t>
  </si>
  <si>
    <t>Ļoti</t>
  </si>
  <si>
    <t>Ne sevišķi</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</si>
  <si>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t>
  </si>
  <si>
    <t>Mazliet saspīlētas</t>
  </si>
  <si>
    <t>Nav saspīlētas</t>
  </si>
  <si>
    <t>(Gandrīz) nekad</t>
  </si>
  <si>
    <t>reizi nedēļā</t>
  </si>
  <si>
    <t>pāris reižu mēnesī</t>
  </si>
  <si>
    <t>pamatizglītību</t>
  </si>
  <si>
    <t>latviešu</t>
  </si>
  <si>
    <t>Spēju uzrakstīt vēstuli draugam.</t>
  </si>
  <si>
    <t>Spēju izlasīt avīzi/īsstāstus.</t>
  </si>
  <si>
    <t>2023-04-24 07:33:10</t>
  </si>
  <si>
    <t>2023-04-24 07:06:40</t>
  </si>
  <si>
    <t>sieviešu</t>
  </si>
  <si>
    <t>Globālā sasilšana ir šķērsojusi robežu, pēc kuras nav iespējams atgriezties, un cilvēkiem būs jāpielāgojas.</t>
  </si>
  <si>
    <t>jā, lielāko daļu no tā, ko iespējams šķirot</t>
  </si>
  <si>
    <t>Partija stabilitātei ir sudīga populisma piemērs, kas diemžēl iedarbojas uz cilvēkiem. Populisms ir slikti, negodīgi, netaisnīgi</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</si>
  <si>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t>
  </si>
  <si>
    <t>ļoti labi</t>
  </si>
  <si>
    <t>Spēju ilgstoši sarunāties ar vienaudžiem/piedalīties darba pārrunās.</t>
  </si>
  <si>
    <t>Spēju uzrakstīt garāku sacerējumu/ kursa darbu</t>
  </si>
  <si>
    <t>Paldies par iespēju izteikt savu viedokli&lt;3</t>
  </si>
  <si>
    <t>2023-04-24 07:34:32</t>
  </si>
  <si>
    <t>2023-04-24 07:06:45</t>
  </si>
  <si>
    <t>Helisexual MI-8</t>
  </si>
  <si>
    <t>pareizticīgo</t>
  </si>
  <si>
    <t>Klimata pārmaiņas – tas ir ciklisks un dabisks process.</t>
  </si>
  <si>
    <t>Viduvēji</t>
  </si>
  <si>
    <t>Neinteresē</t>
  </si>
  <si>
    <t>Demogogija. Politiķis runā tādu, kas patīk dzīrdēt citiem.</t>
  </si>
  <si>
    <t>Bieži</t>
  </si>
  <si>
    <t>varas līdzsvars starp parlamentu, prezidentu un tiesām, lai neviena no institūcijām nespētu sevī koncentrēt lielāko daļu varas</t>
  </si>
  <si>
    <t>my name is Afir Al Fazir Beliar. Papavebegemabody pavapepe justanarrow ;)</t>
  </si>
  <si>
    <t>2023-04-24 07:28:33</t>
  </si>
  <si>
    <t>2023-04-24 07:10:55</t>
  </si>
  <si>
    <t>katoli(ieti)</t>
  </si>
  <si>
    <t>jā, daļu no tā, ko iespējams šķirot</t>
  </si>
  <si>
    <t>Dzirdot vārdu populisms, man nāk prātā pasaules populācija.</t>
  </si>
  <si>
    <t>{if(is_empty(tongueLAT_SQ001.NAOK), 'latviski','krieviski')} nerunāju it nemaz.</t>
  </si>
  <si>
    <t>Saprotu norādes, kur iet.</t>
  </si>
  <si>
    <t>Krieviski/latviski spēju izlasīt ēdienkarti restorānā.</t>
  </si>
  <si>
    <t>Snapchat</t>
  </si>
  <si>
    <t>Vai tiešām Latvijā valsts valoda ir igauņu/latviešu? Un būtu forši, ja ieliktu politisko terminu skaidrojumus, jo dažas no lapām pilnībā nesapratu.</t>
  </si>
  <si>
    <t>2023-04-24 07:29:50</t>
  </si>
  <si>
    <t>2023-04-24 07:10:56</t>
  </si>
  <si>
    <t>Vidzemē</t>
  </si>
  <si>
    <t>Cilvēki, kas izmanto aktuālas problēmas lai iegūtu uzmanību, bet neveikt neko lai uzlabotu.</t>
  </si>
  <si>
    <t>vienlīdzīgas tiesības minoritātēm un ievainojamām sabiedrības grupām</t>
  </si>
  <si>
    <t>{if(is_empty(tongueLAT_SQ001.NAOK), 'latviski','krieviski')} nemāku rakstīt.</t>
  </si>
  <si>
    <t>Es neko nespēju izlasīt {if(is_empty(tongueLAT_SQ001.NAOK), 'latviski','krieviski')}.</t>
  </si>
  <si>
    <t>TV6</t>
  </si>
  <si>
    <t>Viasat kino</t>
  </si>
  <si>
    <t>VLR, DotEsports</t>
  </si>
  <si>
    <t>2023-04-24 07:28:53</t>
  </si>
  <si>
    <t>2023-04-24 07:10:57</t>
  </si>
  <si>
    <t>Cilvēks, kas cenšās darīt visu spēkā, lai viņu ievēlētu, bet tas nenozīmē ka viņš arī kaut ko beigās darīs no solītā ar amatu.</t>
  </si>
  <si>
    <t>jā, nevalstiskā organizācijā</t>
  </si>
  <si>
    <t>vidusskolā neesmu gājis</t>
  </si>
  <si>
    <t>Viegli saprotu televīzijas pārraides vai Youtube video par saviem hobijiem/darbības sfēru.</t>
  </si>
  <si>
    <t>Atvainojos par faktu ka esmu stulbs un neiesaistos pietiekami politikā.</t>
  </si>
  <si>
    <t>2023-04-24 07:44:31</t>
  </si>
  <si>
    <t>2023-04-24 07:10:58</t>
  </si>
  <si>
    <t>Reizēm ekonomiskā un valsts stabilitāte varētu nozīmēt, ka atsevišķi ekoloģiskās politikas aspekti ir uz brīdi jāiepauzē.</t>
  </si>
  <si>
    <t>Politika kurā grib risināt problēmas isākā laikā</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</si>
  <si>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t>
  </si>
  <si>
    <t>2023-04-24 07:26:10</t>
  </si>
  <si>
    <t>2023-04-24 07:10:59</t>
  </si>
  <si>
    <t>{if(is_empty(tongueLAT_SQ001.NAOK), 'latviešu','krievu')} valodu nesaprotu vispār.</t>
  </si>
  <si>
    <t>Kāpēc pie jautājumiem par krievu valodas prasmi bija rakstīts ka Latvijā valsts valodas ir igauņu/latviešu?</t>
  </si>
  <si>
    <t>2023-04-24 07:34:51</t>
  </si>
  <si>
    <t>manās domās vārds "Populisms" nozīmē "radikālas lietas kā nedemokrātiskas ideoloģijas kuras iet pret brīvību un tiesībām" un "daļēji autoritāri režīmi" !</t>
  </si>
  <si>
    <t>TV24</t>
  </si>
  <si>
    <t>BBC.</t>
  </si>
  <si>
    <t>paldies par šo aptauju bet man nav domu ko izteikt!</t>
  </si>
  <si>
    <t>2023-04-24 07:41:35</t>
  </si>
  <si>
    <t>2023-04-24 07:11:02</t>
  </si>
  <si>
    <t>ветка</t>
  </si>
  <si>
    <t>Cilveks, kas manipulē ar parasto tautu, lietojot tēmas, kas ir tai interesentākas.</t>
  </si>
  <si>
    <t>Es nezinu</t>
  </si>
  <si>
    <t>70% krievu, 30% latviesu</t>
  </si>
  <si>
    <t>chto za tjagi takie berhatnije
Kefteme</t>
  </si>
  <si>
    <t>2023-04-24 07:37:49</t>
  </si>
  <si>
    <t>Kurzemē</t>
  </si>
  <si>
    <t>Es nezinu.</t>
  </si>
  <si>
    <t>Spēju veikt pasūtījumu restorānā.</t>
  </si>
  <si>
    <t>EHR RHIT</t>
  </si>
  <si>
    <t>Paldies</t>
  </si>
  <si>
    <t>2023-04-24 07:37:58</t>
  </si>
  <si>
    <t>2023-04-24 07:11:03</t>
  </si>
  <si>
    <t>Zemgalē</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</si>
  <si>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t>
  </si>
  <si>
    <t>arodskolu/ profesionālo izglītību</t>
  </si>
  <si>
    <t>:)</t>
  </si>
  <si>
    <t>2023-04-24 07:41:09</t>
  </si>
  <si>
    <t>2023-04-24 07:11:08</t>
  </si>
  <si>
    <t>Telegram</t>
  </si>
  <si>
    <t>2023-04-24 07:27:22</t>
  </si>
  <si>
    <t>2023-04-24 07:11:24</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</si>
  <si>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t>
  </si>
  <si>
    <t>jā, privāta darba devēja labā</t>
  </si>
  <si>
    <t>Juris Kalniņš</t>
  </si>
  <si>
    <t>fireship, hyperplexed, whistlindiesel</t>
  </si>
  <si>
    <t>snapchat</t>
  </si>
  <si>
    <t>man gribas ēst</t>
  </si>
  <si>
    <t>2023-04-24 07:28:03</t>
  </si>
  <si>
    <t>2023-04-24 07:11:29</t>
  </si>
  <si>
    <t>Kariņš.</t>
  </si>
  <si>
    <t>2023-04-24 07:26:34</t>
  </si>
  <si>
    <t>2023-04-24 07:11:30</t>
  </si>
  <si>
    <t>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t>
  </si>
  <si>
    <t>Juris Kalnins</t>
  </si>
  <si>
    <t>whistlindiesel</t>
  </si>
  <si>
    <t>s1mple</t>
  </si>
  <si>
    <t>gzuz</t>
  </si>
  <si>
    <t>forši</t>
  </si>
  <si>
    <t>2023-04-24 07:26:17</t>
  </si>
  <si>
    <t>2023-04-24 07:12:27</t>
  </si>
  <si>
    <t>не знаю</t>
  </si>
  <si>
    <t/>
  </si>
  <si>
    <t>2023-04-24 07:34:22</t>
  </si>
  <si>
    <t>2023-04-24 07:13:14</t>
  </si>
  <si>
    <t>Точно не знаю.</t>
  </si>
  <si>
    <t>jā, valsts iestādē</t>
  </si>
  <si>
    <t>Во многих вопросах, связанных с политикой я просто не знал ответа, так как не итересуюсь ей.
Насчет источников информации - я не читаю газеты и не смотрю телевизор, а также не смотрю новости в социальных сетях. Всю информацию я узнаю от знакомых или от семьи.</t>
  </si>
  <si>
    <t>2023-04-24 07:37:25</t>
  </si>
  <si>
    <t>2023-04-24 07:15:36</t>
  </si>
  <si>
    <t>Populisms man asociējas ar politiķi, kurš cenšas iekļūt starp valsts ierēdņiem sevis un sava maka dēļ. Kā arī izplata neīpaši labas domas</t>
  </si>
  <si>
    <t>Latvijas Ziņas</t>
  </si>
  <si>
    <t>2023-04-24 07:17:27</t>
  </si>
  <si>
    <t>Latgalē</t>
  </si>
  <si>
    <t>vecticībnieku(ci)</t>
  </si>
  <si>
    <t>2023-04-24 07:30:10</t>
  </si>
  <si>
    <t>2023-04-24 07:18:46</t>
  </si>
  <si>
    <t>2023-04-24 08:23:25</t>
  </si>
  <si>
    <t>en</t>
  </si>
  <si>
    <t>2023-04-24 07:56:39</t>
  </si>
  <si>
    <t>vairaku politku skatu punkti, laikam.</t>
  </si>
  <si>
    <t>neskatos TV</t>
  </si>
  <si>
    <t>es youtuba dazreiz paskatos kaut kadus klipus no anglu vai amerikanu zinam</t>
  </si>
  <si>
    <t>es nelasu zinas</t>
  </si>
  <si>
    <t>nelasu</t>
  </si>
  <si>
    <t>ganjau ka vel kaut kas ir</t>
  </si>
  <si>
    <t>Man liekas ka lielakajai dalai cilveku ap manu vecumu vispar politikia neinterese.</t>
  </si>
  <si>
    <t>2023-04-24 08:29:09</t>
  </si>
  <si>
    <t>2023-04-24 07:57:02</t>
  </si>
  <si>
    <t>twitch</t>
  </si>
  <si>
    <t>2023-04-24 08:21:27</t>
  </si>
  <si>
    <t>2023-04-24 07:57:50</t>
  </si>
  <si>
    <t>Netflix</t>
  </si>
  <si>
    <t>2023-04-24 08:27:56</t>
  </si>
  <si>
    <t>2023-04-24 07:59:25</t>
  </si>
  <si>
    <t>nevienu</t>
  </si>
  <si>
    <t>2023-04-24 08:27:40</t>
  </si>
  <si>
    <t>2023-04-24 07:59:29</t>
  </si>
  <si>
    <t>kad cilvēks seko populiritātei, jeb tendencijam</t>
  </si>
  <si>
    <t>2023-04-24 08:24:22</t>
  </si>
  <si>
    <t>2023-04-24 07:59:30</t>
  </si>
  <si>
    <t>Manuprāt, populisms ir kad kāda persona ar savu uzstāšanos uzrunā cilvēkus, kuru uzskati ir līdzīgi un tie atbalsta šo personu.</t>
  </si>
  <si>
    <t>TV6, 360TV</t>
  </si>
  <si>
    <t>360TV</t>
  </si>
  <si>
    <t>2023-04-24 08:14:21</t>
  </si>
  <si>
    <t>2023-04-24 07:59:39</t>
  </si>
  <si>
    <t>Tramps</t>
  </si>
  <si>
    <t>Nevienu</t>
  </si>
  <si>
    <t>TV3</t>
  </si>
  <si>
    <t>2023-04-24 08:26:09</t>
  </si>
  <si>
    <t>2023-04-24 07:59:41</t>
  </si>
  <si>
    <t>Politiku veids kas, vairāk dot ieguvumus iedzivotājiem un grib padarīt to dzīvi vieglāku.</t>
  </si>
  <si>
    <t>Es neko nesaprotu politikā un nevarēju pilnīgi uz tiem atbildēt.</t>
  </si>
  <si>
    <t>2023-04-24 08:29:13</t>
  </si>
  <si>
    <t>2023-04-24 08:00:07</t>
  </si>
  <si>
    <t>Man populisms asociējas ar to, kas mūsdienās ir aktuāls un par ko domā lielākā daļa sabiedrības.</t>
  </si>
  <si>
    <t>2023-04-24 08:26:36</t>
  </si>
  <si>
    <t>2023-04-24 08:00:37</t>
  </si>
  <si>
    <t>распространять  свои идеи</t>
  </si>
  <si>
    <t>:D</t>
  </si>
  <si>
    <t>2023-04-24 08:21:20</t>
  </si>
  <si>
    <t>2023-04-24 08:00:43</t>
  </si>
  <si>
    <t>protestantu(ti)</t>
  </si>
  <si>
    <t>Ideoloģija, kurā politiķi sola neiespējamus vai ārkārtīgi grūti izpildāmus solījumus.</t>
  </si>
  <si>
    <t>Youtube, Twitch</t>
  </si>
  <si>
    <t>delfi, apollo</t>
  </si>
  <si>
    <t>HLTV</t>
  </si>
  <si>
    <t>2023-04-24 08:14:20</t>
  </si>
  <si>
    <t>2023-04-24 08:00:50</t>
  </si>
  <si>
    <t>tv3 sport</t>
  </si>
  <si>
    <t>tv3 sport open tv3 sport2 tv3 sport 3</t>
  </si>
  <si>
    <t>leta.lv</t>
  </si>
  <si>
    <t>paldies par interesantu aptauju ;)</t>
  </si>
  <si>
    <t>2023-04-24 08:23:45</t>
  </si>
  <si>
    <t>2023-04-24 08:09:32</t>
  </si>
  <si>
    <t>vārds "telegramm" aptaujā ir uzrakstīts nepareizi.</t>
  </si>
  <si>
    <t>2023-04-24 08:42:24</t>
  </si>
  <si>
    <t>2023-04-24 08:11:38</t>
  </si>
  <si>
    <t>2023-04-24 08:43:39</t>
  </si>
  <si>
    <t>2023-04-24 08:11:40</t>
  </si>
  <si>
    <t>Nav nekādas tādas īpašas domas. Vienkārši definīcija no google'a un viss.</t>
  </si>
  <si>
    <t>Ļoti interesanti izvēles opcijas. Man ļoti patika punkts kur KOPĀ bija jautāts par LGBT un SIEVIEŠU tiesības. 👍</t>
  </si>
  <si>
    <t>2023-04-24 08:30:49</t>
  </si>
  <si>
    <t>2023-04-24 08:11:57</t>
  </si>
  <si>
    <t>...</t>
  </si>
  <si>
    <t>2023-04-24 08:24:37</t>
  </si>
  <si>
    <t>2023-04-24 08:12:35</t>
  </si>
  <si>
    <t>populizet lietas, kas nav musdienas tik aktualas</t>
  </si>
  <si>
    <t>Paldies par aptauju!</t>
  </si>
  <si>
    <t>2023-04-24 08:33:27</t>
  </si>
  <si>
    <t>2023-04-24 08:12:46</t>
  </si>
  <si>
    <t>Niks Rainers Suščenko</t>
  </si>
  <si>
    <t>2023-04-24 08:31:06</t>
  </si>
  <si>
    <t>2023-04-24 08:12:57</t>
  </si>
  <si>
    <t>Я не знаю</t>
  </si>
  <si>
    <t>2023-04-24 08:26:26</t>
  </si>
  <si>
    <t>2023-04-24 08:14:29</t>
  </si>
  <si>
    <t>sabiedribas izzinashana</t>
  </si>
  <si>
    <t>2023-04-27 13:47:08</t>
  </si>
  <si>
    <t>2023-04-27 13:29:11</t>
  </si>
  <si>
    <t>galds</t>
  </si>
  <si>
    <t>2023-04-27 13:47:48</t>
  </si>
  <si>
    <t>2023-04-27 13:29:23</t>
  </si>
  <si>
    <t>iespējams (Popularitāte sabiedrībā) bet neesmu pārliecināts</t>
  </si>
  <si>
    <t>2023-04-27 13:45:52</t>
  </si>
  <si>
    <t>2023-04-27 13:29:27</t>
  </si>
  <si>
    <t>cilvēku pievilkšana pie konkrētām politiskajām partijām caur vairākām metodēm</t>
  </si>
  <si>
    <t>bieži ikdienas notikumos, kā uz ielas staigājot vai stāvot pieturā, krieviski tiek jautāti kādi jautājumi, kurus nevaru saprast, jo nerunāju krievu valodā, un tad tieku izlamāts par to, ka to nesaprotu.</t>
  </si>
  <si>
    <t>2023-04-27 13:58:30</t>
  </si>
  <si>
    <t>2023-04-27 13:29:45</t>
  </si>
  <si>
    <t>Populisms ir cilvēks, kurš grib uzvarēt pielabinoties citiem, lai viņus uzvarētu savā pusē.</t>
  </si>
  <si>
    <t>2023-04-27 13:29:54</t>
  </si>
  <si>
    <t>2023-04-27 13:49:23</t>
  </si>
  <si>
    <t>kad vecās krievu omes uz ielas sāk mani lamāt par pīrsingiem, es viņām atbildu nepareizajā, savējā, valodā</t>
  </si>
  <si>
    <t>2023-04-27 13:45:11</t>
  </si>
  <si>
    <t>2023-04-27 13:34:22</t>
  </si>
  <si>
    <t>sportacentrs</t>
  </si>
  <si>
    <t>NBA</t>
  </si>
  <si>
    <t>2023-04-27 13:57:56</t>
  </si>
  <si>
    <t>2023-04-27 13:34:24</t>
  </si>
  <si>
    <t>Bieži Krievu valodas lietotāji pārmet latvijas iedzīvotājiem par to ka tie nav spējīgi komunicēt krieviski, ar saukli, ka Latvieši nemācās valodas.</t>
  </si>
  <si>
    <t>LKR</t>
  </si>
  <si>
    <t>Wikipedia</t>
  </si>
  <si>
    <t>Letonika</t>
  </si>
  <si>
    <t>Ja aptaujas mērķis bija iepazīties ar valodas lietojumu un politiskajiem uzskatiem, būtu vairāk jāpievērš uzmanība angļu valodas lietojumam un ASV ietekmei uz mūsu paaudzi. Paldies par aptauju!</t>
  </si>
  <si>
    <t>2023-04-27 14:00:39</t>
  </si>
  <si>
    <t>2023-04-27 13:34:30</t>
  </si>
  <si>
    <t>skaļi lozungi,</t>
  </si>
  <si>
    <t>2023-04-27 13:51:09</t>
  </si>
  <si>
    <t>2023-04-27 13:35:05</t>
  </si>
  <si>
    <t>lūdzu</t>
  </si>
  <si>
    <t>2023-04-27 14:02:00</t>
  </si>
  <si>
    <t>2023-04-27 13:42:58</t>
  </si>
  <si>
    <t>Neesmu to iepriekš dzirdējusi.</t>
  </si>
  <si>
    <t>Visbiežāk atgadās satikt dzērājus, kuri runā krievu valodā un neprot latviešu valodu, tad ir bijušas dīvainas situācijas, bet nekas nopietns.</t>
  </si>
  <si>
    <t>Veiksmi jūsu darbā!</t>
  </si>
  <si>
    <t>2023-04-27 14:00:44</t>
  </si>
  <si>
    <t>2023-04-27 13:43:34</t>
  </si>
  <si>
    <t>2023-04-27 13:58:56</t>
  </si>
  <si>
    <t>2023-04-27 13:44:13</t>
  </si>
  <si>
    <t>Nav ne jausmas</t>
  </si>
  <si>
    <t>Valsts valoda ir latviešu valoda, tāpēc nekur. Latviešu valodu visur.</t>
  </si>
  <si>
    <t>2023-05-02 10:26:53</t>
  </si>
  <si>
    <t>2023-05-02 10:06:28</t>
  </si>
  <si>
    <t>винт</t>
  </si>
  <si>
    <t>Какая-либо пропаганда, всё чаще воспринимается в негативном ключе. Чаще всего термин использовался упоминая политиков или так называемых "зелёных".</t>
  </si>
  <si>
    <t>1..</t>
  </si>
  <si>
    <t>Был инцидент, сидя в ресторане и разговаривая на привычном, удобном на тот момент, нам с друзьями языке - русском, далее прослеживалось предвзятое отношение, на лице официанта считывалось даже некоторое отвращение, хотя с ним разговор вёлся на латышском языке.</t>
  </si>
  <si>
    <t>2023-05-02 10:47:41</t>
  </si>
  <si>
    <t>2023-05-02 10:06:34</t>
  </si>
  <si>
    <t>Это слово, которым обзывают некоторых людей, которые действительно пытаются достигнуть существенных изменений в политических, или экономических сферах. Но это с одной стороны, однако, с другой, так бы я назвал многих сегодняшних европейских политиков, которые гонятся за массовыми трендами и пытаются угодить зелёной повестке, получая за это гранты от своих кураторов из-за океана, при этом не думая о своём народе. Это то, что мне приходит на ум.</t>
  </si>
  <si>
    <t>У нас в стране русский язык и русскоговорящие подвергаются дискриминации. Особенно, в сфере образования и высказываниями политиков и радикалов. К счастью, эта дискреминация, ПОКА ЕЩЁ, не соседствует с насилием, по крайней мере массово, однако, признаться, вызывает массу опасений. Говоря лично про МОЮ ситуацию. За использование русского языка ни раз снижалась оценка. Например, на географии, когда у нас географом был поставлен депутат из нацианалистической партии. (Сейчас он больше не в нашей школе) Хотя, не считая его, остальные учителя к нам хорошо относятся. Оно и понятно, это (пока что), русская школа. А сейчас гады хотят запретить образование на русском языке! Это глупо! По соотношению населения, русский вообще должен стать вторым государственным! В пример могу привести Извраиль! Там русских значительно меньше чем здесь, но тем не менее, русский является одним из государственных языков. Свобода слова потеряла силу в Латвии... Людей с иным мнением могут даже просто посадить. И не просто могут, а такие случаи уже были. А ещё эти лицемерные утверждения про демократию, свободу и европпу!</t>
  </si>
  <si>
    <t>Дмитрий Никотин(телегкрамм канал)</t>
  </si>
  <si>
    <t>Подковырчатые вопросы! Надеюсь, опрос и правда анонимен!</t>
  </si>
  <si>
    <t>2023-05-02 10:36:21</t>
  </si>
  <si>
    <t>2023-05-02 10:07:55</t>
  </si>
  <si>
    <t>Не уверен</t>
  </si>
  <si>
    <t>Понятие слова популизм, что это когда политики, в своей политической программе используют самые востребованные в народе, идеи и предложения</t>
  </si>
  <si>
    <t>2..</t>
  </si>
  <si>
    <t>При облии языковой сферы смешивались языковые понятия  в рабочей среде, выходила спутанная цель объяснения, для разбора приходилось использовать смешанно латышский-русский</t>
  </si>
  <si>
    <t>2023-05-02 10:38:35</t>
  </si>
  <si>
    <t>2023-05-02 10:09:03</t>
  </si>
  <si>
    <t>Я думаю популизм, это тип ведения политической деятельности, обращаясь к широким массам общественности.</t>
  </si>
  <si>
    <t>1.....</t>
  </si>
  <si>
    <t>различые медиа</t>
  </si>
  <si>
    <t>различные медиа</t>
  </si>
  <si>
    <t>2023-05-02 10:40:04</t>
  </si>
  <si>
    <t>2023-05-02 10:11:16</t>
  </si>
  <si>
    <t>По моему мнению,слово популизм я понимаю как политику,которая обещает быстроту и лёгкость в социальных острых проблемах.</t>
  </si>
  <si>
    <t>Такой ситуации не было,так как я имею представление и понимание,где и когда,на каком языке нужно разговаривать.</t>
  </si>
  <si>
    <t>ютуб,социальные сети</t>
  </si>
  <si>
    <t>Спасибо за опрос,было очень интересно и познательно проходить его,в некоторых моментах я поняла что и как я думаю (считаю) об орпеделённых сферах.</t>
  </si>
  <si>
    <t>2023-05-02 10:32:16</t>
  </si>
  <si>
    <t>2023-05-02 10:11:47</t>
  </si>
  <si>
    <t>Не знаю, так как не сильно разбираюсь в понятии слова популизм.</t>
  </si>
  <si>
    <t>Я ежедневно использую "неправильный язык'' в качестве средства для коммуникации.</t>
  </si>
  <si>
    <t>Спасибо за опрос!</t>
  </si>
  <si>
    <t>2023-05-02 10:31:36</t>
  </si>
  <si>
    <t>2023-05-02 10:11:53</t>
  </si>
  <si>
    <t>итальянский</t>
  </si>
  <si>
    <t>Klimata pārmaiņām nav nekādu pārliecinošu pierādījumu.</t>
  </si>
  <si>
    <t>Latviski spēju izlasīt ēdienkarti restorānā.</t>
  </si>
  <si>
    <t>уеду из страны</t>
  </si>
  <si>
    <t>друзья</t>
  </si>
  <si>
    <t>не смотрю тв и не слушаю радио</t>
  </si>
  <si>
    <t>не пользуюсь</t>
  </si>
  <si>
    <t>discord</t>
  </si>
  <si>
    <t>Не интересует политика и анологичные опросы</t>
  </si>
  <si>
    <t>2023-05-02 10:25:36</t>
  </si>
  <si>
    <t>2023-05-02 10:12:58</t>
  </si>
  <si>
    <t>либераха</t>
  </si>
  <si>
    <t>нет</t>
  </si>
  <si>
    <t>2023-05-02 10:25:54</t>
  </si>
  <si>
    <t>2023-05-02 10:14:59</t>
  </si>
  <si>
    <t>либерахи и леваки</t>
  </si>
  <si>
    <t>2023-05-02 10:44:36</t>
  </si>
  <si>
    <t>2023-05-02 10:15:56</t>
  </si>
  <si>
    <t>Разное</t>
  </si>
  <si>
    <t>,</t>
  </si>
  <si>
    <t>2023-05-02 10:32:08</t>
  </si>
  <si>
    <t>2023-05-02 10:16:20</t>
  </si>
  <si>
    <t>не интересует</t>
  </si>
  <si>
    <t>вопросов нет!  спасибо!</t>
  </si>
  <si>
    <t>2023-05-02 10:35:40</t>
  </si>
  <si>
    <t>2023-05-02 10:16:47</t>
  </si>
  <si>
    <t>nagla</t>
  </si>
  <si>
    <t>2023-05-02 10:32:33</t>
  </si>
  <si>
    <t>2023-05-02 10:16:55</t>
  </si>
  <si>
    <t>Nezinu</t>
  </si>
  <si>
    <t>.nezinu</t>
  </si>
  <si>
    <t>.</t>
  </si>
  <si>
    <t>2023-05-02 10:32:25</t>
  </si>
  <si>
    <t>2023-05-02 10:18:37</t>
  </si>
  <si>
    <t>ничего</t>
  </si>
  <si>
    <t>2023-05-02 10:40:16</t>
  </si>
  <si>
    <t>2023-05-02 10:20:46</t>
  </si>
  <si>
    <t>человек который решил идти против системы</t>
  </si>
  <si>
    <t>разговаривала на русском на работе после чего получила массу негативной реакции</t>
  </si>
  <si>
    <t>Liepāja</t>
  </si>
  <si>
    <t>2023-05-10 14:24:44</t>
  </si>
  <si>
    <t>2023-05-10 14:01:56</t>
  </si>
  <si>
    <t>cirvis</t>
  </si>
  <si>
    <t>tikai a</t>
  </si>
  <si>
    <t>a un b</t>
  </si>
  <si>
    <t>tikai b</t>
  </si>
  <si>
    <t>Pārsvarātie ir pensionāri kas no padomju savienības palikuši Latvijā un šo gadu laikā ir bijuši slinki iemācīties Valsts valodu. Tajā pat laikā gribēja Krievu valodu kāotru Valsts valodu. Citāts, kas man stāv galvā "Otru Valsts valodu būtu jāzien tikai tiem, kas neprot Krievu valdou"</t>
  </si>
  <si>
    <t>2023-05-10 14:24:03</t>
  </si>
  <si>
    <t>2023-05-10 14:02:03</t>
  </si>
  <si>
    <t>ne a, ne b</t>
  </si>
  <si>
    <t>uz saviem skatiem ,pan'akt lielu cilv'eku balsojumu,kas ir vi'niem tuvs</t>
  </si>
  <si>
    <t>veikala, Lietuva ieperkoties.</t>
  </si>
  <si>
    <t>2023-05-10 14:25:25</t>
  </si>
  <si>
    <t>2023-05-10 14:02:17</t>
  </si>
  <si>
    <t>liepajniekiem.lv</t>
  </si>
  <si>
    <t>2023-05-10 14:24:35</t>
  </si>
  <si>
    <t>2023-05-10 14:02:24</t>
  </si>
  <si>
    <t>metodistu</t>
  </si>
  <si>
    <t>nezinu, jo neesmu iepriekš par to domājusi/iedomājusies. Un nebiju īsti dzirdējusi tādu terminu "populisms"</t>
  </si>
  <si>
    <t>History, Animal Planet</t>
  </si>
  <si>
    <t>Discord</t>
  </si>
  <si>
    <t>2023-05-10 14:27:13</t>
  </si>
  <si>
    <t>2023-05-10 14:02:43</t>
  </si>
  <si>
    <t>Populisms nozīmē, ka politiķis vai persona mēģina apmierināt lielāko daļu no iedzīvotāju neapmierinātībām. Ja tauta, lielā mēra, sūdzās par teiksim "piespiedu vakcināciju", tad populists mēģinātu šos cilvēkus apmieriāt sakot, ka "cīnīsies par iedīvotāju iespēju izvēlēties!"</t>
  </si>
  <si>
    <t>Es ļoti bieži ar draugiem sarunājoties dažādos čatos izmantoj angļu valodu, jo tā ir īsāka un vieglāka nekā latviešu valoda.</t>
  </si>
  <si>
    <t>Manuprāt aptajua ir pārāk īsa, lai noteiktu pilno stāvokli Latvijā.</t>
  </si>
  <si>
    <t>2023-05-10 14:25:37</t>
  </si>
  <si>
    <t>2023-05-10 14:02:48</t>
  </si>
  <si>
    <t>Reliģiozs, bet ne konkrētai sektai</t>
  </si>
  <si>
    <t>Popolisti, cilvēki, kas sola cilvēkiem ļoti patīkamus solijumus, kas rezonansē ar vēlētāju.</t>
  </si>
  <si>
    <t>2023-05-10 14:33:48</t>
  </si>
  <si>
    <t>2023-05-10 14:02:56</t>
  </si>
  <si>
    <t>Populisti ir cilvēki kuri mēģina pierādīt ka cilvēki kuri nav represēti, īstenībā ir represēti, un viņi ir gatavi iznīcināt jebkādu sociālu struktūru un normas. Dzirdot vārdu populisms es iedomājos pārāk liberālos cilvēkus.</t>
  </si>
  <si>
    <t>Privāta informācija</t>
  </si>
  <si>
    <t>universitātes līmeni: bakalauru</t>
  </si>
  <si>
    <t>2023-05-10 14:21:54</t>
  </si>
  <si>
    <t>2023-05-10 14:04:33</t>
  </si>
  <si>
    <t>молот</t>
  </si>
  <si>
    <t>Первый раз слышу это слово.</t>
  </si>
  <si>
    <t>На приёме у рижского врача, намеренно не использующего русский язык, когда было видно, что его вопросы с медицинскими терминами не понятны мне.</t>
  </si>
  <si>
    <t>2023-05-10 15:48:09</t>
  </si>
  <si>
    <t>2023-05-10 15:33:08</t>
  </si>
  <si>
    <t>Kaut kas saistīts ar cilvēku skaitu valstī</t>
  </si>
  <si>
    <t>Ir retās situācijas, kad vai nu pircējs vai arī pārdevējs īsti neprot runāt latviski, un tad ir visai sarežģīti saprast, ko vēlas pircējs, vai arī ko paskaidrot pārdevējai.</t>
  </si>
  <si>
    <t>SkySports</t>
  </si>
  <si>
    <t>2023-05-10 15:49:58</t>
  </si>
  <si>
    <t>2023-05-10 15:33:11</t>
  </si>
  <si>
    <t>Ideloģija, kur daži cilvēki vēlas rūpēties par svešiniekiem, kuri paši svešinieki nerūpētos par tiem, ar tām pašām idejām.</t>
  </si>
  <si>
    <t>2023-05-10 15:47:31</t>
  </si>
  <si>
    <t>2023-05-10 15:33:18</t>
  </si>
  <si>
    <t>Populisms ir ideoloģija, kura ir vērsta uz to, ka tās pārstāvji propagandē cilvēkam to, ko tas vēlas dzirdēt, bet bieži dara pretējo vai kaut ko alkatīgu.</t>
  </si>
  <si>
    <t>Retro FM</t>
  </si>
  <si>
    <t>Liepājniekiem.lv</t>
  </si>
  <si>
    <t>4Chan, Saidit</t>
  </si>
  <si>
    <t>Vairāk jautājumi par politisko nostāju no personīgās puses būtu labi, kā arī dažu terminu paskaidrojumi būtu labi.</t>
  </si>
  <si>
    <t>2023-05-10 15:46:32</t>
  </si>
  <si>
    <t>2023-05-10 15:33:19</t>
  </si>
  <si>
    <t>man 'lika' runāt krieviski</t>
  </si>
  <si>
    <t>Tā kā man nav īpaši labas zināšanas par politiku, nevarēju pietiekami izpausties.</t>
  </si>
  <si>
    <t>2023-05-10 15:51:57</t>
  </si>
  <si>
    <t>2023-05-10 15:33:29</t>
  </si>
  <si>
    <t>Rosļikovs</t>
  </si>
  <si>
    <t>2023-05-10 15:42:05</t>
  </si>
  <si>
    <t>pagānu</t>
  </si>
  <si>
    <t>2023-05-10 15:48:24</t>
  </si>
  <si>
    <t>2023-05-10 15:33:31</t>
  </si>
  <si>
    <t>Neinteresējos par politiskajām lietām, tapēc nespēju konkrēti uz vinam atbildet.</t>
  </si>
  <si>
    <t>2023-05-10 15:50:02</t>
  </si>
  <si>
    <t>2023-05-10 15:33:40</t>
  </si>
  <si>
    <t>sola , bet nepilda</t>
  </si>
  <si>
    <t>Paldies !</t>
  </si>
  <si>
    <t>2023-05-10 15:47:59</t>
  </si>
  <si>
    <t>2023-05-10 15:33:45</t>
  </si>
  <si>
    <t>nav ne mazāko nojausmu</t>
  </si>
  <si>
    <t>neizmantoju krievu valodu vispār, jo nezinu to</t>
  </si>
  <si>
    <t>2023-05-10 15:53:48</t>
  </si>
  <si>
    <t>2023-05-10 15:33:56</t>
  </si>
  <si>
    <t>Pēc maniem ieskatiem, par populistu var uzskatīt tādu  politiķi, kurš runā vai apsola lietas, kuras ir grūti, vai neiespējami realizēt it kā tās ir vienkāršas un tikai Viņam pa spēkam.</t>
  </si>
  <si>
    <t>jā, pašvaldības iestādē</t>
  </si>
  <si>
    <t>universitātes līmeni: maģistru</t>
  </si>
  <si>
    <t>2023-05-10 15:43:34</t>
  </si>
  <si>
    <t>2023-05-10 15:34:38</t>
  </si>
  <si>
    <t>"nezinu"</t>
  </si>
  <si>
    <t>2023-05-10 15:57:20</t>
  </si>
  <si>
    <t>2023-05-10 15:37:08</t>
  </si>
  <si>
    <t>Daugavpils</t>
  </si>
  <si>
    <t>2023-05-11 11:32:21</t>
  </si>
  <si>
    <t>2023-05-11 11:14:14</t>
  </si>
  <si>
    <t>кот</t>
  </si>
  <si>
    <t>2023-05-11 11:33:02</t>
  </si>
  <si>
    <t>2023-05-11 11:14:30</t>
  </si>
  <si>
    <t>2023-05-11 11:36:56</t>
  </si>
  <si>
    <t>2023-05-11 11:14:39</t>
  </si>
  <si>
    <t>Партия "Stabilitātei" и партия "Saskaņa''</t>
  </si>
  <si>
    <t>Образование до 4 класса -  полностью на русском. с 5 до 9 класса биллингвально на обоих языках с приемуществом у латышского</t>
  </si>
  <si>
    <t>Супер+</t>
  </si>
  <si>
    <t>2023-05-11 11:33:47</t>
  </si>
  <si>
    <t>2023-05-11 11:14:41</t>
  </si>
  <si>
    <t>Понятие не имею, что это вообще такое.</t>
  </si>
  <si>
    <t>2023-05-11 11:31:34</t>
  </si>
  <si>
    <t>2023-05-11 11:14:53</t>
  </si>
  <si>
    <t>2.....</t>
  </si>
  <si>
    <t>2023-05-11 11:38:42</t>
  </si>
  <si>
    <t>2023-05-11 11:14:55</t>
  </si>
  <si>
    <t>....</t>
  </si>
  <si>
    <t>2023-05-11 11:30:11</t>
  </si>
  <si>
    <t>2023-05-11 11:15:05</t>
  </si>
  <si>
    <t>Не знаю</t>
  </si>
  <si>
    <t>Не юыло такого</t>
  </si>
  <si>
    <t>Не за что!</t>
  </si>
  <si>
    <t>2023-05-11 11:29:12</t>
  </si>
  <si>
    <t>2023-05-11 11:15:09</t>
  </si>
  <si>
    <t>Русский так как вся семья говорит только на русском</t>
  </si>
  <si>
    <t>2023-05-11 11:32:00</t>
  </si>
  <si>
    <t>2023-05-11 11:15:46</t>
  </si>
  <si>
    <t>-</t>
  </si>
  <si>
    <t>twitter, tiktok</t>
  </si>
  <si>
    <t>2023-05-11 11:37:34</t>
  </si>
  <si>
    <t>2023-05-11 11:17:03</t>
  </si>
  <si>
    <t>Все и всем</t>
  </si>
  <si>
    <t>2023-05-11 11:41:44</t>
  </si>
  <si>
    <t>2023-05-11 11:17:12</t>
  </si>
  <si>
    <t>популизм - процесс , когда что-то популизируется - обретает не совсем точный смысл самой идеи , нет конкретной информации про определенную тему</t>
  </si>
  <si>
    <t>много вопросов , котоые не доходят под возрастную категорию</t>
  </si>
  <si>
    <t>2023-05-11 11:38:46</t>
  </si>
  <si>
    <t>2023-05-11 11:17:32</t>
  </si>
  <si>
    <t>популисты по моему мнению пытаются угодить всем и следуют популярной точке зрения</t>
  </si>
  <si>
    <t>2023-05-11 11:40:01</t>
  </si>
  <si>
    <t>2023-05-11 11:17:37</t>
  </si>
  <si>
    <t>работодатели школа</t>
  </si>
  <si>
    <t>для чего этот тест</t>
  </si>
  <si>
    <t>2023-05-11 11:39:00</t>
  </si>
  <si>
    <t>школа</t>
  </si>
  <si>
    <t>не читаю газеты</t>
  </si>
  <si>
    <t>2023-05-11 11:47:09</t>
  </si>
  <si>
    <t>2023-05-11 11:19:24</t>
  </si>
  <si>
    <t>Русский</t>
  </si>
  <si>
    <t>2023-05-11 13:30:31</t>
  </si>
  <si>
    <t>2023-05-11 13:08:57</t>
  </si>
  <si>
    <t>bebrs</t>
  </si>
  <si>
    <t>Latvijā izmantoju tikai latviešu valodu, kas jebkurā ikdienišķā situācijā noteiktā Latvijas pilsētā tiek uzskatīta par nepareizu valodu.</t>
  </si>
  <si>
    <t>2023-05-11 13:34:34</t>
  </si>
  <si>
    <t>2023-05-11 13:09:10</t>
  </si>
  <si>
    <t>Jebkāda rīcība, kas vērsta uz to, lai izmantotu sabierības vairākumā valdošos uzskatus sevis ievēlēšanai. Populisms izmanto sabiedrības vairākuma viedokli, lai izvairītos no valstī nepieciešamu un nepopulāru izmaiņu veikšanas.</t>
  </si>
  <si>
    <t>Darbs, ja lielākā daļa kolektīva ir krievvalodīgie.</t>
  </si>
  <si>
    <t>angļu</t>
  </si>
  <si>
    <t>DW</t>
  </si>
  <si>
    <t>2023-05-11 13:25:36</t>
  </si>
  <si>
    <t>2023-05-11 13:09:13</t>
  </si>
  <si>
    <t>Diemžēl nezinu.</t>
  </si>
  <si>
    <t>2023-05-11 13:38:25</t>
  </si>
  <si>
    <t>2023-05-11 13:09:15</t>
  </si>
  <si>
    <t>Runāju skolā krievu valodā, kas nepatika pasniedzējam un tika veikts aizrādījums.</t>
  </si>
  <si>
    <t>2023-05-11 13:37:39</t>
  </si>
  <si>
    <t>2023-05-11 13:09:18</t>
  </si>
  <si>
    <t>рыба</t>
  </si>
  <si>
    <t>Просто слова ради слов, за которыми не подразумевается никаких реальных действий.</t>
  </si>
  <si>
    <t>Говорил с русскоговорящим товарищем по команде, в которой большая часть игроков была латышами.</t>
  </si>
  <si>
    <t>2023-05-11 13:38:46</t>
  </si>
  <si>
    <t>2023-05-11 13:09:40</t>
  </si>
  <si>
    <t>citviet: ārzemēs</t>
  </si>
  <si>
    <t>Darbi nesakrit ar vardiem.</t>
  </si>
  <si>
    <t>Lai nebutu nepatikamu situaciju izmantoju anglu valodu.</t>
  </si>
  <si>
    <t>Fox news</t>
  </si>
  <si>
    <t>2023-05-11 13:31:07</t>
  </si>
  <si>
    <t>2023-05-11 13:09:43</t>
  </si>
  <si>
    <t>Vai tad ir " nepareizas valodas"?</t>
  </si>
  <si>
    <t>Панорама Резекне</t>
  </si>
  <si>
    <t>2023-05-11 13:25:13</t>
  </si>
  <si>
    <t>2023-05-11 13:09:47</t>
  </si>
  <si>
    <t>Ideoloğija</t>
  </si>
  <si>
    <t>2023-05-11 13:32:32</t>
  </si>
  <si>
    <t>2023-05-11 13:09:48</t>
  </si>
  <si>
    <t>Немецкий</t>
  </si>
  <si>
    <t>Не могу вспомнить такую ситуацию</t>
  </si>
  <si>
    <t>Pro 7</t>
  </si>
  <si>
    <t>2023-05-11 13:44:32</t>
  </si>
  <si>
    <t>2023-05-11 13:09:50</t>
  </si>
  <si>
    <t>Trump</t>
  </si>
  <si>
    <t>Man ir divas sarunvalodas. Mājās - krieviski, kaut arī vīrs latvietis pēc dzimšanas. Darbā - ar kolēģiem vairāk krieviski, ar klientiem - krieviski un latviski. Rakstiski darbā - latviršu valodā. Veikalos, kafeinicās savā pilsētā - krieviski, bet citās pilsētās - parasti latviski. Universitātē - ar pasniedzējiem nodarbību laikā - latviski. Ārpus mācību procesa - bilingvāli. Ar kursabiedriem - krieviski.</t>
  </si>
  <si>
    <t>Youtube</t>
  </si>
  <si>
    <t>Пятница</t>
  </si>
  <si>
    <t>grani.lv</t>
  </si>
  <si>
    <t>Vienīga doma par demokrātiju Latvijā...Mūsu pašreizēja valde NOGALINA mūsu Dzimtenes nākotni!</t>
  </si>
  <si>
    <t>2023-05-11 13:30:30</t>
  </si>
  <si>
    <t>2023-05-11 13:10:06</t>
  </si>
  <si>
    <t>Visintuitīvakais skaidrojums un risinājums problēmam, kurš balstas uz emocijam nevis faktiem, statistiku, zinātniskiem metodiem</t>
  </si>
  <si>
    <t>Рабкор</t>
  </si>
  <si>
    <t>2023-05-11 13:27:50</t>
  </si>
  <si>
    <t>2023-05-11 13:10:10</t>
  </si>
  <si>
    <t>Naida kurināšana</t>
  </si>
  <si>
    <t>2023-05-11 13:53:57</t>
  </si>
  <si>
    <t>2023-05-11 13:11:44</t>
  </si>
  <si>
    <t>Способ политики основанный на доверии граждан к правящему лицу и реализация им данных обещаний</t>
  </si>
  <si>
    <t>2023-05-11 13:36:14</t>
  </si>
  <si>
    <t>2023-05-11 13:16:54</t>
  </si>
  <si>
    <t>Populisms- propaganda</t>
  </si>
  <si>
    <t>2023-05-11 13:31:38</t>
  </si>
  <si>
    <t>2023-05-11 13:18:22</t>
  </si>
  <si>
    <t>2023-05-11 13:41:11</t>
  </si>
  <si>
    <t>2023-05-11 13:19:10</t>
  </si>
  <si>
    <t>Populisms kā termins, manuprāt, mūsdienās ir izmantots vairāk negatīvā ziņā. Populisma piemēri - Lukašenko, Putins, Bulsanaro utt.</t>
  </si>
  <si>
    <t>2023-05-16 10:27:59</t>
  </si>
  <si>
    <t>2023-05-16 10:11:55</t>
  </si>
  <si>
    <t>desa</t>
  </si>
  <si>
    <t>es māku runād 3 valodas tapēc runāju ar katru valodu brīvi lietoju ka kuram ērti un ka kuram vajag</t>
  </si>
  <si>
    <t>youtube</t>
  </si>
  <si>
    <t>2023-05-16 10:37:25</t>
  </si>
  <si>
    <t>2023-05-16 10:12:36</t>
  </si>
  <si>
    <t>хлеб</t>
  </si>
  <si>
    <t>политика</t>
  </si>
  <si>
    <t>Я незнаю</t>
  </si>
  <si>
    <t>2023-05-16 10:30:12</t>
  </si>
  <si>
    <t>2023-05-16 10:12:38</t>
  </si>
  <si>
    <t>sociālā nodaļa</t>
  </si>
  <si>
    <t>es izmantoju to valodu, kura man ir ērta un uz apkārtējiem man ir apsolūti vienalga</t>
  </si>
  <si>
    <t>TV7</t>
  </si>
  <si>
    <t>2023-05-16 10:49:37</t>
  </si>
  <si>
    <t>2023-05-16 10:12:40</t>
  </si>
  <si>
    <t>Sadzirdot vārdu ''populisms'', pirmais, par ko man šis vārds liek domāt, ir - apsūdzību, negatīvas domas par indivīdu vai partiju, kad viņi(-as) pieņem lēmumus, kuri leik muldināt tautu un tml.</t>
  </si>
  <si>
    <t>liepajniekuem.lv</t>
  </si>
  <si>
    <t>Paldies Jums par aptauju, tiešām lika piedomāt pie katra jautājuma un tās nozīmes.</t>
  </si>
  <si>
    <t>2023-05-16 10:27:13</t>
  </si>
  <si>
    <t>2023-05-16 10:12:43</t>
  </si>
  <si>
    <t>dzērājam darīt nebija ko</t>
  </si>
  <si>
    <t>2023-05-16 10:26:35</t>
  </si>
  <si>
    <t>2023-05-16 10:13:01</t>
  </si>
  <si>
    <t>Latviski mēģināju runāt ar darbinieku lielveikalā, kura bija ukraiņu imigrants.</t>
  </si>
  <si>
    <t>2023-05-16 10:30:15</t>
  </si>
  <si>
    <t>2023-05-16 10:13:02</t>
  </si>
  <si>
    <t>Aldis Gobzems</t>
  </si>
  <si>
    <t>stv</t>
  </si>
  <si>
    <t>2023-05-16 10:48:55</t>
  </si>
  <si>
    <t>2023-05-16 10:13:10</t>
  </si>
  <si>
    <t>Populisms ir, kaut kas saistīts ar popularitātes gribēšanu kļūt populārs.</t>
  </si>
  <si>
    <t>ja kāds nezina, kur vajag iet tad varu npteikti runāt krievu valodā</t>
  </si>
  <si>
    <t>YouTube</t>
  </si>
  <si>
    <t>Parak Daudzi Jautājumi</t>
  </si>
  <si>
    <t>2023-05-16 10:27:42</t>
  </si>
  <si>
    <t>2023-05-16 10:13:18</t>
  </si>
  <si>
    <t>что то связанное с политикой</t>
  </si>
  <si>
    <t>я использую в общении с учительми,продавцами и одногруппниками</t>
  </si>
  <si>
    <t>спорт и фильмы</t>
  </si>
  <si>
    <t>2023-05-16 10:36:48</t>
  </si>
  <si>
    <t>2023-05-16 10:14:28</t>
  </si>
  <si>
    <t>Man liekas ka vārds populisms ir tas pats kas populācija</t>
  </si>
  <si>
    <t>youtube kanāli</t>
  </si>
  <si>
    <t>2023-05-16 12:23:51</t>
  </si>
  <si>
    <t>2023-05-16 12:06:00</t>
  </si>
  <si>
    <t>трава</t>
  </si>
  <si>
    <t>2023-05-16 12:32:01</t>
  </si>
  <si>
    <t>2023-05-16 12:06:35</t>
  </si>
  <si>
    <t>на работе, говоря на русском языке, с коллегами или другими людьми</t>
  </si>
  <si>
    <t>2023-05-16 12:23:47</t>
  </si>
  <si>
    <t>2023-05-16 12:06:39</t>
  </si>
  <si>
    <t>Дональд Трамп</t>
  </si>
  <si>
    <t>В кругу друзей общаясь на русском языке,прохожие этим недовольствуются,упираясь на то,что мы живем в Латвии где родной язык латышсикий</t>
  </si>
  <si>
    <t>2023-05-16 12:25:26</t>
  </si>
  <si>
    <t>2023-05-16 12:06:41</t>
  </si>
  <si>
    <t>2023-05-16 12:31:30</t>
  </si>
  <si>
    <t>2023-05-16 12:06:44</t>
  </si>
  <si>
    <t>Заставить людей/народ адаптироваться к современным потребностям и проблемам насильным путём</t>
  </si>
  <si>
    <t>когда в первые устроился работать в сеть магазинов DEPO и попросил перефразировать то-что мне сказали на латышском на русский, главной по отделению</t>
  </si>
  <si>
    <t>новости на телефоне построенные под мои интересы</t>
  </si>
  <si>
    <t>2023-05-16 12:17:46</t>
  </si>
  <si>
    <t>2023-05-16 12:06:51</t>
  </si>
  <si>
    <t>2023-05-16 12:50:22</t>
  </si>
  <si>
    <t>2023-05-16 12:07:00</t>
  </si>
  <si>
    <t>Человек по большей мере думает о своей нации и о своих ценностях</t>
  </si>
  <si>
    <t>чаще всего это с латышским. Ты можешь нормально понимать и говорить на латышском, но если вдруг латышь услышит ошибки и поймет что вы не носитель, то очень часто я сталкивалась с таким что человек не хочет даже слушать и продолжать диалог</t>
  </si>
  <si>
    <t>2023-05-16 12:37:57</t>
  </si>
  <si>
    <t>Распространение того или иного события в стране, которое нужно разобрать</t>
  </si>
  <si>
    <t>в кафе, русский язык</t>
  </si>
  <si>
    <t>2023-05-16 12:43:19</t>
  </si>
  <si>
    <t>2023-05-16 12:07:03</t>
  </si>
  <si>
    <t>обещания</t>
  </si>
  <si>
    <t>2023-05-16 12:39:05</t>
  </si>
  <si>
    <t>2023-05-16 12:08:28</t>
  </si>
  <si>
    <t>возможнобкогда человек бореца за определенную проблему и пытается превлечь как можно больше внимания к ней.</t>
  </si>
  <si>
    <t>дома, в семье и с друзьями я говорю на русском.В магазине я разговариваю с продовцами на латышском или на руском.</t>
  </si>
  <si>
    <t>2023-05-16 12:41:34</t>
  </si>
  <si>
    <t>2023-05-16 12:08:37</t>
  </si>
  <si>
    <t>2023-05-16 12:34:06</t>
  </si>
  <si>
    <t>2023-05-16 12:09:03</t>
  </si>
  <si>
    <t>Не знаю.</t>
  </si>
  <si>
    <t>2023-05-16 12:38:09</t>
  </si>
  <si>
    <t>2023-05-16 12:09:05</t>
  </si>
  <si>
    <t>2023-05-16 12:39:37</t>
  </si>
  <si>
    <t>2023-05-16 12:09:12</t>
  </si>
  <si>
    <t>lapsa</t>
  </si>
  <si>
    <t>Чаще всего я использовала "неправильный язык" (русский) в ьом случае, когда мне сложно правильно донести свою мысль на латышском, так как я очень сильно беспокоюсь о том, что люди неправильно меня поймут.</t>
  </si>
  <si>
    <t>Tumblr</t>
  </si>
  <si>
    <t>2023-05-16 12:20:58</t>
  </si>
  <si>
    <t>2023-05-16 12:09:54</t>
  </si>
  <si>
    <t>igaunija</t>
  </si>
  <si>
    <t>notikumi</t>
  </si>
  <si>
    <t>Jā, darba iemeslu dēļ</t>
  </si>
  <si>
    <t>Es ceru, ka parādīsies iespēja</t>
  </si>
  <si>
    <t>2023-05-16 12:35:30</t>
  </si>
  <si>
    <t>2023-05-16 12:15:35</t>
  </si>
  <si>
    <t>1..............</t>
  </si>
  <si>
    <t>Русские везде, латышский в школе на работе</t>
  </si>
  <si>
    <t>2023-05-16 12:41:29</t>
  </si>
  <si>
    <t>2023-05-16 12:17:51</t>
  </si>
  <si>
    <t>Использовал английский язык, чтобы общаться с людьми в играх</t>
  </si>
  <si>
    <t>2023-05-24 13:42:16</t>
  </si>
  <si>
    <t>2023-05-24 14:02:42</t>
  </si>
  <si>
    <t>nauda</t>
  </si>
  <si>
    <t>bbc</t>
  </si>
  <si>
    <t>delfi</t>
  </si>
  <si>
    <t>2023-05-24 14:10:51</t>
  </si>
  <si>
    <t>2023-05-24 13:42:20</t>
  </si>
  <si>
    <t xml:space="preserve">нож </t>
  </si>
  <si>
    <t>агностик</t>
  </si>
  <si>
    <t>2023-05-24 14:03:30</t>
  </si>
  <si>
    <t>2023-05-24 13:42:34</t>
  </si>
  <si>
    <t>Kādas konkrētas idejas vai notikuma izplatīšana</t>
  </si>
  <si>
    <t>2023-05-24 13:54:42</t>
  </si>
  <si>
    <t>2023-05-24 13:42:37</t>
  </si>
  <si>
    <t>чайка.лв</t>
  </si>
  <si>
    <t>2023-05-24 14:01:22</t>
  </si>
  <si>
    <t>2023-05-24 13:42:40</t>
  </si>
  <si>
    <t>2023-05-24 14:09:33</t>
  </si>
  <si>
    <t>2023-05-24 13:42:43</t>
  </si>
  <si>
    <t>gorod.lv, čaika</t>
  </si>
  <si>
    <t>Snapchat, BeReal, Discord</t>
  </si>
  <si>
    <t>2023-05-24 14:18:08</t>
  </si>
  <si>
    <t>2023-05-24 13:42:46</t>
  </si>
  <si>
    <t>Populisms - Vēlme kļūt vienā līmenī ar attīstītajām pasaules valstīm, bet darot to ļoti slikti (runa ir par Latviju)</t>
  </si>
  <si>
    <t>Es izmantoju latviešu, krievu, angļu valodu. Daugavpilī man nav problēmu, tomēr citās Latvijas valsts pilsētās es tiku diskriminēta un aizskarta, jo izmantoju krievu valodu. Manuprāt, tāda reakcija ir nenormāla, jo nav nekā slikta, ka es pārzinu vairākas valodas. Krievu valoda ir VALODA. Ja valsts grib izvairīties no citas valodas, popularizējot latviešu valodu, tad jārīkojās citādāk, piemēram filmēt vairāk kino latviešu valodā (bezmaksas, lai to varētu noskatīties mājās), latviešu valodas multfilmas, pasākumi, spēles, letotājprogrammas (spēles, krosvirdi, valodas apgūšana). Ka arī bezmaksas, brīvprātīgas grupas, kurā var pļāpāt par savu dzīves pieredzi un citu. Jāpopularizē savu latviešu valodu, izmantojot kreativitāti nevis aizliēgt krievu valodu, agresēt uz krievrunājošiem cilvēkiem. Es pārzinu latviešu valodu, es mīlu savu kultūru, es esmu latviete, tomēr mani kaitina un aizvaino tādas attiecības valstī.</t>
  </si>
  <si>
    <t>Latvijas Panorāma</t>
  </si>
  <si>
    <t>Vēlos vairāk interaktīvu latviešu valodā. Multfilmas, aplikācijas, filmas, grāmatas un cits.</t>
  </si>
  <si>
    <t>2023-05-24 14:05:46</t>
  </si>
  <si>
    <t>2023-05-24 13:42:47</t>
  </si>
  <si>
    <t>нож</t>
  </si>
  <si>
    <t>Non-binary</t>
  </si>
  <si>
    <t>Обещание большому скоплению людей/народу решить большую проблему быстрым и лёгким, но далеко не всегда эффективным, путём.</t>
  </si>
  <si>
    <t>В привычке, зная, что большинство соседей - русские, бывает что я здороваюсь с ними на русском. От этого я получал не мало взглядов от определённой пары. от этого я продолжаю встречать всех простым кивком.</t>
  </si>
  <si>
    <t>2023-05-24 14:10:39</t>
  </si>
  <si>
    <t>2023-05-24 13:42:49</t>
  </si>
  <si>
    <t>сразу на ум приходит какой-то человек который популеризировает что-то</t>
  </si>
  <si>
    <t>Я разговаривал с продавцом  на русском и ему это не нравилось</t>
  </si>
  <si>
    <t>2023-05-24 13:56:42</t>
  </si>
  <si>
    <t>2023-05-24 13:43:10</t>
  </si>
  <si>
    <t>2023-05-24 14:01:23</t>
  </si>
  <si>
    <t>2023-05-24 13:43:11</t>
  </si>
  <si>
    <t>2023-05-24 13:54:17</t>
  </si>
  <si>
    <t>2023-05-24 13:43:15</t>
  </si>
  <si>
    <t>2023-05-24 13:43:25</t>
  </si>
  <si>
    <t>2023-05-24 14:03:16</t>
  </si>
  <si>
    <t>2023-05-24 14:00:54</t>
  </si>
  <si>
    <t>2023-05-24 13:43:37</t>
  </si>
  <si>
    <t>2023-05-24 14:07:06</t>
  </si>
  <si>
    <t>2023-05-24 13:43:38</t>
  </si>
  <si>
    <t>Популизм - народ , адекватное отношение к интересам народа.</t>
  </si>
  <si>
    <t>Я использую русский язык повседневно. Не считаю это нарушением , все мое окружение состоит из русскоговорящих. Мой родной язык - мое дело :)</t>
  </si>
  <si>
    <t>2023-05-24 14:09:36</t>
  </si>
  <si>
    <t>2023-05-24 13:43:43</t>
  </si>
  <si>
    <t>Латгальский</t>
  </si>
  <si>
    <t>В школе</t>
  </si>
  <si>
    <t>2023-05-24 13:56:22</t>
  </si>
  <si>
    <t>2023-05-24 13:43:44</t>
  </si>
  <si>
    <t>незнаю</t>
  </si>
  <si>
    <t>просто говорю</t>
  </si>
  <si>
    <t>2023-05-24 13:57:52</t>
  </si>
  <si>
    <t>2023-05-24 13:43:45</t>
  </si>
  <si>
    <t>Izmantoju dažādu valodu ar cilvēkiem,kuri izmanto vienu</t>
  </si>
  <si>
    <t>2023-05-24 14:10:29</t>
  </si>
  <si>
    <t>Es iepriekš jau sastapos ar šo jēdzienu, taču precīzi nezinu, ko tas nozīmē. Iespējams, ka tas attiecās pie politiķiem, kuri izmanto visiem saprotamus, taču plašus un nekonkrētus jēdzienus, lai iegūtu pēc iespējas vairāku cilvēku atbalstu. Patiesībā šo cilvēku mērķis nav kaut ko valstī uzlabot.</t>
  </si>
  <si>
    <t>2023-05-24 13:57:35</t>
  </si>
  <si>
    <t>2023-05-24 13:43:46</t>
  </si>
  <si>
    <t>2023-05-24 13:59:00</t>
  </si>
  <si>
    <t>2023-05-24 13:43:49</t>
  </si>
  <si>
    <t>Агностик</t>
  </si>
  <si>
    <t>На уроке латышкого</t>
  </si>
  <si>
    <t>E-klase</t>
  </si>
  <si>
    <t>2023-05-24 14:11:43</t>
  </si>
  <si>
    <t>2023-05-24 13:43:53</t>
  </si>
  <si>
    <t>Одержимость идеей</t>
  </si>
  <si>
    <t>2023-05-24 14:09:52</t>
  </si>
  <si>
    <t>2023-05-24 13:43:57</t>
  </si>
  <si>
    <t>diemžēl nezinu</t>
  </si>
  <si>
    <t>saniedrībā, kura runā latviski, es varēju lietot krievu valodu. dažreiz biju diskriminēta.</t>
  </si>
  <si>
    <t>2023-05-24 14:00:33</t>
  </si>
  <si>
    <t>2023-05-24 14:08:37</t>
  </si>
  <si>
    <t>2023-05-24 13:43:58</t>
  </si>
  <si>
    <t>Kariņš</t>
  </si>
  <si>
    <t>krievu valodu izmantoju ikdienas dzīve</t>
  </si>
  <si>
    <t>2023-05-24 14:02:12</t>
  </si>
  <si>
    <t>2023-05-24 13:44:00</t>
  </si>
  <si>
    <t>2023-05-24 14:02:04</t>
  </si>
  <si>
    <t>2023-05-24 13:44:02</t>
  </si>
  <si>
    <t>Nezinu.</t>
  </si>
  <si>
    <t>2023-05-24 13:59:24</t>
  </si>
  <si>
    <t>2023-05-24 13:44:05</t>
  </si>
  <si>
    <t>Teritorija</t>
  </si>
  <si>
    <t>2023-05-24 13:56:48</t>
  </si>
  <si>
    <t>paldies par aptauju</t>
  </si>
  <si>
    <t>2023-05-24 14:08:27</t>
  </si>
  <si>
    <t>2023-05-24 13:44:08</t>
  </si>
  <si>
    <t>Populismu izmanto politiķi, kuri grib ātrāk un izdevīgāk sev atrisināt problēmu. Populisti risina globālas pasaules problēmas nevis iekšējas valsts aktuālas problēmas.</t>
  </si>
  <si>
    <t>Valsts institucījās  jāruna  latviski</t>
  </si>
  <si>
    <t>2023-05-24 14:05:06</t>
  </si>
  <si>
    <t>2023-05-24 13:44:10</t>
  </si>
  <si>
    <t>2023-05-24 14:13:03</t>
  </si>
  <si>
    <t>2023-05-24 13:44:13</t>
  </si>
  <si>
    <t>populisms man asociējas ar sociālajiem medijiem,bet savukārt soc.mediji ir viena no valdības varas faktoriem,kur cilvēkiem tiek propogandēts dažndažāds uzskats</t>
  </si>
  <si>
    <t>es uzskatu ka nepareizās valodas nav.visiem jābūt iespēja izsteikties un paust savas domas tajā valodā ,kura ir piemērota.es izmantoju gan latviešu ,gan krievu valodu ģimeņē,skolā,ar paziņām.bet svarīgi manuprāt ir tas ka latgali uzskata par krievijas pusi ..piemērs no dzīves mūs uzaicināja uz kāzām radi no valmieras puses ,es sarunājotie ar brāli izmantoju krievu valodu,bet viens vīrietis(kāds no tāliem radfiem) jautā kad es došos uz latviju,vai tiešām tas ir normāli? pat ja daugavpils ir dadz krievvalodīgo ,tas nav iemesls diskriminēt par to visi zin latviešu valodu ,bet vrbt ne tādā līmenī kā gribētos vidzemes kurzemes un lzemgales iedxzīvotājiem</t>
  </si>
  <si>
    <t>2023-05-24 14:03:18</t>
  </si>
  <si>
    <t>2023-05-24 13:44:14</t>
  </si>
  <si>
    <t>2023-05-24 14:10:15</t>
  </si>
  <si>
    <t>2023-05-24 13:44:15</t>
  </si>
  <si>
    <t>Es vienkārši runāju ar saviem ģimenes locekļiem krieviski pirms kādas grupas koncerta.</t>
  </si>
  <si>
    <t>2023-05-24 13:57:59</t>
  </si>
  <si>
    <t>2023-05-24 13:44:18</t>
  </si>
  <si>
    <t>2023-05-24 14:03:42</t>
  </si>
  <si>
    <t>izmantoju krievu valodu rīgas veikalā, ar mani sāka runāt latviski vai vispār neatbildēja</t>
  </si>
  <si>
    <t>2023-05-24 14:06:10</t>
  </si>
  <si>
    <t>2023-05-24 13:44:19</t>
  </si>
  <si>
    <t>2023-05-24 13:44:20</t>
  </si>
  <si>
    <t>2023-05-24 14:15:29</t>
  </si>
  <si>
    <t>Ja tēma ir saistīta ar politiku tad, kad es dzirdu vārdu "populisms", man ienāk prātā Egils Levits un Krišjānis Kariņš. Jo tie nav politiķi, tie ir muļķi, kurām rokās atrodas mūsu valsts. Viņi nedara neko noderīgu un tikai iznīcinā mūsu valsti, ekonomiku un kultūru. (Daudz runā, bet neko nedara)</t>
  </si>
  <si>
    <t>2023-05-24 13:56:30</t>
  </si>
  <si>
    <t>2023-05-24 13:44:23</t>
  </si>
  <si>
    <t>es nezinu</t>
  </si>
  <si>
    <t>2023-05-24 13:55:56</t>
  </si>
  <si>
    <t>2023-05-24 13:44:27</t>
  </si>
  <si>
    <t>2023-05-24 14:01:51</t>
  </si>
  <si>
    <t>2023-05-24 13:45:22</t>
  </si>
  <si>
    <t>я говорю на русском языке, потому что это мой родной язык</t>
  </si>
  <si>
    <t>2023-05-24 14:00:56</t>
  </si>
  <si>
    <t>2023-05-24 13:45:57</t>
  </si>
  <si>
    <t>2023-05-24 14:05:52</t>
  </si>
  <si>
    <t>2023-05-24 13:46:15</t>
  </si>
  <si>
    <t>mainit valdību</t>
  </si>
  <si>
    <t>Nadejus menja ne posadjat 'w'</t>
  </si>
  <si>
    <t>2023-05-24 14:05:43</t>
  </si>
  <si>
    <t>2023-05-24 13:47:00</t>
  </si>
  <si>
    <t>politika, kas klausās lielāku sabiedrības daļu un meģinā ( vai tikai solā) risināt sociālas problēmas.</t>
  </si>
  <si>
    <t>Skolā, darbnīcā mēs vienkārši nevaram saprast viens otru</t>
  </si>
  <si>
    <t>paldies</t>
  </si>
  <si>
    <t>2023-05-24 14:08:31</t>
  </si>
  <si>
    <t>2023-05-24 13:47:13</t>
  </si>
  <si>
    <t>visu laiku es runāju tikai krieviski, bet jā cilvēks vispār nesaprot mani, tad es cenšos runāt latviski.</t>
  </si>
  <si>
    <t>2023-05-24 14:11:06</t>
  </si>
  <si>
    <t>2023-05-24 13:47:18</t>
  </si>
  <si>
    <t>1........</t>
  </si>
  <si>
    <t>2023-05-24 14:12:22</t>
  </si>
  <si>
    <t>2023-05-24 13:48:25</t>
  </si>
  <si>
    <t>2023-05-25 11:02:55</t>
  </si>
  <si>
    <t>2023-05-25 10:45:40</t>
  </si>
  <si>
    <t>ronis</t>
  </si>
  <si>
    <t>2023-05-25 11:07:19</t>
  </si>
  <si>
    <t>2023-05-25 10:45:43</t>
  </si>
  <si>
    <t>2023-05-25 11:13:24</t>
  </si>
  <si>
    <t>2023-05-25 10:45:44</t>
  </si>
  <si>
    <t>Останусь лично при своём мнении</t>
  </si>
  <si>
    <t>Нет, спасибо</t>
  </si>
  <si>
    <t>Telegram...</t>
  </si>
  <si>
    <t>2023-05-25 11:20:46</t>
  </si>
  <si>
    <t>2023-05-25 10:46:02</t>
  </si>
  <si>
    <t xml:space="preserve">лодка </t>
  </si>
  <si>
    <t>2023-05-25 11:01:34</t>
  </si>
  <si>
    <t>2023-05-25 10:46:05</t>
  </si>
  <si>
    <t>Политика</t>
  </si>
  <si>
    <t>Русский язык</t>
  </si>
  <si>
    <t>Достаточное количество вопросов, в которых не хватает пояснения. Приходится перечитывать вопрос по несколько раз, чтобы понять, что именно требуется</t>
  </si>
  <si>
    <t>2023-05-25 11:13:40</t>
  </si>
  <si>
    <t>2023-05-25 10:46:10</t>
  </si>
  <si>
    <t>Neesmu pārliecināts, tāpēc nezinu</t>
  </si>
  <si>
    <t>Tas ir tik reti, ka es īpaši neatceros. Bet tomēr biežāk tas notiek kad es izmantoju latviešu valodu krievju klātbūtnē</t>
  </si>
  <si>
    <t>Nav svarīgi kādā valodā tu runā, ir svarīgi kāds tu esi cilvēks. Mēs piedzimstam nevienlīdzīgi, ar dažādām dzīves sākumsituācijām, bet mums ir spēja padarīt pasuli labāku un laimīgaku, neatkarībā no tautības un politiskiem uzskatiem.</t>
  </si>
  <si>
    <t>2023-05-25 11:09:34</t>
  </si>
  <si>
    <t>2023-05-25 10:46:19</t>
  </si>
  <si>
    <t>лодка</t>
  </si>
  <si>
    <t>2023-05-25 11:15:28</t>
  </si>
  <si>
    <t>2023-05-25 10:46:21</t>
  </si>
  <si>
    <t>Во время обучения в школе хотела высказывать и доносить свои мысли русским на русском языке, нежели кое-как на латышском</t>
  </si>
  <si>
    <t>2023-05-25 11:08:32</t>
  </si>
  <si>
    <t>2023-05-25 10:46:26</t>
  </si>
  <si>
    <t>Пришёл на почту забирать посылку.</t>
  </si>
  <si>
    <t>2023-05-25 11:02:19</t>
  </si>
  <si>
    <t>2023-05-25 10:46:29</t>
  </si>
  <si>
    <t>Распространение какой-то информации.</t>
  </si>
  <si>
    <t>2023-05-25 11:00:14</t>
  </si>
  <si>
    <t>2023-05-25 10:46:34</t>
  </si>
  <si>
    <t>2023-05-25 11:00:58</t>
  </si>
  <si>
    <t>2023-05-25 10:46:41</t>
  </si>
  <si>
    <t>В душе не знаю</t>
  </si>
  <si>
    <t>Когда хотел найти туалет ,но понятия не имел как это на арабском .</t>
  </si>
  <si>
    <t>Английский</t>
  </si>
  <si>
    <t>Все равно всех освободим !</t>
  </si>
  <si>
    <t>2023-05-25 11:10:43</t>
  </si>
  <si>
    <t>2023-05-25 10:46:42</t>
  </si>
  <si>
    <t>Политическая идеология/тактика, при который обещаны решения глобальных проблем в короткие сроки</t>
  </si>
  <si>
    <t>В больнице обратилась врачу на русском с целью узнать о результатах рентгена, он на это негативно отреагировал.</t>
  </si>
  <si>
    <t>🙀</t>
  </si>
  <si>
    <t>2023-05-25 11:31:35</t>
  </si>
  <si>
    <t>Популизм - это стремление понравиться наибольшему количеству людей, предлагая им хорошее будущее, впрочем, не уточняя детали его достижения.</t>
  </si>
  <si>
    <t>Я использовала русский язык в этих ситуациях.
В магазине с продавщицей, когда была ребёнком. Она была недовольна, когда я сказала ей "спасибо" и раздражённо спрашивала, не учат ли нас латышскому в школе.
На перемене, спрашивая вопросы про расписание школьного мероприятия у своей классной руководительницы (латышки). Она была недовольна и заставила меня говорить с ней по-латышски (она отлично знает русский).</t>
  </si>
  <si>
    <t>2023-05-25 11:03:41</t>
  </si>
  <si>
    <t>2023-05-25 10:46:47</t>
  </si>
  <si>
    <t>2023-05-25 11:03:53</t>
  </si>
  <si>
    <t>2023-05-25 10:46:54</t>
  </si>
  <si>
    <t>Я пришла в паспортный центр оформлять новые документы. Меня стали дискриминацировать за то что я говорила по русски, несмотря на то что там обязаны говорить на трёх языках</t>
  </si>
  <si>
    <t>2023-05-25 11:00:17</t>
  </si>
  <si>
    <t>2023-05-25 10:47:24</t>
  </si>
  <si>
    <t>Харьков</t>
  </si>
  <si>
    <t>Украинский</t>
  </si>
  <si>
    <t>Latviski nerunāju it nemaz.</t>
  </si>
  <si>
    <t>Latviski nemāku rakstīt.</t>
  </si>
  <si>
    <t>Latviešu valodu nesaprotu vispār.</t>
  </si>
  <si>
    <t>Es neko nespēju izlasīt latviski.</t>
  </si>
  <si>
    <t>Jā, personisku iemeslu dēļ</t>
  </si>
  <si>
    <t>Укр марафон</t>
  </si>
  <si>
    <t>2023-05-25 11:14:13</t>
  </si>
  <si>
    <t>2023-05-25 10:49:26</t>
  </si>
  <si>
    <t>Krišjāns Kariņš un Levits</t>
  </si>
  <si>
    <t>Man nav sajūtas kā kāda no valodām ir nepareiza. Protams latviski es runāju sliktāk, bet tas nekā mani neierobežo un netraucē.</t>
  </si>
  <si>
    <t>2023-05-25 11:15:05</t>
  </si>
  <si>
    <t>2023-05-25 10:49:31</t>
  </si>
  <si>
    <t>В медицинской сфере использовала русский язык ,поняла ,что собеседник разговаривает на латышском и пришлось перейти на другой язык.</t>
  </si>
  <si>
    <t>2023-05-25 11:06:41</t>
  </si>
  <si>
    <t>2023-05-25 10:50:16</t>
  </si>
  <si>
    <t>2023-09-15 08:19:41</t>
  </si>
  <si>
    <t>2023-09-15 08:04:27</t>
  </si>
  <si>
    <t>putns</t>
  </si>
  <si>
    <t>Vīriešu</t>
  </si>
  <si>
    <t>Pareizticīgo</t>
  </si>
  <si>
    <t>Jā, lielāko daļu no tā, ko iespējams šķirot</t>
  </si>
  <si>
    <t>(Gandrīz) katru dienu</t>
  </si>
  <si>
    <t>Brīvas vēlēšanas un plurālisms</t>
  </si>
  <si>
    <t>Vienlīdz pieejama izglītība, veselības aprūpe, sociālais nodrošinājums</t>
  </si>
  <si>
    <t>Varas līdzsvars starp parlamentu, prezidentu un tiesām, lai neviena no institūcijām nespētu sevī koncentrēt lielāko daļu varas</t>
  </si>
  <si>
    <t>Ļoti labi</t>
  </si>
  <si>
    <t>Labi</t>
  </si>
  <si>
    <t>Citreiz labi, citreiz slikti</t>
  </si>
  <si>
    <t>Pamatizglītību</t>
  </si>
  <si>
    <t>Latviešu</t>
  </si>
  <si>
    <t>24Tv</t>
  </si>
  <si>
    <t>2023-09-15 08:37:57</t>
  </si>
  <si>
    <t>2023-09-15 08:04:32</t>
  </si>
  <si>
    <t>Ateistu(ti), nereliģiozu</t>
  </si>
  <si>
    <t>Nespēju izskaidrot</t>
  </si>
  <si>
    <t>Pāris reižu nedēļā</t>
  </si>
  <si>
    <t>Pāris reižu mēnesī</t>
  </si>
  <si>
    <t>Reizi nedēļā</t>
  </si>
  <si>
    <t>Vienlīdzīgas tiesības minoritātēm un ievainojamām sabiedrības grupām</t>
  </si>
  <si>
    <t>Pilsoniskās brīvības (vārda brīvība, tiesības uz tiesisko aizsardzību)</t>
  </si>
  <si>
    <t>Slikti</t>
  </si>
  <si>
    <t>Knapi / gandrīz necik</t>
  </si>
  <si>
    <t>LGBTQ ir nepareizi un neatbalsto to, fui.</t>
  </si>
  <si>
    <t>2023-09-15 08:24:56</t>
  </si>
  <si>
    <t>2023-09-15 08:04:38</t>
  </si>
  <si>
    <t>Sieviešu</t>
  </si>
  <si>
    <t>nav ne jausmas kas tas ir</t>
  </si>
  <si>
    <t>nav tādas nepareizas valodas. katrs runā kā grib.</t>
  </si>
  <si>
    <t>angļu valodu</t>
  </si>
  <si>
    <t>{if(is_empty(tongueLAT_SQ001.NAOK), 'latviski','krieviski')} spēju izlasīt ēdienkarti restorānā.</t>
  </si>
  <si>
    <t>pleh</t>
  </si>
  <si>
    <t>2023-09-15 08:27:20</t>
  </si>
  <si>
    <t>2023-09-15 08:04:40</t>
  </si>
  <si>
    <t>столб</t>
  </si>
  <si>
    <t>Vidusskolā neesmu gājis</t>
  </si>
  <si>
    <t>Spēju uzrakstīt motivācijas vēstuli darbam / par savu darba pieredzi.</t>
  </si>
  <si>
    <t>Viegli saprotu televīzijas pārraides vai Youtube video par saviem hobijiem / darbības sfēru.</t>
  </si>
  <si>
    <t>Spēju izlasīt avīzi / īsstāstus.</t>
  </si>
  <si>
    <t>2023-09-15 08:20:35</t>
  </si>
  <si>
    <t>Jā, daļu no tā, ko iespējams šķirot</t>
  </si>
  <si>
    <t>политика расчитанная на большое кол-во людей</t>
  </si>
  <si>
    <t>не могу вспомнить ни одну такую ситуацию</t>
  </si>
  <si>
    <t>Vidējo izglītību</t>
  </si>
  <si>
    <t>Krievu</t>
  </si>
  <si>
    <t>Viegli saprotu radio programmas / podkāstus par saviem hobijiem / darbības sfēru.</t>
  </si>
  <si>
    <t>Да на здоровье!</t>
  </si>
  <si>
    <t>2023-09-15 08:37:38</t>
  </si>
  <si>
    <t>2023-09-15 08:04:44</t>
  </si>
  <si>
    <t>Kaut kas, kas ir populārs politikā mūsdienas.</t>
  </si>
  <si>
    <t>Izmantoju angļu valodu, lai komunicētos.</t>
  </si>
  <si>
    <t>Es neatbalstu LGBTQ un nemaz neinteresē tā sfēra.</t>
  </si>
  <si>
    <t>2023-09-15 08:27:30</t>
  </si>
  <si>
    <t>Kaut kas saistīts ar popularitāti, cik daudz cilvēku atbalsta kādu politiķi</t>
  </si>
  <si>
    <t>2023-09-15 08:25:37</t>
  </si>
  <si>
    <t>2023-09-15 08:04:49</t>
  </si>
  <si>
    <t>Общался с друзьями</t>
  </si>
  <si>
    <t>2023-09-15 08:35:47</t>
  </si>
  <si>
    <t>2023-09-15 08:04:50</t>
  </si>
  <si>
    <t>Kad valdība vai politiķi cenšas iekarot valsts pederīgo merķus un domas.</t>
  </si>
  <si>
    <t>TV6, STV Pirmā</t>
  </si>
  <si>
    <t>Delfi</t>
  </si>
  <si>
    <t>2023-09-15 08:22:10</t>
  </si>
  <si>
    <t>2023-09-15 08:05:00</t>
  </si>
  <si>
    <t>2........</t>
  </si>
  <si>
    <t>Vienlīdz latviešu un krievu</t>
  </si>
  <si>
    <t>Spēju ilgstoši sarunāties ar vienaudžiem / piedalīties darba pārrunās.</t>
  </si>
  <si>
    <t>Spēju uzrakstīt garāku sacerējumu / kursa darbu.</t>
  </si>
  <si>
    <t>2023-09-15 08:56:06</t>
  </si>
  <si>
    <t>2023-09-15 08:05:03</t>
  </si>
  <si>
    <t>Пропаганда навязанное мнение или что то в этом духе, наверное.</t>
  </si>
  <si>
    <t>Дома с родителями, с целью пообщаться.</t>
  </si>
  <si>
    <t>Вопросы были в пределах адекватности.
Только пару вопросов заставили меня засомневаться в равных отношениях между русскими и латышами.
Особенно тот вопрос в котором нужно было разъяснить и написать свою мысли связанные с тем как ты себя ощущаешь русским, вроде как. Я практически уверен что каждый второй русскоязычный человек возмутился тем фактом, что язык на котором он говорит назвали не русским, а каким-то другим словом. Конечно возможно что этот вопрос был намеренно написан именно в такой форме, что бы мы подумали какой именно язык «такой та такой-то». Искренни верю что те кто писал этот опросник не питают какой либо ненависти к русскоговорящим.</t>
  </si>
  <si>
    <t>2023-09-15 08:24:31</t>
  </si>
  <si>
    <t>2023-09-15 08:27:02</t>
  </si>
  <si>
    <t>2023-09-15 08:05:08</t>
  </si>
  <si>
    <t>Русский яхык убирают из всех школ, заставляют говорить только на латышском</t>
  </si>
  <si>
    <t>2023-09-15 08:25:28</t>
  </si>
  <si>
    <t>2023-09-15 08:05:20</t>
  </si>
  <si>
    <t>Я была в техникуме, общалась с другом на русском. К нам подошёл учитель и сказал, что даже между собой мы должны говорить на латышском</t>
  </si>
  <si>
    <t>2023-09-15 08:26:26</t>
  </si>
  <si>
    <t>2023-09-15 08:05:26</t>
  </si>
  <si>
    <t>Septītās dienas Adventistu</t>
  </si>
  <si>
    <t>Jā, visu, ko iespējams šķirot</t>
  </si>
  <si>
    <t>Politiķi saka lietas lai izpatiktu iedzīvotājiem</t>
  </si>
  <si>
    <t>2023-09-15 08:30:15</t>
  </si>
  <si>
    <t>2023-09-15 08:05:36</t>
  </si>
  <si>
    <t>liepājniekiem, delfi</t>
  </si>
  <si>
    <t>2023-09-15 08:21:38</t>
  </si>
  <si>
    <t>2023-09-15 08:26:06</t>
  </si>
  <si>
    <t>2023-09-15 08:05:37</t>
  </si>
  <si>
    <t>cenšanās par katru cenu, pat ar nepiepildāmiem solījumiem un meliem iekarot tautas simpātijas.</t>
  </si>
  <si>
    <t>Superīga aptauja, gribētu nākotnē redzēt, kam tā paredzēta un vai bijusi noderīga.</t>
  </si>
  <si>
    <t>2023-09-15 08:36:11</t>
  </si>
  <si>
    <t>2023-09-15 08:05:40</t>
  </si>
  <si>
    <t>Izdzirdot vārdu populisms, pirmā doma(cilvēks), kas man nāk prātā ir Donalds Tramps. Viņš tik labi spēj spēlēt uz cilvēku jūtām, emocijām un pašreizējo valsts situāciju. Piemērs - Let's make America great again!... acīm redzot republikāņus tas aizkustināja.</t>
  </si>
  <si>
    <t>Aptauja bija diezgan laba, pāris drukas kļūdas : ).</t>
  </si>
  <si>
    <t>2023-09-15 08:34:42</t>
  </si>
  <si>
    <t>2023-09-15 08:07:05</t>
  </si>
  <si>
    <t>Politiķis vai politiķu grupa, kas cenšās piekļauties tautai ar visādiem solijumiem.</t>
  </si>
  <si>
    <t>2....</t>
  </si>
  <si>
    <t>Jā, valsts iestādē</t>
  </si>
  <si>
    <t>Nezinu daudz ko par politiku, bet centos atbildēt uz cik daudz es varēju.</t>
  </si>
  <si>
    <t>2023-09-15 08:27:52</t>
  </si>
  <si>
    <t>2023-09-15 08:07:52</t>
  </si>
  <si>
    <t>Nezinu, nav ne mazākās jausmas</t>
  </si>
  <si>
    <t>Man nav ko teikt</t>
  </si>
  <si>
    <t>2023-09-15 08:31:36</t>
  </si>
  <si>
    <t>2023-09-15 08:07:59</t>
  </si>
  <si>
    <t>Использую русский только у врачей, ибо боюсь, что могу не понять</t>
  </si>
  <si>
    <t>2023-09-15 08:35:42</t>
  </si>
  <si>
    <t>2023-09-15 08:10:15</t>
  </si>
  <si>
    <t>Украина</t>
  </si>
  <si>
    <t>скептик</t>
  </si>
  <si>
    <t>В публицистике: политика, направленная на удовлетворение интересов наименее обеспеченных слоёв населения путём простого.</t>
  </si>
  <si>
    <t>на украинском</t>
  </si>
  <si>
    <t>Jā, darba un personisku iemeslu dēļ.</t>
  </si>
  <si>
    <t>Man jau ir konkrēts plāns (esmu pieteicies kursā / pie privātskolotāja utt., ir sarunāts valodas tandēms).</t>
  </si>
  <si>
    <t>негатив, разногласия иза языка</t>
  </si>
  <si>
    <t>2023-09-15 08:39:32</t>
  </si>
  <si>
    <t>2023-09-15 08:10:55</t>
  </si>
  <si>
    <t>Populisms izklausas kad tā svarētu būt viedoklis ar ko sakrīt liela dala populācijas</t>
  </si>
  <si>
    <t>2023-09-15 09:01:55</t>
  </si>
  <si>
    <t>2023-09-15 08:44:47</t>
  </si>
  <si>
    <t>2023-09-15 08:58:45</t>
  </si>
  <si>
    <t>2023-09-15 08:45:05</t>
  </si>
  <si>
    <t>Es pats pat nezinu kas tas tads ir</t>
  </si>
  <si>
    <t>2023-09-15 09:12:23</t>
  </si>
  <si>
    <t>2023-09-15 08:45:16</t>
  </si>
  <si>
    <t>Izmanotoju citas valodas lai komunikacetos vdeo speles</t>
  </si>
  <si>
    <t>2023-09-15 09:11:08</t>
  </si>
  <si>
    <t>2023-09-15 08:45:17</t>
  </si>
  <si>
    <t>в магазине ,в очереди у кассы, когда общался с другом , паре пенсионеров не понравилось что мы говорили на русском рядом с ними</t>
  </si>
  <si>
    <t>2023-09-15 09:03:35</t>
  </si>
  <si>
    <t>2023-09-15 08:45:19</t>
  </si>
  <si>
    <t>2023-09-15 08:58:38</t>
  </si>
  <si>
    <t>2023-09-15 08:46:05</t>
  </si>
  <si>
    <t>2023-09-15 09:03:18</t>
  </si>
  <si>
    <t>2023-09-15 08:47:37</t>
  </si>
  <si>
    <t>Человек пытается поднять свой авторитет в глазах большинства используя современные тренды</t>
  </si>
  <si>
    <t>Новостные телеграм каналы которые не собираются поддерживать какую либо власть, нет ин ереса смоетрть латышей или русских, которые другтна лруга тявкают</t>
  </si>
  <si>
    <t>Форумы, телеграм каналы</t>
  </si>
  <si>
    <t>2023-09-15 11:55:49</t>
  </si>
  <si>
    <t>2023-09-15 11:31:38</t>
  </si>
  <si>
    <t>siers</t>
  </si>
  <si>
    <t>Vēlami, bet neiespējami piepildāmi solījumi, kuri gūst masveida atbalstu</t>
  </si>
  <si>
    <t>Strādājot klientu apkalpošanas sfērā ir cilvēki, kas skatās nicinoši, jo nezinu krievu valodu un piedāvāju runāt angliski/latviski, vai cenšos saprast ko viņi saka</t>
  </si>
  <si>
    <t>Jā, privāta darba devēja labā</t>
  </si>
  <si>
    <t>Tv neskatos</t>
  </si>
  <si>
    <t>2023-09-15 11:50:44</t>
  </si>
  <si>
    <t>2023-09-15 11:31:40</t>
  </si>
  <si>
    <t>Veikalā un skolā ir gadījies tā, ka runāju latviski, bet krievvalodīgie nesprot</t>
  </si>
  <si>
    <t>2023-09-15 11:53:08</t>
  </si>
  <si>
    <t>2023-09-15 11:31:45</t>
  </si>
  <si>
    <t>Man ienāk prātā, kaut kāds veids, kādā veidā cilvēks uzrunā tautu. Tādā veidā populizējot to.</t>
  </si>
  <si>
    <t>Ieejot veikalā, sarunājos ar brāli krievu valodā.(visu dzīvi dzīvojam Latvijā un runājām abas valodās). Kad kāda garāmgājēja izdzirdēja, ka izmantojam krievu valodu, teica, ka mūs visus drīz aizsūtīs uz Krieviju.</t>
  </si>
  <si>
    <t>2023-09-15 11:59:06</t>
  </si>
  <si>
    <t>2023-09-15 11:31:48</t>
  </si>
  <si>
    <t>Runājot ar cilvēkiem, kuriem dzimtā valoda ir krievu valoda par tēmu: vai Latvijā dzīvojošajiem krieviem būtu jāliek obligāts latviešu valodas tests eksāmens?</t>
  </si>
  <si>
    <t>2023-09-15 11:56:08</t>
  </si>
  <si>
    <t>2023-09-15 11:31:54</t>
  </si>
  <si>
    <t>Tv3</t>
  </si>
  <si>
    <t>Paldies par aptauju.</t>
  </si>
  <si>
    <t>2023-09-15 12:03:00</t>
  </si>
  <si>
    <t>2023-09-15 11:31:59</t>
  </si>
  <si>
    <t>Izdarīt kautko ,lai būtu atpazīstamāks</t>
  </si>
  <si>
    <t>Nav bijusi tāda situācija,kurā kāds teiktu ka neizmantoju pareizo valodu ,bet internetā ir bijuši vairāki konflikti starp valodu.</t>
  </si>
  <si>
    <t>2023-09-15 11:59:20</t>
  </si>
  <si>
    <t>2023-09-15 11:32:02</t>
  </si>
  <si>
    <t>neprotu runāt krieviski, taču ja man kāds kaut ko piesienas krieviski es saku kad nesaprotu krieviski.</t>
  </si>
  <si>
    <t>disney channel, mtv</t>
  </si>
  <si>
    <t>laba aptauju, paldies ka jums rūp👍🏼</t>
  </si>
  <si>
    <t>2023-09-15 11:57:01</t>
  </si>
  <si>
    <t>2023-09-15 11:32:03</t>
  </si>
  <si>
    <t>Pinterest, Letterboxd</t>
  </si>
  <si>
    <t>2023-09-15 11:46:49</t>
  </si>
  <si>
    <t>2023-09-15 11:32:27</t>
  </si>
  <si>
    <t>Nav īsti kanāli, bet ir filmas</t>
  </si>
  <si>
    <t>2023-09-15 11:42:23</t>
  </si>
  <si>
    <t>2023-09-15 11:32:55</t>
  </si>
  <si>
    <t>angļu valodu ar draugiem vai kādu kam ir vajadzīga palīdzība</t>
  </si>
  <si>
    <t>2023-09-15 11:50:05</t>
  </si>
  <si>
    <t>2023-09-15 11:32:56</t>
  </si>
  <si>
    <t>Ticu zīmēm un dabas parādībām</t>
  </si>
  <si>
    <t>Tās trakā krievu tantiņas</t>
  </si>
  <si>
    <t>Nez</t>
  </si>
  <si>
    <t>2023-09-15 11:53:07</t>
  </si>
  <si>
    <t>2023-09-15 11:33:13</t>
  </si>
  <si>
    <t>книга</t>
  </si>
  <si>
    <t>сатанист</t>
  </si>
  <si>
    <t>Не хочу</t>
  </si>
  <si>
    <t>2023-09-15 11:52:38</t>
  </si>
  <si>
    <t>2023-09-15 11:33:18</t>
  </si>
  <si>
    <t>Sarunājoties angliski</t>
  </si>
  <si>
    <t>2023-09-15 12:03:39</t>
  </si>
  <si>
    <t>2023-09-15 11:33:40</t>
  </si>
  <si>
    <t>neesmu kristīta</t>
  </si>
  <si>
    <t>Dzirdot vārdu populisms domāju par tādiem politiķiem, kuri domā par visu sava reģiona populāciju, piemēram, Lgbt pārstāvjiem, citas tautības cilvēkiem un citām minoritātēm.</t>
  </si>
  <si>
    <t>Paldies par iespēju piedalīties aptaujā!</t>
  </si>
  <si>
    <t>2023-09-15 12:05:23</t>
  </si>
  <si>
    <t>2023-09-15 11:33:44</t>
  </si>
  <si>
    <t>Katoli(ieti)</t>
  </si>
  <si>
    <t>Izdzirdot vārdu populisms man uzreiz nāk prātā popularitāte,pārākums,mankārīgums,atstumšana.</t>
  </si>
  <si>
    <t>2023-09-15 11:47:45</t>
  </si>
  <si>
    <t>2023-09-15 11:33:54</t>
  </si>
  <si>
    <t>Vecticībnieku(ci)</t>
  </si>
  <si>
    <t>Jā, pašvaldības iestādē</t>
  </si>
  <si>
    <t>2023-09-15 11:53:24</t>
  </si>
  <si>
    <t>2023-09-15 11:34:04</t>
  </si>
  <si>
    <t>2023-09-15 12:00:37</t>
  </si>
  <si>
    <t>2023-09-15 11:34:12</t>
  </si>
  <si>
    <t>Es nebiju dzirdējusi vārdu populisms, tāpēc man nav konkrēta apraksta tam, taču zinu, ka tas saistīts ar politiku un ir ar uzsvaru uz tautu.</t>
  </si>
  <si>
    <t>2023-09-15 11:55:32</t>
  </si>
  <si>
    <t>2023-09-15 11:34:13</t>
  </si>
  <si>
    <t>Nezinu kas ir populisms.</t>
  </si>
  <si>
    <t>2023-09-15 11:55:06</t>
  </si>
  <si>
    <t>2023-09-15 11:34:55</t>
  </si>
  <si>
    <t>2023-09-15 12:01:25</t>
  </si>
  <si>
    <t>2023-09-15 11:35:31</t>
  </si>
  <si>
    <t>Nezinu, bet, manuprāt, kaut nkas saistīts ar viedokli, kuru kāds ir izteicis un tās personas padotie seko tam viedoklim.</t>
  </si>
  <si>
    <t>Vasarā es strādāju kioskiņā, kur bieži nāca tūristi, kuri ar mani runāja krieviski, es nesaprotu krievu valodu, tāpēc pārgājām uz vācu vai angļu valodu. Kundzītes gados nākot pie manis atteicās ar mani runāt latviski un nolamāja mani par to, ka Latvijā būtu visiem jāmācās krievu valoda, nevis otrādi. Esmu nepareizi uzaudzināta. Sapratu, ko kundzītes teica, ja, kad paskaidroju, ka nemāku krievu valodu, viņas piekāpās un sāka ar mani runāt latviski un lamāt krieviski.</t>
  </si>
  <si>
    <t>2023-09-15 11:58:45</t>
  </si>
  <si>
    <t>2023-09-15 11:42:11</t>
  </si>
  <si>
    <t>Использую этот язык чтобы общаться с одной частью русскоговорящей семьи.</t>
  </si>
  <si>
    <t>2023-09-15 12:17:44</t>
  </si>
  <si>
    <t>2023-09-15 12:05:42</t>
  </si>
  <si>
    <t>Санкт-Петербург</t>
  </si>
  <si>
    <t>Стс</t>
  </si>
  <si>
    <t>2023-09-18 08:20:02</t>
  </si>
  <si>
    <t>2023-09-18 08:04:38</t>
  </si>
  <si>
    <t>ledus</t>
  </si>
  <si>
    <t>Rīgā / Rīgas rajonā</t>
  </si>
  <si>
    <t>Protestantu(ti)</t>
  </si>
  <si>
    <t>2023-09-18 08:37:32</t>
  </si>
  <si>
    <t>2023-09-18 08:04:43</t>
  </si>
  <si>
    <t>Es neizvēlos sev releģiju, es ticu sev.</t>
  </si>
  <si>
    <t>Populisms - Politiķis, kurš cenšas pavērst sabiedrību pret augstākajiem cilvēkiem.</t>
  </si>
  <si>
    <t>2023-09-18 08:29:50</t>
  </si>
  <si>
    <t>2023-09-18 08:04:46</t>
  </si>
  <si>
    <t>Kidzone, tv 24</t>
  </si>
  <si>
    <t>Fox, Fox life,</t>
  </si>
  <si>
    <t>Es sapratu, ka man laikam būs mazliet vairāk jāpalasa par politiku. Bet paldies par aptauju, bija interesanti.</t>
  </si>
  <si>
    <t>2023-09-18 08:25:26</t>
  </si>
  <si>
    <t>2023-09-18 08:04:52</t>
  </si>
  <si>
    <t>Latvija pirmajā vietā!</t>
  </si>
  <si>
    <t>Runājot ar krievu tautības cilvēkiem latviski, lai gan tie runāja ar mani latviski, blakus esošie krievi to nonīcināja un teica, ka visiem jārunā tikai krieviski</t>
  </si>
  <si>
    <t>SkySports F1</t>
  </si>
  <si>
    <t>CTC</t>
  </si>
  <si>
    <t>Jauka aptauja. Bija prieks to pildīt. Veiksmi tālāk darbā ar pētījumu!</t>
  </si>
  <si>
    <t>2023-09-18 08:28:25</t>
  </si>
  <si>
    <t>2023-09-18 08:04:56</t>
  </si>
  <si>
    <t>Angļu valodu izmantoju lai pasūtītu ēdienu, krievu valodu izmantoju, ali sarunatos ar cilvekiem</t>
  </si>
  <si>
    <t>2023-09-18 08:31:01</t>
  </si>
  <si>
    <t>2023-09-18 08:04:58</t>
  </si>
  <si>
    <t>Pārāk gudri vārdi, lai es šo aptauju izpildītu. Kā pusaudzis neko nezinu par politiku un neintresejos par tādu.</t>
  </si>
  <si>
    <t>2023-09-18 08:36:30</t>
  </si>
  <si>
    <t>atsevišķos gadījumos, piemēram, ejot pa ielu un sazinoties ar kādu cilvēku, kurš prasa ceļu vai virzienu, lai tiktu kaut kur, uz mani ir bļāvuši cilvēki, kuri sadusmojas, ka neatbildu krieviski, bet latviski.</t>
  </si>
  <si>
    <t>2023-09-18 08:19:41</t>
  </si>
  <si>
    <t>2023-09-18 08:05:06</t>
  </si>
  <si>
    <t>Populisms man asociējas ar politiskām stratēģijām, kas vērstas uz plašāku sabiedrības daļu.</t>
  </si>
  <si>
    <t>Interesanta aptauja, patika!</t>
  </si>
  <si>
    <t>2023-09-18 08:45:46</t>
  </si>
  <si>
    <t>2023-09-18 08:05:08</t>
  </si>
  <si>
    <t>Kad politiķi skaisti runā un kaut ko izplata</t>
  </si>
  <si>
    <t>2023-09-18 08:33:42</t>
  </si>
  <si>
    <t>2023-09-18 08:05:12</t>
  </si>
  <si>
    <t>Pārtikas Veikalā. (Angļu valoda)</t>
  </si>
  <si>
    <t>Manas zināšanas par politiku ir sliktas</t>
  </si>
  <si>
    <t>2023-09-18 08:21:29</t>
  </si>
  <si>
    <t>2023-09-18 08:05:13</t>
  </si>
  <si>
    <t>nezinu, es ļoti atvainojos</t>
  </si>
  <si>
    <t>Daugavpilī. Tur neviens nerunā latviski, pat ja runā, tad skatās ar “šķību aci”. Es saprotu krievu valodu, bet es nemāku to runāt. Tāpēc varu klausīties krieviski, bet atbildēt krieviski nevarēšu, tikai latviski vai angliski.</t>
  </si>
  <si>
    <t>čau</t>
  </si>
  <si>
    <t>2023-09-18 08:28:34</t>
  </si>
  <si>
    <t>2023-09-18 08:05:16</t>
  </si>
  <si>
    <t>2023-09-18 08:23:00</t>
  </si>
  <si>
    <t>2023-09-18 08:05:18</t>
  </si>
  <si>
    <t>Neinu</t>
  </si>
  <si>
    <t>Anglu valodu paslatoties uz cilveku un domajot ka vins nemak runat latviski</t>
  </si>
  <si>
    <t>2023-09-18 08:21:37</t>
  </si>
  <si>
    <t>2023-09-18 08:05:19</t>
  </si>
  <si>
    <t>Krievu valodu lietojošie cilvēki bieži vien uz tevi paskatās dīvaini ja uz viņu krieviski uzdoto jautājumu atbildu latviešu valodā.</t>
  </si>
  <si>
    <t>Paldies!</t>
  </si>
  <si>
    <t>2023-09-18 08:37:37</t>
  </si>
  <si>
    <t>Populisma mērķis ir iegūt plašu tautas masu atbalstu un popularitāti.</t>
  </si>
  <si>
    <t>2023-09-18 08:24:23</t>
  </si>
  <si>
    <t>2023-09-18 08:05:20</t>
  </si>
  <si>
    <t>..</t>
  </si>
  <si>
    <t>2023-09-18 08:38:02</t>
  </si>
  <si>
    <t>2023-09-18 08:05:24</t>
  </si>
  <si>
    <t>Kādu, kurš runā par pārmērīgi lielu un neizpildāmu ideju realizēšanu.</t>
  </si>
  <si>
    <t>Vienreiz puķu veikalā pārdevēja bija krievu valodā runājoša sieviete, tāpēc viens otru īpaši nesapratām.</t>
  </si>
  <si>
    <t>2023-09-18 08:45:22</t>
  </si>
  <si>
    <t>2023-09-18 08:05:31</t>
  </si>
  <si>
    <t>Krievu valoda sarunājoties ar draugiem</t>
  </si>
  <si>
    <t>2023-09-18 08:25:50</t>
  </si>
  <si>
    <t>2023-09-18 08:05:39</t>
  </si>
  <si>
    <t>Maisiņš</t>
  </si>
  <si>
    <t>Populisti ir cilvēki, kuri piesola lielus labumumus valstij un tās tautai, bet beigās neko no solītā neizdara.</t>
  </si>
  <si>
    <t>Es runāju krievu valodā ar tiem cilvēkiem (krieviem), kas nezin latviešu valodu.</t>
  </si>
  <si>
    <t>Fox</t>
  </si>
  <si>
    <t>Es ļoti maz zinu par Latviešu politiskajām grupām. Beigās, kad ievēl tos tirliņus, es esmu salīdzinoši apmierināts. Neatbalstu LGBTQ.</t>
  </si>
  <si>
    <t>2023-09-18 08:18:49</t>
  </si>
  <si>
    <t>2023-09-18 08:06:05</t>
  </si>
  <si>
    <t>Izmantoju krievu valodu veikalā, ar mērķi nopirkt. Bet tantei tas nepatika</t>
  </si>
  <si>
    <t>2023-09-18 08:19:32</t>
  </si>
  <si>
    <t>2023-09-18 08:06:11</t>
  </si>
  <si>
    <t>Hz</t>
  </si>
  <si>
    <t>Neznaju</t>
  </si>
  <si>
    <t>Jā, nevalstiskā organizācijā</t>
  </si>
  <si>
    <t>2023-09-18 08:16:44</t>
  </si>
  <si>
    <t>2023-09-18 08:06:16</t>
  </si>
  <si>
    <t>Parasti to izmantoju mājas vai arī darba vietā</t>
  </si>
  <si>
    <t>2023-09-18 08:23:12</t>
  </si>
  <si>
    <t>2023-09-18 08:06:19</t>
  </si>
  <si>
    <t>2023-09-18 08:16:48</t>
  </si>
  <si>
    <t>2023-09-18 08:06:20</t>
  </si>
  <si>
    <t>2023-09-18 08:23:52</t>
  </si>
  <si>
    <t>2023-09-18 08:06:43</t>
  </si>
  <si>
    <t>Likt cilvēkus un viņu prasības pirmajā vietā.</t>
  </si>
  <si>
    <t>Es izmantoju angļu valodu, bet tikai lai komunicētu neformālā sarunā.</t>
  </si>
  <si>
    <t>2023-09-18 08:18:05</t>
  </si>
  <si>
    <t>2023-09-18 08:07:24</t>
  </si>
  <si>
    <t>2023-09-18 08:29:39</t>
  </si>
  <si>
    <t>2023-09-18 08:07:46</t>
  </si>
  <si>
    <t>Pagāns</t>
  </si>
  <si>
    <t>Latviski runaju ar krieviem</t>
  </si>
  <si>
    <t>2023-09-21 12:20:32</t>
  </si>
  <si>
    <t>2023-09-21 11:59:12</t>
  </si>
  <si>
    <t>trusis</t>
  </si>
  <si>
    <t>2023-09-21 12:30:37</t>
  </si>
  <si>
    <t>2023-09-21 11:59:23</t>
  </si>
  <si>
    <t>Man nāk prāta meli, jo cik bieži m';es sabiedrībā dzirdam visādus piedāvājumus un solijumus no politiķu puses un cik daudzi no teim piepildās, manuprāt, daudzi piekritīs tam, ka politiķu teiktajam 70% gadījumos near ticēt, jo bieži viens tas teiktais vienkārši tiek aizmirsts un neizpildīts, tāpat kā ar visiem solītiem komunālajiem atbalstiem, vai par par to, ka tiks atgriezta nauda par pārmaksātiem nodokļiem</t>
  </si>
  <si>
    <t>Es izvēlos izmantot tikai un vienīgi latviešu valodu, jo tā ir mana dzimtā valoda, un kopumā man šī valoda ir teiksim tā tuvāk sirdij, krievu valodu izmantoju tikai tad, ja cilvēks ar kuru es komunicēju slikti zin krievu valodu, bet pie katras iespējas izvēlos lietot latviešu valodu</t>
  </si>
  <si>
    <t>Es gribētu teikt un cerēt, ka latvijas izglītības sistēma tiks augstāk vērtēta pasaulē, lai arī latvijas iedzīvotāji varētu pievienoties augsti vērtētām pasaules universitātēm, piemēram harvadas universitāti, es uzskatu, ka tas ir nedaudz negodīgi attiecībā pret latviju, un liels mīnus latvijas izglītībā, ir nespēja dabū GPA vairāk par 4, kopumā aptauja ļoti patika jautājumi ir par manuprāt aktuālām tēmām, paldies!</t>
  </si>
  <si>
    <t>2023-09-21 12:27:54</t>
  </si>
  <si>
    <t>2023-09-21 11:59:44</t>
  </si>
  <si>
    <t>кролик</t>
  </si>
  <si>
    <t>популизм -я редко слышу это слово и редко оно мне попадается</t>
  </si>
  <si>
    <t>Никогда такого не было</t>
  </si>
  <si>
    <t>Всё хорошо всё понравилось, но было странно на вопросах с образованием я сейчас получаю средние образование и было сложно отвечать на вопроса связаны со среднем образованием</t>
  </si>
  <si>
    <t>2023-09-21 12:20:29</t>
  </si>
  <si>
    <t>2023-09-21 11:59:46</t>
  </si>
  <si>
    <t>учась в техникуме, нам необходимо использовать государственный язык (латышский) для того, чтобы общаться с учителями во время уроков. также это касается работников - их заставляют разговаривать с персоналом и учениками на латышском, русский язык почти буквально запрещён</t>
  </si>
  <si>
    <t>ютуб каналы на западную аудиторию (англичан)</t>
  </si>
  <si>
    <t>тест хороший, можно высказаться по актуальным темам, которые меня сильно беспокоят (дискриминация русского общества и запрет русского языка и части того, что связано с русскими и россией</t>
  </si>
  <si>
    <t>2023-09-21 12:14:40</t>
  </si>
  <si>
    <t>2023-09-21 11:59:59</t>
  </si>
  <si>
    <t>Sarunas par spēli ar ārzemju cilvēkiem (Krievu valodā)</t>
  </si>
  <si>
    <t>2023-09-21 12:21:41</t>
  </si>
  <si>
    <t>Политическая позиция, где учитываются в большинстве нижние слои общества</t>
  </si>
  <si>
    <t>Go 3</t>
  </si>
  <si>
    <t>2023-09-21 12:14:41</t>
  </si>
  <si>
    <t>2023-09-21 12:00:00</t>
  </si>
  <si>
    <t>в магазине что бы купить продукт</t>
  </si>
  <si>
    <t>россия24</t>
  </si>
  <si>
    <t>пожалуйста</t>
  </si>
  <si>
    <t>2023-09-21 12:23:49</t>
  </si>
  <si>
    <t>2023-09-21 12:00:07</t>
  </si>
  <si>
    <t>es isti nezinu bet man liekas tas ir par kaut kas populaciju</t>
  </si>
  <si>
    <t>piemeram tu aizej uz tirgu un gribi nopirkt kartupelus bet sieveite saka visu pa krieviski un tu nesaproti ko vina grib no tevis</t>
  </si>
  <si>
    <t>2023-09-21 12:24:05</t>
  </si>
  <si>
    <t>я не ососбо понимаю суть этого слова , не могу его описать новое</t>
  </si>
  <si>
    <t>тест отличный высказал все как сам думаю обо всем что сейчас происходит</t>
  </si>
  <si>
    <t>2023-09-21 12:28:40</t>
  </si>
  <si>
    <t>2023-09-21 12:00:08</t>
  </si>
  <si>
    <t>Discovery channel</t>
  </si>
  <si>
    <t>go3</t>
  </si>
  <si>
    <t>Overclockers.ru</t>
  </si>
  <si>
    <t>2023-09-21 12:19:51</t>
  </si>
  <si>
    <t>2023-09-21 12:00:09</t>
  </si>
  <si>
    <t>2023-09-21 12:12:20</t>
  </si>
  <si>
    <t>2023-09-21 12:00:10</t>
  </si>
  <si>
    <t>Не знаю что это такое и в политику лезть не хочу пока</t>
  </si>
  <si>
    <t>2023-09-21 12:21:57</t>
  </si>
  <si>
    <t>2023-09-21 12:00:19</t>
  </si>
  <si>
    <t>Русский для общения с друзьями и семьёй, в остальных случаях использую латышский язык</t>
  </si>
  <si>
    <t>2023-09-21 12:26:05</t>
  </si>
  <si>
    <t>2023-09-21 12:00:39</t>
  </si>
  <si>
    <t>2023-09-21 12:19:38</t>
  </si>
  <si>
    <t>2023-09-21 12:01:03</t>
  </si>
  <si>
    <t>Ja produkts vai sistéma ur laba es uzklausíßu to bet j akat kada cepure tad ne .</t>
  </si>
  <si>
    <t>es domáju ka nepareizás valodas nav , man patík latvießu un krievu valoda</t>
  </si>
  <si>
    <t>Matč tv</t>
  </si>
  <si>
    <t>Paldies jums man bija ne ļoti patīkams atbildēt uz jatajumiem par politiku par daudz</t>
  </si>
  <si>
    <t>2023-09-21 12:25:28</t>
  </si>
  <si>
    <t>2023-09-21 12:01:08</t>
  </si>
  <si>
    <t>я не понял вопроса.</t>
  </si>
  <si>
    <t>Я надеюсь будет лучшее понимание людей.</t>
  </si>
  <si>
    <t>2023-09-21 12:29:09</t>
  </si>
  <si>
    <t>2023-09-21 12:01:21</t>
  </si>
  <si>
    <t>2023-09-21 12:20:35</t>
  </si>
  <si>
    <t>2023-09-21 12:01:25</t>
  </si>
  <si>
    <t>2023-09-21 12:19:41</t>
  </si>
  <si>
    <t>2023-09-21 12:01:26</t>
  </si>
  <si>
    <t>слово "популизм" мне ранее не встречалось, по этому я не знаю как ответить на этот вопрос</t>
  </si>
  <si>
    <t>2023-09-21 12:26:54</t>
  </si>
  <si>
    <t>2023-09-21 12:01:53</t>
  </si>
  <si>
    <t>НЕ ЗНАЮ</t>
  </si>
  <si>
    <t>я использую русский язык чаще всего так как мне так легче контактировать с людьми и в моём городе больше всего русско говорящих людей временами приходиться переходить на государственный  язык</t>
  </si>
  <si>
    <t>gorod.lv</t>
  </si>
  <si>
    <t>2023-09-21 12:26:12</t>
  </si>
  <si>
    <t>2023-09-21 12:01:57</t>
  </si>
  <si>
    <t>2023-09-21 12:28:09</t>
  </si>
  <si>
    <t>2023-09-21 12:04:05</t>
  </si>
  <si>
    <t>2023-09-21 12:25:00</t>
  </si>
  <si>
    <t>2023-09-21 12:04:27</t>
  </si>
  <si>
    <t>что?</t>
  </si>
  <si>
    <t>Выберите меня следующим президентом!!!</t>
  </si>
  <si>
    <t>2023-09-21 14:15:55</t>
  </si>
  <si>
    <t>2023-09-21 13:53:40</t>
  </si>
  <si>
    <t>burts</t>
  </si>
  <si>
    <t>2023-09-21 14:26:40</t>
  </si>
  <si>
    <t>2023-09-21 13:53:47</t>
  </si>
  <si>
    <t>Franču karalis uz giljetīnas</t>
  </si>
  <si>
    <t>Bērnībā daugavpilī latviešu valodā runāt ar bērniem bija drīzāk nevēlams.</t>
  </si>
  <si>
    <t>2023-09-21 14:17:34</t>
  </si>
  <si>
    <t>2023-09-21 13:53:53</t>
  </si>
  <si>
    <t>Paldies! Gara, bet interesanta aptauja!</t>
  </si>
  <si>
    <t>2023-09-21 14:17:55</t>
  </si>
  <si>
    <t>2023-09-21 13:53:56</t>
  </si>
  <si>
    <t>2023-09-21 14:25:12</t>
  </si>
  <si>
    <t>2023-09-21 13:53:57</t>
  </si>
  <si>
    <t>Kreisie, liberāļi</t>
  </si>
  <si>
    <t>Es ar visiem runāju latviski, dažreiz angliski. Internet tikai angliski un krievu vispārīgi nesaprotu.</t>
  </si>
  <si>
    <t>2023-09-21 14:18:50</t>
  </si>
  <si>
    <t>2023-09-21 13:54:02</t>
  </si>
  <si>
    <t>EHR</t>
  </si>
  <si>
    <t>Es nesmu pret, kad uz Latviju atbrauc no citaam valstiim kaa tuuristi vai uz pastaavigu dziivi, bet man nepatiik, kad ssie cilveeki uzspiezz savu viedokli, valodu.</t>
  </si>
  <si>
    <t>2023-09-21 14:26:43</t>
  </si>
  <si>
    <t>2023-09-21 13:54:11</t>
  </si>
  <si>
    <t>2023-09-21 14:25:44</t>
  </si>
  <si>
    <t>2023-09-21 13:54:24</t>
  </si>
  <si>
    <t>Līderis vai politiska persona kas tautai saka to ko viņi vēlas dzirdēt. (cenšas izdabāt visiem)</t>
  </si>
  <si>
    <t>Ar visiem latviešiem runāju tikai latviski, ar krievvalodīgajiem draugiem varu runāt krieviski, tomēr uz ielas cenšos runāt latviski, jo tā ir ērtāk.</t>
  </si>
  <si>
    <t>2023-09-21 14:10:20</t>
  </si>
  <si>
    <t>2023-09-21 13:54:30</t>
  </si>
  <si>
    <t>Iekļaujiet vārdu definīcijas pēc jautājuma, piedāvājiet atbildes iespēju "uz mani neattiecas".</t>
  </si>
  <si>
    <t>2023-09-21 14:19:06</t>
  </si>
  <si>
    <t>2023-09-21 13:55:11</t>
  </si>
  <si>
    <t>1....</t>
  </si>
  <si>
    <t>Skolā runājot ar skolotājiem vai klasesbiedriem lietoju latviešu valodu , pārējas vietās lietoju krievijas valodu.</t>
  </si>
  <si>
    <t>2023-09-21 14:18:33</t>
  </si>
  <si>
    <t>2023-09-21 13:55:17</t>
  </si>
  <si>
    <t>Izmantoju krievu valodu , ar saviem drauģiem, radiniekiem un ģimeni.</t>
  </si>
  <si>
    <t>2023-09-21 14:10:16</t>
  </si>
  <si>
    <t>2023-09-21 13:55:18</t>
  </si>
  <si>
    <t>nebija</t>
  </si>
  <si>
    <t>2023-09-21 14:12:15</t>
  </si>
  <si>
    <t>2023-09-21 13:55:52</t>
  </si>
  <si>
    <t>2023-09-21 14:24:58</t>
  </si>
  <si>
    <t>2023-09-21 13:56:06</t>
  </si>
  <si>
    <t>Tas ko grib dzirdēt tauta</t>
  </si>
  <si>
    <t>Izmantoju krievu valodu lai sarunāties skolā ar draugiem kuriem dzimtā valoda ir krievu lai mums būtu vieglāk sarunāties</t>
  </si>
  <si>
    <t>2023-09-21 14:22:55</t>
  </si>
  <si>
    <t>2023-09-21 13:56:25</t>
  </si>
  <si>
    <t>Skolā latviešu valodu, mājās krievu valodu</t>
  </si>
  <si>
    <t>pardaudz jautājumu</t>
  </si>
  <si>
    <t>2023-09-21 14:11:24</t>
  </si>
  <si>
    <t>2023-09-21 13:56:53</t>
  </si>
  <si>
    <t>es nezinu, kas tas ir</t>
  </si>
  <si>
    <t>latviesu valodu, daugvapili, sabiedriskas vietaas</t>
  </si>
  <si>
    <t>tiesi pec manas pieredzes man nebija nejausmas par partijaam</t>
  </si>
  <si>
    <t>2023-09-21 14:19:59</t>
  </si>
  <si>
    <t>2023-09-21 13:57:00</t>
  </si>
  <si>
    <t>буква</t>
  </si>
  <si>
    <t>2023-09-21 14:27:36</t>
  </si>
  <si>
    <t>2023-09-21 13:57:01</t>
  </si>
  <si>
    <t>Nezinu, esmu dzirdējusi šo vārdu, bet nekad neesmu interesējusies ko tas nozīmē, bet šīs stundas laikā sapratu tik to ka, politiķi populisti nav labākie politiki</t>
  </si>
  <si>
    <t>Nevaru atcerēties kādu konkrētu un traku situāciju. Nu bet citreiz gadās, kad sāc runāt ar cilvēku vienā valodā (latviešu vai krievu), bet cilvēks atbild otrā valodā, nu un tad es vienkārši turpinu sarunu tajā valodā, kurā ir ērtāk runāt sarunu biedram</t>
  </si>
  <si>
    <t>2023-09-21 14:21:37</t>
  </si>
  <si>
    <t>2023-09-21 13:58:34</t>
  </si>
  <si>
    <t>Es iedomājos cilvēku kurš pamatmērķis, būs iedzīvotāju pašsajūta</t>
  </si>
  <si>
    <t>Skolas teritorijā labāk runāt latviski, bet ar draugiem es biežāk runāju krieviski.</t>
  </si>
  <si>
    <t>Interest in politics</t>
  </si>
  <si>
    <t>Ecology</t>
  </si>
  <si>
    <t>LGBTQ</t>
  </si>
  <si>
    <t>Democratic processes</t>
  </si>
  <si>
    <t>Women rights</t>
  </si>
  <si>
    <t>Kurzeme</t>
  </si>
  <si>
    <t>Vidzeme</t>
  </si>
  <si>
    <t>Zemgale</t>
  </si>
  <si>
    <t>Latgale</t>
  </si>
  <si>
    <t>No interest</t>
  </si>
  <si>
    <t>Barelly</t>
  </si>
  <si>
    <t>Average</t>
  </si>
  <si>
    <t>A lot</t>
  </si>
  <si>
    <t>Immensely</t>
  </si>
  <si>
    <t xml:space="preserve">ветка </t>
  </si>
  <si>
    <t>Rīgas Valsts tehnikums</t>
  </si>
  <si>
    <t xml:space="preserve">стул </t>
  </si>
  <si>
    <t>Rīgas Juglas vidusskola</t>
  </si>
  <si>
    <t xml:space="preserve">винт </t>
  </si>
  <si>
    <t>Rīgas 96. vidusskola</t>
  </si>
  <si>
    <t xml:space="preserve">молот </t>
  </si>
  <si>
    <t>Liepājas Universitāte</t>
  </si>
  <si>
    <t>suns</t>
  </si>
  <si>
    <t xml:space="preserve">кот </t>
  </si>
  <si>
    <t>Daugavpils Draudzīgā aicinājuma vidusskola</t>
  </si>
  <si>
    <t>Daugavpils Universitāte</t>
  </si>
  <si>
    <t>Abroad</t>
  </si>
  <si>
    <t xml:space="preserve">хлеб </t>
  </si>
  <si>
    <t> Liepājas jūrniecības koledža</t>
  </si>
  <si>
    <t xml:space="preserve">трава </t>
  </si>
  <si>
    <t>Liepājas 7. vidusskola</t>
  </si>
  <si>
    <t>Daugavpils zinātņu vidusskola</t>
  </si>
  <si>
    <t>Rīgas 21. vidusskola</t>
  </si>
  <si>
    <t>N. Europe</t>
  </si>
  <si>
    <t>W. Europe</t>
  </si>
  <si>
    <t>E. Europe</t>
  </si>
  <si>
    <t>EU</t>
  </si>
  <si>
    <t>Baltic countries</t>
  </si>
  <si>
    <t>Post. Soc.</t>
  </si>
  <si>
    <t>1+2</t>
  </si>
  <si>
    <t>2+3</t>
  </si>
  <si>
    <t>3+4</t>
  </si>
  <si>
    <t>4+5</t>
  </si>
  <si>
    <t>1+3</t>
  </si>
  <si>
    <t>1+3+4</t>
  </si>
  <si>
    <t>1+2+4</t>
  </si>
  <si>
    <t>1+4+6</t>
  </si>
  <si>
    <t>2+3+4+5</t>
  </si>
  <si>
    <t>5+6</t>
  </si>
  <si>
    <t>1+5</t>
  </si>
  <si>
    <t>4+5+6</t>
  </si>
  <si>
    <t>1+4</t>
  </si>
  <si>
    <t>2+4</t>
  </si>
  <si>
    <t>3+4+5</t>
  </si>
  <si>
    <t>1+6</t>
  </si>
  <si>
    <t>1+3+4+5</t>
  </si>
  <si>
    <t>1+4+5</t>
  </si>
  <si>
    <t>2+5</t>
  </si>
  <si>
    <t>3+5</t>
  </si>
  <si>
    <t>3+4+5+6</t>
  </si>
  <si>
    <t>1+3+5</t>
  </si>
  <si>
    <t>3+5+6</t>
  </si>
  <si>
    <t>1+2+5</t>
  </si>
  <si>
    <t>1+4+5+6</t>
  </si>
  <si>
    <t>2+4+5</t>
  </si>
  <si>
    <t>1+2+3+4</t>
  </si>
  <si>
    <t>1+2+4+5</t>
  </si>
  <si>
    <t>1+3+4+5+6</t>
  </si>
  <si>
    <t>3+6</t>
  </si>
  <si>
    <t xml:space="preserve">столб </t>
  </si>
  <si>
    <t xml:space="preserve">книга </t>
  </si>
  <si>
    <t>снег</t>
  </si>
  <si>
    <t>Liepājas tehnikums</t>
  </si>
  <si>
    <t>Liepājas 10. vidusskola</t>
  </si>
  <si>
    <t>Rīgas 45. vidusskola</t>
  </si>
  <si>
    <t>Daugavpils tehnikums</t>
  </si>
  <si>
    <t>Daugavpils valsts ģimnāzija</t>
  </si>
  <si>
    <t>Dalībnieki</t>
  </si>
  <si>
    <t>Puiši</t>
  </si>
  <si>
    <t>Meitenes</t>
  </si>
  <si>
    <t>Citi</t>
  </si>
  <si>
    <t>Valodas</t>
  </si>
  <si>
    <t>LV</t>
  </si>
  <si>
    <t>Ukraine, St. Petersburg</t>
  </si>
  <si>
    <t>RU</t>
  </si>
  <si>
    <t>1 (Miami)</t>
  </si>
  <si>
    <t>BI</t>
  </si>
  <si>
    <t>LV+ENG</t>
  </si>
  <si>
    <t>RU+ENG</t>
  </si>
  <si>
    <t>LV+RU+ENG</t>
  </si>
  <si>
    <t>LV+RU+UA</t>
  </si>
  <si>
    <t>RU+Other</t>
  </si>
  <si>
    <t>Other</t>
  </si>
  <si>
    <t>UA</t>
  </si>
  <si>
    <t>LV+RU+POL</t>
  </si>
  <si>
    <t>Atheist</t>
  </si>
  <si>
    <t>Orthodox</t>
  </si>
  <si>
    <t>Catholic</t>
  </si>
  <si>
    <t>Protestant</t>
  </si>
  <si>
    <t>Old Believer</t>
  </si>
  <si>
    <t>Abroad primary</t>
  </si>
  <si>
    <t>Abroad high</t>
  </si>
  <si>
    <t>Abroad vocation</t>
  </si>
  <si>
    <t>Both pri. and high</t>
  </si>
  <si>
    <t>Pri. and Vac.</t>
  </si>
  <si>
    <t>High and Vac.</t>
  </si>
  <si>
    <t>All three</t>
  </si>
  <si>
    <t>No abroad</t>
  </si>
  <si>
    <t>Kolonna1</t>
  </si>
  <si>
    <t>Kolonna2</t>
  </si>
  <si>
    <t>Kolonna3</t>
  </si>
  <si>
    <t>Kolonna4</t>
  </si>
  <si>
    <t>Kolonna5</t>
  </si>
  <si>
    <t>Kolonna6</t>
  </si>
  <si>
    <t>Kolonna7</t>
  </si>
  <si>
    <t>Kolonna8</t>
  </si>
  <si>
    <t>Kolonna9</t>
  </si>
  <si>
    <t>Kolonna10</t>
  </si>
  <si>
    <t>Kolonna11</t>
  </si>
  <si>
    <t>Kolonna12</t>
  </si>
  <si>
    <t>Kolonna13</t>
  </si>
  <si>
    <t>Kolonna14</t>
  </si>
  <si>
    <t>Kolonna15</t>
  </si>
  <si>
    <t>Kolonna16</t>
  </si>
  <si>
    <t>Kolonna17</t>
  </si>
  <si>
    <t>Kolonna18</t>
  </si>
  <si>
    <t>Kolonna19</t>
  </si>
  <si>
    <t>Kolonna20</t>
  </si>
  <si>
    <t>Kolonna21</t>
  </si>
  <si>
    <t>Kolonna22</t>
  </si>
  <si>
    <t>Kolonna23</t>
  </si>
  <si>
    <t>Kolonna24</t>
  </si>
  <si>
    <t>Kolonna25</t>
  </si>
  <si>
    <t>Kolonna26</t>
  </si>
  <si>
    <t>Kolonna27</t>
  </si>
  <si>
    <t>Kolonna28</t>
  </si>
  <si>
    <t>Kolonna29</t>
  </si>
  <si>
    <t>Kolonna30</t>
  </si>
  <si>
    <t>Kolonna31</t>
  </si>
  <si>
    <t>Kolonna32</t>
  </si>
  <si>
    <t>Kolonna33</t>
  </si>
  <si>
    <t>Kolonna34</t>
  </si>
  <si>
    <t>Kolonna35</t>
  </si>
  <si>
    <t>Kolonna36</t>
  </si>
  <si>
    <t>Kolonna37</t>
  </si>
  <si>
    <t>Kolonna38</t>
  </si>
  <si>
    <t>Kolonna39</t>
  </si>
  <si>
    <t>Kolonna40</t>
  </si>
  <si>
    <t>Kolonna41</t>
  </si>
  <si>
    <t>Kolonna42</t>
  </si>
  <si>
    <t>Kolonna43</t>
  </si>
  <si>
    <t>Kolonna44</t>
  </si>
  <si>
    <t>Kolonna45</t>
  </si>
  <si>
    <t>Kolonna46</t>
  </si>
  <si>
    <t>Kolonna47</t>
  </si>
  <si>
    <t>Kolonna48</t>
  </si>
  <si>
    <t>Kolonna49</t>
  </si>
  <si>
    <t>Kolonna50</t>
  </si>
  <si>
    <t>Kolonna51</t>
  </si>
  <si>
    <t>Kolonna52</t>
  </si>
  <si>
    <t>Kolonna53</t>
  </si>
  <si>
    <t>Kolonna54</t>
  </si>
  <si>
    <t>Kolonna55</t>
  </si>
  <si>
    <t>Kolonna56</t>
  </si>
  <si>
    <t>Kolonna57</t>
  </si>
  <si>
    <t>Kolonna58</t>
  </si>
  <si>
    <t>Kolonna59</t>
  </si>
  <si>
    <t>Kolonna60</t>
  </si>
  <si>
    <t>Kolonna61</t>
  </si>
  <si>
    <t>Kolonna62</t>
  </si>
  <si>
    <t>Kolonna63</t>
  </si>
  <si>
    <t>Kolonna64</t>
  </si>
  <si>
    <t>Kolonna65</t>
  </si>
  <si>
    <t>Kolonna66</t>
  </si>
  <si>
    <t>Kolonna67</t>
  </si>
  <si>
    <t>Kolonna68</t>
  </si>
  <si>
    <t>Kolonna69</t>
  </si>
  <si>
    <t>Kolonna70</t>
  </si>
  <si>
    <t>Kolonna71</t>
  </si>
  <si>
    <t>Kolonna72</t>
  </si>
  <si>
    <t>Kolonna73</t>
  </si>
  <si>
    <t>Kolonna74</t>
  </si>
  <si>
    <t>Kolonna75</t>
  </si>
  <si>
    <t>Kolonna76</t>
  </si>
  <si>
    <t>Kolonna77</t>
  </si>
  <si>
    <t>Kolonna78</t>
  </si>
  <si>
    <t>Kolonna79</t>
  </si>
  <si>
    <t>Kolonna80</t>
  </si>
  <si>
    <t>Kolonna81</t>
  </si>
  <si>
    <t>Kolonna82</t>
  </si>
  <si>
    <t>Kolonna83</t>
  </si>
  <si>
    <t>Kolonna84</t>
  </si>
  <si>
    <t>Kolonna85</t>
  </si>
  <si>
    <t>Kolonna86</t>
  </si>
  <si>
    <t>Kolonna87</t>
  </si>
  <si>
    <t>Kolonna88</t>
  </si>
  <si>
    <t>Kolonna89</t>
  </si>
  <si>
    <t>Kolonna90</t>
  </si>
  <si>
    <t>Kolonna91</t>
  </si>
  <si>
    <t>Kolonna92</t>
  </si>
  <si>
    <t>Kolonna93</t>
  </si>
  <si>
    <t>Kolonna94</t>
  </si>
  <si>
    <t>Kolonna95</t>
  </si>
  <si>
    <t>Kolonna96</t>
  </si>
  <si>
    <t>Kolonna97</t>
  </si>
  <si>
    <t>Kolonna98</t>
  </si>
  <si>
    <t>Kolonna99</t>
  </si>
  <si>
    <t>Kolonna100</t>
  </si>
  <si>
    <t>Kolonna101</t>
  </si>
  <si>
    <t>Kolonna102</t>
  </si>
  <si>
    <t>Kolonna103</t>
  </si>
  <si>
    <t>Kolonna104</t>
  </si>
  <si>
    <t>Kolonna105</t>
  </si>
  <si>
    <t>Kolonna106</t>
  </si>
  <si>
    <t>Kolonna107</t>
  </si>
  <si>
    <t>Kolonna108</t>
  </si>
  <si>
    <t>Kolonna109</t>
  </si>
  <si>
    <t>Kolonna110</t>
  </si>
  <si>
    <t>Kolonna111</t>
  </si>
  <si>
    <t>Kolonna112</t>
  </si>
  <si>
    <t>Kolonna113</t>
  </si>
  <si>
    <t>Kolonna114</t>
  </si>
  <si>
    <t>Kolonna115</t>
  </si>
  <si>
    <t>Kolonna116</t>
  </si>
  <si>
    <t>Kolonna117</t>
  </si>
  <si>
    <t>Kolonna118</t>
  </si>
  <si>
    <t>Kolonna119</t>
  </si>
  <si>
    <t>Kolonna120</t>
  </si>
  <si>
    <t>Kolonna121</t>
  </si>
  <si>
    <t>Kolonna122</t>
  </si>
  <si>
    <t>Kolonna123</t>
  </si>
  <si>
    <t>Kolonna124</t>
  </si>
  <si>
    <t>Kolonna125</t>
  </si>
  <si>
    <t>Kolonna126</t>
  </si>
  <si>
    <t>Kolonna127</t>
  </si>
  <si>
    <t>Kolonna128</t>
  </si>
  <si>
    <t>Kolonna129</t>
  </si>
  <si>
    <t>Kolonna130</t>
  </si>
  <si>
    <t>Kolonna131</t>
  </si>
  <si>
    <t>Kolonna132</t>
  </si>
  <si>
    <t>Kolonna133</t>
  </si>
  <si>
    <t>Kolonna134</t>
  </si>
  <si>
    <t>Kolonna135</t>
  </si>
  <si>
    <t>Kolonna136</t>
  </si>
  <si>
    <t>Kolonna137</t>
  </si>
  <si>
    <t>Kolonna138</t>
  </si>
  <si>
    <t>Kolonna139</t>
  </si>
  <si>
    <t>Kolonna140</t>
  </si>
  <si>
    <t>Kolonna141</t>
  </si>
  <si>
    <t>Kolonna142</t>
  </si>
  <si>
    <t>Kolonna143</t>
  </si>
  <si>
    <t>Kolonna144</t>
  </si>
  <si>
    <t>Kolonna145</t>
  </si>
  <si>
    <t>Kolonna146</t>
  </si>
  <si>
    <t>Kolonna147</t>
  </si>
  <si>
    <t>Kolonna148</t>
  </si>
  <si>
    <t>Kolonna149</t>
  </si>
  <si>
    <t>Kolonna150</t>
  </si>
  <si>
    <t>Kolonna151</t>
  </si>
  <si>
    <t>Kolonna152</t>
  </si>
  <si>
    <t>Kolonna153</t>
  </si>
  <si>
    <t>Kolonna154</t>
  </si>
  <si>
    <t>Kolonna155</t>
  </si>
  <si>
    <t>Kolonna156</t>
  </si>
  <si>
    <t>Kolonna157</t>
  </si>
  <si>
    <t>Kolonna158</t>
  </si>
  <si>
    <t>Kolonna159</t>
  </si>
  <si>
    <t>Kolonna160</t>
  </si>
  <si>
    <t>Kolonna161</t>
  </si>
  <si>
    <t>Kolonna162</t>
  </si>
  <si>
    <t>Kolonna163</t>
  </si>
  <si>
    <t>Kolonna164</t>
  </si>
  <si>
    <t>Kolonna165</t>
  </si>
  <si>
    <t>Kolonna166</t>
  </si>
  <si>
    <t>Kolonna167</t>
  </si>
  <si>
    <t>Kolonna168</t>
  </si>
  <si>
    <t>Kolonna169</t>
  </si>
  <si>
    <t>Kolonna170</t>
  </si>
  <si>
    <t>Kolonna171</t>
  </si>
  <si>
    <t>Kolonna172</t>
  </si>
  <si>
    <t>Kolonna173</t>
  </si>
  <si>
    <t>Kolonna174</t>
  </si>
  <si>
    <t>Kolonna175</t>
  </si>
  <si>
    <t>Kolonna176</t>
  </si>
  <si>
    <t>Kolonna177</t>
  </si>
  <si>
    <t>Kolonna178</t>
  </si>
  <si>
    <t>Kolonna179</t>
  </si>
  <si>
    <t>Kolonna180</t>
  </si>
  <si>
    <t>Kolonna181</t>
  </si>
  <si>
    <t>Kolonna182</t>
  </si>
  <si>
    <t>Kolonna183</t>
  </si>
  <si>
    <t>Kolonna184</t>
  </si>
  <si>
    <t>Kolonna185</t>
  </si>
  <si>
    <t>Kolonna186</t>
  </si>
  <si>
    <t>Kolonna187</t>
  </si>
  <si>
    <t>Kolonna188</t>
  </si>
  <si>
    <t>Kolonna189</t>
  </si>
  <si>
    <t>Kolonna190</t>
  </si>
  <si>
    <t>Kolonna191</t>
  </si>
  <si>
    <t>Kolonna192</t>
  </si>
  <si>
    <t>Kolonna193</t>
  </si>
  <si>
    <t>Kolonna194</t>
  </si>
  <si>
    <t>Kolonna195</t>
  </si>
  <si>
    <t>Kolonna196</t>
  </si>
  <si>
    <t>Kolonna197</t>
  </si>
  <si>
    <t>Kolonna198</t>
  </si>
  <si>
    <t>Kolonna199</t>
  </si>
  <si>
    <t>Kolonna200</t>
  </si>
  <si>
    <t>Kolonna201</t>
  </si>
  <si>
    <t>Kolonna202</t>
  </si>
  <si>
    <t>Kolonna203</t>
  </si>
  <si>
    <t>Kolonna204</t>
  </si>
  <si>
    <t>Kolonna205</t>
  </si>
  <si>
    <t>Kolonna206</t>
  </si>
  <si>
    <t>Kolonna207</t>
  </si>
  <si>
    <t>Kolonna208</t>
  </si>
  <si>
    <t>Kolonna209</t>
  </si>
  <si>
    <t>Kolonna210</t>
  </si>
  <si>
    <t>Kolonna211</t>
  </si>
  <si>
    <t>Kolonna212</t>
  </si>
  <si>
    <t>Kolonna213</t>
  </si>
  <si>
    <t>Kolonna214</t>
  </si>
  <si>
    <t>Kolonna215</t>
  </si>
  <si>
    <t>Kolonna216</t>
  </si>
  <si>
    <t>Kolonna217</t>
  </si>
  <si>
    <t>Kolonna218</t>
  </si>
  <si>
    <t>Kolonna219</t>
  </si>
  <si>
    <t>Kolonna220</t>
  </si>
  <si>
    <t>Kolonna221</t>
  </si>
  <si>
    <t>Kolonna222</t>
  </si>
  <si>
    <t>Kolonna223</t>
  </si>
  <si>
    <t>Kolonna224</t>
  </si>
  <si>
    <t>Kolonna225</t>
  </si>
  <si>
    <t>Kolonna226</t>
  </si>
  <si>
    <t>Kolonna227</t>
  </si>
  <si>
    <t>Kolonna228</t>
  </si>
  <si>
    <t>Kolonna229</t>
  </si>
  <si>
    <t>Kolonna230</t>
  </si>
  <si>
    <t>Kolonna231</t>
  </si>
  <si>
    <t>Kolonna232</t>
  </si>
  <si>
    <t>Kolonna233</t>
  </si>
  <si>
    <t>Kolonna234</t>
  </si>
  <si>
    <t>Kolonna235</t>
  </si>
  <si>
    <t>Kolonna236</t>
  </si>
  <si>
    <t>Kolonna237</t>
  </si>
  <si>
    <t>Kolonna238</t>
  </si>
  <si>
    <t>Kolonna239</t>
  </si>
  <si>
    <t>Kolonna240</t>
  </si>
  <si>
    <t>Kolonna241</t>
  </si>
  <si>
    <t>Kolonna242</t>
  </si>
  <si>
    <t>Kolonna243</t>
  </si>
  <si>
    <t>Kolonna244</t>
  </si>
  <si>
    <t>Kolonna245</t>
  </si>
  <si>
    <t>Kolonna246</t>
  </si>
  <si>
    <t>Kolonna247</t>
  </si>
  <si>
    <t>Kolonna248</t>
  </si>
  <si>
    <t>Kolonna249</t>
  </si>
  <si>
    <t>Kolonna250</t>
  </si>
  <si>
    <t>Kolonna251</t>
  </si>
  <si>
    <t>Kolonna252</t>
  </si>
  <si>
    <t>Kolonna253</t>
  </si>
  <si>
    <t>Kolonna254</t>
  </si>
  <si>
    <t>Kolonna255</t>
  </si>
  <si>
    <t>Kolonna256</t>
  </si>
  <si>
    <t>Kolonna257</t>
  </si>
  <si>
    <t>Kolonna258</t>
  </si>
  <si>
    <t>Kolonna259</t>
  </si>
  <si>
    <t>Kolonna260</t>
  </si>
  <si>
    <t>Kolonna261</t>
  </si>
  <si>
    <t>Kolonna262</t>
  </si>
  <si>
    <t>Kolonna263</t>
  </si>
  <si>
    <t>Kolonna264</t>
  </si>
  <si>
    <t>Kolonna265</t>
  </si>
  <si>
    <t>Kolonna266</t>
  </si>
  <si>
    <t>Kolonna267</t>
  </si>
  <si>
    <t>Kolonna268</t>
  </si>
  <si>
    <t>Kolonna269</t>
  </si>
  <si>
    <t>Kolonna270</t>
  </si>
  <si>
    <t>Kolonna271</t>
  </si>
  <si>
    <t>Kolonna272</t>
  </si>
  <si>
    <t>Kolonna273</t>
  </si>
  <si>
    <t>Kolonna274</t>
  </si>
  <si>
    <t>Kolonna275</t>
  </si>
  <si>
    <t>Kolonna276</t>
  </si>
  <si>
    <t>Kolonna277</t>
  </si>
  <si>
    <t>Kolonna278</t>
  </si>
  <si>
    <t>Kolonna279</t>
  </si>
  <si>
    <t>Kolonna280</t>
  </si>
  <si>
    <t>Kolonna281</t>
  </si>
  <si>
    <t>Kolonna282</t>
  </si>
  <si>
    <t>Kolonna283</t>
  </si>
  <si>
    <t>Kolonna284</t>
  </si>
  <si>
    <t>Kolonna285</t>
  </si>
  <si>
    <t>Kolonna286</t>
  </si>
  <si>
    <t>Kolonna287</t>
  </si>
  <si>
    <t>Kolonna288</t>
  </si>
  <si>
    <t>Kolonna289</t>
  </si>
  <si>
    <t>Kolonna290</t>
  </si>
  <si>
    <t>Kolonna291</t>
  </si>
  <si>
    <t>Kolonna292</t>
  </si>
  <si>
    <t>Kolonna293</t>
  </si>
  <si>
    <t>Kolonna294</t>
  </si>
  <si>
    <t>Kolonna295</t>
  </si>
  <si>
    <t>Kolonna296</t>
  </si>
  <si>
    <t>Kolonna297</t>
  </si>
  <si>
    <t>Kolonna298</t>
  </si>
  <si>
    <t>Kolonna299</t>
  </si>
  <si>
    <t>Kolonna300</t>
  </si>
  <si>
    <t>Kolonna301</t>
  </si>
  <si>
    <t>Kolonna302</t>
  </si>
  <si>
    <t>Kolonna303</t>
  </si>
  <si>
    <t>Kolonna304</t>
  </si>
  <si>
    <t>Kolonna305</t>
  </si>
  <si>
    <t>Kolonna306</t>
  </si>
  <si>
    <t>Kolonna307</t>
  </si>
  <si>
    <t>Kolonna308</t>
  </si>
  <si>
    <t>Kolonna309</t>
  </si>
  <si>
    <t>Kolonna310</t>
  </si>
  <si>
    <t>Kolonna311</t>
  </si>
  <si>
    <t>Kolonna312</t>
  </si>
  <si>
    <t>Kolonna313</t>
  </si>
  <si>
    <t>Kolonna314</t>
  </si>
  <si>
    <t>Kolonna315</t>
  </si>
  <si>
    <t>Kolonna316</t>
  </si>
  <si>
    <t>Kolonna317</t>
  </si>
  <si>
    <t>Kolonna318</t>
  </si>
  <si>
    <t>Kolonna319</t>
  </si>
  <si>
    <t>Kolonna320</t>
  </si>
  <si>
    <t>Kolonna321</t>
  </si>
  <si>
    <t>Kolonna322</t>
  </si>
  <si>
    <t>Kolonna323</t>
  </si>
  <si>
    <t>Kolonna324</t>
  </si>
  <si>
    <t>Kolonna325</t>
  </si>
  <si>
    <t>Kolonna326</t>
  </si>
  <si>
    <t>Kolonna327</t>
  </si>
  <si>
    <t>Kolonna328</t>
  </si>
  <si>
    <t>Kolonna329</t>
  </si>
  <si>
    <t>Kolonna330</t>
  </si>
  <si>
    <t>Kolonna331</t>
  </si>
  <si>
    <t>Kolonna332</t>
  </si>
  <si>
    <t>Kolonna333</t>
  </si>
  <si>
    <t>Kolonna334</t>
  </si>
  <si>
    <t>Kolonna335</t>
  </si>
  <si>
    <t>Kolonna336</t>
  </si>
  <si>
    <t>Kolonna337</t>
  </si>
  <si>
    <t>Kolonna338</t>
  </si>
  <si>
    <t>Kolonna339</t>
  </si>
  <si>
    <t>Kolonna340</t>
  </si>
  <si>
    <t>Kolonna341</t>
  </si>
  <si>
    <t>Kolonna342</t>
  </si>
  <si>
    <t>Kolonna343</t>
  </si>
  <si>
    <t>Kolonna344</t>
  </si>
  <si>
    <t>Kolonna345</t>
  </si>
  <si>
    <t>Kolonna346</t>
  </si>
  <si>
    <t>Kolonna347</t>
  </si>
  <si>
    <t>Kolonna348</t>
  </si>
  <si>
    <t>Kolonna349</t>
  </si>
  <si>
    <t>Kolonna350</t>
  </si>
  <si>
    <t>Kolonna351</t>
  </si>
  <si>
    <t>Kolonna352</t>
  </si>
  <si>
    <t>Kolonna353</t>
  </si>
  <si>
    <t>Kolonna354</t>
  </si>
  <si>
    <t>Kolonna355</t>
  </si>
  <si>
    <t>Kolonna356</t>
  </si>
  <si>
    <t>Kolonna357</t>
  </si>
  <si>
    <t>Kolonna358</t>
  </si>
  <si>
    <t>Kolonna359</t>
  </si>
  <si>
    <t>Kolonna360</t>
  </si>
  <si>
    <t>Kolonna361</t>
  </si>
  <si>
    <t>Kolonna362</t>
  </si>
  <si>
    <t>Kolonna363</t>
  </si>
  <si>
    <t>Kolonna364</t>
  </si>
  <si>
    <t>Kolonna365</t>
  </si>
  <si>
    <t>Kolonna366</t>
  </si>
  <si>
    <t>Kolonna367</t>
  </si>
  <si>
    <t>Kolonna368</t>
  </si>
  <si>
    <t>Kolonna369</t>
  </si>
  <si>
    <t>Kolonna370</t>
  </si>
  <si>
    <t>Kolonna371</t>
  </si>
  <si>
    <t>Kolonna372</t>
  </si>
  <si>
    <t>Kolonna373</t>
  </si>
  <si>
    <t>Kolonna374</t>
  </si>
  <si>
    <t>Kolonna375</t>
  </si>
  <si>
    <t>Kolonna376</t>
  </si>
  <si>
    <t>Kolonna377</t>
  </si>
  <si>
    <t>Kolonna378</t>
  </si>
  <si>
    <t>Kolonna379</t>
  </si>
  <si>
    <t>Kolonna380</t>
  </si>
  <si>
    <t>Kolonna381</t>
  </si>
  <si>
    <t>Kolonna382</t>
  </si>
  <si>
    <t>Kolonna383</t>
  </si>
  <si>
    <t>Kolonna384</t>
  </si>
  <si>
    <t>Kolonna385</t>
  </si>
  <si>
    <t>Kolonna386</t>
  </si>
  <si>
    <t>Kolonna387</t>
  </si>
  <si>
    <t>Kolonna388</t>
  </si>
  <si>
    <t>Kolonna389</t>
  </si>
  <si>
    <t>Kolonna390</t>
  </si>
  <si>
    <t>Kolonna391</t>
  </si>
  <si>
    <t>Kolonna392</t>
  </si>
  <si>
    <t>Kolonna393</t>
  </si>
  <si>
    <t>Kolonna394</t>
  </si>
  <si>
    <t>Kolonna395</t>
  </si>
  <si>
    <t>Kolonna396</t>
  </si>
  <si>
    <t>Kolonna397</t>
  </si>
  <si>
    <t>Kolonna398</t>
  </si>
  <si>
    <t>Kolonna399</t>
  </si>
  <si>
    <t>Kolonna400</t>
  </si>
  <si>
    <t>Kolonna401</t>
  </si>
  <si>
    <t>Kolonna402</t>
  </si>
  <si>
    <t>Kolonna403</t>
  </si>
  <si>
    <t>Kolonna404</t>
  </si>
  <si>
    <t>Kolonna405</t>
  </si>
  <si>
    <t>Kolonna406</t>
  </si>
  <si>
    <t>Kolonna407</t>
  </si>
  <si>
    <t>Kolonna408</t>
  </si>
  <si>
    <t>Kolonna409</t>
  </si>
  <si>
    <t>Kolonna410</t>
  </si>
  <si>
    <t>Kolonna411</t>
  </si>
  <si>
    <t>Kolonna412</t>
  </si>
  <si>
    <t>Kolonna413</t>
  </si>
  <si>
    <t>Kolonna414</t>
  </si>
  <si>
    <t>Kolonna415</t>
  </si>
  <si>
    <t>Kolonna416</t>
  </si>
  <si>
    <t>Kolonna417</t>
  </si>
  <si>
    <t>Kolonna418</t>
  </si>
  <si>
    <t>Kolonna419</t>
  </si>
  <si>
    <t>Kolonna420</t>
  </si>
  <si>
    <t>Kolonna421</t>
  </si>
  <si>
    <t>Kolonna422</t>
  </si>
  <si>
    <t>Kolonna423</t>
  </si>
  <si>
    <t>Kolonna424</t>
  </si>
  <si>
    <t>Kolonna425</t>
  </si>
  <si>
    <t>Kolonna426</t>
  </si>
  <si>
    <t>Kolonna427</t>
  </si>
  <si>
    <t>Kolonna428</t>
  </si>
  <si>
    <t>Kolonna429</t>
  </si>
  <si>
    <t>Kolonna430</t>
  </si>
  <si>
    <t>Kolonna431</t>
  </si>
  <si>
    <t>Kolonna432</t>
  </si>
  <si>
    <t>Kolonna433</t>
  </si>
  <si>
    <t>Kolonna434</t>
  </si>
  <si>
    <t>Kolonna435</t>
  </si>
  <si>
    <t>Kolonna436</t>
  </si>
  <si>
    <t>Kolonna437</t>
  </si>
  <si>
    <t>Kolonna438</t>
  </si>
  <si>
    <t>Kolonna439</t>
  </si>
  <si>
    <t>Kolonna440</t>
  </si>
  <si>
    <t>Kolonna441</t>
  </si>
  <si>
    <t>Kolonna442</t>
  </si>
  <si>
    <t>Kolonna443</t>
  </si>
  <si>
    <t>Kolonna444</t>
  </si>
  <si>
    <t>Kolonna445</t>
  </si>
  <si>
    <t>Kolonna446</t>
  </si>
  <si>
    <t>Kolonna447</t>
  </si>
  <si>
    <t>Kolonna448</t>
  </si>
  <si>
    <t>Kolonna449</t>
  </si>
  <si>
    <t>Kolonna450</t>
  </si>
  <si>
    <t>Kolonna451</t>
  </si>
  <si>
    <t>Kolonna452</t>
  </si>
  <si>
    <t>Kolonna453</t>
  </si>
  <si>
    <t>Kolonna454</t>
  </si>
  <si>
    <t>Kolonna455</t>
  </si>
  <si>
    <t>Kolonna456</t>
  </si>
  <si>
    <t>Kolonna457</t>
  </si>
  <si>
    <t>Kolonna458</t>
  </si>
  <si>
    <t>Kolonna459</t>
  </si>
  <si>
    <t>Kolonna460</t>
  </si>
  <si>
    <t>Kolonna461</t>
  </si>
  <si>
    <t>Kolonna462</t>
  </si>
  <si>
    <t>Kolonna463</t>
  </si>
  <si>
    <t>Kolonna464</t>
  </si>
  <si>
    <t>Kolonna465</t>
  </si>
  <si>
    <t>Kolonna466</t>
  </si>
  <si>
    <t>Kolonna467</t>
  </si>
  <si>
    <t>Kolonna468</t>
  </si>
  <si>
    <t>Kolonna469</t>
  </si>
  <si>
    <t>Kolonna470</t>
  </si>
  <si>
    <t>Kolonna471</t>
  </si>
  <si>
    <t>Kolonna472</t>
  </si>
  <si>
    <t>Kolonna473</t>
  </si>
  <si>
    <t>Kolonna474</t>
  </si>
  <si>
    <t>Kolonna475</t>
  </si>
  <si>
    <t>Kolonna476</t>
  </si>
  <si>
    <t>Kolonna477</t>
  </si>
  <si>
    <t>Kolonna478</t>
  </si>
  <si>
    <t>Kolonna479</t>
  </si>
  <si>
    <t>Kolonna480</t>
  </si>
  <si>
    <t>Kolonna481</t>
  </si>
  <si>
    <t>Kolonna482</t>
  </si>
  <si>
    <t>Kolonna483</t>
  </si>
  <si>
    <t>Kolonna484</t>
  </si>
  <si>
    <t>Kolonna485</t>
  </si>
  <si>
    <t>Kolonna486</t>
  </si>
  <si>
    <t>Kolonna487</t>
  </si>
  <si>
    <t>Kolonna488</t>
  </si>
  <si>
    <t>Kolonna489</t>
  </si>
  <si>
    <t>Kolonna490</t>
  </si>
  <si>
    <t>Kolonna491</t>
  </si>
  <si>
    <t>Kolonna492</t>
  </si>
  <si>
    <t>Kolonna493</t>
  </si>
  <si>
    <t>Kolonna494</t>
  </si>
  <si>
    <t>Kolonna495</t>
  </si>
  <si>
    <t>Kolonna496</t>
  </si>
  <si>
    <t>Kolonna497</t>
  </si>
  <si>
    <t>Kolonna498</t>
  </si>
  <si>
    <t>Kolonna499</t>
  </si>
  <si>
    <t>Kolonna500</t>
  </si>
  <si>
    <t>Kolonna501</t>
  </si>
  <si>
    <t>Kolonna502</t>
  </si>
  <si>
    <t>Kolonna503</t>
  </si>
  <si>
    <t>Kolonna504</t>
  </si>
  <si>
    <t>Kolonna505</t>
  </si>
  <si>
    <t>Kolonna506</t>
  </si>
  <si>
    <t>Kolonna507</t>
  </si>
  <si>
    <t>Kolonna508</t>
  </si>
  <si>
    <t>Kolonna509</t>
  </si>
  <si>
    <t>Kolonna510</t>
  </si>
  <si>
    <t>Kolonna511</t>
  </si>
  <si>
    <t>Kolonna512</t>
  </si>
  <si>
    <t>Kolonna513</t>
  </si>
  <si>
    <t>Kolonna514</t>
  </si>
  <si>
    <t>Kolonna515</t>
  </si>
  <si>
    <t>Kolonna516</t>
  </si>
  <si>
    <t>Kolonna517</t>
  </si>
  <si>
    <t>Kolonna518</t>
  </si>
  <si>
    <t>Kolonna519</t>
  </si>
  <si>
    <t>Kolonna520</t>
  </si>
  <si>
    <t>Kolonna521</t>
  </si>
  <si>
    <t>Kolonna522</t>
  </si>
  <si>
    <t>Kolonna523</t>
  </si>
  <si>
    <t>Kolonna524</t>
  </si>
  <si>
    <t>Kolonna525</t>
  </si>
  <si>
    <t>Kolonna526</t>
  </si>
  <si>
    <t>Kolonna527</t>
  </si>
  <si>
    <t>Kolonna528</t>
  </si>
  <si>
    <t>Kolonna529</t>
  </si>
  <si>
    <t>Kolonna530</t>
  </si>
  <si>
    <t>Kolonna531</t>
  </si>
  <si>
    <t>Kolonna532</t>
  </si>
  <si>
    <t>Kolonna533</t>
  </si>
  <si>
    <t>Kolonna534</t>
  </si>
  <si>
    <t>Kolonna535</t>
  </si>
  <si>
    <t>Kolonna536</t>
  </si>
  <si>
    <t>Kolonna537</t>
  </si>
  <si>
    <t>Kolonna538</t>
  </si>
  <si>
    <t>Kolonna539</t>
  </si>
  <si>
    <t>Kolonna540</t>
  </si>
  <si>
    <t>Kolonna541</t>
  </si>
  <si>
    <t>Kolonna542</t>
  </si>
  <si>
    <t>Kolonna543</t>
  </si>
  <si>
    <t>Kolonna544</t>
  </si>
  <si>
    <t>Kolonna545</t>
  </si>
  <si>
    <t>Kolonna546</t>
  </si>
  <si>
    <t>Kolonna547</t>
  </si>
  <si>
    <t>Kolonna548</t>
  </si>
  <si>
    <t>Kolonna549</t>
  </si>
  <si>
    <t>Kolonna550</t>
  </si>
  <si>
    <t>Kolonna551</t>
  </si>
  <si>
    <t>Kolonna552</t>
  </si>
  <si>
    <t>Kolonna553</t>
  </si>
  <si>
    <t>Kolonna554</t>
  </si>
  <si>
    <t>Kolonna555</t>
  </si>
  <si>
    <t>Kolonna556</t>
  </si>
  <si>
    <t>Kolonna557</t>
  </si>
  <si>
    <t>Kolonna558</t>
  </si>
  <si>
    <t>Kolonna559</t>
  </si>
  <si>
    <t>Kolonna560</t>
  </si>
  <si>
    <t>Kolonna561</t>
  </si>
  <si>
    <t>Kolonna562</t>
  </si>
  <si>
    <t>Kolonna563</t>
  </si>
  <si>
    <t>Kolonna564</t>
  </si>
  <si>
    <t>Kolonna565</t>
  </si>
  <si>
    <t>Kolonna566</t>
  </si>
  <si>
    <t>Kolonna567</t>
  </si>
  <si>
    <t>Kolonna568</t>
  </si>
  <si>
    <t>Kolonna569</t>
  </si>
  <si>
    <t>Kolonna570</t>
  </si>
  <si>
    <t>Kolonna571</t>
  </si>
  <si>
    <t>Kolonna572</t>
  </si>
  <si>
    <t>Kolonna573</t>
  </si>
  <si>
    <t>Kolonna574</t>
  </si>
  <si>
    <t>Kolonna575</t>
  </si>
  <si>
    <t>Kolonna576</t>
  </si>
  <si>
    <t>Kolonna577</t>
  </si>
  <si>
    <t>Kolonna578</t>
  </si>
  <si>
    <t>Kolonna579</t>
  </si>
  <si>
    <t>Kolonna580</t>
  </si>
  <si>
    <t>Kolonna581</t>
  </si>
  <si>
    <t>Kolonna582</t>
  </si>
  <si>
    <t>Kolonna583</t>
  </si>
  <si>
    <t>Kolonna584</t>
  </si>
  <si>
    <t>Kolonna585</t>
  </si>
  <si>
    <t>Kolonna586</t>
  </si>
  <si>
    <t>Kolonna587</t>
  </si>
  <si>
    <t>Kolonna588</t>
  </si>
  <si>
    <t>Kolonna589</t>
  </si>
  <si>
    <t>Kolonna590</t>
  </si>
  <si>
    <t>Kolonna591</t>
  </si>
  <si>
    <t>Kolonna592</t>
  </si>
  <si>
    <t>Kolonna593</t>
  </si>
  <si>
    <t>Kolonna594</t>
  </si>
  <si>
    <t>Kolonna595</t>
  </si>
  <si>
    <t>Kolonna596</t>
  </si>
  <si>
    <t>Kolonna597</t>
  </si>
  <si>
    <t>Kolonna598</t>
  </si>
  <si>
    <t>Kolonna599</t>
  </si>
  <si>
    <t>Kolonna600</t>
  </si>
  <si>
    <t>Kolonna601</t>
  </si>
  <si>
    <t>Kolonna602</t>
  </si>
  <si>
    <t>Kolonna603</t>
  </si>
  <si>
    <t>Kolonna604</t>
  </si>
  <si>
    <t>Kolonna605</t>
  </si>
  <si>
    <t>Kolonna606</t>
  </si>
  <si>
    <t>Kolonna607</t>
  </si>
  <si>
    <t>Kolonna608</t>
  </si>
  <si>
    <t>Kolonna609</t>
  </si>
  <si>
    <t>Kolonna610</t>
  </si>
  <si>
    <t>Kolonna611</t>
  </si>
  <si>
    <t>Kolonna612</t>
  </si>
  <si>
    <t>Kolonna613</t>
  </si>
  <si>
    <t>Kolonna614</t>
  </si>
  <si>
    <t>Kolonna615</t>
  </si>
  <si>
    <t>Kolonna616</t>
  </si>
  <si>
    <t>Kolonna617</t>
  </si>
  <si>
    <t>Kolonna618</t>
  </si>
  <si>
    <t>Kolonna619</t>
  </si>
  <si>
    <t>Kolonna620</t>
  </si>
  <si>
    <t>Kolonna621</t>
  </si>
  <si>
    <t>Kolonna622</t>
  </si>
  <si>
    <t>Kolonna623</t>
  </si>
  <si>
    <t>Kolonna624</t>
  </si>
  <si>
    <t>Kolonna625</t>
  </si>
  <si>
    <t>Kolonna626</t>
  </si>
  <si>
    <t>Kolonna627</t>
  </si>
  <si>
    <t>Kolonna628</t>
  </si>
  <si>
    <t>Kolonna629</t>
  </si>
  <si>
    <t>Kolonna630</t>
  </si>
  <si>
    <t>Kolonna631</t>
  </si>
  <si>
    <t>Kolonna632</t>
  </si>
  <si>
    <t>Kolonna633</t>
  </si>
  <si>
    <t>Kolonna634</t>
  </si>
  <si>
    <t>Kolonna635</t>
  </si>
  <si>
    <t>Kolonna636</t>
  </si>
  <si>
    <t>Kolonna637</t>
  </si>
  <si>
    <t>Kolonna638</t>
  </si>
  <si>
    <t>Kolonna639</t>
  </si>
  <si>
    <t>Kolonna640</t>
  </si>
  <si>
    <t>Kolonna641</t>
  </si>
  <si>
    <t>Kolonna642</t>
  </si>
  <si>
    <t>Kolonna643</t>
  </si>
  <si>
    <t>Kolonna644</t>
  </si>
  <si>
    <t>Kolonna645</t>
  </si>
  <si>
    <t>Kolonna646</t>
  </si>
  <si>
    <t>Kolonna647</t>
  </si>
  <si>
    <t>Kolonna648</t>
  </si>
  <si>
    <t>Kolonna649</t>
  </si>
  <si>
    <t>Kolonna650</t>
  </si>
  <si>
    <t>Kolonna651</t>
  </si>
  <si>
    <t>Kolonna652</t>
  </si>
  <si>
    <t>Kolonna653</t>
  </si>
  <si>
    <t>Kolonna654</t>
  </si>
  <si>
    <t>Kolonna655</t>
  </si>
  <si>
    <t>Kolonna656</t>
  </si>
  <si>
    <t>Kolonna657</t>
  </si>
  <si>
    <t>Kolonna658</t>
  </si>
  <si>
    <t>Kolonna659</t>
  </si>
  <si>
    <t>Kolonna660</t>
  </si>
  <si>
    <t>Kolonna661</t>
  </si>
  <si>
    <t>Kolonna662</t>
  </si>
  <si>
    <t>Kolonna663</t>
  </si>
  <si>
    <t>Kolonna664</t>
  </si>
  <si>
    <t>Kolonna665</t>
  </si>
  <si>
    <t>Kolonna666</t>
  </si>
  <si>
    <t>Kolonna667</t>
  </si>
  <si>
    <t>Kolonna668</t>
  </si>
  <si>
    <t>Kolonna669</t>
  </si>
  <si>
    <t>Kolonna670</t>
  </si>
  <si>
    <t>Kolonna671</t>
  </si>
  <si>
    <t>Kolonna672</t>
  </si>
  <si>
    <t>Kolonna673</t>
  </si>
  <si>
    <t>Kolonna674</t>
  </si>
  <si>
    <t>Kolonna675</t>
  </si>
  <si>
    <t>Kolonna676</t>
  </si>
  <si>
    <t>Kolonna677</t>
  </si>
  <si>
    <t>Kolonna678</t>
  </si>
  <si>
    <t>Kolonna679</t>
  </si>
  <si>
    <t>Kolonna680</t>
  </si>
  <si>
    <t>Kolonna681</t>
  </si>
  <si>
    <t>Kolonna682</t>
  </si>
  <si>
    <t>Kolonna683</t>
  </si>
  <si>
    <t>Kolonna684</t>
  </si>
  <si>
    <t>Kolonna685</t>
  </si>
  <si>
    <t>Kolonna686</t>
  </si>
  <si>
    <t>Kolonna687</t>
  </si>
  <si>
    <t>Kolonna688</t>
  </si>
  <si>
    <t>Kolonna689</t>
  </si>
  <si>
    <t>Kolonna690</t>
  </si>
  <si>
    <t>Kolonna691</t>
  </si>
  <si>
    <t>Kolonna692</t>
  </si>
  <si>
    <t>Kolonna693</t>
  </si>
  <si>
    <t>Kolonna694</t>
  </si>
  <si>
    <t>Kolonna695</t>
  </si>
  <si>
    <t>Kolonna696</t>
  </si>
  <si>
    <t>Kolonna697</t>
  </si>
  <si>
    <t>Kolonna698</t>
  </si>
  <si>
    <t>Kolonna699</t>
  </si>
  <si>
    <t>Kolonna700</t>
  </si>
  <si>
    <t>Kolonna701</t>
  </si>
  <si>
    <t>Kolonna702</t>
  </si>
  <si>
    <t>Kolonna703</t>
  </si>
  <si>
    <t>Kolonna704</t>
  </si>
  <si>
    <t>Kolonna705</t>
  </si>
  <si>
    <t>Kolonna706</t>
  </si>
  <si>
    <t>Kolonna707</t>
  </si>
  <si>
    <t>Kolonna708</t>
  </si>
  <si>
    <t>Kolonna709</t>
  </si>
  <si>
    <t>Kolonna710</t>
  </si>
  <si>
    <t>Kolonna711</t>
  </si>
  <si>
    <t>Kolonna712</t>
  </si>
  <si>
    <t>Kolonna713</t>
  </si>
  <si>
    <t>Kolonna714</t>
  </si>
  <si>
    <t>Kolonna715</t>
  </si>
  <si>
    <t>Kolonna716</t>
  </si>
  <si>
    <t>Kolonna717</t>
  </si>
  <si>
    <t>Kolonna718</t>
  </si>
  <si>
    <t>Kolonna719</t>
  </si>
  <si>
    <t>Kolonna720</t>
  </si>
  <si>
    <t>Kolonna721</t>
  </si>
  <si>
    <t>Kolonna722</t>
  </si>
  <si>
    <t>Kolonna723</t>
  </si>
  <si>
    <t>Kolonna724</t>
  </si>
  <si>
    <t>Kolonna725</t>
  </si>
  <si>
    <t>Kolonna726</t>
  </si>
  <si>
    <t>Kolonna727</t>
  </si>
  <si>
    <t>Kolonna728</t>
  </si>
  <si>
    <t>Kolonna729</t>
  </si>
  <si>
    <t>Kolonna730</t>
  </si>
  <si>
    <t>Kolonna731</t>
  </si>
  <si>
    <t>Kolonna732</t>
  </si>
  <si>
    <t>Kolonna733</t>
  </si>
  <si>
    <t>Kolonna734</t>
  </si>
  <si>
    <t>Kolonna735</t>
  </si>
  <si>
    <t>Kolonna736</t>
  </si>
  <si>
    <t>Kolonna737</t>
  </si>
  <si>
    <t>Kolonna738</t>
  </si>
  <si>
    <t>Kolonna739</t>
  </si>
  <si>
    <t>Kolonna740</t>
  </si>
  <si>
    <t>Kolonna741</t>
  </si>
  <si>
    <t>Kolonna742</t>
  </si>
  <si>
    <t>Kolonna743</t>
  </si>
  <si>
    <t>Kolonna744</t>
  </si>
  <si>
    <t>Kolonna745</t>
  </si>
  <si>
    <t>Kolonna746</t>
  </si>
  <si>
    <t>Kolonna747</t>
  </si>
  <si>
    <t>Kolonna748</t>
  </si>
  <si>
    <t>Kolonna749</t>
  </si>
  <si>
    <t>Kolonna750</t>
  </si>
  <si>
    <t>Kolonna751</t>
  </si>
  <si>
    <t>Kolonna752</t>
  </si>
  <si>
    <t>Kolonna753</t>
  </si>
  <si>
    <t>Kolonna754</t>
  </si>
  <si>
    <t>Kolonna755</t>
  </si>
  <si>
    <t>Kolonna756</t>
  </si>
  <si>
    <t>Kolonna757</t>
  </si>
  <si>
    <t>Kolonna758</t>
  </si>
  <si>
    <t>Kolonna759</t>
  </si>
  <si>
    <t>Kolonna760</t>
  </si>
  <si>
    <t>Kolonna761</t>
  </si>
  <si>
    <t>Kolonna762</t>
  </si>
  <si>
    <t>Kolonna763</t>
  </si>
  <si>
    <t>Kolonna764</t>
  </si>
  <si>
    <t>Kolonna765</t>
  </si>
  <si>
    <t>Kolonna766</t>
  </si>
  <si>
    <t>Kolonna767</t>
  </si>
  <si>
    <t>Kolonna768</t>
  </si>
  <si>
    <t>Kolonna769</t>
  </si>
  <si>
    <t>Kolonna770</t>
  </si>
  <si>
    <t>Kolonna771</t>
  </si>
  <si>
    <t>Kolonna772</t>
  </si>
  <si>
    <t>Kolonna773</t>
  </si>
  <si>
    <t>Kolonna774</t>
  </si>
  <si>
    <t>Kolonna775</t>
  </si>
  <si>
    <t>Kolonna776</t>
  </si>
  <si>
    <t>Kolonna777</t>
  </si>
  <si>
    <t>Kolonna778</t>
  </si>
  <si>
    <t>Kolonna779</t>
  </si>
  <si>
    <t>Kolonna780</t>
  </si>
  <si>
    <t>Kolonna781</t>
  </si>
  <si>
    <t>Kolonna782</t>
  </si>
  <si>
    <t>Kolonna783</t>
  </si>
  <si>
    <t>Kolonna784</t>
  </si>
  <si>
    <t>Kolonna785</t>
  </si>
  <si>
    <t>Kolonna786</t>
  </si>
  <si>
    <t>Kolonna787</t>
  </si>
  <si>
    <t>Kolonna788</t>
  </si>
  <si>
    <t>Kolonna789</t>
  </si>
  <si>
    <t>Kolonna790</t>
  </si>
  <si>
    <t>Kolonna791</t>
  </si>
  <si>
    <t>Kolonna792</t>
  </si>
  <si>
    <t>Kolonna793</t>
  </si>
  <si>
    <t>Kolonna794</t>
  </si>
  <si>
    <t>Kolonna795</t>
  </si>
  <si>
    <t>Kolonna796</t>
  </si>
  <si>
    <t>Kolonna797</t>
  </si>
  <si>
    <t>Kolonna798</t>
  </si>
  <si>
    <t>Kolonna799</t>
  </si>
  <si>
    <t>Kolonna800</t>
  </si>
  <si>
    <t>Kolonna801</t>
  </si>
  <si>
    <t>Kolonna802</t>
  </si>
  <si>
    <t>Kolonna803</t>
  </si>
  <si>
    <t>Kolonna804</t>
  </si>
  <si>
    <t>Kolonna805</t>
  </si>
  <si>
    <t>Kolonna806</t>
  </si>
  <si>
    <t>Kolonna807</t>
  </si>
  <si>
    <t>Kolonna808</t>
  </si>
  <si>
    <t>Kolonna809</t>
  </si>
  <si>
    <t>Kolonna810</t>
  </si>
  <si>
    <t>Kolonna811</t>
  </si>
  <si>
    <t>Kolonna812</t>
  </si>
  <si>
    <t>Kolonna813</t>
  </si>
  <si>
    <t>Kolonna814</t>
  </si>
  <si>
    <t>Kolonna815</t>
  </si>
  <si>
    <t>Kolonna816</t>
  </si>
  <si>
    <t>Kolonna817</t>
  </si>
  <si>
    <t>Kolonna818</t>
  </si>
  <si>
    <t>Kolonna819</t>
  </si>
  <si>
    <t>Kolonna820</t>
  </si>
  <si>
    <t>Kolonna821</t>
  </si>
  <si>
    <t>Kolonna822</t>
  </si>
  <si>
    <t>Kolonna823</t>
  </si>
  <si>
    <t>Kolonna824</t>
  </si>
  <si>
    <t>Kolonna825</t>
  </si>
  <si>
    <t>Kolonna826</t>
  </si>
  <si>
    <t>Kolonna827</t>
  </si>
  <si>
    <t>Kolonna828</t>
  </si>
  <si>
    <t>Kolonna829</t>
  </si>
  <si>
    <t>Kolonna830</t>
  </si>
  <si>
    <t>Kolonna831</t>
  </si>
  <si>
    <t>Kolonna832</t>
  </si>
  <si>
    <t>Kolonna833</t>
  </si>
  <si>
    <t>Kolonna834</t>
  </si>
  <si>
    <t>Kolonna835</t>
  </si>
  <si>
    <t>Kolonna836</t>
  </si>
  <si>
    <t>Kolonna837</t>
  </si>
  <si>
    <t>Kolonna838</t>
  </si>
  <si>
    <t>Kolonna839</t>
  </si>
  <si>
    <t>Kolonna840</t>
  </si>
  <si>
    <t>Kolonna841</t>
  </si>
  <si>
    <t>Kolonna842</t>
  </si>
  <si>
    <t>Kolonna843</t>
  </si>
  <si>
    <t>Kolonna844</t>
  </si>
  <si>
    <t>Kolonna845</t>
  </si>
  <si>
    <t>Kolonna846</t>
  </si>
  <si>
    <t>Kolonna847</t>
  </si>
  <si>
    <t>Kolonna848</t>
  </si>
  <si>
    <t>Kolonna849</t>
  </si>
  <si>
    <t>Kolonna850</t>
  </si>
  <si>
    <t>Kolonna851</t>
  </si>
  <si>
    <t>Kolonna852</t>
  </si>
  <si>
    <t>Kolonna853</t>
  </si>
  <si>
    <t>Kolonna854</t>
  </si>
  <si>
    <t>Kolonna855</t>
  </si>
  <si>
    <t>Kolonna856</t>
  </si>
  <si>
    <t>Kolonna857</t>
  </si>
  <si>
    <t>Kolonna858</t>
  </si>
  <si>
    <t>Kolonna859</t>
  </si>
  <si>
    <t>Kolonna860</t>
  </si>
  <si>
    <t>Kolonna861</t>
  </si>
  <si>
    <t>Kolonna862</t>
  </si>
  <si>
    <t>Kolonna863</t>
  </si>
  <si>
    <t>Kolonna864</t>
  </si>
  <si>
    <t>Kolonna865</t>
  </si>
  <si>
    <t>Kolonna866</t>
  </si>
  <si>
    <t>Kolonna867</t>
  </si>
  <si>
    <t>Kolonna868</t>
  </si>
  <si>
    <t>Kolonna869</t>
  </si>
  <si>
    <t>Kolonna870</t>
  </si>
  <si>
    <t>Kolonna871</t>
  </si>
  <si>
    <t>Kolonna872</t>
  </si>
  <si>
    <t>Kolonna873</t>
  </si>
  <si>
    <t>Kolonna874</t>
  </si>
  <si>
    <t>Kolonna875</t>
  </si>
  <si>
    <t>Kolonna876</t>
  </si>
  <si>
    <t>Kolonna877</t>
  </si>
  <si>
    <t>Kolonna878</t>
  </si>
  <si>
    <t>Kolonna879</t>
  </si>
  <si>
    <t>Kolonna880</t>
  </si>
  <si>
    <t>Kolonna881</t>
  </si>
  <si>
    <t>Kolonna882</t>
  </si>
  <si>
    <t>Kolonna883</t>
  </si>
  <si>
    <t>Kolonna884</t>
  </si>
  <si>
    <t>Kolonna885</t>
  </si>
  <si>
    <t>Kolonna886</t>
  </si>
  <si>
    <t>Kolonna887</t>
  </si>
  <si>
    <t>Kolonna888</t>
  </si>
  <si>
    <t>Kolonna889</t>
  </si>
  <si>
    <t>Kolonna890</t>
  </si>
  <si>
    <t>Kolonna891</t>
  </si>
  <si>
    <t>Kolonna892</t>
  </si>
  <si>
    <t>Kolonna893</t>
  </si>
  <si>
    <t>Kolonna894</t>
  </si>
  <si>
    <t>Kolonna895</t>
  </si>
  <si>
    <t>Kolonna896</t>
  </si>
  <si>
    <t>Kolonna897</t>
  </si>
  <si>
    <t>Kolonna898</t>
  </si>
  <si>
    <t>Kolonna899</t>
  </si>
  <si>
    <t>Kolonna900</t>
  </si>
  <si>
    <t>Kolonna901</t>
  </si>
  <si>
    <t>Kolonna902</t>
  </si>
  <si>
    <t>Kolonna903</t>
  </si>
  <si>
    <t>Kolonna904</t>
  </si>
  <si>
    <t>Kolonna905</t>
  </si>
  <si>
    <t>Kolonna906</t>
  </si>
  <si>
    <t>Kolonna907</t>
  </si>
  <si>
    <t>Kolonna908</t>
  </si>
  <si>
    <t>Kolonna909</t>
  </si>
  <si>
    <t>Kolonna910</t>
  </si>
  <si>
    <t>Kolonna911</t>
  </si>
  <si>
    <t>Kolonna912</t>
  </si>
  <si>
    <t>Kolonna913</t>
  </si>
  <si>
    <t>Kolonna914</t>
  </si>
  <si>
    <t>Kolonna915</t>
  </si>
  <si>
    <t>Kolonna916</t>
  </si>
  <si>
    <t>Kolonna917</t>
  </si>
  <si>
    <t>Kolonna918</t>
  </si>
  <si>
    <t>Kolonna919</t>
  </si>
  <si>
    <t>Kolonna920</t>
  </si>
  <si>
    <t>Kolonna921</t>
  </si>
  <si>
    <t>Kolonna922</t>
  </si>
  <si>
    <t>Kolonna923</t>
  </si>
  <si>
    <t>Kolonna924</t>
  </si>
  <si>
    <t>Kolonna925</t>
  </si>
  <si>
    <t>Kolonna926</t>
  </si>
  <si>
    <t>Kolonna927</t>
  </si>
  <si>
    <t>Kolonna928</t>
  </si>
  <si>
    <t>Kolonna929</t>
  </si>
  <si>
    <t>Kolonna930</t>
  </si>
  <si>
    <t>Kolonna931</t>
  </si>
  <si>
    <t>Kolonna932</t>
  </si>
  <si>
    <t>Kolonna933</t>
  </si>
  <si>
    <t>Kolonna934</t>
  </si>
  <si>
    <t>Kolonna935</t>
  </si>
  <si>
    <t>Kolonna936</t>
  </si>
  <si>
    <t>Kolonna937</t>
  </si>
  <si>
    <t>Kolonna938</t>
  </si>
  <si>
    <t>Kolonna939</t>
  </si>
  <si>
    <t>Kolonna940</t>
  </si>
  <si>
    <t>Kolonna941</t>
  </si>
  <si>
    <t>Kolonna942</t>
  </si>
  <si>
    <t>Kolonna943</t>
  </si>
  <si>
    <t>Kolonna944</t>
  </si>
  <si>
    <t>Kolonna945</t>
  </si>
  <si>
    <t>Kolonna946</t>
  </si>
  <si>
    <t>Kolonna947</t>
  </si>
  <si>
    <t>Kolonna948</t>
  </si>
  <si>
    <t>Kolonna949</t>
  </si>
  <si>
    <t>Kolonna950</t>
  </si>
  <si>
    <t>Kolonna951</t>
  </si>
  <si>
    <t>Kolonna952</t>
  </si>
  <si>
    <t>Kolonna953</t>
  </si>
  <si>
    <t>Kolonna954</t>
  </si>
  <si>
    <t>Kolonna955</t>
  </si>
  <si>
    <t>Kolonna956</t>
  </si>
  <si>
    <t>Kolonna957</t>
  </si>
  <si>
    <t>Kolonna958</t>
  </si>
  <si>
    <t>Kolonna959</t>
  </si>
  <si>
    <t>Kolonna960</t>
  </si>
  <si>
    <t>Kolonna961</t>
  </si>
  <si>
    <t>Kolonna962</t>
  </si>
  <si>
    <t>Kolonna963</t>
  </si>
  <si>
    <t>Kolonna964</t>
  </si>
  <si>
    <t>Kolonna965</t>
  </si>
  <si>
    <t>Kolonna966</t>
  </si>
  <si>
    <t>Kolonna967</t>
  </si>
  <si>
    <t>Kolonna968</t>
  </si>
  <si>
    <t>Kolonna969</t>
  </si>
  <si>
    <t>Kolonna970</t>
  </si>
  <si>
    <t>Kolonna971</t>
  </si>
  <si>
    <t>Kolonna972</t>
  </si>
  <si>
    <t>Kolonna973</t>
  </si>
  <si>
    <t>Kolonna974</t>
  </si>
  <si>
    <t>Kolonna975</t>
  </si>
  <si>
    <t>Kolonna976</t>
  </si>
  <si>
    <t>Kolonna977</t>
  </si>
  <si>
    <t>Kolonna978</t>
  </si>
  <si>
    <t>Kolonna979</t>
  </si>
  <si>
    <t>Kolonna980</t>
  </si>
  <si>
    <t>Kolonna981</t>
  </si>
  <si>
    <t>Kolonna982</t>
  </si>
  <si>
    <t>Kolonna983</t>
  </si>
  <si>
    <t>Kolonna984</t>
  </si>
  <si>
    <t>Kolonna985</t>
  </si>
  <si>
    <t>Kolonna986</t>
  </si>
  <si>
    <t>Kolonna987</t>
  </si>
  <si>
    <t>Kolonna988</t>
  </si>
  <si>
    <t>Kolonna989</t>
  </si>
  <si>
    <t>Kolonna990</t>
  </si>
  <si>
    <t>Kolonna991</t>
  </si>
  <si>
    <t>Kolonna992</t>
  </si>
  <si>
    <t>Kolonna993</t>
  </si>
  <si>
    <t>Kolonna994</t>
  </si>
  <si>
    <t>Kolonna995</t>
  </si>
  <si>
    <t>Kolonna996</t>
  </si>
  <si>
    <t>Kolonna997</t>
  </si>
  <si>
    <t>Kolonna998</t>
  </si>
  <si>
    <t>Kolonna999</t>
  </si>
  <si>
    <t>Kolonna1000</t>
  </si>
  <si>
    <t>Kolonna1001</t>
  </si>
  <si>
    <t>Kolonna1002</t>
  </si>
  <si>
    <t>Kolonna1003</t>
  </si>
  <si>
    <t>Kolonna1004</t>
  </si>
  <si>
    <t>Kolonna1005</t>
  </si>
  <si>
    <t>Kolonna1006</t>
  </si>
  <si>
    <t>Kolonna1007</t>
  </si>
  <si>
    <t>Kolonna1008</t>
  </si>
  <si>
    <t>Kolonna1009</t>
  </si>
  <si>
    <t>Kolonna1010</t>
  </si>
  <si>
    <t>Kolonna1011</t>
  </si>
  <si>
    <t>Kolonna1012</t>
  </si>
  <si>
    <t>Kolonna1013</t>
  </si>
  <si>
    <t>Kolonna1014</t>
  </si>
  <si>
    <t>Kolonna1015</t>
  </si>
  <si>
    <t>Kolonna1016</t>
  </si>
  <si>
    <t>Kolonna1017</t>
  </si>
  <si>
    <t>Kolonna1018</t>
  </si>
  <si>
    <t>Kolonna1019</t>
  </si>
  <si>
    <t>Kolonna1020</t>
  </si>
  <si>
    <t>Kolonna1021</t>
  </si>
  <si>
    <t>Kolonna1022</t>
  </si>
  <si>
    <t>Kolonna1023</t>
  </si>
  <si>
    <t>Kolonna1024</t>
  </si>
  <si>
    <t>Kolonna1025</t>
  </si>
  <si>
    <t>Kolonna1026</t>
  </si>
  <si>
    <t>Kolonna1027</t>
  </si>
  <si>
    <t>Kolonna1028</t>
  </si>
  <si>
    <t>Kolonna1029</t>
  </si>
  <si>
    <t>Kolonna1030</t>
  </si>
  <si>
    <t>Kolonna1031</t>
  </si>
  <si>
    <t>Kolonna1032</t>
  </si>
  <si>
    <t>Kolonna1033</t>
  </si>
  <si>
    <t>Kolonna1034</t>
  </si>
  <si>
    <t>Kolonna1035</t>
  </si>
  <si>
    <t>Kolonna1036</t>
  </si>
  <si>
    <t>Kolonna1037</t>
  </si>
  <si>
    <t>Kolonna1038</t>
  </si>
  <si>
    <t>Kolonna1039</t>
  </si>
  <si>
    <t>Kolonna1040</t>
  </si>
  <si>
    <t>Kolonna1041</t>
  </si>
  <si>
    <t>Kolonna1042</t>
  </si>
  <si>
    <t>Kolonna1043</t>
  </si>
  <si>
    <t>Kolonna1044</t>
  </si>
  <si>
    <t>Kolonna1045</t>
  </si>
  <si>
    <t>Kolonna1046</t>
  </si>
  <si>
    <t>Kolonna1047</t>
  </si>
  <si>
    <t>Kolonna1048</t>
  </si>
  <si>
    <t>Kolonna1049</t>
  </si>
  <si>
    <t>Kolonna1050</t>
  </si>
  <si>
    <t>Kolonna1051</t>
  </si>
  <si>
    <t>Kolonna1052</t>
  </si>
  <si>
    <t>Kolonna1053</t>
  </si>
  <si>
    <t>Kolonna1054</t>
  </si>
  <si>
    <t>Kolonna1055</t>
  </si>
  <si>
    <t>Kolonna1056</t>
  </si>
  <si>
    <t>Kolonna1057</t>
  </si>
  <si>
    <t>Kolonna1058</t>
  </si>
  <si>
    <t>Kolonna1059</t>
  </si>
  <si>
    <t>Kolonna1060</t>
  </si>
  <si>
    <t>Kolonna1061</t>
  </si>
  <si>
    <t>Kolonna1062</t>
  </si>
  <si>
    <t>Kolonna1063</t>
  </si>
  <si>
    <t>Kolonna1064</t>
  </si>
  <si>
    <t>Kolonna1065</t>
  </si>
  <si>
    <t>Kolonna1066</t>
  </si>
  <si>
    <t>Kolonna1067</t>
  </si>
  <si>
    <t>Kolonna1068</t>
  </si>
  <si>
    <t>Kolonna1069</t>
  </si>
  <si>
    <t>Kolonna1070</t>
  </si>
  <si>
    <t>Kolonna1071</t>
  </si>
  <si>
    <t>Kolonna1072</t>
  </si>
  <si>
    <t>Kolonna1073</t>
  </si>
  <si>
    <t>Kolonna1074</t>
  </si>
  <si>
    <t>Kolonna1075</t>
  </si>
  <si>
    <t>Kolonna1076</t>
  </si>
  <si>
    <t>Kolonna1077</t>
  </si>
  <si>
    <t>Kolonna1078</t>
  </si>
  <si>
    <t>Kolonna1079</t>
  </si>
  <si>
    <t>Kolonna1080</t>
  </si>
  <si>
    <t>Kolonna1081</t>
  </si>
  <si>
    <t>Kolonna1082</t>
  </si>
  <si>
    <t>Kolonna1083</t>
  </si>
  <si>
    <t>Kolonna1084</t>
  </si>
  <si>
    <t>Kolonna1085</t>
  </si>
  <si>
    <t>Kolonna1086</t>
  </si>
  <si>
    <t>Kolonna1087</t>
  </si>
  <si>
    <t>Kolonna1088</t>
  </si>
  <si>
    <t>Kolonna1089</t>
  </si>
  <si>
    <t>Kolonna1090</t>
  </si>
  <si>
    <t>Kolonna1091</t>
  </si>
  <si>
    <t>Kolonna1092</t>
  </si>
  <si>
    <t>Kolonna1093</t>
  </si>
  <si>
    <t>Kolonna1094</t>
  </si>
  <si>
    <t>Kolonna1095</t>
  </si>
  <si>
    <t>Kolonna1096</t>
  </si>
  <si>
    <t>Kolonna1097</t>
  </si>
  <si>
    <t>Kolonna1098</t>
  </si>
  <si>
    <t>Kolonna1099</t>
  </si>
  <si>
    <t>Kolonna1100</t>
  </si>
  <si>
    <t>Kolonna1101</t>
  </si>
  <si>
    <t>Kolonna1102</t>
  </si>
  <si>
    <t>Kolonna1103</t>
  </si>
  <si>
    <t>Kolonna1104</t>
  </si>
  <si>
    <t>Kolonna1105</t>
  </si>
  <si>
    <t>Kolonna1106</t>
  </si>
  <si>
    <t>Kolonna1107</t>
  </si>
  <si>
    <t>Kolonna1108</t>
  </si>
  <si>
    <t>Kolonna1109</t>
  </si>
  <si>
    <t>Kolonna1110</t>
  </si>
  <si>
    <t>Kolonna1111</t>
  </si>
  <si>
    <t>Kolonna1112</t>
  </si>
  <si>
    <t>Kolonna1113</t>
  </si>
  <si>
    <t>Kolonna1114</t>
  </si>
  <si>
    <t>Kolonna1115</t>
  </si>
  <si>
    <t>Kolonna1116</t>
  </si>
  <si>
    <t>Kolonna1117</t>
  </si>
  <si>
    <t>Kolonna1118</t>
  </si>
  <si>
    <t>Kolonna1119</t>
  </si>
  <si>
    <t>Kolonna1120</t>
  </si>
  <si>
    <t>Kolonna1121</t>
  </si>
  <si>
    <t>Kolonna1122</t>
  </si>
  <si>
    <t>Kolonna1123</t>
  </si>
  <si>
    <t>Kolonna1124</t>
  </si>
  <si>
    <t>Kolonna1125</t>
  </si>
  <si>
    <t>Kolonna1126</t>
  </si>
  <si>
    <t>Kolonna1127</t>
  </si>
  <si>
    <t>Kolonna1128</t>
  </si>
  <si>
    <t>Kolonna1129</t>
  </si>
  <si>
    <t>Kolonna1130</t>
  </si>
  <si>
    <t>Kolonna1131</t>
  </si>
  <si>
    <t>Kolonna1132</t>
  </si>
  <si>
    <t>Kolonna1133</t>
  </si>
  <si>
    <t>Kolonna1134</t>
  </si>
  <si>
    <t>Kolonna1135</t>
  </si>
  <si>
    <t>Kolonna1136</t>
  </si>
  <si>
    <t>Kolonna1137</t>
  </si>
  <si>
    <t>Kolonna1138</t>
  </si>
  <si>
    <t>Kolonna1139</t>
  </si>
  <si>
    <t>Kolonna1140</t>
  </si>
  <si>
    <t>Kolonna1141</t>
  </si>
  <si>
    <t>Kolonna1142</t>
  </si>
  <si>
    <t>Kolonna1143</t>
  </si>
  <si>
    <t>Kolonna1144</t>
  </si>
  <si>
    <t>Kolonna1145</t>
  </si>
  <si>
    <t>Kolonna1146</t>
  </si>
  <si>
    <t>Kolonna1147</t>
  </si>
  <si>
    <t>Kolonna1148</t>
  </si>
  <si>
    <t>Kolonna1149</t>
  </si>
  <si>
    <t>Kolonna1150</t>
  </si>
  <si>
    <t>Kolonna1151</t>
  </si>
  <si>
    <t>Kolonna1152</t>
  </si>
  <si>
    <t>Kolonna1153</t>
  </si>
  <si>
    <t>Kolonna1154</t>
  </si>
  <si>
    <t>Kolonna1155</t>
  </si>
  <si>
    <t>Kolonna1156</t>
  </si>
  <si>
    <t>Kolonna1157</t>
  </si>
  <si>
    <t>Kolonna1158</t>
  </si>
  <si>
    <t>Kolonna1159</t>
  </si>
  <si>
    <t>Kolonna1160</t>
  </si>
  <si>
    <t>Kolonna1161</t>
  </si>
  <si>
    <t>Kolonna1162</t>
  </si>
  <si>
    <t>Kolonna1163</t>
  </si>
  <si>
    <t>Kolonna1164</t>
  </si>
  <si>
    <t>Kolonna1165</t>
  </si>
  <si>
    <t>Kolonna1166</t>
  </si>
  <si>
    <t>Kolonna1167</t>
  </si>
  <si>
    <t>Kolonna1168</t>
  </si>
  <si>
    <t>Kolonna1169</t>
  </si>
  <si>
    <t>Kolonna1170</t>
  </si>
  <si>
    <t>Kolonna1171</t>
  </si>
  <si>
    <t>Kolonna1172</t>
  </si>
  <si>
    <t>Kolonna1173</t>
  </si>
  <si>
    <t>Kolonna1174</t>
  </si>
  <si>
    <t>Kolonna1175</t>
  </si>
  <si>
    <t>Kolonna1176</t>
  </si>
  <si>
    <t>Kolonna1177</t>
  </si>
  <si>
    <t>Kolonna1178</t>
  </si>
  <si>
    <t>Kolonna1179</t>
  </si>
  <si>
    <t>Kolonna1180</t>
  </si>
  <si>
    <t>Kolonna1181</t>
  </si>
  <si>
    <t>Kolonna1182</t>
  </si>
  <si>
    <t>Kolonna1183</t>
  </si>
  <si>
    <t>Kolonna1184</t>
  </si>
  <si>
    <t>Kolonna1185</t>
  </si>
  <si>
    <t>Kolonna1186</t>
  </si>
  <si>
    <t>Kolonna1187</t>
  </si>
  <si>
    <t>Kolonna1188</t>
  </si>
  <si>
    <t>Kolonna1189</t>
  </si>
  <si>
    <t>Kolonna1190</t>
  </si>
  <si>
    <t>Kolonna1191</t>
  </si>
  <si>
    <t>Kolonna1192</t>
  </si>
  <si>
    <t>Kolonna1193</t>
  </si>
  <si>
    <t>Kolonna1194</t>
  </si>
  <si>
    <t>Kolonna1195</t>
  </si>
  <si>
    <t>Kolonna1196</t>
  </si>
  <si>
    <t>Kolonna1197</t>
  </si>
  <si>
    <t>Kolonna1198</t>
  </si>
  <si>
    <t>Kolonna1199</t>
  </si>
  <si>
    <t>Kolonna1200</t>
  </si>
  <si>
    <t>Kolonna1201</t>
  </si>
  <si>
    <t>Kolonna1202</t>
  </si>
  <si>
    <t>Kolonna1203</t>
  </si>
  <si>
    <t>Kolonna1204</t>
  </si>
  <si>
    <t>Kolonna1205</t>
  </si>
  <si>
    <t>Kolonna1206</t>
  </si>
  <si>
    <t>Kolonna1207</t>
  </si>
  <si>
    <t>Kolonna1208</t>
  </si>
  <si>
    <t>Kolonna1209</t>
  </si>
  <si>
    <t>Kolonna1210</t>
  </si>
  <si>
    <t>Kolonna1211</t>
  </si>
  <si>
    <t>Kolonna1212</t>
  </si>
  <si>
    <t>Kolonna1213</t>
  </si>
  <si>
    <t>Kolonna1214</t>
  </si>
  <si>
    <t>Kolonna1215</t>
  </si>
  <si>
    <t>Kolonna1216</t>
  </si>
  <si>
    <t>Kolonna1217</t>
  </si>
  <si>
    <t>Kolonna1218</t>
  </si>
  <si>
    <t>Kolonna1219</t>
  </si>
  <si>
    <t>Kolonna1220</t>
  </si>
  <si>
    <t>Kolonna1221</t>
  </si>
  <si>
    <t>Kolonna1222</t>
  </si>
  <si>
    <t>Kolonna1223</t>
  </si>
  <si>
    <t>Kolonna1224</t>
  </si>
  <si>
    <t>Kolonna1225</t>
  </si>
  <si>
    <t>Kolonna1226</t>
  </si>
  <si>
    <t>Kolonna1227</t>
  </si>
  <si>
    <t>Kolonna1228</t>
  </si>
  <si>
    <t>Kolonna1229</t>
  </si>
  <si>
    <t>Kolonna1230</t>
  </si>
  <si>
    <t>Kolonna1231</t>
  </si>
  <si>
    <t>Kolonna1232</t>
  </si>
  <si>
    <t>Kolonna1233</t>
  </si>
  <si>
    <t>Kolonna1234</t>
  </si>
  <si>
    <t>Kolonna1235</t>
  </si>
  <si>
    <t>Kolonna1236</t>
  </si>
  <si>
    <t>Kolonna1237</t>
  </si>
  <si>
    <t>Kolonna1238</t>
  </si>
  <si>
    <t>Kolonna1239</t>
  </si>
  <si>
    <t>Kolonna1240</t>
  </si>
  <si>
    <t>Kolonna1241</t>
  </si>
  <si>
    <t>Kolonna1242</t>
  </si>
  <si>
    <t>Kolonna1243</t>
  </si>
  <si>
    <t>Kolonna1244</t>
  </si>
  <si>
    <t>Kolonna1245</t>
  </si>
  <si>
    <t>Kolonna1246</t>
  </si>
  <si>
    <t>Kolonna1247</t>
  </si>
  <si>
    <t>Kolonna1248</t>
  </si>
  <si>
    <t>Kolonna1249</t>
  </si>
  <si>
    <t>Kolonna1250</t>
  </si>
  <si>
    <t>Kolonna1251</t>
  </si>
  <si>
    <t>Kolonna1252</t>
  </si>
  <si>
    <t>Kolonna1253</t>
  </si>
  <si>
    <t>Kolonna1254</t>
  </si>
  <si>
    <t>Kolonna1255</t>
  </si>
  <si>
    <t>Kolonna1256</t>
  </si>
  <si>
    <t>Kolonna1257</t>
  </si>
  <si>
    <t>Kolonna1258</t>
  </si>
  <si>
    <t>Kolonna1259</t>
  </si>
  <si>
    <t>Kolonna1260</t>
  </si>
  <si>
    <t>Kolonna1261</t>
  </si>
  <si>
    <t>Kolonna1262</t>
  </si>
  <si>
    <t>Kolonna1263</t>
  </si>
  <si>
    <t>Kolonna1264</t>
  </si>
  <si>
    <t>Kolonna1265</t>
  </si>
  <si>
    <t>Kolonna1266</t>
  </si>
  <si>
    <t>Kolonna1267</t>
  </si>
  <si>
    <t>Kolonna1268</t>
  </si>
  <si>
    <t>Kolonna1269</t>
  </si>
  <si>
    <t>Kolonna1270</t>
  </si>
  <si>
    <t>Kolonna1271</t>
  </si>
  <si>
    <t>Kolonna1272</t>
  </si>
  <si>
    <t>Kolonna1273</t>
  </si>
  <si>
    <t>Kolonna1274</t>
  </si>
  <si>
    <t>Kolonna1275</t>
  </si>
  <si>
    <t>Kolonna1276</t>
  </si>
  <si>
    <t>Kolonna1277</t>
  </si>
  <si>
    <t>Kolonna1278</t>
  </si>
  <si>
    <t>Kolonna1279</t>
  </si>
  <si>
    <t>Kolonna1280</t>
  </si>
  <si>
    <t>Kolonna1281</t>
  </si>
  <si>
    <t>Kolonna1282</t>
  </si>
  <si>
    <t>Kolonna1283</t>
  </si>
  <si>
    <t>Kolonna1284</t>
  </si>
  <si>
    <t>Kolonna1285</t>
  </si>
  <si>
    <t>Kolonna1286</t>
  </si>
  <si>
    <t>Kolonna1287</t>
  </si>
  <si>
    <t>Kolonna1288</t>
  </si>
  <si>
    <t>Kolonna1289</t>
  </si>
  <si>
    <t>Kolonna1290</t>
  </si>
  <si>
    <t>Kolonna1291</t>
  </si>
  <si>
    <t>Kolonna1292</t>
  </si>
  <si>
    <t>Kolonna1293</t>
  </si>
  <si>
    <t>Kolonna1294</t>
  </si>
  <si>
    <t>Kolonna1295</t>
  </si>
  <si>
    <t>Kolonna1296</t>
  </si>
  <si>
    <t>Kolonna1297</t>
  </si>
  <si>
    <t>Kolonna1298</t>
  </si>
  <si>
    <t>Kolonna1299</t>
  </si>
  <si>
    <t>Kolonna1300</t>
  </si>
  <si>
    <t>Kolonna1301</t>
  </si>
  <si>
    <t>Kolonna1302</t>
  </si>
  <si>
    <t>Kolonna1303</t>
  </si>
  <si>
    <t>Kolonna1304</t>
  </si>
  <si>
    <t>Kolonna1305</t>
  </si>
  <si>
    <t>Kolonna1306</t>
  </si>
  <si>
    <t>Kolonna1307</t>
  </si>
  <si>
    <t>Kolonna1308</t>
  </si>
  <si>
    <t>Kolonna1309</t>
  </si>
  <si>
    <t>Kolonna1310</t>
  </si>
  <si>
    <t>Kolonna1311</t>
  </si>
  <si>
    <t>Kolonna1312</t>
  </si>
  <si>
    <t>Kolonna1313</t>
  </si>
  <si>
    <t>Kolonna1314</t>
  </si>
  <si>
    <t>Kolonna1315</t>
  </si>
  <si>
    <t>Kolonna1316</t>
  </si>
  <si>
    <t>Kolonna1317</t>
  </si>
  <si>
    <t>Kolonna1318</t>
  </si>
  <si>
    <t>Kolonna1319</t>
  </si>
  <si>
    <t>Kolonna1320</t>
  </si>
  <si>
    <t>Kolonna1321</t>
  </si>
  <si>
    <t>Kolonna1322</t>
  </si>
  <si>
    <t>Kolonna1323</t>
  </si>
  <si>
    <t>Kolonna1324</t>
  </si>
  <si>
    <t>Kolonna1325</t>
  </si>
  <si>
    <t>Kolonna1326</t>
  </si>
  <si>
    <t>Kolonna1327</t>
  </si>
  <si>
    <t>Kolonna1328</t>
  </si>
  <si>
    <t>Kolonna1329</t>
  </si>
  <si>
    <t>Kolonna1330</t>
  </si>
  <si>
    <t>Kolonna1331</t>
  </si>
  <si>
    <t>Kolonna1332</t>
  </si>
  <si>
    <t>Kolonna1333</t>
  </si>
  <si>
    <t>Kolonna1334</t>
  </si>
  <si>
    <t>Kolonna1335</t>
  </si>
  <si>
    <t>Kolonna1336</t>
  </si>
  <si>
    <t>Kolonna1337</t>
  </si>
  <si>
    <t>Kolonna1338</t>
  </si>
  <si>
    <t>Kolonna1339</t>
  </si>
  <si>
    <t>Kolonna1340</t>
  </si>
  <si>
    <t>Kolonna1341</t>
  </si>
  <si>
    <t>Kolonna1342</t>
  </si>
  <si>
    <t>Kolonna1343</t>
  </si>
  <si>
    <t>Kolonna1344</t>
  </si>
  <si>
    <t>Kolonna1345</t>
  </si>
  <si>
    <t>Kolonna1346</t>
  </si>
  <si>
    <t>Kolonna1347</t>
  </si>
  <si>
    <t>Kolonna1348</t>
  </si>
  <si>
    <t>Kolonna1349</t>
  </si>
  <si>
    <t>Kolonna1350</t>
  </si>
  <si>
    <t>Kolonna1351</t>
  </si>
  <si>
    <t>Kolonna1352</t>
  </si>
  <si>
    <t>Kolonna1353</t>
  </si>
  <si>
    <t>Kolonna1354</t>
  </si>
  <si>
    <t>Kolonna1355</t>
  </si>
  <si>
    <t>Kolonna1356</t>
  </si>
  <si>
    <t>Kolonna1357</t>
  </si>
  <si>
    <t>Kolonna1358</t>
  </si>
  <si>
    <t>Kolonna1359</t>
  </si>
  <si>
    <t>Kolonna1360</t>
  </si>
  <si>
    <t>Kolonna1361</t>
  </si>
  <si>
    <t>Kolonna1362</t>
  </si>
  <si>
    <t>Kolonna1363</t>
  </si>
  <si>
    <t>Kolonna1364</t>
  </si>
  <si>
    <t>Kolonna1365</t>
  </si>
  <si>
    <t>Kolonna1366</t>
  </si>
  <si>
    <t>Kolonna1367</t>
  </si>
  <si>
    <t>Kolonna1368</t>
  </si>
  <si>
    <t>Kolonna1369</t>
  </si>
  <si>
    <t>Kolonna1370</t>
  </si>
  <si>
    <t>Kolonna1371</t>
  </si>
  <si>
    <t>Kolonna1372</t>
  </si>
  <si>
    <t>Kolonna1373</t>
  </si>
  <si>
    <t>Kolonna1374</t>
  </si>
  <si>
    <t>Kolonna1375</t>
  </si>
  <si>
    <t>Kolonna1376</t>
  </si>
  <si>
    <t>Kolonna1377</t>
  </si>
  <si>
    <t>Kolonna1378</t>
  </si>
  <si>
    <t>Kolonna1379</t>
  </si>
  <si>
    <t>Kolonna1380</t>
  </si>
  <si>
    <t>Kolonna1381</t>
  </si>
  <si>
    <t>Kolonna1382</t>
  </si>
  <si>
    <t>Kolonna1383</t>
  </si>
  <si>
    <t>Kolonna1384</t>
  </si>
  <si>
    <t>Kolonna1385</t>
  </si>
  <si>
    <t>Kolonna1386</t>
  </si>
  <si>
    <t>Kolonna1387</t>
  </si>
  <si>
    <t>Kolonna1388</t>
  </si>
  <si>
    <t>Kolonna1389</t>
  </si>
  <si>
    <t>Kolonna1390</t>
  </si>
  <si>
    <t>Kolonna1391</t>
  </si>
  <si>
    <t>Kolonna1392</t>
  </si>
  <si>
    <t>Kolonna1393</t>
  </si>
  <si>
    <t>Kolonna1394</t>
  </si>
  <si>
    <t>Kolonna1395</t>
  </si>
  <si>
    <t>Kolonna1396</t>
  </si>
  <si>
    <t>Kolonna1397</t>
  </si>
  <si>
    <t>Kolonna1398</t>
  </si>
  <si>
    <t>Kolonna1399</t>
  </si>
  <si>
    <t>Kolonna1400</t>
  </si>
  <si>
    <t>Kolonna1401</t>
  </si>
  <si>
    <t>Kolonna1402</t>
  </si>
  <si>
    <t>Kolonna1403</t>
  </si>
  <si>
    <t>Kolonna1404</t>
  </si>
  <si>
    <t>Kolonna1405</t>
  </si>
  <si>
    <t>Kolonna1406</t>
  </si>
  <si>
    <t>Kolonna1407</t>
  </si>
  <si>
    <t>Kolonna1408</t>
  </si>
  <si>
    <t>Kolonna1409</t>
  </si>
  <si>
    <t>Kolonna1410</t>
  </si>
  <si>
    <t>Kolonna1411</t>
  </si>
  <si>
    <t>Kolonna1412</t>
  </si>
  <si>
    <t>Kolonna1413</t>
  </si>
  <si>
    <t>Kolonna1414</t>
  </si>
  <si>
    <t>Kolonna1415</t>
  </si>
  <si>
    <t>Kolonna1416</t>
  </si>
  <si>
    <t>Kolonna1417</t>
  </si>
  <si>
    <t>Kolonna1418</t>
  </si>
  <si>
    <t>Kolonna1419</t>
  </si>
  <si>
    <t>Kolonna1420</t>
  </si>
  <si>
    <t>Kolonna1421</t>
  </si>
  <si>
    <t>Kolonna1422</t>
  </si>
  <si>
    <t>Kolonna1423</t>
  </si>
  <si>
    <t>Kolonna1424</t>
  </si>
  <si>
    <t>Kolonna1425</t>
  </si>
  <si>
    <t>Kolonna1426</t>
  </si>
  <si>
    <t>Kolonna1427</t>
  </si>
  <si>
    <t>Kolonna1428</t>
  </si>
  <si>
    <t>Kolonna1429</t>
  </si>
  <si>
    <t>Kolonna1430</t>
  </si>
  <si>
    <t>Kolonna1431</t>
  </si>
  <si>
    <t>Kolonna1432</t>
  </si>
  <si>
    <t>Kolonna1433</t>
  </si>
  <si>
    <t>Kolonna1434</t>
  </si>
  <si>
    <t>Kolonna1435</t>
  </si>
  <si>
    <t>Kolonna1436</t>
  </si>
  <si>
    <t>Kolonna1437</t>
  </si>
  <si>
    <t>Kolonna1438</t>
  </si>
  <si>
    <t>Kolonna1439</t>
  </si>
  <si>
    <t>Kolonna1440</t>
  </si>
  <si>
    <t>Kolonna1441</t>
  </si>
  <si>
    <t>Kolonna1442</t>
  </si>
  <si>
    <t>Kolonna1443</t>
  </si>
  <si>
    <t>Kolonna1444</t>
  </si>
  <si>
    <t>Kolonna1445</t>
  </si>
  <si>
    <t>Kolonna1446</t>
  </si>
  <si>
    <t>Kolonna1447</t>
  </si>
  <si>
    <t>Kolonna1448</t>
  </si>
  <si>
    <t>Kolonna1449</t>
  </si>
  <si>
    <t>Kolonna1450</t>
  </si>
  <si>
    <t>Kolonna1451</t>
  </si>
  <si>
    <t>Kolonna1452</t>
  </si>
  <si>
    <t>Kolonna1453</t>
  </si>
  <si>
    <t>Kolonna1454</t>
  </si>
  <si>
    <t>Kolonna1455</t>
  </si>
  <si>
    <t>Kolonna1456</t>
  </si>
  <si>
    <t>Kolonna1457</t>
  </si>
  <si>
    <t>Kolonna1458</t>
  </si>
  <si>
    <t>Kolonna1459</t>
  </si>
  <si>
    <t>Kolonna1460</t>
  </si>
  <si>
    <t>Kolonna1461</t>
  </si>
  <si>
    <t>Kolonna1462</t>
  </si>
  <si>
    <t>Kolonna1463</t>
  </si>
  <si>
    <t>Kolonna1464</t>
  </si>
  <si>
    <t>Kolonna1465</t>
  </si>
  <si>
    <t>Kolonna1466</t>
  </si>
  <si>
    <t>Kolonna1467</t>
  </si>
  <si>
    <t>Kolonna1468</t>
  </si>
  <si>
    <t>Kolonna1469</t>
  </si>
  <si>
    <t>Kolonna1470</t>
  </si>
  <si>
    <t>Kolonna1471</t>
  </si>
  <si>
    <t>Kolonna1472</t>
  </si>
  <si>
    <t>Kolonna1473</t>
  </si>
  <si>
    <t>Kolonna1474</t>
  </si>
  <si>
    <t>Kolonna1475</t>
  </si>
  <si>
    <t>Kolonna1476</t>
  </si>
  <si>
    <t>Kolonna1477</t>
  </si>
  <si>
    <t>Kolonna1478</t>
  </si>
  <si>
    <t>Kolonna1479</t>
  </si>
  <si>
    <t>Kolonna1480</t>
  </si>
  <si>
    <t>Kolonna1481</t>
  </si>
  <si>
    <t>Kolonna1482</t>
  </si>
  <si>
    <t>Kolonna1483</t>
  </si>
  <si>
    <t>Kolonna1484</t>
  </si>
  <si>
    <t>Kolonna1485</t>
  </si>
  <si>
    <t>Kolonna1486</t>
  </si>
  <si>
    <t>Kolonna1487</t>
  </si>
  <si>
    <t>Kolonna1488</t>
  </si>
  <si>
    <t>Kolonna1489</t>
  </si>
  <si>
    <t>Kolonna1490</t>
  </si>
  <si>
    <t>Kolonna1491</t>
  </si>
  <si>
    <t>Kolonna1492</t>
  </si>
  <si>
    <t>Kolonna1493</t>
  </si>
  <si>
    <t>Kolonna1494</t>
  </si>
  <si>
    <t>Kolonna1495</t>
  </si>
  <si>
    <t>Kolonna1496</t>
  </si>
  <si>
    <t>Kolonna1497</t>
  </si>
  <si>
    <t>Kolonna1498</t>
  </si>
  <si>
    <t>Kolonna1499</t>
  </si>
  <si>
    <t>Kolonna1500</t>
  </si>
  <si>
    <t>Kolonna1501</t>
  </si>
  <si>
    <t>Kolonna1502</t>
  </si>
  <si>
    <t>Kolonna1503</t>
  </si>
  <si>
    <t>Kolonna1504</t>
  </si>
  <si>
    <t>Kolonna1505</t>
  </si>
  <si>
    <t>Kolonna1506</t>
  </si>
  <si>
    <t>Kolonna1507</t>
  </si>
  <si>
    <t>Kolonna1508</t>
  </si>
  <si>
    <t>Kolonna1509</t>
  </si>
  <si>
    <t>Kolonna1510</t>
  </si>
  <si>
    <t>Kolonna1511</t>
  </si>
  <si>
    <t>Kolonna1512</t>
  </si>
  <si>
    <t>Kolonna1513</t>
  </si>
  <si>
    <t>Kolonna1514</t>
  </si>
  <si>
    <t>Kolonna1515</t>
  </si>
  <si>
    <t>Kolonna1516</t>
  </si>
  <si>
    <t>Kolonna1517</t>
  </si>
  <si>
    <t>Kolonna1518</t>
  </si>
  <si>
    <t>Kolonna1519</t>
  </si>
  <si>
    <t>Kolonna1520</t>
  </si>
  <si>
    <t>Kolonna1521</t>
  </si>
  <si>
    <t>Kolonna1522</t>
  </si>
  <si>
    <t>Kolonna1523</t>
  </si>
  <si>
    <t>Kolonna1524</t>
  </si>
  <si>
    <t>Kolonna1525</t>
  </si>
  <si>
    <t>Kolonna1526</t>
  </si>
  <si>
    <t>Kolonna1527</t>
  </si>
  <si>
    <t>Kolonna1528</t>
  </si>
  <si>
    <t>Kolonna1529</t>
  </si>
  <si>
    <t>Kolonna1530</t>
  </si>
  <si>
    <t>Kolonna1531</t>
  </si>
  <si>
    <t>Kolonna1532</t>
  </si>
  <si>
    <t>Kolonna1533</t>
  </si>
  <si>
    <t>Kolonna1534</t>
  </si>
  <si>
    <t>Kolonna1535</t>
  </si>
  <si>
    <t>Kolonna1536</t>
  </si>
  <si>
    <t>Kolonna1537</t>
  </si>
  <si>
    <t>Kolonna1538</t>
  </si>
  <si>
    <t>Kolonna1539</t>
  </si>
  <si>
    <t>Kolonna1540</t>
  </si>
  <si>
    <t>Kolonna1541</t>
  </si>
  <si>
    <t>Kolonna1542</t>
  </si>
  <si>
    <t>Kolonna1543</t>
  </si>
  <si>
    <t>Kolonna1544</t>
  </si>
  <si>
    <t>Kolonna1545</t>
  </si>
  <si>
    <t>Kolonna1546</t>
  </si>
  <si>
    <t>Kolonna1547</t>
  </si>
  <si>
    <t>Kolonna1548</t>
  </si>
  <si>
    <t>Kolonna1549</t>
  </si>
  <si>
    <t>Kolonna1550</t>
  </si>
  <si>
    <t>Kolonna1551</t>
  </si>
  <si>
    <t>Kolonna1552</t>
  </si>
  <si>
    <t>Kolonna1553</t>
  </si>
  <si>
    <t>Kolonna1554</t>
  </si>
  <si>
    <t>Kolonna1555</t>
  </si>
  <si>
    <t>Kolonna1556</t>
  </si>
  <si>
    <t>Kolonna1557</t>
  </si>
  <si>
    <t>Kolonna1558</t>
  </si>
  <si>
    <t>Kolonna1559</t>
  </si>
  <si>
    <t>Kolonna1560</t>
  </si>
  <si>
    <t>Kolonna1561</t>
  </si>
  <si>
    <t>Kolonna1562</t>
  </si>
  <si>
    <t>Kolonna1563</t>
  </si>
  <si>
    <t>Kolonna1564</t>
  </si>
  <si>
    <t>Kolonna1565</t>
  </si>
  <si>
    <t>Kolonna1566</t>
  </si>
  <si>
    <t>Kolonna1567</t>
  </si>
  <si>
    <t>Kolonna1568</t>
  </si>
  <si>
    <t>Kolonna1569</t>
  </si>
  <si>
    <t>Kolonna1570</t>
  </si>
  <si>
    <t>Kolonna1571</t>
  </si>
  <si>
    <t>Kolonna1572</t>
  </si>
  <si>
    <t>Kolonna1573</t>
  </si>
  <si>
    <t>Kolonna1574</t>
  </si>
  <si>
    <t>Kolonna1575</t>
  </si>
  <si>
    <t>Kolonna1576</t>
  </si>
  <si>
    <t>Kolonna1577</t>
  </si>
  <si>
    <t>Kolonna1578</t>
  </si>
  <si>
    <t>Kolonna1579</t>
  </si>
  <si>
    <t>Kolonna1580</t>
  </si>
  <si>
    <t>Kolonna1581</t>
  </si>
  <si>
    <t>Kolonna1582</t>
  </si>
  <si>
    <t>Kolonna1583</t>
  </si>
  <si>
    <t>Kolonna1584</t>
  </si>
  <si>
    <t>Kolonna1585</t>
  </si>
  <si>
    <t>Kolonna1586</t>
  </si>
  <si>
    <t>Kolonna1587</t>
  </si>
  <si>
    <t>Kolonna1588</t>
  </si>
  <si>
    <t>Kolonna1589</t>
  </si>
  <si>
    <t>Kolonna1590</t>
  </si>
  <si>
    <t>Kolonna1591</t>
  </si>
  <si>
    <t>Kolonna1592</t>
  </si>
  <si>
    <t>Kolonna1593</t>
  </si>
  <si>
    <t>Kolonna1594</t>
  </si>
  <si>
    <t>Kolonna1595</t>
  </si>
  <si>
    <t>Kolonna1596</t>
  </si>
  <si>
    <t>Kolonna1597</t>
  </si>
  <si>
    <t>Kolonna1598</t>
  </si>
  <si>
    <t>Kolonna1599</t>
  </si>
  <si>
    <t>Kolonna1600</t>
  </si>
  <si>
    <t>Kolonna1601</t>
  </si>
  <si>
    <t>Kolonna1602</t>
  </si>
  <si>
    <t>Kolonna1603</t>
  </si>
  <si>
    <t>Kolonna1604</t>
  </si>
  <si>
    <t>Kolonna1605</t>
  </si>
  <si>
    <t>Kolonna1606</t>
  </si>
  <si>
    <t>Kolonna1607</t>
  </si>
  <si>
    <t>Kolonna1608</t>
  </si>
  <si>
    <t>Kolonna1609</t>
  </si>
  <si>
    <t>Kolonna1610</t>
  </si>
  <si>
    <t>Kolonna1611</t>
  </si>
  <si>
    <t>Kolonna1612</t>
  </si>
  <si>
    <t>Kolonna1613</t>
  </si>
  <si>
    <t>Kolonna1614</t>
  </si>
  <si>
    <t>Kolonna1615</t>
  </si>
  <si>
    <t>Kolonna1616</t>
  </si>
  <si>
    <t>Kolonna1617</t>
  </si>
  <si>
    <t>Kolonna1618</t>
  </si>
  <si>
    <t>Kolonna1619</t>
  </si>
  <si>
    <t>Kolonna1620</t>
  </si>
  <si>
    <t>Kolonna1621</t>
  </si>
  <si>
    <t>Kolonna1622</t>
  </si>
  <si>
    <t>Kolonna1623</t>
  </si>
  <si>
    <t>Kolonna1624</t>
  </si>
  <si>
    <t>Kolonna1625</t>
  </si>
  <si>
    <t>Kolonna1626</t>
  </si>
  <si>
    <t>Kolonna1627</t>
  </si>
  <si>
    <t>Kolonna1628</t>
  </si>
  <si>
    <t>Kolonna1629</t>
  </si>
  <si>
    <t>Kolonna1630</t>
  </si>
  <si>
    <t>Kolonna1631</t>
  </si>
  <si>
    <t>Kolonna1632</t>
  </si>
  <si>
    <t>Kolonna1633</t>
  </si>
  <si>
    <t>Kolonna1634</t>
  </si>
  <si>
    <t>Kolonna1635</t>
  </si>
  <si>
    <t>Kolonna1636</t>
  </si>
  <si>
    <t>Kolonna1637</t>
  </si>
  <si>
    <t>Kolonna1638</t>
  </si>
  <si>
    <t>Kolonna1639</t>
  </si>
  <si>
    <t>Kolonna1640</t>
  </si>
  <si>
    <t>Kolonna1641</t>
  </si>
  <si>
    <t>Kolonna1642</t>
  </si>
  <si>
    <t>Kolonna1643</t>
  </si>
  <si>
    <t>Kolonna1644</t>
  </si>
  <si>
    <t>Kolonna1645</t>
  </si>
  <si>
    <t>Kolonna1646</t>
  </si>
  <si>
    <t>Kolonna1647</t>
  </si>
  <si>
    <t>Kolonna1648</t>
  </si>
  <si>
    <t>Kolonna1649</t>
  </si>
  <si>
    <t>Kolonna1650</t>
  </si>
  <si>
    <t>Kolonna1651</t>
  </si>
  <si>
    <t>Kolonna1652</t>
  </si>
  <si>
    <t>Kolonna1653</t>
  </si>
  <si>
    <t>Kolonna1654</t>
  </si>
  <si>
    <t>Kolonna1655</t>
  </si>
  <si>
    <t>Kolonna1656</t>
  </si>
  <si>
    <t>Kolonna1657</t>
  </si>
  <si>
    <t>Kolonna1658</t>
  </si>
  <si>
    <t>Kolonna1659</t>
  </si>
  <si>
    <t>Kolonna1660</t>
  </si>
  <si>
    <t>Kolonna1661</t>
  </si>
  <si>
    <t>Kolonna1662</t>
  </si>
  <si>
    <t>Kolonna1663</t>
  </si>
  <si>
    <t>Kolonna1664</t>
  </si>
  <si>
    <t>Kolonna1665</t>
  </si>
  <si>
    <t>Kolonna1666</t>
  </si>
  <si>
    <t>Kolonna1667</t>
  </si>
  <si>
    <t>Kolonna1668</t>
  </si>
  <si>
    <t>Kolonna1669</t>
  </si>
  <si>
    <t>Kolonna1670</t>
  </si>
  <si>
    <t>Kolonna1671</t>
  </si>
  <si>
    <t>Kolonna1672</t>
  </si>
  <si>
    <t>Kolonna1673</t>
  </si>
  <si>
    <t>Kolonna1674</t>
  </si>
  <si>
    <t>Kolonna1675</t>
  </si>
  <si>
    <t>Kolonna1676</t>
  </si>
  <si>
    <t>Kolonna1677</t>
  </si>
  <si>
    <t>Kolonna1678</t>
  </si>
  <si>
    <t>Kolonna1679</t>
  </si>
  <si>
    <t>Kolonna1680</t>
  </si>
  <si>
    <t>Kolonna1681</t>
  </si>
  <si>
    <t>Kolonna1682</t>
  </si>
  <si>
    <t>Kolonna1683</t>
  </si>
  <si>
    <t>Kolonna1684</t>
  </si>
  <si>
    <t>Kolonna1685</t>
  </si>
  <si>
    <t>Kolonna1686</t>
  </si>
  <si>
    <t>Kolonna1687</t>
  </si>
  <si>
    <t>Kolonna1688</t>
  </si>
  <si>
    <t>Kolonna1689</t>
  </si>
  <si>
    <t>Kolonna1690</t>
  </si>
  <si>
    <t>Kolonna1691</t>
  </si>
  <si>
    <t>Kolonna1692</t>
  </si>
  <si>
    <t>Kolonna1693</t>
  </si>
  <si>
    <t>Kolonna1694</t>
  </si>
  <si>
    <t>Kolonna1695</t>
  </si>
  <si>
    <t>Kolonna1696</t>
  </si>
  <si>
    <t>Kolonna1697</t>
  </si>
  <si>
    <t>Kolonna1698</t>
  </si>
  <si>
    <t>Kolonna1699</t>
  </si>
  <si>
    <t>Kolonna1700</t>
  </si>
  <si>
    <t>Kolonna1701</t>
  </si>
  <si>
    <t>Kolonna1702</t>
  </si>
  <si>
    <t>Kolonna1703</t>
  </si>
  <si>
    <t>Kolonna1704</t>
  </si>
  <si>
    <t>Kolonna1705</t>
  </si>
  <si>
    <t>Kolonna1706</t>
  </si>
  <si>
    <t>Kolonna1707</t>
  </si>
  <si>
    <t>Kolonna1708</t>
  </si>
  <si>
    <t>Kolonna1709</t>
  </si>
  <si>
    <t>Kolonna1710</t>
  </si>
  <si>
    <t>Kolonna1711</t>
  </si>
  <si>
    <t>Kolonna1712</t>
  </si>
  <si>
    <t>Kolonna1713</t>
  </si>
  <si>
    <t>Kolonna1714</t>
  </si>
  <si>
    <t>Kolonna1715</t>
  </si>
  <si>
    <t>Kolonna1716</t>
  </si>
  <si>
    <t>Kolonna1717</t>
  </si>
  <si>
    <t>Kolonna1718</t>
  </si>
  <si>
    <t>Kolonna1719</t>
  </si>
  <si>
    <t>Kolonna1720</t>
  </si>
  <si>
    <t>Kolonna1721</t>
  </si>
  <si>
    <t>Kolonna1722</t>
  </si>
  <si>
    <t>Kolonna1723</t>
  </si>
  <si>
    <t>Kolonna1724</t>
  </si>
  <si>
    <t>Kolonna1725</t>
  </si>
  <si>
    <t>Kolonna1726</t>
  </si>
  <si>
    <t>Kolonna1727</t>
  </si>
  <si>
    <t>Kolonna1728</t>
  </si>
  <si>
    <t>Kolonna1729</t>
  </si>
  <si>
    <t>Kolonna1730</t>
  </si>
  <si>
    <t>Kolonna1731</t>
  </si>
  <si>
    <t>Kolonna1732</t>
  </si>
  <si>
    <t>Kolonna1733</t>
  </si>
  <si>
    <t>Kolonna1734</t>
  </si>
  <si>
    <t>Kolonna1735</t>
  </si>
  <si>
    <t>Kolonna1736</t>
  </si>
  <si>
    <t>Kolonna1737</t>
  </si>
  <si>
    <t>Kolonna1738</t>
  </si>
  <si>
    <t>Kolonna1739</t>
  </si>
  <si>
    <t>Kolonna1740</t>
  </si>
  <si>
    <t>Kolonna1741</t>
  </si>
  <si>
    <t>Kolonna1742</t>
  </si>
  <si>
    <t>Kolonna1743</t>
  </si>
  <si>
    <t>Kolonna1744</t>
  </si>
  <si>
    <t>Kolonna1745</t>
  </si>
  <si>
    <t>Kolonna1746</t>
  </si>
  <si>
    <t>Kolonna1747</t>
  </si>
  <si>
    <t>Kolonna1748</t>
  </si>
  <si>
    <t>Kolonna1749</t>
  </si>
  <si>
    <t>Kolonna1750</t>
  </si>
  <si>
    <t>Kolonna1751</t>
  </si>
  <si>
    <t>Kolonna1752</t>
  </si>
  <si>
    <t>Kolonna1753</t>
  </si>
  <si>
    <t>Kolonna1754</t>
  </si>
  <si>
    <t>Kolonna1755</t>
  </si>
  <si>
    <t>Kolonna1756</t>
  </si>
  <si>
    <t>Kolonna1757</t>
  </si>
  <si>
    <t>Kolonna1758</t>
  </si>
  <si>
    <t>Kolonna1759</t>
  </si>
  <si>
    <t>Kolonna1760</t>
  </si>
  <si>
    <t>Kolonna1761</t>
  </si>
  <si>
    <t>Kolonna1762</t>
  </si>
  <si>
    <t>Kolonna1763</t>
  </si>
  <si>
    <t>Kolonna1764</t>
  </si>
  <si>
    <t>Kolonna1765</t>
  </si>
  <si>
    <t>Kolonna1766</t>
  </si>
  <si>
    <t>Kolonna1767</t>
  </si>
  <si>
    <t>Kolonna1768</t>
  </si>
  <si>
    <t>Kolonna1769</t>
  </si>
  <si>
    <t>Kolonna1770</t>
  </si>
  <si>
    <t>Kolonna1771</t>
  </si>
  <si>
    <t>Kolonna1772</t>
  </si>
  <si>
    <t>Kolonna1773</t>
  </si>
  <si>
    <t>Kolonna1774</t>
  </si>
  <si>
    <t>Kolonna1775</t>
  </si>
  <si>
    <t>Kolonna1776</t>
  </si>
  <si>
    <t>Kolonna1777</t>
  </si>
  <si>
    <t>Kolonna1778</t>
  </si>
  <si>
    <t>Kolonna1779</t>
  </si>
  <si>
    <t>Kolonna1780</t>
  </si>
  <si>
    <t>Kolonna1781</t>
  </si>
  <si>
    <t>Kolonna1782</t>
  </si>
  <si>
    <t>Kolonna1783</t>
  </si>
  <si>
    <t>Kolonna1784</t>
  </si>
  <si>
    <t>Kolonna1785</t>
  </si>
  <si>
    <t>Kolonna1786</t>
  </si>
  <si>
    <t>Kolonna1787</t>
  </si>
  <si>
    <t>Kolonna1788</t>
  </si>
  <si>
    <t>Kolonna1789</t>
  </si>
  <si>
    <t>Kolonna1790</t>
  </si>
  <si>
    <t>Kolonna1791</t>
  </si>
  <si>
    <t>Kolonna1792</t>
  </si>
  <si>
    <t>Kolonna1793</t>
  </si>
  <si>
    <t>Kolonna1794</t>
  </si>
  <si>
    <t>Kolonna1795</t>
  </si>
  <si>
    <t>Kolonna1796</t>
  </si>
  <si>
    <t>Kolonna1797</t>
  </si>
  <si>
    <t>Kolonna1798</t>
  </si>
  <si>
    <t>Kolonna1799</t>
  </si>
  <si>
    <t>Kolonna1800</t>
  </si>
  <si>
    <t>Kolonna1801</t>
  </si>
  <si>
    <t>Kolonna1802</t>
  </si>
  <si>
    <t>Kolonna1803</t>
  </si>
  <si>
    <t>Kolonna1804</t>
  </si>
  <si>
    <t>Kolonna1805</t>
  </si>
  <si>
    <t>Kolonna1806</t>
  </si>
  <si>
    <t>Kolonna1807</t>
  </si>
  <si>
    <t>Kolonna1808</t>
  </si>
  <si>
    <t>Kolonna1809</t>
  </si>
  <si>
    <t>Kolonna1810</t>
  </si>
  <si>
    <t>Kolonna1811</t>
  </si>
  <si>
    <t>Kolonna1812</t>
  </si>
  <si>
    <t>Kolonna1813</t>
  </si>
  <si>
    <t>Kolonna1814</t>
  </si>
  <si>
    <t>Kolonna1815</t>
  </si>
  <si>
    <t>Kolonna1816</t>
  </si>
  <si>
    <t>Kolonna1817</t>
  </si>
  <si>
    <t>Kolonna1818</t>
  </si>
  <si>
    <t>Kolonna1819</t>
  </si>
  <si>
    <t>Kolonna1820</t>
  </si>
  <si>
    <t>Kolonna1821</t>
  </si>
  <si>
    <t>Kolonna1822</t>
  </si>
  <si>
    <t>Kolonna1823</t>
  </si>
  <si>
    <t>Kolonna1824</t>
  </si>
  <si>
    <t>Kolonna1825</t>
  </si>
  <si>
    <t>Kolonna1826</t>
  </si>
  <si>
    <t>Kolonna1827</t>
  </si>
  <si>
    <t>Kolonna1828</t>
  </si>
  <si>
    <t>Kolonna1829</t>
  </si>
  <si>
    <t>Kolonna1830</t>
  </si>
  <si>
    <t>Kolonna1831</t>
  </si>
  <si>
    <t>Kolonna1832</t>
  </si>
  <si>
    <t>Kolonna1833</t>
  </si>
  <si>
    <t>Kolonna1834</t>
  </si>
  <si>
    <t>Kolonna1835</t>
  </si>
  <si>
    <t>Kolonna1836</t>
  </si>
  <si>
    <t>Kolonna1837</t>
  </si>
  <si>
    <t>Kolonna1838</t>
  </si>
  <si>
    <t>Kolonna1839</t>
  </si>
  <si>
    <t>Kolonna1840</t>
  </si>
  <si>
    <t>Kolonna1841</t>
  </si>
  <si>
    <t>Kolonna1842</t>
  </si>
  <si>
    <t>Kolonna1843</t>
  </si>
  <si>
    <t>Kolonna1844</t>
  </si>
  <si>
    <t>Kolonna1845</t>
  </si>
  <si>
    <t>Kolonna1846</t>
  </si>
  <si>
    <t>Kolonna1847</t>
  </si>
  <si>
    <t>Kolonna1848</t>
  </si>
  <si>
    <t>Kolonna1849</t>
  </si>
  <si>
    <t>Kolonna1850</t>
  </si>
  <si>
    <t>Kolonna1851</t>
  </si>
  <si>
    <t>Kolonna1852</t>
  </si>
  <si>
    <t>Kolonna1853</t>
  </si>
  <si>
    <t>Kolonna1854</t>
  </si>
  <si>
    <t>Kolonna1855</t>
  </si>
  <si>
    <t>Kolonna1856</t>
  </si>
  <si>
    <t>Kolonna1857</t>
  </si>
  <si>
    <t>Kolonna1858</t>
  </si>
  <si>
    <t>Kolonna1859</t>
  </si>
  <si>
    <t>Kolonna1860</t>
  </si>
  <si>
    <t>Kolonna1861</t>
  </si>
  <si>
    <t>Kolonna1862</t>
  </si>
  <si>
    <t>Kolonna1863</t>
  </si>
  <si>
    <t>Kolonna1864</t>
  </si>
  <si>
    <t>Kolonna1865</t>
  </si>
  <si>
    <t>Kolonna1866</t>
  </si>
  <si>
    <t>Kolonna1867</t>
  </si>
  <si>
    <t>Kolonna1868</t>
  </si>
  <si>
    <t>Kolonna1869</t>
  </si>
  <si>
    <t>Kolonna1870</t>
  </si>
  <si>
    <t>Kolonna1871</t>
  </si>
  <si>
    <t>Kolonna1872</t>
  </si>
  <si>
    <t>Kolonna1873</t>
  </si>
  <si>
    <t>Kolonna1874</t>
  </si>
  <si>
    <t>Kolonna1875</t>
  </si>
  <si>
    <t>Kolonna1876</t>
  </si>
  <si>
    <t>Kolonna1877</t>
  </si>
  <si>
    <t>Kolonna1878</t>
  </si>
  <si>
    <t>Kolonna1879</t>
  </si>
  <si>
    <t>Kolonna1880</t>
  </si>
  <si>
    <t>Kolonna1881</t>
  </si>
  <si>
    <t>Kolonna1882</t>
  </si>
  <si>
    <t>Kolonna1883</t>
  </si>
  <si>
    <t>Kolonna1884</t>
  </si>
  <si>
    <t>Kolonna1885</t>
  </si>
  <si>
    <t>Kolonna1886</t>
  </si>
  <si>
    <t>Kolonna1887</t>
  </si>
  <si>
    <t>Kolonna1888</t>
  </si>
  <si>
    <t>Kolonna1889</t>
  </si>
  <si>
    <t>Kolonna1890</t>
  </si>
  <si>
    <t>Kolonna1891</t>
  </si>
  <si>
    <t>Kolonna1892</t>
  </si>
  <si>
    <t>Kolonna1893</t>
  </si>
  <si>
    <t>Kolonna1894</t>
  </si>
  <si>
    <t>Kolonna1895</t>
  </si>
  <si>
    <t>Kolonna1896</t>
  </si>
  <si>
    <t>Kolonna1897</t>
  </si>
  <si>
    <t>Kolonna1898</t>
  </si>
  <si>
    <t>Kolonna1899</t>
  </si>
  <si>
    <t>Kolonna1900</t>
  </si>
  <si>
    <t>Kolonna1901</t>
  </si>
  <si>
    <t>Kolonna1902</t>
  </si>
  <si>
    <t>Kolonna1903</t>
  </si>
  <si>
    <t>Kolonna1904</t>
  </si>
  <si>
    <t>Kolonna1905</t>
  </si>
  <si>
    <t>Kolonna1906</t>
  </si>
  <si>
    <t>Kolonna1907</t>
  </si>
  <si>
    <t>Kolonna1908</t>
  </si>
  <si>
    <t>Kolonna1909</t>
  </si>
  <si>
    <t>Kolonna1910</t>
  </si>
  <si>
    <t>Kolonna1911</t>
  </si>
  <si>
    <t>Kolonna1912</t>
  </si>
  <si>
    <t>Kolonna1913</t>
  </si>
  <si>
    <t>Kolonna1914</t>
  </si>
  <si>
    <t>Kolonna1915</t>
  </si>
  <si>
    <t>Kolonna1916</t>
  </si>
  <si>
    <t>Kolonna1917</t>
  </si>
  <si>
    <t>Kolonna1918</t>
  </si>
  <si>
    <t>Kolonna1919</t>
  </si>
  <si>
    <t>Kolonna1920</t>
  </si>
  <si>
    <t>Kolonna1921</t>
  </si>
  <si>
    <t>Kolonna1922</t>
  </si>
  <si>
    <t>Kolonna1923</t>
  </si>
  <si>
    <t>Kolonna1924</t>
  </si>
  <si>
    <t>Kolonna1925</t>
  </si>
  <si>
    <t>Kolonna1926</t>
  </si>
  <si>
    <t>Kolonna1927</t>
  </si>
  <si>
    <t>Kolonna1928</t>
  </si>
  <si>
    <t>Kolonna1929</t>
  </si>
  <si>
    <t>Kolonna1930</t>
  </si>
  <si>
    <t>Kolonna1931</t>
  </si>
  <si>
    <t>Kolonna1932</t>
  </si>
  <si>
    <t>Kolonna1933</t>
  </si>
  <si>
    <t>Kolonna1934</t>
  </si>
  <si>
    <t>Kolonna1935</t>
  </si>
  <si>
    <t>Kolonna1936</t>
  </si>
  <si>
    <t>Kolonna1937</t>
  </si>
  <si>
    <t>Kolonna1938</t>
  </si>
  <si>
    <t>Kolonna1939</t>
  </si>
  <si>
    <t>Kolonna1940</t>
  </si>
  <si>
    <t>Kolonna1941</t>
  </si>
  <si>
    <t>Kolonna1942</t>
  </si>
  <si>
    <t>Kolonna1943</t>
  </si>
  <si>
    <t>Kolonna1944</t>
  </si>
  <si>
    <t>Kolonna1945</t>
  </si>
  <si>
    <t>Kolonna1946</t>
  </si>
  <si>
    <t>Kolonna1947</t>
  </si>
  <si>
    <t>Kolonna1948</t>
  </si>
  <si>
    <t>Kolonna1949</t>
  </si>
  <si>
    <t>Kolonna1950</t>
  </si>
  <si>
    <t>Kolonna1951</t>
  </si>
  <si>
    <t>Kolonna1952</t>
  </si>
  <si>
    <t>Kolonna1953</t>
  </si>
  <si>
    <t>Kolonna1954</t>
  </si>
  <si>
    <t>Kolonna1955</t>
  </si>
  <si>
    <t>Kolonna1956</t>
  </si>
  <si>
    <t>Kolonna1957</t>
  </si>
  <si>
    <t>Kolonna1958</t>
  </si>
  <si>
    <t>Kolonna1959</t>
  </si>
  <si>
    <t>Kolonna1960</t>
  </si>
  <si>
    <t>Kolonna1961</t>
  </si>
  <si>
    <t>Kolonna1962</t>
  </si>
  <si>
    <t>Kolonna1963</t>
  </si>
  <si>
    <t>Kolonna1964</t>
  </si>
  <si>
    <t>Kolonna1965</t>
  </si>
  <si>
    <t>Kolonna1966</t>
  </si>
  <si>
    <t>Kolonna1967</t>
  </si>
  <si>
    <t>Kolonna1968</t>
  </si>
  <si>
    <t>Kolonna1969</t>
  </si>
  <si>
    <t>Kolonna1970</t>
  </si>
  <si>
    <t>Kolonna1971</t>
  </si>
  <si>
    <t>Kolonna1972</t>
  </si>
  <si>
    <t>Kolonna1973</t>
  </si>
  <si>
    <t>Kolonna1974</t>
  </si>
  <si>
    <t>Kolonna1975</t>
  </si>
  <si>
    <t>Kolonna1976</t>
  </si>
  <si>
    <t>Kolonna1977</t>
  </si>
  <si>
    <t>Kolonna1978</t>
  </si>
  <si>
    <t>Kolonna1979</t>
  </si>
  <si>
    <t>Kolonna1980</t>
  </si>
  <si>
    <t>Kolonna1981</t>
  </si>
  <si>
    <t>Kolonna1982</t>
  </si>
  <si>
    <t>Kolonna1983</t>
  </si>
  <si>
    <t>Kolonna1984</t>
  </si>
  <si>
    <t>Kolonna1985</t>
  </si>
  <si>
    <t>Kolonna1986</t>
  </si>
  <si>
    <t>Kolonna1987</t>
  </si>
  <si>
    <t>Kolonna1988</t>
  </si>
  <si>
    <t>Kolonna1989</t>
  </si>
  <si>
    <t>Kolonna1990</t>
  </si>
  <si>
    <t>Kolonna1991</t>
  </si>
  <si>
    <t>Kolonna1992</t>
  </si>
  <si>
    <t>Kolonna1993</t>
  </si>
  <si>
    <t>Kolonna1994</t>
  </si>
  <si>
    <t>Kolonna1995</t>
  </si>
  <si>
    <t>Kolonna1996</t>
  </si>
  <si>
    <t>Kolonna1997</t>
  </si>
  <si>
    <t>Kolonna1998</t>
  </si>
  <si>
    <t>Kolonna1999</t>
  </si>
  <si>
    <t>Kolonna2000</t>
  </si>
  <si>
    <t>Kolonna2001</t>
  </si>
  <si>
    <t>Kolonna2002</t>
  </si>
  <si>
    <t>Kolonna2003</t>
  </si>
  <si>
    <t>Kolonna2004</t>
  </si>
  <si>
    <t>Kolonna2005</t>
  </si>
  <si>
    <t>Kolonna2006</t>
  </si>
  <si>
    <t>Kolonna2007</t>
  </si>
  <si>
    <t>Kolonna2008</t>
  </si>
  <si>
    <t>Kolonna2009</t>
  </si>
  <si>
    <t>Kolonna2010</t>
  </si>
  <si>
    <t>Kolonna2011</t>
  </si>
  <si>
    <t>Kolonna2012</t>
  </si>
  <si>
    <t>Kolonna2013</t>
  </si>
  <si>
    <t>Kolonna2014</t>
  </si>
  <si>
    <t>Kolonna2015</t>
  </si>
  <si>
    <t>Kolonna2016</t>
  </si>
  <si>
    <t>Kolonna2017</t>
  </si>
  <si>
    <t>Kolonna2018</t>
  </si>
  <si>
    <t>Kolonna2019</t>
  </si>
  <si>
    <t>Kolonna2020</t>
  </si>
  <si>
    <t>Kolonna2021</t>
  </si>
  <si>
    <t>Kolonna2022</t>
  </si>
  <si>
    <t>Kolonna2023</t>
  </si>
  <si>
    <t>Kolonna2024</t>
  </si>
  <si>
    <t>Kolonna2025</t>
  </si>
  <si>
    <t>Kolonna2026</t>
  </si>
  <si>
    <t>Kolonna2027</t>
  </si>
  <si>
    <t>Kolonna2028</t>
  </si>
  <si>
    <t>Kolonna2029</t>
  </si>
  <si>
    <t>Kolonna2030</t>
  </si>
  <si>
    <t>Kolonna2031</t>
  </si>
  <si>
    <t>Kolonna2032</t>
  </si>
  <si>
    <t>Kolonna2033</t>
  </si>
  <si>
    <t>Kolonna2034</t>
  </si>
  <si>
    <t>Kolonna2035</t>
  </si>
  <si>
    <t>Kolonna2036</t>
  </si>
  <si>
    <t>Kolonna2037</t>
  </si>
  <si>
    <t>Kolonna2038</t>
  </si>
  <si>
    <t>Kolonna2039</t>
  </si>
  <si>
    <t>Kolonna2040</t>
  </si>
  <si>
    <t>Kolonna2041</t>
  </si>
  <si>
    <t>Kolonna2042</t>
  </si>
  <si>
    <t>Kolonna2043</t>
  </si>
  <si>
    <t>Kolonna2044</t>
  </si>
  <si>
    <t>Kolonna2045</t>
  </si>
  <si>
    <t>Kolonna2046</t>
  </si>
  <si>
    <t>Kolonna2047</t>
  </si>
  <si>
    <t>Kolonna2048</t>
  </si>
  <si>
    <t>Kolonna2049</t>
  </si>
  <si>
    <t>Kolonna2050</t>
  </si>
  <si>
    <t>Kolonna2051</t>
  </si>
  <si>
    <t>Kolonna2052</t>
  </si>
  <si>
    <t>Kolonna2053</t>
  </si>
  <si>
    <t>Kolonna2054</t>
  </si>
  <si>
    <t>Kolonna2055</t>
  </si>
  <si>
    <t>Kolonna2056</t>
  </si>
  <si>
    <t>Kolonna2057</t>
  </si>
  <si>
    <t>Kolonna2058</t>
  </si>
  <si>
    <t>Kolonna2059</t>
  </si>
  <si>
    <t>Kolonna2060</t>
  </si>
  <si>
    <t>Kolonna2061</t>
  </si>
  <si>
    <t>Kolonna2062</t>
  </si>
  <si>
    <t>Kolonna2063</t>
  </si>
  <si>
    <t>Kolonna2064</t>
  </si>
  <si>
    <t>Kolonna2065</t>
  </si>
  <si>
    <t>Kolonna2066</t>
  </si>
  <si>
    <t>Kolonna2067</t>
  </si>
  <si>
    <t>Kolonna2068</t>
  </si>
  <si>
    <t>Kolonna2069</t>
  </si>
  <si>
    <t>Kolonna2070</t>
  </si>
  <si>
    <t>Kolonna2071</t>
  </si>
  <si>
    <t>Kolonna2072</t>
  </si>
  <si>
    <t>Kolonna2073</t>
  </si>
  <si>
    <t>Kolonna2074</t>
  </si>
  <si>
    <t>Kolonna2075</t>
  </si>
  <si>
    <t>Kolonna2076</t>
  </si>
  <si>
    <t>Kolonna2077</t>
  </si>
  <si>
    <t>Kolonna2078</t>
  </si>
  <si>
    <t>Kolonna2079</t>
  </si>
  <si>
    <t>Kolonna2080</t>
  </si>
  <si>
    <t>Kolonna2081</t>
  </si>
  <si>
    <t>Kolonna2082</t>
  </si>
  <si>
    <t>Kolonna2083</t>
  </si>
  <si>
    <t>Kolonna2084</t>
  </si>
  <si>
    <t>Kolonna2085</t>
  </si>
  <si>
    <t>Kolonna2086</t>
  </si>
  <si>
    <t>Kolonna2087</t>
  </si>
  <si>
    <t>Kolonna2088</t>
  </si>
  <si>
    <t>Kolonna2089</t>
  </si>
  <si>
    <t>Kolonna2090</t>
  </si>
  <si>
    <t>Kolonna2091</t>
  </si>
  <si>
    <t>Kolonna2092</t>
  </si>
  <si>
    <t>Kolonna2093</t>
  </si>
  <si>
    <t>Kolonna2094</t>
  </si>
  <si>
    <t>Kolonna2095</t>
  </si>
  <si>
    <t>Kolonna2096</t>
  </si>
  <si>
    <t>Kolonna2097</t>
  </si>
  <si>
    <t>Kolonna2098</t>
  </si>
  <si>
    <t>Kolonna2099</t>
  </si>
  <si>
    <t>Kolonna2100</t>
  </si>
  <si>
    <t>Kolonna2101</t>
  </si>
  <si>
    <t>Kolonna2102</t>
  </si>
  <si>
    <t>Kolonna2103</t>
  </si>
  <si>
    <t>Kolonna2104</t>
  </si>
  <si>
    <t>Kolonna2105</t>
  </si>
  <si>
    <t>Kolonna2106</t>
  </si>
  <si>
    <t>Kolonna2107</t>
  </si>
  <si>
    <t>Kolonna2108</t>
  </si>
  <si>
    <t>Kolonna2109</t>
  </si>
  <si>
    <t>Kolonna2110</t>
  </si>
  <si>
    <t>Kolonna2111</t>
  </si>
  <si>
    <t>Kolonna2112</t>
  </si>
  <si>
    <t>Kolonna2113</t>
  </si>
  <si>
    <t>Kolonna2114</t>
  </si>
  <si>
    <t>Kolonna2115</t>
  </si>
  <si>
    <t>Kolonna2116</t>
  </si>
  <si>
    <t>Kolonna2117</t>
  </si>
  <si>
    <t>Kolonna2118</t>
  </si>
  <si>
    <t>Kolonna2119</t>
  </si>
  <si>
    <t>Kolonna2120</t>
  </si>
  <si>
    <t>Kolonna2121</t>
  </si>
  <si>
    <t>Kolonna2122</t>
  </si>
  <si>
    <t>Kolonna2123</t>
  </si>
  <si>
    <t>Kolonna2124</t>
  </si>
  <si>
    <t>Kolonna2125</t>
  </si>
  <si>
    <t>Kolonna2126</t>
  </si>
  <si>
    <t>Kolonna2127</t>
  </si>
  <si>
    <t>Kolonna2128</t>
  </si>
  <si>
    <t>Kolonna2129</t>
  </si>
  <si>
    <t>Kolonna2130</t>
  </si>
  <si>
    <t>Kolonna2131</t>
  </si>
  <si>
    <t>Kolonna2132</t>
  </si>
  <si>
    <t>Kolonna2133</t>
  </si>
  <si>
    <t>Kolonna2134</t>
  </si>
  <si>
    <t>Kolonna2135</t>
  </si>
  <si>
    <t>Kolonna2136</t>
  </si>
  <si>
    <t>Kolonna2137</t>
  </si>
  <si>
    <t>Kolonna2138</t>
  </si>
  <si>
    <t>Kolonna2139</t>
  </si>
  <si>
    <t>Kolonna2140</t>
  </si>
  <si>
    <t>Kolonna2141</t>
  </si>
  <si>
    <t>Kolonna2142</t>
  </si>
  <si>
    <t>Kolonna2143</t>
  </si>
  <si>
    <t>Kolonna2144</t>
  </si>
  <si>
    <t>Kolonna2145</t>
  </si>
  <si>
    <t>Kolonna2146</t>
  </si>
  <si>
    <t>Kolonna2147</t>
  </si>
  <si>
    <t>Kolonna2148</t>
  </si>
  <si>
    <t>Kolonna2149</t>
  </si>
  <si>
    <t>Kolonna2150</t>
  </si>
  <si>
    <t>Kolonna2151</t>
  </si>
  <si>
    <t>Kolonna2152</t>
  </si>
  <si>
    <t>Kolonna2153</t>
  </si>
  <si>
    <t>Kolonna2154</t>
  </si>
  <si>
    <t>Kolonna2155</t>
  </si>
  <si>
    <t>Kolonna2156</t>
  </si>
  <si>
    <t>Kolonna2157</t>
  </si>
  <si>
    <t>Kolonna2158</t>
  </si>
  <si>
    <t>Kolonna2159</t>
  </si>
  <si>
    <t>Kolonna2160</t>
  </si>
  <si>
    <t>Kolonna2161</t>
  </si>
  <si>
    <t>Kolonna2162</t>
  </si>
  <si>
    <t>Kolonna2163</t>
  </si>
  <si>
    <t>Kolonna2164</t>
  </si>
  <si>
    <t>Kolonna2165</t>
  </si>
  <si>
    <t>Kolonna2166</t>
  </si>
  <si>
    <t>Kolonna2167</t>
  </si>
  <si>
    <t>Kolonna2168</t>
  </si>
  <si>
    <t>Kolonna2169</t>
  </si>
  <si>
    <t>Kolonna2170</t>
  </si>
  <si>
    <t>Kolonna2171</t>
  </si>
  <si>
    <t>Kolonna2172</t>
  </si>
  <si>
    <t>Kolonna2173</t>
  </si>
  <si>
    <t>Kolonna2174</t>
  </si>
  <si>
    <t>Kolonna2175</t>
  </si>
  <si>
    <t>Kolonna2176</t>
  </si>
  <si>
    <t>Kolonna2177</t>
  </si>
  <si>
    <t>Kolonna2178</t>
  </si>
  <si>
    <t>Kolonna2179</t>
  </si>
  <si>
    <t>Kolonna2180</t>
  </si>
  <si>
    <t>Kolonna2181</t>
  </si>
  <si>
    <t>Kolonna2182</t>
  </si>
  <si>
    <t>Kolonna2183</t>
  </si>
  <si>
    <t>Kolonna2184</t>
  </si>
  <si>
    <t>Kolonna2185</t>
  </si>
  <si>
    <t>Kolonna2186</t>
  </si>
  <si>
    <t>Kolonna2187</t>
  </si>
  <si>
    <t>Kolonna2188</t>
  </si>
  <si>
    <t>Kolonna2189</t>
  </si>
  <si>
    <t>Kolonna2190</t>
  </si>
  <si>
    <t>Kolonna2191</t>
  </si>
  <si>
    <t>Kolonna2192</t>
  </si>
  <si>
    <t>Kolonna2193</t>
  </si>
  <si>
    <t>Kolonna2194</t>
  </si>
  <si>
    <t>Kolonna2195</t>
  </si>
  <si>
    <t>Kolonna2196</t>
  </si>
  <si>
    <t>Kolonna2197</t>
  </si>
  <si>
    <t>Kolonna2198</t>
  </si>
  <si>
    <t>Kolonna2199</t>
  </si>
  <si>
    <t>Kolonna2200</t>
  </si>
  <si>
    <t>Kolonna2201</t>
  </si>
  <si>
    <t>Kolonna2202</t>
  </si>
  <si>
    <t>Kolonna2203</t>
  </si>
  <si>
    <t>Kolonna2204</t>
  </si>
  <si>
    <t>Kolonna2205</t>
  </si>
  <si>
    <t>Kolonna2206</t>
  </si>
  <si>
    <t>Kolonna2207</t>
  </si>
  <si>
    <t>Kolonna2208</t>
  </si>
  <si>
    <t>Kolonna2209</t>
  </si>
  <si>
    <t>Kolonna2210</t>
  </si>
  <si>
    <t>Kolonna2211</t>
  </si>
  <si>
    <t>Kolonna2212</t>
  </si>
  <si>
    <t>Kolonna2213</t>
  </si>
  <si>
    <t>Kolonna2214</t>
  </si>
  <si>
    <t>Kolonna2215</t>
  </si>
  <si>
    <t>Kolonna2216</t>
  </si>
  <si>
    <t>Kolonna2217</t>
  </si>
  <si>
    <t>Kolonna2218</t>
  </si>
  <si>
    <t>Kolonna2219</t>
  </si>
  <si>
    <t>Kolonna2220</t>
  </si>
  <si>
    <t>Kolonna2221</t>
  </si>
  <si>
    <t>Kolonna2222</t>
  </si>
  <si>
    <t>Kolonna2223</t>
  </si>
  <si>
    <t>Kolonna2224</t>
  </si>
  <si>
    <t>Kolonna2225</t>
  </si>
  <si>
    <t>Kolonna2226</t>
  </si>
  <si>
    <t>Kolonna2227</t>
  </si>
  <si>
    <t>Kolonna2228</t>
  </si>
  <si>
    <t>Kolonna2229</t>
  </si>
  <si>
    <t>Kolonna2230</t>
  </si>
  <si>
    <t>Kolonna2231</t>
  </si>
  <si>
    <t>Kolonna2232</t>
  </si>
  <si>
    <t>Kolonna2233</t>
  </si>
  <si>
    <t>Kolonna2234</t>
  </si>
  <si>
    <t>Kolonna2235</t>
  </si>
  <si>
    <t>Kolonna2236</t>
  </si>
  <si>
    <t>Kolonna2237</t>
  </si>
  <si>
    <t>Kolonna2238</t>
  </si>
  <si>
    <t>Kolonna2239</t>
  </si>
  <si>
    <t>Kolonna2240</t>
  </si>
  <si>
    <t>Kolonna2241</t>
  </si>
  <si>
    <t>Kolonna2242</t>
  </si>
  <si>
    <t>Kolonna2243</t>
  </si>
  <si>
    <t>Kolonna2244</t>
  </si>
  <si>
    <t>Kolonna2245</t>
  </si>
  <si>
    <t>Kolonna2246</t>
  </si>
  <si>
    <t>Kolonna2247</t>
  </si>
  <si>
    <t>Kolonna2248</t>
  </si>
  <si>
    <t>Kolonna2249</t>
  </si>
  <si>
    <t>Kolonna2250</t>
  </si>
  <si>
    <t>Kolonna2251</t>
  </si>
  <si>
    <t>Kolonna2252</t>
  </si>
  <si>
    <t>Kolonna2253</t>
  </si>
  <si>
    <t>Kolonna2254</t>
  </si>
  <si>
    <t>Kolonna2255</t>
  </si>
  <si>
    <t>Kolonna2256</t>
  </si>
  <si>
    <t>Kolonna2257</t>
  </si>
  <si>
    <t>Kolonna2258</t>
  </si>
  <si>
    <t>Kolonna2259</t>
  </si>
  <si>
    <t>Kolonna2260</t>
  </si>
  <si>
    <t>Kolonna2261</t>
  </si>
  <si>
    <t>Kolonna2262</t>
  </si>
  <si>
    <t>Kolonna2263</t>
  </si>
  <si>
    <t>Kolonna2264</t>
  </si>
  <si>
    <t>Kolonna2265</t>
  </si>
  <si>
    <t>Kolonna2266</t>
  </si>
  <si>
    <t>Kolonna2267</t>
  </si>
  <si>
    <t>Kolonna2268</t>
  </si>
  <si>
    <t>Kolonna2269</t>
  </si>
  <si>
    <t>Kolonna2270</t>
  </si>
  <si>
    <t>Kolonna2271</t>
  </si>
  <si>
    <t>Kolonna2272</t>
  </si>
  <si>
    <t>Kolonna2273</t>
  </si>
  <si>
    <t>Kolonna2274</t>
  </si>
  <si>
    <t>Kolonna2275</t>
  </si>
  <si>
    <t>Kolonna2276</t>
  </si>
  <si>
    <t>Kolonna2277</t>
  </si>
  <si>
    <t>Kolonna2278</t>
  </si>
  <si>
    <t>Kolonna2279</t>
  </si>
  <si>
    <t>Kolonna2280</t>
  </si>
  <si>
    <t>Kolonna2281</t>
  </si>
  <si>
    <t>Kolonna2282</t>
  </si>
  <si>
    <t>Kolonna2283</t>
  </si>
  <si>
    <t>Kolonna2284</t>
  </si>
  <si>
    <t>Kolonna2285</t>
  </si>
  <si>
    <t>Kolonna2286</t>
  </si>
  <si>
    <t>Kolonna2287</t>
  </si>
  <si>
    <t>Kolonna2288</t>
  </si>
  <si>
    <t>Kolonna2289</t>
  </si>
  <si>
    <t>Kolonna2290</t>
  </si>
  <si>
    <t>Kolonna2291</t>
  </si>
  <si>
    <t>Kolonna2292</t>
  </si>
  <si>
    <t>Kolonna2293</t>
  </si>
  <si>
    <t>Kolonna2294</t>
  </si>
  <si>
    <t>Kolonna2295</t>
  </si>
  <si>
    <t>Kolonna2296</t>
  </si>
  <si>
    <t>Kolonna2297</t>
  </si>
  <si>
    <t>Kolonna2298</t>
  </si>
  <si>
    <t>Kolonna2299</t>
  </si>
  <si>
    <t>Kolonna2300</t>
  </si>
  <si>
    <t>Kolonna2301</t>
  </si>
  <si>
    <t>Kolonna2302</t>
  </si>
  <si>
    <t>Kolonna2303</t>
  </si>
  <si>
    <t>Kolonna2304</t>
  </si>
  <si>
    <t>Kolonna2305</t>
  </si>
  <si>
    <t>Kolonna2306</t>
  </si>
  <si>
    <t>Kolonna2307</t>
  </si>
  <si>
    <t>Kolonna2308</t>
  </si>
  <si>
    <t>Kolonna2309</t>
  </si>
  <si>
    <t>Kolonna2310</t>
  </si>
  <si>
    <t>Kolonna2311</t>
  </si>
  <si>
    <t>Kolonna2312</t>
  </si>
  <si>
    <t>Kolonna2313</t>
  </si>
  <si>
    <t>Kolonna2314</t>
  </si>
  <si>
    <t>Kolonna2315</t>
  </si>
  <si>
    <t>Kolonna2316</t>
  </si>
  <si>
    <t>Kolonna2317</t>
  </si>
  <si>
    <t>Kolonna2318</t>
  </si>
  <si>
    <t>Kolonna2319</t>
  </si>
  <si>
    <t>Kolonna2320</t>
  </si>
  <si>
    <t>Kolonna2321</t>
  </si>
  <si>
    <t>Kolonna2322</t>
  </si>
  <si>
    <t>Kolonna2323</t>
  </si>
  <si>
    <t>Kolonna2324</t>
  </si>
  <si>
    <t>Kolonna2325</t>
  </si>
  <si>
    <t>Kolonna2326</t>
  </si>
  <si>
    <t>Kolonna2327</t>
  </si>
  <si>
    <t>Kolonna2328</t>
  </si>
  <si>
    <t>Kolonna2329</t>
  </si>
  <si>
    <t>Kolonna2330</t>
  </si>
  <si>
    <t>Kolonna2331</t>
  </si>
  <si>
    <t>Kolonna2332</t>
  </si>
  <si>
    <t>Kolonna2333</t>
  </si>
  <si>
    <t>Kolonna2334</t>
  </si>
  <si>
    <t>Kolonna2335</t>
  </si>
  <si>
    <t>Kolonna2336</t>
  </si>
  <si>
    <t>Kolonna2337</t>
  </si>
  <si>
    <t>Kolonna2338</t>
  </si>
  <si>
    <t>Kolonna2339</t>
  </si>
  <si>
    <t>Kolonna2340</t>
  </si>
  <si>
    <t>Kolonna2341</t>
  </si>
  <si>
    <t>Kolonna2342</t>
  </si>
  <si>
    <t>Kolonna2343</t>
  </si>
  <si>
    <t>Kolonna2344</t>
  </si>
  <si>
    <t>Kolonna2345</t>
  </si>
  <si>
    <t>Kolonna2346</t>
  </si>
  <si>
    <t>Kolonna2347</t>
  </si>
  <si>
    <t>Kolonna2348</t>
  </si>
  <si>
    <t>Kolonna2349</t>
  </si>
  <si>
    <t>Kolonna2350</t>
  </si>
  <si>
    <t>Kolonna2351</t>
  </si>
  <si>
    <t>Kolonna2352</t>
  </si>
  <si>
    <t>Kolonna2353</t>
  </si>
  <si>
    <t>Kolonna2354</t>
  </si>
  <si>
    <t>Kolonna2355</t>
  </si>
  <si>
    <t>Kolonna2356</t>
  </si>
  <si>
    <t>Kolonna2357</t>
  </si>
  <si>
    <t>Kolonna2358</t>
  </si>
  <si>
    <t>Kolonna2359</t>
  </si>
  <si>
    <t>Kolonna2360</t>
  </si>
  <si>
    <t>Kolonna2361</t>
  </si>
  <si>
    <t>Kolonna2362</t>
  </si>
  <si>
    <t>Kolonna2363</t>
  </si>
  <si>
    <t>Kolonna2364</t>
  </si>
  <si>
    <t>Kolonna2365</t>
  </si>
  <si>
    <t>Kolonna2366</t>
  </si>
  <si>
    <t>Kolonna2367</t>
  </si>
  <si>
    <t>Kolonna2368</t>
  </si>
  <si>
    <t>Kolonna2369</t>
  </si>
  <si>
    <t>Kolonna2370</t>
  </si>
  <si>
    <t>Kolonna2371</t>
  </si>
  <si>
    <t>Kolonna2372</t>
  </si>
  <si>
    <t>Kolonna2373</t>
  </si>
  <si>
    <t>Kolonna2374</t>
  </si>
  <si>
    <t>Kolonna2375</t>
  </si>
  <si>
    <t>Kolonna2376</t>
  </si>
  <si>
    <t>Kolonna2377</t>
  </si>
  <si>
    <t>Kolonna2378</t>
  </si>
  <si>
    <t>Kolonna2379</t>
  </si>
  <si>
    <t>Kolonna2380</t>
  </si>
  <si>
    <t>Kolonna2381</t>
  </si>
  <si>
    <t>Kolonna2382</t>
  </si>
  <si>
    <t>Kolonna2383</t>
  </si>
  <si>
    <t>Kolonna2384</t>
  </si>
  <si>
    <t>Kolonna2385</t>
  </si>
  <si>
    <t>Kolonna2386</t>
  </si>
  <si>
    <t>Kolonna2387</t>
  </si>
  <si>
    <t>Kolonna2388</t>
  </si>
  <si>
    <t>Kolonna2389</t>
  </si>
  <si>
    <t>Kolonna2390</t>
  </si>
  <si>
    <t>Kolonna2391</t>
  </si>
  <si>
    <t>Kolonna2392</t>
  </si>
  <si>
    <t>Kolonna2393</t>
  </si>
  <si>
    <t>Kolonna2394</t>
  </si>
  <si>
    <t>Kolonna2395</t>
  </si>
  <si>
    <t>Kolonna2396</t>
  </si>
  <si>
    <t>Kolonna2397</t>
  </si>
  <si>
    <t>Kolonna2398</t>
  </si>
  <si>
    <t>Kolonna2399</t>
  </si>
  <si>
    <t>Kolonna2400</t>
  </si>
  <si>
    <t>Kolonna2401</t>
  </si>
  <si>
    <t>Kolonna2402</t>
  </si>
  <si>
    <t>Kolonna2403</t>
  </si>
  <si>
    <t>Kolonna2404</t>
  </si>
  <si>
    <t>Kolonna2405</t>
  </si>
  <si>
    <t>Kolonna2406</t>
  </si>
  <si>
    <t>Kolonna2407</t>
  </si>
  <si>
    <t>Kolonna2408</t>
  </si>
  <si>
    <t>Kolonna2409</t>
  </si>
  <si>
    <t>Kolonna2410</t>
  </si>
  <si>
    <t>Kolonna2411</t>
  </si>
  <si>
    <t>Kolonna2412</t>
  </si>
  <si>
    <t>Kolonna2413</t>
  </si>
  <si>
    <t>Kolonna2414</t>
  </si>
  <si>
    <t>Kolonna2415</t>
  </si>
  <si>
    <t>Kolonna2416</t>
  </si>
  <si>
    <t>Kolonna2417</t>
  </si>
  <si>
    <t>Kolonna2418</t>
  </si>
  <si>
    <t>Kolonna2419</t>
  </si>
  <si>
    <t>Kolonna2420</t>
  </si>
  <si>
    <t>Kolonna2421</t>
  </si>
  <si>
    <t>Kolonna2422</t>
  </si>
  <si>
    <t>Kolonna2423</t>
  </si>
  <si>
    <t>Kolonna2424</t>
  </si>
  <si>
    <t>Kolonna2425</t>
  </si>
  <si>
    <t>Kolonna2426</t>
  </si>
  <si>
    <t>Kolonna2427</t>
  </si>
  <si>
    <t>Kolonna2428</t>
  </si>
  <si>
    <t>Kolonna2429</t>
  </si>
  <si>
    <t>Kolonna2430</t>
  </si>
  <si>
    <t>Kolonna2431</t>
  </si>
  <si>
    <t>Kolonna2432</t>
  </si>
  <si>
    <t>Kolonna2433</t>
  </si>
  <si>
    <t>Kolonna2434</t>
  </si>
  <si>
    <t>Kolonna2435</t>
  </si>
  <si>
    <t>Kolonna2436</t>
  </si>
  <si>
    <t>Kolonna2437</t>
  </si>
  <si>
    <t>Kolonna2438</t>
  </si>
  <si>
    <t>Kolonna2439</t>
  </si>
  <si>
    <t>Kolonna2440</t>
  </si>
  <si>
    <t>Kolonna2441</t>
  </si>
  <si>
    <t>Kolonna2442</t>
  </si>
  <si>
    <t>Kolonna2443</t>
  </si>
  <si>
    <t>Kolonna2444</t>
  </si>
  <si>
    <t>Kolonna2445</t>
  </si>
  <si>
    <t>Kolonna2446</t>
  </si>
  <si>
    <t>Kolonna2447</t>
  </si>
  <si>
    <t>Kolonna2448</t>
  </si>
  <si>
    <t>Kolonna2449</t>
  </si>
  <si>
    <t>Kolonna2450</t>
  </si>
  <si>
    <t>Kolonna2451</t>
  </si>
  <si>
    <t>Kolonna2452</t>
  </si>
  <si>
    <t>Kolonna2453</t>
  </si>
  <si>
    <t>Kolonna2454</t>
  </si>
  <si>
    <t>Kolonna2455</t>
  </si>
  <si>
    <t>Kolonna2456</t>
  </si>
  <si>
    <t>Kolonna2457</t>
  </si>
  <si>
    <t>Kolonna2458</t>
  </si>
  <si>
    <t>Kolonna2459</t>
  </si>
  <si>
    <t>Kolonna2460</t>
  </si>
  <si>
    <t>Kolonna2461</t>
  </si>
  <si>
    <t>Kolonna2462</t>
  </si>
  <si>
    <t>Kolonna2463</t>
  </si>
  <si>
    <t>Kolonna2464</t>
  </si>
  <si>
    <t>Kolonna2465</t>
  </si>
  <si>
    <t>Kolonna2466</t>
  </si>
  <si>
    <t>Kolonna2467</t>
  </si>
  <si>
    <t>Kolonna2468</t>
  </si>
  <si>
    <t>Kolonna2469</t>
  </si>
  <si>
    <t>Kolonna2470</t>
  </si>
  <si>
    <t>Kolonna2471</t>
  </si>
  <si>
    <t>Kolonna2472</t>
  </si>
  <si>
    <t>Kolonna2473</t>
  </si>
  <si>
    <t>Kolonna2474</t>
  </si>
  <si>
    <t>Kolonna2475</t>
  </si>
  <si>
    <t>Kolonna2476</t>
  </si>
  <si>
    <t>Kolonna2477</t>
  </si>
  <si>
    <t>Kolonna2478</t>
  </si>
  <si>
    <t>Kolonna2479</t>
  </si>
  <si>
    <t>Kolonna2480</t>
  </si>
  <si>
    <t>Kolonna2481</t>
  </si>
  <si>
    <t>Kolonna2482</t>
  </si>
  <si>
    <t>Kolonna2483</t>
  </si>
  <si>
    <t>Kolonna2484</t>
  </si>
  <si>
    <t>Kolonna2485</t>
  </si>
  <si>
    <t>Kolonna2486</t>
  </si>
  <si>
    <t>Kolonna2487</t>
  </si>
  <si>
    <t>Kolonna2488</t>
  </si>
  <si>
    <t>Kolonna2489</t>
  </si>
  <si>
    <t>Kolonna2490</t>
  </si>
  <si>
    <t>Kolonna2491</t>
  </si>
  <si>
    <t>Kolonna2492</t>
  </si>
  <si>
    <t>Kolonna2493</t>
  </si>
  <si>
    <t>Kolonna2494</t>
  </si>
  <si>
    <t>Kolonna2495</t>
  </si>
  <si>
    <t>Kolonna2496</t>
  </si>
  <si>
    <t>Kolonna2497</t>
  </si>
  <si>
    <t>Kolonna2498</t>
  </si>
  <si>
    <t>Kolonna2499</t>
  </si>
  <si>
    <t>Kolonna2500</t>
  </si>
  <si>
    <t>Kolonna2501</t>
  </si>
  <si>
    <t>Kolonna2502</t>
  </si>
  <si>
    <t>Kolonna2503</t>
  </si>
  <si>
    <t>Kolonna2504</t>
  </si>
  <si>
    <t>Kolonna2505</t>
  </si>
  <si>
    <t>Kolonna2506</t>
  </si>
  <si>
    <t>Kolonna2507</t>
  </si>
  <si>
    <t>Kolonna2508</t>
  </si>
  <si>
    <t>Kolonna2509</t>
  </si>
  <si>
    <t>Kolonna2510</t>
  </si>
  <si>
    <t>Kolonna2511</t>
  </si>
  <si>
    <t>Kolonna2512</t>
  </si>
  <si>
    <t>Kolonna2513</t>
  </si>
  <si>
    <t>Kolonna2514</t>
  </si>
  <si>
    <t>Kolonna2515</t>
  </si>
  <si>
    <t>Kolonna2516</t>
  </si>
  <si>
    <t>Kolonna2517</t>
  </si>
  <si>
    <t>Kolonna2518</t>
  </si>
  <si>
    <t>Kolonna2519</t>
  </si>
  <si>
    <t>Kolonna2520</t>
  </si>
  <si>
    <t>Kolonna2521</t>
  </si>
  <si>
    <t>Kolonna2522</t>
  </si>
  <si>
    <t>Kolonna2523</t>
  </si>
  <si>
    <t>Kolonna2524</t>
  </si>
  <si>
    <t>Kolonna2525</t>
  </si>
  <si>
    <t>Kolonna2526</t>
  </si>
  <si>
    <t>Kolonna2527</t>
  </si>
  <si>
    <t>Kolonna2528</t>
  </si>
  <si>
    <t>Kolonna2529</t>
  </si>
  <si>
    <t>Kolonna2530</t>
  </si>
  <si>
    <t>Kolonna2531</t>
  </si>
  <si>
    <t>Kolonna2532</t>
  </si>
  <si>
    <t>Kolonna2533</t>
  </si>
  <si>
    <t>Kolonna2534</t>
  </si>
  <si>
    <t>Kolonna2535</t>
  </si>
  <si>
    <t>Kolonna2536</t>
  </si>
  <si>
    <t>Kolonna2537</t>
  </si>
  <si>
    <t>Kolonna2538</t>
  </si>
  <si>
    <t>Kolonna2539</t>
  </si>
  <si>
    <t>Kolonna2540</t>
  </si>
  <si>
    <t>Kolonna2541</t>
  </si>
  <si>
    <t>Kolonna2542</t>
  </si>
  <si>
    <t>Kolonna2543</t>
  </si>
  <si>
    <t>Kolonna2544</t>
  </si>
  <si>
    <t>Kolonna2545</t>
  </si>
  <si>
    <t>Kolonna2546</t>
  </si>
  <si>
    <t>Kolonna2547</t>
  </si>
  <si>
    <t>Kolonna2548</t>
  </si>
  <si>
    <t>Kolonna2549</t>
  </si>
  <si>
    <t>Kolonna2550</t>
  </si>
  <si>
    <t>Kolonna2551</t>
  </si>
  <si>
    <t>Kolonna2552</t>
  </si>
  <si>
    <t>Kolonna2553</t>
  </si>
  <si>
    <t>Kolonna2554</t>
  </si>
  <si>
    <t>Kolonna2555</t>
  </si>
  <si>
    <t>Kolonna2556</t>
  </si>
  <si>
    <t>Kolonna2557</t>
  </si>
  <si>
    <t>Kolonna2558</t>
  </si>
  <si>
    <t>Kolonna2559</t>
  </si>
  <si>
    <t>Kolonna2560</t>
  </si>
  <si>
    <t>Kolonna2561</t>
  </si>
  <si>
    <t>Kolonna2562</t>
  </si>
  <si>
    <t>Kolonna2563</t>
  </si>
  <si>
    <t>Kolonna2564</t>
  </si>
  <si>
    <t>Kolonna2565</t>
  </si>
  <si>
    <t>Kolonna2566</t>
  </si>
  <si>
    <t>Kolonna2567</t>
  </si>
  <si>
    <t>Kolonna2568</t>
  </si>
  <si>
    <t>Kolonna2569</t>
  </si>
  <si>
    <t>Kolonna2570</t>
  </si>
  <si>
    <t>Kolonna2571</t>
  </si>
  <si>
    <t>Kolonna2572</t>
  </si>
  <si>
    <t>Kolonna2573</t>
  </si>
  <si>
    <t>Kolonna2574</t>
  </si>
  <si>
    <t>Kolonna2575</t>
  </si>
  <si>
    <t>Kolonna2576</t>
  </si>
  <si>
    <t>Kolonna2577</t>
  </si>
  <si>
    <t>Kolonna2578</t>
  </si>
  <si>
    <t>Kolonna2579</t>
  </si>
  <si>
    <t>Kolonna2580</t>
  </si>
  <si>
    <t>Kolonna2581</t>
  </si>
  <si>
    <t>Kolonna2582</t>
  </si>
  <si>
    <t>Kolonna2583</t>
  </si>
  <si>
    <t>Kolonna2584</t>
  </si>
  <si>
    <t>Kolonna2585</t>
  </si>
  <si>
    <t>Kolonna2586</t>
  </si>
  <si>
    <t>Kolonna2587</t>
  </si>
  <si>
    <t>Kolonna2588</t>
  </si>
  <si>
    <t>Kolonna2589</t>
  </si>
  <si>
    <t>Kolonna2590</t>
  </si>
  <si>
    <t>Kolonna2591</t>
  </si>
  <si>
    <t>Kolonna2592</t>
  </si>
  <si>
    <t>Kolonna2593</t>
  </si>
  <si>
    <t>Kolonna2594</t>
  </si>
  <si>
    <t>Kolonna2595</t>
  </si>
  <si>
    <t>Kolonna2596</t>
  </si>
  <si>
    <t>Kolonna2597</t>
  </si>
  <si>
    <t>Kolonna2598</t>
  </si>
  <si>
    <t>Kolonna2599</t>
  </si>
  <si>
    <t>Kolonna2600</t>
  </si>
  <si>
    <t>Kolonna2601</t>
  </si>
  <si>
    <t>Kolonna2602</t>
  </si>
  <si>
    <t>Kolonna2603</t>
  </si>
  <si>
    <t>Kolonna2604</t>
  </si>
  <si>
    <t>Kolonna2605</t>
  </si>
  <si>
    <t>Kolonna2606</t>
  </si>
  <si>
    <t>Kolonna2607</t>
  </si>
  <si>
    <t>Kolonna2608</t>
  </si>
  <si>
    <t>Kolonna2609</t>
  </si>
  <si>
    <t>Kolonna2610</t>
  </si>
  <si>
    <t>Kolonna2611</t>
  </si>
  <si>
    <t>Kolonna2612</t>
  </si>
  <si>
    <t>Kolonna2613</t>
  </si>
  <si>
    <t>Kolonna2614</t>
  </si>
  <si>
    <t>Kolonna2615</t>
  </si>
  <si>
    <t>Kolonna2616</t>
  </si>
  <si>
    <t>Kolonna2617</t>
  </si>
  <si>
    <t>Kolonna2618</t>
  </si>
  <si>
    <t>Kolonna2619</t>
  </si>
  <si>
    <t>Kolonna2620</t>
  </si>
  <si>
    <t>Kolonna2621</t>
  </si>
  <si>
    <t>Kolonna2622</t>
  </si>
  <si>
    <t>Kolonna2623</t>
  </si>
  <si>
    <t>Kolonna2624</t>
  </si>
  <si>
    <t>Kolonna2625</t>
  </si>
  <si>
    <t>Kolonna2626</t>
  </si>
  <si>
    <t>Kolonna2627</t>
  </si>
  <si>
    <t>Kolonna2628</t>
  </si>
  <si>
    <t>Kolonna2629</t>
  </si>
  <si>
    <t>Kolonna2630</t>
  </si>
  <si>
    <t>Kolonna2631</t>
  </si>
  <si>
    <t>Kolonna2632</t>
  </si>
  <si>
    <t>Kolonna2633</t>
  </si>
  <si>
    <t>Kolonna2634</t>
  </si>
  <si>
    <t>Kolonna2635</t>
  </si>
  <si>
    <t>Kolonna2636</t>
  </si>
  <si>
    <t>Kolonna2637</t>
  </si>
  <si>
    <t>Kolonna2638</t>
  </si>
  <si>
    <t>Kolonna2639</t>
  </si>
  <si>
    <t>Kolonna2640</t>
  </si>
  <si>
    <t>Kolonna2641</t>
  </si>
  <si>
    <t>Kolonna2642</t>
  </si>
  <si>
    <t>Kolonna2643</t>
  </si>
  <si>
    <t>Kolonna2644</t>
  </si>
  <si>
    <t>Kolonna2645</t>
  </si>
  <si>
    <t>Kolonna2646</t>
  </si>
  <si>
    <t>Kolonna2647</t>
  </si>
  <si>
    <t>Kolonna2648</t>
  </si>
  <si>
    <t>Kolonna2649</t>
  </si>
  <si>
    <t>Kolonna2650</t>
  </si>
  <si>
    <t>Kolonna2651</t>
  </si>
  <si>
    <t>Kolonna2652</t>
  </si>
  <si>
    <t>Kolonna2653</t>
  </si>
  <si>
    <t>Kolonna2654</t>
  </si>
  <si>
    <t>Kolonna2655</t>
  </si>
  <si>
    <t>Kolonna2656</t>
  </si>
  <si>
    <t>Kolonna2657</t>
  </si>
  <si>
    <t>Kolonna2658</t>
  </si>
  <si>
    <t>Kolonna2659</t>
  </si>
  <si>
    <t>Kolonna2660</t>
  </si>
  <si>
    <t>Kolonna2661</t>
  </si>
  <si>
    <t>Kolonna2662</t>
  </si>
  <si>
    <t>Kolonna2663</t>
  </si>
  <si>
    <t>Kolonna2664</t>
  </si>
  <si>
    <t>Kolonna2665</t>
  </si>
  <si>
    <t>Kolonna2666</t>
  </si>
  <si>
    <t>Kolonna2667</t>
  </si>
  <si>
    <t>Kolonna2668</t>
  </si>
  <si>
    <t>Kolonna2669</t>
  </si>
  <si>
    <t>Kolonna2670</t>
  </si>
  <si>
    <t>Kolonna2671</t>
  </si>
  <si>
    <t>Kolonna2672</t>
  </si>
  <si>
    <t>Kolonna2673</t>
  </si>
  <si>
    <t>Kolonna2674</t>
  </si>
  <si>
    <t>Kolonna2675</t>
  </si>
  <si>
    <t>Kolonna2676</t>
  </si>
  <si>
    <t>Kolonna2677</t>
  </si>
  <si>
    <t>Kolonna2678</t>
  </si>
  <si>
    <t>Kolonna2679</t>
  </si>
  <si>
    <t>Kolonna2680</t>
  </si>
  <si>
    <t>Kolonna2681</t>
  </si>
  <si>
    <t>Kolonna2682</t>
  </si>
  <si>
    <t>Kolonna2683</t>
  </si>
  <si>
    <t>Kolonna2684</t>
  </si>
  <si>
    <t>Kolonna2685</t>
  </si>
  <si>
    <t>Kolonna2686</t>
  </si>
  <si>
    <t>Kolonna2687</t>
  </si>
  <si>
    <t>Kolonna2688</t>
  </si>
  <si>
    <t>Kolonna2689</t>
  </si>
  <si>
    <t>Kolonna2690</t>
  </si>
  <si>
    <t>Kolonna2691</t>
  </si>
  <si>
    <t>Kolonna2692</t>
  </si>
  <si>
    <t>Kolonna2693</t>
  </si>
  <si>
    <t>Kolonna2694</t>
  </si>
  <si>
    <t>Kolonna2695</t>
  </si>
  <si>
    <t>Kolonna2696</t>
  </si>
  <si>
    <t>Kolonna2697</t>
  </si>
  <si>
    <t>Kolonna2698</t>
  </si>
  <si>
    <t>Kolonna2699</t>
  </si>
  <si>
    <t>Kolonna2700</t>
  </si>
  <si>
    <t>Kolonna2701</t>
  </si>
  <si>
    <t>Kolonna2702</t>
  </si>
  <si>
    <t>Kolonna2703</t>
  </si>
  <si>
    <t>Kolonna2704</t>
  </si>
  <si>
    <t>Kolonna2705</t>
  </si>
  <si>
    <t>Kolonna2706</t>
  </si>
  <si>
    <t>Kolonna2707</t>
  </si>
  <si>
    <t>Kolonna2708</t>
  </si>
  <si>
    <t>Kolonna2709</t>
  </si>
  <si>
    <t>Kolonna2710</t>
  </si>
  <si>
    <t>Kolonna2711</t>
  </si>
  <si>
    <t>Kolonna2712</t>
  </si>
  <si>
    <t>Kolonna2713</t>
  </si>
  <si>
    <t>Kolonna2714</t>
  </si>
  <si>
    <t>Kolonna2715</t>
  </si>
  <si>
    <t>Kolonna2716</t>
  </si>
  <si>
    <t>Kolonna2717</t>
  </si>
  <si>
    <t>Kolonna2718</t>
  </si>
  <si>
    <t>Kolonna2719</t>
  </si>
  <si>
    <t>Kolonna2720</t>
  </si>
  <si>
    <t>Kolonna2721</t>
  </si>
  <si>
    <t>Kolonna2722</t>
  </si>
  <si>
    <t>Kolonna2723</t>
  </si>
  <si>
    <t>Kolonna2724</t>
  </si>
  <si>
    <t>Kolonna2725</t>
  </si>
  <si>
    <t>Kolonna2726</t>
  </si>
  <si>
    <t>Kolonna2727</t>
  </si>
  <si>
    <t>Kolonna2728</t>
  </si>
  <si>
    <t>Kolonna2729</t>
  </si>
  <si>
    <t>Kolonna2730</t>
  </si>
  <si>
    <t>Kolonna2731</t>
  </si>
  <si>
    <t>Kolonna2732</t>
  </si>
  <si>
    <t>Kolonna2733</t>
  </si>
  <si>
    <t>Kolonna2734</t>
  </si>
  <si>
    <t>Kolonna2735</t>
  </si>
  <si>
    <t>Kolonna2736</t>
  </si>
  <si>
    <t>Kolonna2737</t>
  </si>
  <si>
    <t>Kolonna2738</t>
  </si>
  <si>
    <t>Kolonna2739</t>
  </si>
  <si>
    <t>Kolonna2740</t>
  </si>
  <si>
    <t>Kolonna2741</t>
  </si>
  <si>
    <t>Kolonna2742</t>
  </si>
  <si>
    <t>Kolonna2743</t>
  </si>
  <si>
    <t>Kolonna2744</t>
  </si>
  <si>
    <t>Kolonna2745</t>
  </si>
  <si>
    <t>Kolonna2746</t>
  </si>
  <si>
    <t>Kolonna2747</t>
  </si>
  <si>
    <t>Kolonna2748</t>
  </si>
  <si>
    <t>Kolonna2749</t>
  </si>
  <si>
    <t>Kolonna2750</t>
  </si>
  <si>
    <t>Kolonna2751</t>
  </si>
  <si>
    <t>Kolonna2752</t>
  </si>
  <si>
    <t>Kolonna2753</t>
  </si>
  <si>
    <t>Kolonna2754</t>
  </si>
  <si>
    <t>Kolonna2755</t>
  </si>
  <si>
    <t>Kolonna2756</t>
  </si>
  <si>
    <t>Kolonna2757</t>
  </si>
  <si>
    <t>Kolonna2758</t>
  </si>
  <si>
    <t>Kolonna2759</t>
  </si>
  <si>
    <t>Kolonna2760</t>
  </si>
  <si>
    <t>Kolonna2761</t>
  </si>
  <si>
    <t>Kolonna2762</t>
  </si>
  <si>
    <t>Kolonna2763</t>
  </si>
  <si>
    <t>Kolonna2764</t>
  </si>
  <si>
    <t>Kolonna2765</t>
  </si>
  <si>
    <t>Kolonna2766</t>
  </si>
  <si>
    <t>Kolonna2767</t>
  </si>
  <si>
    <t>Kolonna2768</t>
  </si>
  <si>
    <t>Kolonna2769</t>
  </si>
  <si>
    <t>Kolonna2770</t>
  </si>
  <si>
    <t>Kolonna2771</t>
  </si>
  <si>
    <t>Kolonna2772</t>
  </si>
  <si>
    <t>Kolonna2773</t>
  </si>
  <si>
    <t>Kolonna2774</t>
  </si>
  <si>
    <t>Kolonna2775</t>
  </si>
  <si>
    <t>Kolonna2776</t>
  </si>
  <si>
    <t>Kolonna2777</t>
  </si>
  <si>
    <t>Kolonna2778</t>
  </si>
  <si>
    <t>Kolonna2779</t>
  </si>
  <si>
    <t>Kolonna2780</t>
  </si>
  <si>
    <t>Kolonna2781</t>
  </si>
  <si>
    <t>Kolonna2782</t>
  </si>
  <si>
    <t>Kolonna2783</t>
  </si>
  <si>
    <t>Kolonna2784</t>
  </si>
  <si>
    <t>Kolonna2785</t>
  </si>
  <si>
    <t>Kolonna2786</t>
  </si>
  <si>
    <t>Kolonna2787</t>
  </si>
  <si>
    <t>Kolonna2788</t>
  </si>
  <si>
    <t>Kolonna2789</t>
  </si>
  <si>
    <t>Kolonna2790</t>
  </si>
  <si>
    <t>Kolonna2791</t>
  </si>
  <si>
    <t>Kolonna2792</t>
  </si>
  <si>
    <t>Kolonna2793</t>
  </si>
  <si>
    <t>Kolonna2794</t>
  </si>
  <si>
    <t>Kolonna2795</t>
  </si>
  <si>
    <t>Kolonna2796</t>
  </si>
  <si>
    <t>Kolonna2797</t>
  </si>
  <si>
    <t>Kolonna2798</t>
  </si>
  <si>
    <t>Kolonna2799</t>
  </si>
  <si>
    <t>Kolonna2800</t>
  </si>
  <si>
    <t>Kolonna2801</t>
  </si>
  <si>
    <t>Kolonna2802</t>
  </si>
  <si>
    <t>Kolonna2803</t>
  </si>
  <si>
    <t>Kolonna2804</t>
  </si>
  <si>
    <t>Kolonna2805</t>
  </si>
  <si>
    <t>Kolonna2806</t>
  </si>
  <si>
    <t>Kolonna2807</t>
  </si>
  <si>
    <t>Kolonna2808</t>
  </si>
  <si>
    <t>Kolonna2809</t>
  </si>
  <si>
    <t>Kolonna2810</t>
  </si>
  <si>
    <t>Kolonna2811</t>
  </si>
  <si>
    <t>Kolonna2812</t>
  </si>
  <si>
    <t>Kolonna2813</t>
  </si>
  <si>
    <t>Kolonna2814</t>
  </si>
  <si>
    <t>Kolonna2815</t>
  </si>
  <si>
    <t>Kolonna2816</t>
  </si>
  <si>
    <t>Kolonna2817</t>
  </si>
  <si>
    <t>Kolonna2818</t>
  </si>
  <si>
    <t>Kolonna2819</t>
  </si>
  <si>
    <t>Kolonna2820</t>
  </si>
  <si>
    <t>Kolonna2821</t>
  </si>
  <si>
    <t>Kolonna2822</t>
  </si>
  <si>
    <t>Kolonna2823</t>
  </si>
  <si>
    <t>Kolonna2824</t>
  </si>
  <si>
    <t>Kolonna2825</t>
  </si>
  <si>
    <t>Kolonna2826</t>
  </si>
  <si>
    <t>Kolonna2827</t>
  </si>
  <si>
    <t>Kolonna2828</t>
  </si>
  <si>
    <t>Kolonna2829</t>
  </si>
  <si>
    <t>Kolonna2830</t>
  </si>
  <si>
    <t>Kolonna2831</t>
  </si>
  <si>
    <t>Kolonna2832</t>
  </si>
  <si>
    <t>Kolonna2833</t>
  </si>
  <si>
    <t>Kolonna2834</t>
  </si>
  <si>
    <t>Kolonna2835</t>
  </si>
  <si>
    <t>Kolonna2836</t>
  </si>
  <si>
    <t>Kolonna2837</t>
  </si>
  <si>
    <t>Kolonna2838</t>
  </si>
  <si>
    <t>Kolonna2839</t>
  </si>
  <si>
    <t>Kolonna2840</t>
  </si>
  <si>
    <t>Kolonna2841</t>
  </si>
  <si>
    <t>Kolonna2842</t>
  </si>
  <si>
    <t>Kolonna2843</t>
  </si>
  <si>
    <t>Kolonna2844</t>
  </si>
  <si>
    <t>Kolonna2845</t>
  </si>
  <si>
    <t>Kolonna2846</t>
  </si>
  <si>
    <t>Kolonna2847</t>
  </si>
  <si>
    <t>Kolonna2848</t>
  </si>
  <si>
    <t>Kolonna2849</t>
  </si>
  <si>
    <t>Kolonna2850</t>
  </si>
  <si>
    <t>Kolonna2851</t>
  </si>
  <si>
    <t>Kolonna2852</t>
  </si>
  <si>
    <t>Kolonna2853</t>
  </si>
  <si>
    <t>Kolonna2854</t>
  </si>
  <si>
    <t>Kolonna2855</t>
  </si>
  <si>
    <t>Kolonna2856</t>
  </si>
  <si>
    <t>Kolonna2857</t>
  </si>
  <si>
    <t>Kolonna2858</t>
  </si>
  <si>
    <t>Kolonna2859</t>
  </si>
  <si>
    <t>Kolonna2860</t>
  </si>
  <si>
    <t>Kolonna2861</t>
  </si>
  <si>
    <t>Kolonna2862</t>
  </si>
  <si>
    <t>Kolonna2863</t>
  </si>
  <si>
    <t>Kolonna2864</t>
  </si>
  <si>
    <t>Kolonna2865</t>
  </si>
  <si>
    <t>Kolonna2866</t>
  </si>
  <si>
    <t>Kolonna2867</t>
  </si>
  <si>
    <t>Kolonna2868</t>
  </si>
  <si>
    <t>Kolonna2869</t>
  </si>
  <si>
    <t>Kolonna2870</t>
  </si>
  <si>
    <t>Kolonna2871</t>
  </si>
  <si>
    <t>Kolonna2872</t>
  </si>
  <si>
    <t>Kolonna2873</t>
  </si>
  <si>
    <t>Kolonna2874</t>
  </si>
  <si>
    <t>Kolonna2875</t>
  </si>
  <si>
    <t>Kolonna2876</t>
  </si>
  <si>
    <t>Kolonna2877</t>
  </si>
  <si>
    <t>Kolonna2878</t>
  </si>
  <si>
    <t>Kolonna2879</t>
  </si>
  <si>
    <t>Kolonna2880</t>
  </si>
  <si>
    <t>Kolonna2881</t>
  </si>
  <si>
    <t>Kolonna2882</t>
  </si>
  <si>
    <t>Kolonna2883</t>
  </si>
  <si>
    <t>Kolonna2884</t>
  </si>
  <si>
    <t>Kolonna2885</t>
  </si>
  <si>
    <t>Kolonna2886</t>
  </si>
  <si>
    <t>Kolonna2887</t>
  </si>
  <si>
    <t>Kolonna2888</t>
  </si>
  <si>
    <t>Kolonna2889</t>
  </si>
  <si>
    <t>Kolonna2890</t>
  </si>
  <si>
    <t>Kolonna2891</t>
  </si>
  <si>
    <t>Kolonna2892</t>
  </si>
  <si>
    <t>Kolonna2893</t>
  </si>
  <si>
    <t>Kolonna2894</t>
  </si>
  <si>
    <t>Kolonna2895</t>
  </si>
  <si>
    <t>Kolonna2896</t>
  </si>
  <si>
    <t>Kolonna2897</t>
  </si>
  <si>
    <t>Kolonna2898</t>
  </si>
  <si>
    <t>Kolonna2899</t>
  </si>
  <si>
    <t>Kolonna2900</t>
  </si>
  <si>
    <t>Kolonna2901</t>
  </si>
  <si>
    <t>Kolonna2902</t>
  </si>
  <si>
    <t>Kolonna2903</t>
  </si>
  <si>
    <t>Kolonna2904</t>
  </si>
  <si>
    <t>Kolonna2905</t>
  </si>
  <si>
    <t>Kolonna2906</t>
  </si>
  <si>
    <t>Kolonna2907</t>
  </si>
  <si>
    <t>Kolonna2908</t>
  </si>
  <si>
    <t>Kolonna2909</t>
  </si>
  <si>
    <t>Kolonna2910</t>
  </si>
  <si>
    <t>Kolonna2911</t>
  </si>
  <si>
    <t>Kolonna2912</t>
  </si>
  <si>
    <t>Kolonna2913</t>
  </si>
  <si>
    <t>Kolonna2914</t>
  </si>
  <si>
    <t>Kolonna2915</t>
  </si>
  <si>
    <t>Kolonna2916</t>
  </si>
  <si>
    <t>Kolonna2917</t>
  </si>
  <si>
    <t>Kolonna2918</t>
  </si>
  <si>
    <t>Kolonna2919</t>
  </si>
  <si>
    <t>Kolonna2920</t>
  </si>
  <si>
    <t>Kolonna2921</t>
  </si>
  <si>
    <t>Kolonna2922</t>
  </si>
  <si>
    <t>Kolonna2923</t>
  </si>
  <si>
    <t>Kolonna2924</t>
  </si>
  <si>
    <t>Kolonna2925</t>
  </si>
  <si>
    <t>Kolonna2926</t>
  </si>
  <si>
    <t>Kolonna2927</t>
  </si>
  <si>
    <t>Kolonna2928</t>
  </si>
  <si>
    <t>Kolonna2929</t>
  </si>
  <si>
    <t>Kolonna2930</t>
  </si>
  <si>
    <t>Kolonna2931</t>
  </si>
  <si>
    <t>Kolonna2932</t>
  </si>
  <si>
    <t>Kolonna2933</t>
  </si>
  <si>
    <t>Kolonna2934</t>
  </si>
  <si>
    <t>Kolonna2935</t>
  </si>
  <si>
    <t>Kolonna2936</t>
  </si>
  <si>
    <t>Kolonna2937</t>
  </si>
  <si>
    <t>Kolonna2938</t>
  </si>
  <si>
    <t>Kolonna2939</t>
  </si>
  <si>
    <t>Kolonna2940</t>
  </si>
  <si>
    <t>Kolonna2941</t>
  </si>
  <si>
    <t>Kolonna2942</t>
  </si>
  <si>
    <t>Kolonna2943</t>
  </si>
  <si>
    <t>Kolonna2944</t>
  </si>
  <si>
    <t>Kolonna2945</t>
  </si>
  <si>
    <t>Kolonna2946</t>
  </si>
  <si>
    <t>Kolonna2947</t>
  </si>
  <si>
    <t>Kolonna2948</t>
  </si>
  <si>
    <t>Kolonna2949</t>
  </si>
  <si>
    <t>Kolonna2950</t>
  </si>
  <si>
    <t>Kolonna2951</t>
  </si>
  <si>
    <t>Kolonna2952</t>
  </si>
  <si>
    <t>Kolonna2953</t>
  </si>
  <si>
    <t>Kolonna2954</t>
  </si>
  <si>
    <t>Kolonna2955</t>
  </si>
  <si>
    <t>Kolonna2956</t>
  </si>
  <si>
    <t>Kolonna2957</t>
  </si>
  <si>
    <t>Kolonna2958</t>
  </si>
  <si>
    <t>Kolonna2959</t>
  </si>
  <si>
    <t>Kolonna2960</t>
  </si>
  <si>
    <t>Kolonna2961</t>
  </si>
  <si>
    <t>Kolonna2962</t>
  </si>
  <si>
    <t>Kolonna2963</t>
  </si>
  <si>
    <t>Kolonna2964</t>
  </si>
  <si>
    <t>Kolonna2965</t>
  </si>
  <si>
    <t>Kolonna2966</t>
  </si>
  <si>
    <t>Kolonna2967</t>
  </si>
  <si>
    <t>Kolonna2968</t>
  </si>
  <si>
    <t>Kolonna2969</t>
  </si>
  <si>
    <t>Kolonna2970</t>
  </si>
  <si>
    <t>Kolonna2971</t>
  </si>
  <si>
    <t>Kolonna2972</t>
  </si>
  <si>
    <t>Kolonna2973</t>
  </si>
  <si>
    <t>Kolonna2974</t>
  </si>
  <si>
    <t>Kolonna2975</t>
  </si>
  <si>
    <t>Kolonna2976</t>
  </si>
  <si>
    <t>Kolonna2977</t>
  </si>
  <si>
    <t>Kolonna2978</t>
  </si>
  <si>
    <t>Kolonna2979</t>
  </si>
  <si>
    <t>Kolonna2980</t>
  </si>
  <si>
    <t>Kolonna2981</t>
  </si>
  <si>
    <t>Kolonna2982</t>
  </si>
  <si>
    <t>Kolonna2983</t>
  </si>
  <si>
    <t>Kolonna2984</t>
  </si>
  <si>
    <t>Kolonna2985</t>
  </si>
  <si>
    <t>Kolonna2986</t>
  </si>
  <si>
    <t>Kolonna2987</t>
  </si>
  <si>
    <t>Kolonna2988</t>
  </si>
  <si>
    <t>Kolonna2989</t>
  </si>
  <si>
    <t>Kolonna2990</t>
  </si>
  <si>
    <t>Kolonna2991</t>
  </si>
  <si>
    <t>Kolonna2992</t>
  </si>
  <si>
    <t>Kolonna2993</t>
  </si>
  <si>
    <t>Kolonna2994</t>
  </si>
  <si>
    <t>Kolonna2995</t>
  </si>
  <si>
    <t>Kolonna2996</t>
  </si>
  <si>
    <t>Kolonna2997</t>
  </si>
  <si>
    <t>Kolonna2998</t>
  </si>
  <si>
    <t>Kolonna2999</t>
  </si>
  <si>
    <t>Kolonna3000</t>
  </si>
  <si>
    <t>Kolonna3001</t>
  </si>
  <si>
    <t>Kolonna3002</t>
  </si>
  <si>
    <t>Kolonna3003</t>
  </si>
  <si>
    <t>Kolonna3004</t>
  </si>
  <si>
    <t>Kolonna3005</t>
  </si>
  <si>
    <t>Kolonna3006</t>
  </si>
  <si>
    <t>Kolonna3007</t>
  </si>
  <si>
    <t>Kolonna3008</t>
  </si>
  <si>
    <t>Kolonna3009</t>
  </si>
  <si>
    <t>Kolonna3010</t>
  </si>
  <si>
    <t>Kolonna3011</t>
  </si>
  <si>
    <t>Kolonna3012</t>
  </si>
  <si>
    <t>Kolonna3013</t>
  </si>
  <si>
    <t>Kolonna3014</t>
  </si>
  <si>
    <t>Kolonna3015</t>
  </si>
  <si>
    <t>Kolonna3016</t>
  </si>
  <si>
    <t>Kolonna3017</t>
  </si>
  <si>
    <t>Kolonna3018</t>
  </si>
  <si>
    <t>Kolonna3019</t>
  </si>
  <si>
    <t>Kolonna3020</t>
  </si>
  <si>
    <t>Kolonna3021</t>
  </si>
  <si>
    <t>Kolonna3022</t>
  </si>
  <si>
    <t>Kolonna3023</t>
  </si>
  <si>
    <t>Kolonna3024</t>
  </si>
  <si>
    <t>Kolonna3025</t>
  </si>
  <si>
    <t>Kolonna3026</t>
  </si>
  <si>
    <t>Kolonna3027</t>
  </si>
  <si>
    <t>Kolonna3028</t>
  </si>
  <si>
    <t>Kolonna3029</t>
  </si>
  <si>
    <t>Kolonna3030</t>
  </si>
  <si>
    <t>Kolonna3031</t>
  </si>
  <si>
    <t>Kolonna3032</t>
  </si>
  <si>
    <t>Kolonna3033</t>
  </si>
  <si>
    <t>Kolonna3034</t>
  </si>
  <si>
    <t>Kolonna3035</t>
  </si>
  <si>
    <t>Kolonna3036</t>
  </si>
  <si>
    <t>Kolonna3037</t>
  </si>
  <si>
    <t>Kolonna3038</t>
  </si>
  <si>
    <t>Kolonna3039</t>
  </si>
  <si>
    <t>Kolonna3040</t>
  </si>
  <si>
    <t>Kolonna3041</t>
  </si>
  <si>
    <t>Kolonna3042</t>
  </si>
  <si>
    <t>Kolonna3043</t>
  </si>
  <si>
    <t>Kolonna3044</t>
  </si>
  <si>
    <t>Kolonna3045</t>
  </si>
  <si>
    <t>Kolonna3046</t>
  </si>
  <si>
    <t>Kolonna3047</t>
  </si>
  <si>
    <t>Kolonna3048</t>
  </si>
  <si>
    <t>Kolonna3049</t>
  </si>
  <si>
    <t>Kolonna3050</t>
  </si>
  <si>
    <t>Kolonna3051</t>
  </si>
  <si>
    <t>Kolonna3052</t>
  </si>
  <si>
    <t>Kolonna3053</t>
  </si>
  <si>
    <t>Kolonna3054</t>
  </si>
  <si>
    <t>Kolonna3055</t>
  </si>
  <si>
    <t>Kolonna3056</t>
  </si>
  <si>
    <t>Kolonna3057</t>
  </si>
  <si>
    <t>Kolonna3058</t>
  </si>
  <si>
    <t>Kolonna3059</t>
  </si>
  <si>
    <t>Kolonna3060</t>
  </si>
  <si>
    <t>Kolonna3061</t>
  </si>
  <si>
    <t>Kolonna3062</t>
  </si>
  <si>
    <t>Kolonna3063</t>
  </si>
  <si>
    <t>Kolonna3064</t>
  </si>
  <si>
    <t>Kolonna3065</t>
  </si>
  <si>
    <t>Kolonna3066</t>
  </si>
  <si>
    <t>Kolonna3067</t>
  </si>
  <si>
    <t>Kolonna3068</t>
  </si>
  <si>
    <t>Kolonna3069</t>
  </si>
  <si>
    <t>Kolonna3070</t>
  </si>
  <si>
    <t>Kolonna3071</t>
  </si>
  <si>
    <t>Kolonna3072</t>
  </si>
  <si>
    <t>Kolonna3073</t>
  </si>
  <si>
    <t>Kolonna3074</t>
  </si>
  <si>
    <t>Kolonna3075</t>
  </si>
  <si>
    <t>Kolonna3076</t>
  </si>
  <si>
    <t>Kolonna3077</t>
  </si>
  <si>
    <t>Kolonna3078</t>
  </si>
  <si>
    <t>Kolonna3079</t>
  </si>
  <si>
    <t>Kolonna3080</t>
  </si>
  <si>
    <t>Kolonna3081</t>
  </si>
  <si>
    <t>Kolonna3082</t>
  </si>
  <si>
    <t>Kolonna3083</t>
  </si>
  <si>
    <t>Kolonna3084</t>
  </si>
  <si>
    <t>Kolonna3085</t>
  </si>
  <si>
    <t>Kolonna3086</t>
  </si>
  <si>
    <t>Kolonna3087</t>
  </si>
  <si>
    <t>Kolonna3088</t>
  </si>
  <si>
    <t>Kolonna3089</t>
  </si>
  <si>
    <t>Kolonna3090</t>
  </si>
  <si>
    <t>Kolonna3091</t>
  </si>
  <si>
    <t>Kolonna3092</t>
  </si>
  <si>
    <t>Kolonna3093</t>
  </si>
  <si>
    <t>Kolonna3094</t>
  </si>
  <si>
    <t>Kolonna3095</t>
  </si>
  <si>
    <t>Kolonna3096</t>
  </si>
  <si>
    <t>Kolonna3097</t>
  </si>
  <si>
    <t>Kolonna3098</t>
  </si>
  <si>
    <t>Kolonna3099</t>
  </si>
  <si>
    <t>Kolonna3100</t>
  </si>
  <si>
    <t>Kolonna3101</t>
  </si>
  <si>
    <t>Kolonna3102</t>
  </si>
  <si>
    <t>Kolonna3103</t>
  </si>
  <si>
    <t>Kolonna3104</t>
  </si>
  <si>
    <t>Kolonna3105</t>
  </si>
  <si>
    <t>Kolonna3106</t>
  </si>
  <si>
    <t>Kolonna3107</t>
  </si>
  <si>
    <t>Kolonna3108</t>
  </si>
  <si>
    <t>Kolonna3109</t>
  </si>
  <si>
    <t>Kolonna3110</t>
  </si>
  <si>
    <t>Kolonna3111</t>
  </si>
  <si>
    <t>Kolonna3112</t>
  </si>
  <si>
    <t>Kolonna3113</t>
  </si>
  <si>
    <t>Kolonna3114</t>
  </si>
  <si>
    <t>Kolonna3115</t>
  </si>
  <si>
    <t>Kolonna3116</t>
  </si>
  <si>
    <t>Kolonna3117</t>
  </si>
  <si>
    <t>Kolonna3118</t>
  </si>
  <si>
    <t>Kolonna3119</t>
  </si>
  <si>
    <t>Kolonna3120</t>
  </si>
  <si>
    <t>Kolonna3121</t>
  </si>
  <si>
    <t>Kolonna3122</t>
  </si>
  <si>
    <t>Kolonna3123</t>
  </si>
  <si>
    <t>Kolonna3124</t>
  </si>
  <si>
    <t>Kolonna3125</t>
  </si>
  <si>
    <t>Kolonna3126</t>
  </si>
  <si>
    <t>Kolonna3127</t>
  </si>
  <si>
    <t>Kolonna3128</t>
  </si>
  <si>
    <t>Kolonna3129</t>
  </si>
  <si>
    <t>Kolonna3130</t>
  </si>
  <si>
    <t>Kolonna3131</t>
  </si>
  <si>
    <t>Kolonna3132</t>
  </si>
  <si>
    <t>Kolonna3133</t>
  </si>
  <si>
    <t>Kolonna3134</t>
  </si>
  <si>
    <t>Kolonna3135</t>
  </si>
  <si>
    <t>Kolonna3136</t>
  </si>
  <si>
    <t>Kolonna3137</t>
  </si>
  <si>
    <t>Kolonna3138</t>
  </si>
  <si>
    <t>Kolonna3139</t>
  </si>
  <si>
    <t>Kolonna3140</t>
  </si>
  <si>
    <t>Kolonna3141</t>
  </si>
  <si>
    <t>Kolonna3142</t>
  </si>
  <si>
    <t>Kolonna3143</t>
  </si>
  <si>
    <t>Kolonna3144</t>
  </si>
  <si>
    <t>Kolonna3145</t>
  </si>
  <si>
    <t>Kolonna3146</t>
  </si>
  <si>
    <t>Kolonna3147</t>
  </si>
  <si>
    <t>Kolonna3148</t>
  </si>
  <si>
    <t>Kolonna3149</t>
  </si>
  <si>
    <t>Kolonna3150</t>
  </si>
  <si>
    <t>Kolonna3151</t>
  </si>
  <si>
    <t>Kolonna3152</t>
  </si>
  <si>
    <t>Kolonna3153</t>
  </si>
  <si>
    <t>Kolonna3154</t>
  </si>
  <si>
    <t>Kolonna3155</t>
  </si>
  <si>
    <t>Kolonna3156</t>
  </si>
  <si>
    <t>Kolonna3157</t>
  </si>
  <si>
    <t>Kolonna3158</t>
  </si>
  <si>
    <t>Kolonna3159</t>
  </si>
  <si>
    <t>Kolonna3160</t>
  </si>
  <si>
    <t>Kolonna3161</t>
  </si>
  <si>
    <t>Kolonna3162</t>
  </si>
  <si>
    <t>Kolonna3163</t>
  </si>
  <si>
    <t>Kolonna3164</t>
  </si>
  <si>
    <t>Kolonna3165</t>
  </si>
  <si>
    <t>Kolonna3166</t>
  </si>
  <si>
    <t>Kolonna3167</t>
  </si>
  <si>
    <t>Kolonna3168</t>
  </si>
  <si>
    <t>Kolonna3169</t>
  </si>
  <si>
    <t>Kolonna3170</t>
  </si>
  <si>
    <t>Kolonna3171</t>
  </si>
  <si>
    <t>Kolonna3172</t>
  </si>
  <si>
    <t>Kolonna3173</t>
  </si>
  <si>
    <t>Kolonna3174</t>
  </si>
  <si>
    <t>Kolonna3175</t>
  </si>
  <si>
    <t>Kolonna3176</t>
  </si>
  <si>
    <t>Kolonna3177</t>
  </si>
  <si>
    <t>Kolonna3178</t>
  </si>
  <si>
    <t>Kolonna3179</t>
  </si>
  <si>
    <t>Kolonna3180</t>
  </si>
  <si>
    <t>Kolonna3181</t>
  </si>
  <si>
    <t>Kolonna3182</t>
  </si>
  <si>
    <t>Kolonna3183</t>
  </si>
  <si>
    <t>Kolonna3184</t>
  </si>
  <si>
    <t>Kolonna3185</t>
  </si>
  <si>
    <t>Kolonna3186</t>
  </si>
  <si>
    <t>Kolonna3187</t>
  </si>
  <si>
    <t>Kolonna3188</t>
  </si>
  <si>
    <t>Kolonna3189</t>
  </si>
  <si>
    <t>Kolonna3190</t>
  </si>
  <si>
    <t>Kolonna3191</t>
  </si>
  <si>
    <t>Kolonna3192</t>
  </si>
  <si>
    <t>Kolonna3193</t>
  </si>
  <si>
    <t>Kolonna3194</t>
  </si>
  <si>
    <t>Kolonna3195</t>
  </si>
  <si>
    <t>Kolonna3196</t>
  </si>
  <si>
    <t>Kolonna3197</t>
  </si>
  <si>
    <t>Kolonna3198</t>
  </si>
  <si>
    <t>Kolonna3199</t>
  </si>
  <si>
    <t>Kolonna3200</t>
  </si>
  <si>
    <t>Kolonna3201</t>
  </si>
  <si>
    <t>Kolonna3202</t>
  </si>
  <si>
    <t>Kolonna3203</t>
  </si>
  <si>
    <t>Kolonna3204</t>
  </si>
  <si>
    <t>Kolonna3205</t>
  </si>
  <si>
    <t>Kolonna3206</t>
  </si>
  <si>
    <t>Kolonna3207</t>
  </si>
  <si>
    <t>Kolonna3208</t>
  </si>
  <si>
    <t>Kolonna3209</t>
  </si>
  <si>
    <t>Kolonna3210</t>
  </si>
  <si>
    <t>Kolonna3211</t>
  </si>
  <si>
    <t>Kolonna3212</t>
  </si>
  <si>
    <t>Kolonna3213</t>
  </si>
  <si>
    <t>Kolonna3214</t>
  </si>
  <si>
    <t>Kolonna3215</t>
  </si>
  <si>
    <t>Kolonna3216</t>
  </si>
  <si>
    <t>Kolonna3217</t>
  </si>
  <si>
    <t>Kolonna3218</t>
  </si>
  <si>
    <t>Kolonna3219</t>
  </si>
  <si>
    <t>Kolonna3220</t>
  </si>
  <si>
    <t>Kolonna3221</t>
  </si>
  <si>
    <t>Kolonna3222</t>
  </si>
  <si>
    <t>Kolonna3223</t>
  </si>
  <si>
    <t>Kolonna3224</t>
  </si>
  <si>
    <t>Kolonna3225</t>
  </si>
  <si>
    <t>Kolonna3226</t>
  </si>
  <si>
    <t>Kolonna3227</t>
  </si>
  <si>
    <t>Kolonna3228</t>
  </si>
  <si>
    <t>Kolonna3229</t>
  </si>
  <si>
    <t>Kolonna3230</t>
  </si>
  <si>
    <t>Kolonna3231</t>
  </si>
  <si>
    <t>Kolonna3232</t>
  </si>
  <si>
    <t>Kolonna3233</t>
  </si>
  <si>
    <t>Kolonna3234</t>
  </si>
  <si>
    <t>Kolonna3235</t>
  </si>
  <si>
    <t>Kolonna3236</t>
  </si>
  <si>
    <t>Kolonna3237</t>
  </si>
  <si>
    <t>Kolonna3238</t>
  </si>
  <si>
    <t>Kolonna3239</t>
  </si>
  <si>
    <t>Kolonna3240</t>
  </si>
  <si>
    <t>Kolonna3241</t>
  </si>
  <si>
    <t>Kolonna3242</t>
  </si>
  <si>
    <t>Kolonna3243</t>
  </si>
  <si>
    <t>Kolonna3244</t>
  </si>
  <si>
    <t>Kolonna3245</t>
  </si>
  <si>
    <t>Kolonna3246</t>
  </si>
  <si>
    <t>Kolonna3247</t>
  </si>
  <si>
    <t>Kolonna3248</t>
  </si>
  <si>
    <t>Kolonna3249</t>
  </si>
  <si>
    <t>Kolonna3250</t>
  </si>
  <si>
    <t>Kolonna3251</t>
  </si>
  <si>
    <t>Kolonna3252</t>
  </si>
  <si>
    <t>Kolonna3253</t>
  </si>
  <si>
    <t>Kolonna3254</t>
  </si>
  <si>
    <t>Kolonna3255</t>
  </si>
  <si>
    <t>Kolonna3256</t>
  </si>
  <si>
    <t>Kolonna3257</t>
  </si>
  <si>
    <t>Kolonna3258</t>
  </si>
  <si>
    <t>Kolonna3259</t>
  </si>
  <si>
    <t>Kolonna3260</t>
  </si>
  <si>
    <t>Kolonna3261</t>
  </si>
  <si>
    <t>Kolonna3262</t>
  </si>
  <si>
    <t>Kolonna3263</t>
  </si>
  <si>
    <t>Kolonna3264</t>
  </si>
  <si>
    <t>Kolonna3265</t>
  </si>
  <si>
    <t>Kolonna3266</t>
  </si>
  <si>
    <t>Kolonna3267</t>
  </si>
  <si>
    <t>Kolonna3268</t>
  </si>
  <si>
    <t>Kolonna3269</t>
  </si>
  <si>
    <t>Kolonna3270</t>
  </si>
  <si>
    <t>Kolonna3271</t>
  </si>
  <si>
    <t>Kolonna3272</t>
  </si>
  <si>
    <t>Kolonna3273</t>
  </si>
  <si>
    <t>Kolonna3274</t>
  </si>
  <si>
    <t>Kolonna3275</t>
  </si>
  <si>
    <t>Kolonna3276</t>
  </si>
  <si>
    <t>Kolonna3277</t>
  </si>
  <si>
    <t>Kolonna3278</t>
  </si>
  <si>
    <t>Kolonna3279</t>
  </si>
  <si>
    <t>Kolonna3280</t>
  </si>
  <si>
    <t>Kolonna3281</t>
  </si>
  <si>
    <t>Kolonna3282</t>
  </si>
  <si>
    <t>Kolonna3283</t>
  </si>
  <si>
    <t>Kolonna3284</t>
  </si>
  <si>
    <t>Kolonna3285</t>
  </si>
  <si>
    <t>Kolonna3286</t>
  </si>
  <si>
    <t>Kolonna3287</t>
  </si>
  <si>
    <t>Kolonna3288</t>
  </si>
  <si>
    <t>Kolonna3289</t>
  </si>
  <si>
    <t>Kolonna3290</t>
  </si>
  <si>
    <t>Kolonna3291</t>
  </si>
  <si>
    <t>Kolonna3292</t>
  </si>
  <si>
    <t>Kolonna3293</t>
  </si>
  <si>
    <t>Kolonna3294</t>
  </si>
  <si>
    <t>Kolonna3295</t>
  </si>
  <si>
    <t>Kolonna3296</t>
  </si>
  <si>
    <t>Kolonna3297</t>
  </si>
  <si>
    <t>Kolonna3298</t>
  </si>
  <si>
    <t>Kolonna3299</t>
  </si>
  <si>
    <t>Kolonna3300</t>
  </si>
  <si>
    <t>Kolonna3301</t>
  </si>
  <si>
    <t>Kolonna3302</t>
  </si>
  <si>
    <t>Kolonna3303</t>
  </si>
  <si>
    <t>Kolonna3304</t>
  </si>
  <si>
    <t>Kolonna3305</t>
  </si>
  <si>
    <t>Kolonna3306</t>
  </si>
  <si>
    <t>Kolonna3307</t>
  </si>
  <si>
    <t>Kolonna3308</t>
  </si>
  <si>
    <t>Kolonna3309</t>
  </si>
  <si>
    <t>Kolonna3310</t>
  </si>
  <si>
    <t>Kolonna3311</t>
  </si>
  <si>
    <t>Kolonna3312</t>
  </si>
  <si>
    <t>Kolonna3313</t>
  </si>
  <si>
    <t>Kolonna3314</t>
  </si>
  <si>
    <t>Kolonna3315</t>
  </si>
  <si>
    <t>Kolonna3316</t>
  </si>
  <si>
    <t>Kolonna3317</t>
  </si>
  <si>
    <t>Kolonna3318</t>
  </si>
  <si>
    <t>Kolonna3319</t>
  </si>
  <si>
    <t>Kolonna3320</t>
  </si>
  <si>
    <t>Kolonna3321</t>
  </si>
  <si>
    <t>Kolonna3322</t>
  </si>
  <si>
    <t>Kolonna3323</t>
  </si>
  <si>
    <t>Kolonna3324</t>
  </si>
  <si>
    <t>Kolonna3325</t>
  </si>
  <si>
    <t>Kolonna3326</t>
  </si>
  <si>
    <t>Kolonna3327</t>
  </si>
  <si>
    <t>Kolonna3328</t>
  </si>
  <si>
    <t>Kolonna3329</t>
  </si>
  <si>
    <t>Kolonna3330</t>
  </si>
  <si>
    <t>Kolonna3331</t>
  </si>
  <si>
    <t>Kolonna3332</t>
  </si>
  <si>
    <t>Kolonna3333</t>
  </si>
  <si>
    <t>Kolonna3334</t>
  </si>
  <si>
    <t>Kolonna3335</t>
  </si>
  <si>
    <t>Kolonna3336</t>
  </si>
  <si>
    <t>Kolonna3337</t>
  </si>
  <si>
    <t>Kolonna3338</t>
  </si>
  <si>
    <t>Kolonna3339</t>
  </si>
  <si>
    <t>Kolonna3340</t>
  </si>
  <si>
    <t>Kolonna3341</t>
  </si>
  <si>
    <t>Kolonna3342</t>
  </si>
  <si>
    <t>Kolonna3343</t>
  </si>
  <si>
    <t>Kolonna3344</t>
  </si>
  <si>
    <t>Kolonna3345</t>
  </si>
  <si>
    <t>Kolonna3346</t>
  </si>
  <si>
    <t>Kolonna3347</t>
  </si>
  <si>
    <t>Kolonna3348</t>
  </si>
  <si>
    <t>Kolonna3349</t>
  </si>
  <si>
    <t>Kolonna3350</t>
  </si>
  <si>
    <t>Kolonna3351</t>
  </si>
  <si>
    <t>Kolonna3352</t>
  </si>
  <si>
    <t>Kolonna3353</t>
  </si>
  <si>
    <t>Kolonna3354</t>
  </si>
  <si>
    <t>Kolonna3355</t>
  </si>
  <si>
    <t>Kolonna3356</t>
  </si>
  <si>
    <t>Kolonna3357</t>
  </si>
  <si>
    <t>Kolonna3358</t>
  </si>
  <si>
    <t>Kolonna3359</t>
  </si>
  <si>
    <t>Kolonna3360</t>
  </si>
  <si>
    <t>Kolonna3361</t>
  </si>
  <si>
    <t>Kolonna3362</t>
  </si>
  <si>
    <t>Kolonna3363</t>
  </si>
  <si>
    <t>Kolonna3364</t>
  </si>
  <si>
    <t>Kolonna3365</t>
  </si>
  <si>
    <t>Kolonna3366</t>
  </si>
  <si>
    <t>Kolonna3367</t>
  </si>
  <si>
    <t>Kolonna3368</t>
  </si>
  <si>
    <t>Kolonna3369</t>
  </si>
  <si>
    <t>Kolonna3370</t>
  </si>
  <si>
    <t>Kolonna3371</t>
  </si>
  <si>
    <t>Kolonna3372</t>
  </si>
  <si>
    <t>Kolonna3373</t>
  </si>
  <si>
    <t>Kolonna3374</t>
  </si>
  <si>
    <t>Kolonna3375</t>
  </si>
  <si>
    <t>Kolonna3376</t>
  </si>
  <si>
    <t>Kolonna3377</t>
  </si>
  <si>
    <t>Kolonna3378</t>
  </si>
  <si>
    <t>Kolonna3379</t>
  </si>
  <si>
    <t>Kolonna3380</t>
  </si>
  <si>
    <t>Kolonna3381</t>
  </si>
  <si>
    <t>Kolonna3382</t>
  </si>
  <si>
    <t>Kolonna3383</t>
  </si>
  <si>
    <t>Kolonna3384</t>
  </si>
  <si>
    <t>Kolonna3385</t>
  </si>
  <si>
    <t>Kolonna3386</t>
  </si>
  <si>
    <t>Kolonna3387</t>
  </si>
  <si>
    <t>Kolonna3388</t>
  </si>
  <si>
    <t>Kolonna3389</t>
  </si>
  <si>
    <t>Kolonna3390</t>
  </si>
  <si>
    <t>Kolonna3391</t>
  </si>
  <si>
    <t>Kolonna3392</t>
  </si>
  <si>
    <t>Kolonna3393</t>
  </si>
  <si>
    <t>Kolonna3394</t>
  </si>
  <si>
    <t>Kolonna3395</t>
  </si>
  <si>
    <t>Kolonna3396</t>
  </si>
  <si>
    <t>Kolonna3397</t>
  </si>
  <si>
    <t>Kolonna3398</t>
  </si>
  <si>
    <t>Kolonna3399</t>
  </si>
  <si>
    <t>Kolonna3400</t>
  </si>
  <si>
    <t>Kolonna3401</t>
  </si>
  <si>
    <t>Kolonna3402</t>
  </si>
  <si>
    <t>Kolonna3403</t>
  </si>
  <si>
    <t>Kolonna3404</t>
  </si>
  <si>
    <t>Kolonna3405</t>
  </si>
  <si>
    <t>Kolonna3406</t>
  </si>
  <si>
    <t>Kolonna3407</t>
  </si>
  <si>
    <t>Kolonna3408</t>
  </si>
  <si>
    <t>Kolonna3409</t>
  </si>
  <si>
    <t>Kolonna3410</t>
  </si>
  <si>
    <t>Kolonna3411</t>
  </si>
  <si>
    <t>Kolonna3412</t>
  </si>
  <si>
    <t>Kolonna3413</t>
  </si>
  <si>
    <t>Kolonna3414</t>
  </si>
  <si>
    <t>Kolonna3415</t>
  </si>
  <si>
    <t>Kolonna3416</t>
  </si>
  <si>
    <t>Kolonna3417</t>
  </si>
  <si>
    <t>Kolonna3418</t>
  </si>
  <si>
    <t>Kolonna3419</t>
  </si>
  <si>
    <t>Kolonna3420</t>
  </si>
  <si>
    <t>Kolonna3421</t>
  </si>
  <si>
    <t>Kolonna3422</t>
  </si>
  <si>
    <t>Kolonna3423</t>
  </si>
  <si>
    <t>Kolonna3424</t>
  </si>
  <si>
    <t>Kolonna3425</t>
  </si>
  <si>
    <t>Kolonna3426</t>
  </si>
  <si>
    <t>Kolonna3427</t>
  </si>
  <si>
    <t>Kolonna3428</t>
  </si>
  <si>
    <t>Kolonna3429</t>
  </si>
  <si>
    <t>Kolonna3430</t>
  </si>
  <si>
    <t>Kolonna3431</t>
  </si>
  <si>
    <t>Kolonna3432</t>
  </si>
  <si>
    <t>Kolonna3433</t>
  </si>
  <si>
    <t>Kolonna3434</t>
  </si>
  <si>
    <t>Kolonna3435</t>
  </si>
  <si>
    <t>Kolonna3436</t>
  </si>
  <si>
    <t>Kolonna3437</t>
  </si>
  <si>
    <t>Kolonna3438</t>
  </si>
  <si>
    <t>Kolonna3439</t>
  </si>
  <si>
    <t>Kolonna3440</t>
  </si>
  <si>
    <t>Kolonna3441</t>
  </si>
  <si>
    <t>Kolonna3442</t>
  </si>
  <si>
    <t>Kolonna3443</t>
  </si>
  <si>
    <t>Kolonna3444</t>
  </si>
  <si>
    <t>Kolonna3445</t>
  </si>
  <si>
    <t>Kolonna3446</t>
  </si>
  <si>
    <t>Kolonna3447</t>
  </si>
  <si>
    <t>Kolonna3448</t>
  </si>
  <si>
    <t>Kolonna3449</t>
  </si>
  <si>
    <t>Kolonna3450</t>
  </si>
  <si>
    <t>Kolonna3451</t>
  </si>
  <si>
    <t>Kolonna3452</t>
  </si>
  <si>
    <t>Kolonna3453</t>
  </si>
  <si>
    <t>Kolonna3454</t>
  </si>
  <si>
    <t>Kolonna3455</t>
  </si>
  <si>
    <t>Kolonna3456</t>
  </si>
  <si>
    <t>Kolonna3457</t>
  </si>
  <si>
    <t>Kolonna3458</t>
  </si>
  <si>
    <t>Kolonna3459</t>
  </si>
  <si>
    <t>Kolonna3460</t>
  </si>
  <si>
    <t>Kolonna3461</t>
  </si>
  <si>
    <t>Kolonna3462</t>
  </si>
  <si>
    <t>Kolonna3463</t>
  </si>
  <si>
    <t>Kolonna3464</t>
  </si>
  <si>
    <t>Kolonna3465</t>
  </si>
  <si>
    <t>Kolonna3466</t>
  </si>
  <si>
    <t>Kolonna3467</t>
  </si>
  <si>
    <t>Kolonna3468</t>
  </si>
  <si>
    <t>Kolonna3469</t>
  </si>
  <si>
    <t>Kolonna3470</t>
  </si>
  <si>
    <t>Kolonna3471</t>
  </si>
  <si>
    <t>Kolonna3472</t>
  </si>
  <si>
    <t>Kolonna3473</t>
  </si>
  <si>
    <t>Kolonna3474</t>
  </si>
  <si>
    <t>Kolonna3475</t>
  </si>
  <si>
    <t>Kolonna3476</t>
  </si>
  <si>
    <t>Kolonna3477</t>
  </si>
  <si>
    <t>Kolonna3478</t>
  </si>
  <si>
    <t>Kolonna3479</t>
  </si>
  <si>
    <t>Kolonna3480</t>
  </si>
  <si>
    <t>Kolonna3481</t>
  </si>
  <si>
    <t>Kolonna3482</t>
  </si>
  <si>
    <t>Kolonna3483</t>
  </si>
  <si>
    <t>Kolonna3484</t>
  </si>
  <si>
    <t>Kolonna3485</t>
  </si>
  <si>
    <t>Kolonna3486</t>
  </si>
  <si>
    <t>Kolonna3487</t>
  </si>
  <si>
    <t>Kolonna3488</t>
  </si>
  <si>
    <t>Kolonna3489</t>
  </si>
  <si>
    <t>Kolonna3490</t>
  </si>
  <si>
    <t>Kolonna3491</t>
  </si>
  <si>
    <t>Kolonna3492</t>
  </si>
  <si>
    <t>Kolonna3493</t>
  </si>
  <si>
    <t>Kolonna3494</t>
  </si>
  <si>
    <t>Kolonna3495</t>
  </si>
  <si>
    <t>Kolonna3496</t>
  </si>
  <si>
    <t>Kolonna3497</t>
  </si>
  <si>
    <t>Kolonna3498</t>
  </si>
  <si>
    <t>Kolonna3499</t>
  </si>
  <si>
    <t>Kolonna3500</t>
  </si>
  <si>
    <t>Kolonna3501</t>
  </si>
  <si>
    <t>Kolonna3502</t>
  </si>
  <si>
    <t>Kolonna3503</t>
  </si>
  <si>
    <t>Kolonna3504</t>
  </si>
  <si>
    <t>Kolonna3505</t>
  </si>
  <si>
    <t>Kolonna3506</t>
  </si>
  <si>
    <t>Kolonna3507</t>
  </si>
  <si>
    <t>Kolonna3508</t>
  </si>
  <si>
    <t>Kolonna3509</t>
  </si>
  <si>
    <t>Kolonna3510</t>
  </si>
  <si>
    <t>Kolonna3511</t>
  </si>
  <si>
    <t>Kolonna3512</t>
  </si>
  <si>
    <t>Kolonna3513</t>
  </si>
  <si>
    <t>Kolonna3514</t>
  </si>
  <si>
    <t>Kolonna3515</t>
  </si>
  <si>
    <t>Kolonna3516</t>
  </si>
  <si>
    <t>Kolonna3517</t>
  </si>
  <si>
    <t>Kolonna3518</t>
  </si>
  <si>
    <t>Kolonna3519</t>
  </si>
  <si>
    <t>Kolonna3520</t>
  </si>
  <si>
    <t>Kolonna3521</t>
  </si>
  <si>
    <t>Kolonna3522</t>
  </si>
  <si>
    <t>Kolonna3523</t>
  </si>
  <si>
    <t>Kolonna3524</t>
  </si>
  <si>
    <t>Kolonna3525</t>
  </si>
  <si>
    <t>Kolonna3526</t>
  </si>
  <si>
    <t>Kolonna3527</t>
  </si>
  <si>
    <t>Kolonna3528</t>
  </si>
  <si>
    <t>Kolonna3529</t>
  </si>
  <si>
    <t>Kolonna3530</t>
  </si>
  <si>
    <t>Kolonna3531</t>
  </si>
  <si>
    <t>Kolonna3532</t>
  </si>
  <si>
    <t>Kolonna3533</t>
  </si>
  <si>
    <t>Kolonna3534</t>
  </si>
  <si>
    <t>Kolonna3535</t>
  </si>
  <si>
    <t>Kolonna3536</t>
  </si>
  <si>
    <t>Kolonna3537</t>
  </si>
  <si>
    <t>Kolonna3538</t>
  </si>
  <si>
    <t>Kolonna3539</t>
  </si>
  <si>
    <t>Kolonna3540</t>
  </si>
  <si>
    <t>Kolonna3541</t>
  </si>
  <si>
    <t>Kolonna3542</t>
  </si>
  <si>
    <t>Kolonna3543</t>
  </si>
  <si>
    <t>Kolonna3544</t>
  </si>
  <si>
    <t>Kolonna3545</t>
  </si>
  <si>
    <t>Kolonna3546</t>
  </si>
  <si>
    <t>Kolonna3547</t>
  </si>
  <si>
    <t>Kolonna3548</t>
  </si>
  <si>
    <t>Kolonna3549</t>
  </si>
  <si>
    <t>Kolonna3550</t>
  </si>
  <si>
    <t>Kolonna3551</t>
  </si>
  <si>
    <t>Kolonna3552</t>
  </si>
  <si>
    <t>Kolonna3553</t>
  </si>
  <si>
    <t>Kolonna3554</t>
  </si>
  <si>
    <t>Kolonna3555</t>
  </si>
  <si>
    <t>Kolonna3556</t>
  </si>
  <si>
    <t>Kolonna3557</t>
  </si>
  <si>
    <t>Kolonna3558</t>
  </si>
  <si>
    <t>Kolonna3559</t>
  </si>
  <si>
    <t>Kolonna3560</t>
  </si>
  <si>
    <t>Kolonna3561</t>
  </si>
  <si>
    <t>Kolonna3562</t>
  </si>
  <si>
    <t>Kolonna3563</t>
  </si>
  <si>
    <t>Kolonna3564</t>
  </si>
  <si>
    <t>Kolonna3565</t>
  </si>
  <si>
    <t>Kolonna3566</t>
  </si>
  <si>
    <t>Kolonna3567</t>
  </si>
  <si>
    <t>Kolonna3568</t>
  </si>
  <si>
    <t>Kolonna3569</t>
  </si>
  <si>
    <t>Kolonna3570</t>
  </si>
  <si>
    <t>Kolonna3571</t>
  </si>
  <si>
    <t>Kolonna3572</t>
  </si>
  <si>
    <t>Kolonna3573</t>
  </si>
  <si>
    <t>Kolonna3574</t>
  </si>
  <si>
    <t>Kolonna3575</t>
  </si>
  <si>
    <t>Kolonna3576</t>
  </si>
  <si>
    <t>Kolonna3577</t>
  </si>
  <si>
    <t>Kolonna3578</t>
  </si>
  <si>
    <t>Kolonna3579</t>
  </si>
  <si>
    <t>Kolonna3580</t>
  </si>
  <si>
    <t>Kolonna3581</t>
  </si>
  <si>
    <t>Kolonna3582</t>
  </si>
  <si>
    <t>Kolonna3583</t>
  </si>
  <si>
    <t>Kolonna3584</t>
  </si>
  <si>
    <t>Kolonna3585</t>
  </si>
  <si>
    <t>Kolonna3586</t>
  </si>
  <si>
    <t>Kolonna3587</t>
  </si>
  <si>
    <t>Kolonna3588</t>
  </si>
  <si>
    <t>Kolonna3589</t>
  </si>
  <si>
    <t>Kolonna3590</t>
  </si>
  <si>
    <t>Kolonna3591</t>
  </si>
  <si>
    <t>Kolonna3592</t>
  </si>
  <si>
    <t>Kolonna3593</t>
  </si>
  <si>
    <t>Kolonna3594</t>
  </si>
  <si>
    <t>Kolonna3595</t>
  </si>
  <si>
    <t>Kolonna3596</t>
  </si>
  <si>
    <t>Kolonna3597</t>
  </si>
  <si>
    <t>Kolonna3598</t>
  </si>
  <si>
    <t>Kolonna3599</t>
  </si>
  <si>
    <t>Kolonna3600</t>
  </si>
  <si>
    <t>Kolonna3601</t>
  </si>
  <si>
    <t>Kolonna3602</t>
  </si>
  <si>
    <t>Kolonna3603</t>
  </si>
  <si>
    <t>Kolonna3604</t>
  </si>
  <si>
    <t>Kolonna3605</t>
  </si>
  <si>
    <t>Kolonna3606</t>
  </si>
  <si>
    <t>Kolonna3607</t>
  </si>
  <si>
    <t>Kolonna3608</t>
  </si>
  <si>
    <t>Kolonna3609</t>
  </si>
  <si>
    <t>Kolonna3610</t>
  </si>
  <si>
    <t>Kolonna3611</t>
  </si>
  <si>
    <t>Kolonna3612</t>
  </si>
  <si>
    <t>Kolonna3613</t>
  </si>
  <si>
    <t>Kolonna3614</t>
  </si>
  <si>
    <t>Kolonna3615</t>
  </si>
  <si>
    <t>Kolonna3616</t>
  </si>
  <si>
    <t>Kolonna3617</t>
  </si>
  <si>
    <t>Kolonna3618</t>
  </si>
  <si>
    <t>Kolonna3619</t>
  </si>
  <si>
    <t>Kolonna3620</t>
  </si>
  <si>
    <t>Kolonna3621</t>
  </si>
  <si>
    <t>Kolonna3622</t>
  </si>
  <si>
    <t>Kolonna3623</t>
  </si>
  <si>
    <t>Kolonna3624</t>
  </si>
  <si>
    <t>Kolonna3625</t>
  </si>
  <si>
    <t>Kolonna3626</t>
  </si>
  <si>
    <t>Kolonna3627</t>
  </si>
  <si>
    <t>Kolonna3628</t>
  </si>
  <si>
    <t>Kolonna3629</t>
  </si>
  <si>
    <t>Kolonna3630</t>
  </si>
  <si>
    <t>Kolonna3631</t>
  </si>
  <si>
    <t>Kolonna3632</t>
  </si>
  <si>
    <t>Kolonna3633</t>
  </si>
  <si>
    <t>Kolonna3634</t>
  </si>
  <si>
    <t>Kolonna3635</t>
  </si>
  <si>
    <t>Kolonna3636</t>
  </si>
  <si>
    <t>Kolonna3637</t>
  </si>
  <si>
    <t>Kolonna3638</t>
  </si>
  <si>
    <t>Kolonna3639</t>
  </si>
  <si>
    <t>Kolonna3640</t>
  </si>
  <si>
    <t>Kolonna3641</t>
  </si>
  <si>
    <t>Kolonna3642</t>
  </si>
  <si>
    <t>Kolonna3643</t>
  </si>
  <si>
    <t>Kolonna3644</t>
  </si>
  <si>
    <t>Kolonna3645</t>
  </si>
  <si>
    <t>Kolonna3646</t>
  </si>
  <si>
    <t>Kolonna3647</t>
  </si>
  <si>
    <t>Kolonna3648</t>
  </si>
  <si>
    <t>Kolonna3649</t>
  </si>
  <si>
    <t>Kolonna3650</t>
  </si>
  <si>
    <t>Kolonna3651</t>
  </si>
  <si>
    <t>Kolonna3652</t>
  </si>
  <si>
    <t>Kolonna3653</t>
  </si>
  <si>
    <t>Kolonna3654</t>
  </si>
  <si>
    <t>Kolonna3655</t>
  </si>
  <si>
    <t>Kolonna3656</t>
  </si>
  <si>
    <t>Kolonna3657</t>
  </si>
  <si>
    <t>Kolonna3658</t>
  </si>
  <si>
    <t>Kolonna3659</t>
  </si>
  <si>
    <t>Kolonna3660</t>
  </si>
  <si>
    <t>Kolonna3661</t>
  </si>
  <si>
    <t>Kolonna3662</t>
  </si>
  <si>
    <t>Kolonna3663</t>
  </si>
  <si>
    <t>Kolonna3664</t>
  </si>
  <si>
    <t>Kolonna3665</t>
  </si>
  <si>
    <t>Kolonna3666</t>
  </si>
  <si>
    <t>Kolonna3667</t>
  </si>
  <si>
    <t>Kolonna3668</t>
  </si>
  <si>
    <t>Kolonna3669</t>
  </si>
  <si>
    <t>Kolonna3670</t>
  </si>
  <si>
    <t>Kolonna3671</t>
  </si>
  <si>
    <t>Kolonna3672</t>
  </si>
  <si>
    <t>Kolonna3673</t>
  </si>
  <si>
    <t>Kolonna3674</t>
  </si>
  <si>
    <t>Kolonna3675</t>
  </si>
  <si>
    <t>Kolonna3676</t>
  </si>
  <si>
    <t>Kolonna3677</t>
  </si>
  <si>
    <t>Kolonna3678</t>
  </si>
  <si>
    <t>Kolonna3679</t>
  </si>
  <si>
    <t>Kolonna3680</t>
  </si>
  <si>
    <t>Kolonna3681</t>
  </si>
  <si>
    <t>Kolonna3682</t>
  </si>
  <si>
    <t>Kolonna3683</t>
  </si>
  <si>
    <t>Kolonna3684</t>
  </si>
  <si>
    <t>Kolonna3685</t>
  </si>
  <si>
    <t>Kolonna3686</t>
  </si>
  <si>
    <t>Kolonna3687</t>
  </si>
  <si>
    <t>Kolonna3688</t>
  </si>
  <si>
    <t>Kolonna3689</t>
  </si>
  <si>
    <t>Kolonna3690</t>
  </si>
  <si>
    <t>Kolonna3691</t>
  </si>
  <si>
    <t>Kolonna3692</t>
  </si>
  <si>
    <t>Kolonna3693</t>
  </si>
  <si>
    <t>Kolonna3694</t>
  </si>
  <si>
    <t>Kolonna3695</t>
  </si>
  <si>
    <t>Kolonna3696</t>
  </si>
  <si>
    <t>Kolonna3697</t>
  </si>
  <si>
    <t>Kolonna3698</t>
  </si>
  <si>
    <t>Kolonna3699</t>
  </si>
  <si>
    <t>Kolonna3700</t>
  </si>
  <si>
    <t>Kolonna3701</t>
  </si>
  <si>
    <t>Kolonna3702</t>
  </si>
  <si>
    <t>Kolonna3703</t>
  </si>
  <si>
    <t>Kolonna3704</t>
  </si>
  <si>
    <t>Kolonna3705</t>
  </si>
  <si>
    <t>Kolonna3706</t>
  </si>
  <si>
    <t>Kolonna3707</t>
  </si>
  <si>
    <t>Kolonna3708</t>
  </si>
  <si>
    <t>Kolonna3709</t>
  </si>
  <si>
    <t>Kolonna3710</t>
  </si>
  <si>
    <t>Kolonna3711</t>
  </si>
  <si>
    <t>Kolonna3712</t>
  </si>
  <si>
    <t>Kolonna3713</t>
  </si>
  <si>
    <t>Kolonna3714</t>
  </si>
  <si>
    <t>Kolonna3715</t>
  </si>
  <si>
    <t>Kolonna3716</t>
  </si>
  <si>
    <t>Kolonna3717</t>
  </si>
  <si>
    <t>Kolonna3718</t>
  </si>
  <si>
    <t>Kolonna3719</t>
  </si>
  <si>
    <t>Kolonna3720</t>
  </si>
  <si>
    <t>Kolonna3721</t>
  </si>
  <si>
    <t>Kolonna3722</t>
  </si>
  <si>
    <t>Kolonna3723</t>
  </si>
  <si>
    <t>Kolonna3724</t>
  </si>
  <si>
    <t>Kolonna3725</t>
  </si>
  <si>
    <t>Kolonna3726</t>
  </si>
  <si>
    <t>Kolonna3727</t>
  </si>
  <si>
    <t>Kolonna3728</t>
  </si>
  <si>
    <t>Kolonna3729</t>
  </si>
  <si>
    <t>Kolonna3730</t>
  </si>
  <si>
    <t>Kolonna3731</t>
  </si>
  <si>
    <t>Kolonna3732</t>
  </si>
  <si>
    <t>Kolonna3733</t>
  </si>
  <si>
    <t>Kolonna3734</t>
  </si>
  <si>
    <t>Kolonna3735</t>
  </si>
  <si>
    <t>Kolonna3736</t>
  </si>
  <si>
    <t>Kolonna3737</t>
  </si>
  <si>
    <t>Kolonna3738</t>
  </si>
  <si>
    <t>Kolonna3739</t>
  </si>
  <si>
    <t>Kolonna3740</t>
  </si>
  <si>
    <t>Kolonna3741</t>
  </si>
  <si>
    <t>Kolonna3742</t>
  </si>
  <si>
    <t>Kolonna3743</t>
  </si>
  <si>
    <t>Kolonna3744</t>
  </si>
  <si>
    <t>Kolonna3745</t>
  </si>
  <si>
    <t>Kolonna3746</t>
  </si>
  <si>
    <t>Kolonna3747</t>
  </si>
  <si>
    <t>Kolonna3748</t>
  </si>
  <si>
    <t>Kolonna3749</t>
  </si>
  <si>
    <t>Kolonna3750</t>
  </si>
  <si>
    <t>Kolonna3751</t>
  </si>
  <si>
    <t>Kolonna3752</t>
  </si>
  <si>
    <t>Kolonna3753</t>
  </si>
  <si>
    <t>Kolonna3754</t>
  </si>
  <si>
    <t>Kolonna3755</t>
  </si>
  <si>
    <t>Kolonna3756</t>
  </si>
  <si>
    <t>Kolonna3757</t>
  </si>
  <si>
    <t>Kolonna3758</t>
  </si>
  <si>
    <t>Kolonna3759</t>
  </si>
  <si>
    <t>Kolonna3760</t>
  </si>
  <si>
    <t>Kolonna3761</t>
  </si>
  <si>
    <t>Kolonna3762</t>
  </si>
  <si>
    <t>Kolonna3763</t>
  </si>
  <si>
    <t>Kolonna3764</t>
  </si>
  <si>
    <t>Kolonna3765</t>
  </si>
  <si>
    <t>Kolonna3766</t>
  </si>
  <si>
    <t>Kolonna3767</t>
  </si>
  <si>
    <t>Kolonna3768</t>
  </si>
  <si>
    <t>Kolonna3769</t>
  </si>
  <si>
    <t>Kolonna3770</t>
  </si>
  <si>
    <t>Kolonna3771</t>
  </si>
  <si>
    <t>Kolonna3772</t>
  </si>
  <si>
    <t>Kolonna3773</t>
  </si>
  <si>
    <t>Kolonna3774</t>
  </si>
  <si>
    <t>Kolonna3775</t>
  </si>
  <si>
    <t>Kolonna3776</t>
  </si>
  <si>
    <t>Kolonna3777</t>
  </si>
  <si>
    <t>Kolonna3778</t>
  </si>
  <si>
    <t>Kolonna3779</t>
  </si>
  <si>
    <t>Kolonna3780</t>
  </si>
  <si>
    <t>Kolonna3781</t>
  </si>
  <si>
    <t>Kolonna3782</t>
  </si>
  <si>
    <t>Kolonna3783</t>
  </si>
  <si>
    <t>Kolonna3784</t>
  </si>
  <si>
    <t>Kolonna3785</t>
  </si>
  <si>
    <t>Kolonna3786</t>
  </si>
  <si>
    <t>Kolonna3787</t>
  </si>
  <si>
    <t>Kolonna3788</t>
  </si>
  <si>
    <t>Kolonna3789</t>
  </si>
  <si>
    <t>Kolonna3790</t>
  </si>
  <si>
    <t>Kolonna3791</t>
  </si>
  <si>
    <t>Kolonna3792</t>
  </si>
  <si>
    <t>Kolonna3793</t>
  </si>
  <si>
    <t>Kolonna3794</t>
  </si>
  <si>
    <t>Kolonna3795</t>
  </si>
  <si>
    <t>Kolonna3796</t>
  </si>
  <si>
    <t>Kolonna3797</t>
  </si>
  <si>
    <t>Kolonna3798</t>
  </si>
  <si>
    <t>Kolonna3799</t>
  </si>
  <si>
    <t>Kolonna3800</t>
  </si>
  <si>
    <t>Kolonna3801</t>
  </si>
  <si>
    <t>Kolonna3802</t>
  </si>
  <si>
    <t>Kolonna3803</t>
  </si>
  <si>
    <t>Kolonna3804</t>
  </si>
  <si>
    <t>Kolonna3805</t>
  </si>
  <si>
    <t>Kolonna3806</t>
  </si>
  <si>
    <t>Kolonna3807</t>
  </si>
  <si>
    <t>Kolonna3808</t>
  </si>
  <si>
    <t>Kolonna3809</t>
  </si>
  <si>
    <t>Kolonna3810</t>
  </si>
  <si>
    <t>Kolonna3811</t>
  </si>
  <si>
    <t>Kolonna3812</t>
  </si>
  <si>
    <t>Kolonna3813</t>
  </si>
  <si>
    <t>Kolonna3814</t>
  </si>
  <si>
    <t>Kolonna3815</t>
  </si>
  <si>
    <t>Kolonna3816</t>
  </si>
  <si>
    <t>Kolonna3817</t>
  </si>
  <si>
    <t>Kolonna3818</t>
  </si>
  <si>
    <t>Kolonna3819</t>
  </si>
  <si>
    <t>Kolonna3820</t>
  </si>
  <si>
    <t>Kolonna3821</t>
  </si>
  <si>
    <t>Kolonna3822</t>
  </si>
  <si>
    <t>Kolonna3823</t>
  </si>
  <si>
    <t>Kolonna3824</t>
  </si>
  <si>
    <t>Kolonna3825</t>
  </si>
  <si>
    <t>Kolonna3826</t>
  </si>
  <si>
    <t>Kolonna3827</t>
  </si>
  <si>
    <t>Kolonna3828</t>
  </si>
  <si>
    <t>Kolonna3829</t>
  </si>
  <si>
    <t>Kolonna3830</t>
  </si>
  <si>
    <t>Kolonna3831</t>
  </si>
  <si>
    <t>Kolonna3832</t>
  </si>
  <si>
    <t>Kolonna3833</t>
  </si>
  <si>
    <t>Kolonna3834</t>
  </si>
  <si>
    <t>Kolonna3835</t>
  </si>
  <si>
    <t>Kolonna3836</t>
  </si>
  <si>
    <t>Kolonna3837</t>
  </si>
  <si>
    <t>Kolonna3838</t>
  </si>
  <si>
    <t>Kolonna3839</t>
  </si>
  <si>
    <t>Kolonna3840</t>
  </si>
  <si>
    <t>Kolonna3841</t>
  </si>
  <si>
    <t>Kolonna3842</t>
  </si>
  <si>
    <t>Kolonna3843</t>
  </si>
  <si>
    <t>Kolonna3844</t>
  </si>
  <si>
    <t>Kolonna3845</t>
  </si>
  <si>
    <t>Kolonna3846</t>
  </si>
  <si>
    <t>Kolonna3847</t>
  </si>
  <si>
    <t>Kolonna3848</t>
  </si>
  <si>
    <t>Kolonna3849</t>
  </si>
  <si>
    <t>Kolonna3850</t>
  </si>
  <si>
    <t>Kolonna3851</t>
  </si>
  <si>
    <t>Kolonna3852</t>
  </si>
  <si>
    <t>Kolonna3853</t>
  </si>
  <si>
    <t>Kolonna3854</t>
  </si>
  <si>
    <t>Kolonna3855</t>
  </si>
  <si>
    <t>Kolonna3856</t>
  </si>
  <si>
    <t>Kolonna3857</t>
  </si>
  <si>
    <t>Kolonna3858</t>
  </si>
  <si>
    <t>Kolonna3859</t>
  </si>
  <si>
    <t>Kolonna3860</t>
  </si>
  <si>
    <t>Kolonna3861</t>
  </si>
  <si>
    <t>Kolonna3862</t>
  </si>
  <si>
    <t>Kolonna3863</t>
  </si>
  <si>
    <t>Kolonna3864</t>
  </si>
  <si>
    <t>Kolonna3865</t>
  </si>
  <si>
    <t>Kolonna3866</t>
  </si>
  <si>
    <t>Kolonna3867</t>
  </si>
  <si>
    <t>Kolonna3868</t>
  </si>
  <si>
    <t>Kolonna3869</t>
  </si>
  <si>
    <t>Kolonna3870</t>
  </si>
  <si>
    <t>Kolonna3871</t>
  </si>
  <si>
    <t>Kolonna3872</t>
  </si>
  <si>
    <t>Kolonna3873</t>
  </si>
  <si>
    <t>Kolonna3874</t>
  </si>
  <si>
    <t>Kolonna3875</t>
  </si>
  <si>
    <t>Kolonna3876</t>
  </si>
  <si>
    <t>Kolonna3877</t>
  </si>
  <si>
    <t>Kolonna3878</t>
  </si>
  <si>
    <t>Kolonna3879</t>
  </si>
  <si>
    <t>Kolonna3880</t>
  </si>
  <si>
    <t>Kolonna3881</t>
  </si>
  <si>
    <t>Kolonna3882</t>
  </si>
  <si>
    <t>Kolonna3883</t>
  </si>
  <si>
    <t>Kolonna3884</t>
  </si>
  <si>
    <t>Kolonna3885</t>
  </si>
  <si>
    <t>Kolonna3886</t>
  </si>
  <si>
    <t>Kolonna3887</t>
  </si>
  <si>
    <t>Kolonna3888</t>
  </si>
  <si>
    <t>Kolonna3889</t>
  </si>
  <si>
    <t>Kolonna3890</t>
  </si>
  <si>
    <t>Kolonna3891</t>
  </si>
  <si>
    <t>Kolonna3892</t>
  </si>
  <si>
    <t>Kolonna3893</t>
  </si>
  <si>
    <t>Kolonna3894</t>
  </si>
  <si>
    <t>Kolonna3895</t>
  </si>
  <si>
    <t>Kolonna3896</t>
  </si>
  <si>
    <t>Kolonna3897</t>
  </si>
  <si>
    <t>Kolonna3898</t>
  </si>
  <si>
    <t>Kolonna3899</t>
  </si>
  <si>
    <t>Kolonna3900</t>
  </si>
  <si>
    <t>Kolonna3901</t>
  </si>
  <si>
    <t>Kolonna3902</t>
  </si>
  <si>
    <t>Kolonna3903</t>
  </si>
  <si>
    <t>Kolonna3904</t>
  </si>
  <si>
    <t>Kolonna3905</t>
  </si>
  <si>
    <t>Kolonna3906</t>
  </si>
  <si>
    <t>Kolonna3907</t>
  </si>
  <si>
    <t>Kolonna3908</t>
  </si>
  <si>
    <t>Kolonna3909</t>
  </si>
  <si>
    <t>Kolonna3910</t>
  </si>
  <si>
    <t>Kolonna3911</t>
  </si>
  <si>
    <t>Kolonna3912</t>
  </si>
  <si>
    <t>Kolonna3913</t>
  </si>
  <si>
    <t>Kolonna3914</t>
  </si>
  <si>
    <t>Kolonna3915</t>
  </si>
  <si>
    <t>Kolonna3916</t>
  </si>
  <si>
    <t>Kolonna3917</t>
  </si>
  <si>
    <t>Kolonna3918</t>
  </si>
  <si>
    <t>Kolonna3919</t>
  </si>
  <si>
    <t>Kolonna3920</t>
  </si>
  <si>
    <t>Kolonna3921</t>
  </si>
  <si>
    <t>Kolonna3922</t>
  </si>
  <si>
    <t>Kolonna3923</t>
  </si>
  <si>
    <t>Kolonna3924</t>
  </si>
  <si>
    <t>Kolonna3925</t>
  </si>
  <si>
    <t>Kolonna3926</t>
  </si>
  <si>
    <t>Kolonna3927</t>
  </si>
  <si>
    <t>Kolonna3928</t>
  </si>
  <si>
    <t>Kolonna3929</t>
  </si>
  <si>
    <t>Kolonna3930</t>
  </si>
  <si>
    <t>Kolonna3931</t>
  </si>
  <si>
    <t>Kolonna3932</t>
  </si>
  <si>
    <t>Kolonna3933</t>
  </si>
  <si>
    <t>Kolonna3934</t>
  </si>
  <si>
    <t>Kolonna3935</t>
  </si>
  <si>
    <t>Kolonna3936</t>
  </si>
  <si>
    <t>Kolonna3937</t>
  </si>
  <si>
    <t>Kolonna3938</t>
  </si>
  <si>
    <t>Kolonna3939</t>
  </si>
  <si>
    <t>Kolonna3940</t>
  </si>
  <si>
    <t>Kolonna3941</t>
  </si>
  <si>
    <t>Kolonna3942</t>
  </si>
  <si>
    <t>Kolonna3943</t>
  </si>
  <si>
    <t>Kolonna3944</t>
  </si>
  <si>
    <t>Kolonna3945</t>
  </si>
  <si>
    <t>Kolonna3946</t>
  </si>
  <si>
    <t>Kolonna3947</t>
  </si>
  <si>
    <t>Kolonna3948</t>
  </si>
  <si>
    <t>Kolonna3949</t>
  </si>
  <si>
    <t>Kolonna3950</t>
  </si>
  <si>
    <t>Kolonna3951</t>
  </si>
  <si>
    <t>Kolonna3952</t>
  </si>
  <si>
    <t>Kolonna3953</t>
  </si>
  <si>
    <t>Kolonna3954</t>
  </si>
  <si>
    <t>Kolonna3955</t>
  </si>
  <si>
    <t>Kolonna3956</t>
  </si>
  <si>
    <t>Kolonna3957</t>
  </si>
  <si>
    <t>Kolonna3958</t>
  </si>
  <si>
    <t>Kolonna3959</t>
  </si>
  <si>
    <t>Kolonna3960</t>
  </si>
  <si>
    <t>Kolonna3961</t>
  </si>
  <si>
    <t>Kolonna3962</t>
  </si>
  <si>
    <t>Kolonna3963</t>
  </si>
  <si>
    <t>Kolonna3964</t>
  </si>
  <si>
    <t>Kolonna3965</t>
  </si>
  <si>
    <t>Kolonna3966</t>
  </si>
  <si>
    <t>Kolonna3967</t>
  </si>
  <si>
    <t>Kolonna3968</t>
  </si>
  <si>
    <t>Kolonna3969</t>
  </si>
  <si>
    <t>Kolonna3970</t>
  </si>
  <si>
    <t>Kolonna3971</t>
  </si>
  <si>
    <t>Kolonna3972</t>
  </si>
  <si>
    <t>Kolonna3973</t>
  </si>
  <si>
    <t>Kolonna3974</t>
  </si>
  <si>
    <t>Kolonna3975</t>
  </si>
  <si>
    <t>Kolonna3976</t>
  </si>
  <si>
    <t>Kolonna3977</t>
  </si>
  <si>
    <t>Kolonna3978</t>
  </si>
  <si>
    <t>Kolonna3979</t>
  </si>
  <si>
    <t>Kolonna3980</t>
  </si>
  <si>
    <t>Kolonna3981</t>
  </si>
  <si>
    <t>Kolonna3982</t>
  </si>
  <si>
    <t>Kolonna3983</t>
  </si>
  <si>
    <t>Kolonna3984</t>
  </si>
  <si>
    <t>Kolonna3985</t>
  </si>
  <si>
    <t>Kolonna3986</t>
  </si>
  <si>
    <t>Kolonna3987</t>
  </si>
  <si>
    <t>Kolonna3988</t>
  </si>
  <si>
    <t>Kolonna3989</t>
  </si>
  <si>
    <t>Kolonna3990</t>
  </si>
  <si>
    <t>Kolonna3991</t>
  </si>
  <si>
    <t>Kolonna3992</t>
  </si>
  <si>
    <t>Kolonna3993</t>
  </si>
  <si>
    <t>Kolonna3994</t>
  </si>
  <si>
    <t>Kolonna3995</t>
  </si>
  <si>
    <t>Kolonna3996</t>
  </si>
  <si>
    <t>Kolonna3997</t>
  </si>
  <si>
    <t>Kolonna3998</t>
  </si>
  <si>
    <t>Kolonna3999</t>
  </si>
  <si>
    <t>Kolonna4000</t>
  </si>
  <si>
    <t>Kolonna4001</t>
  </si>
  <si>
    <t>Kolonna4002</t>
  </si>
  <si>
    <t>Kolonna4003</t>
  </si>
  <si>
    <t>Kolonna4004</t>
  </si>
  <si>
    <t>Kolonna4005</t>
  </si>
  <si>
    <t>Kolonna4006</t>
  </si>
  <si>
    <t>Kolonna4007</t>
  </si>
  <si>
    <t>Kolonna4008</t>
  </si>
  <si>
    <t>Kolonna4009</t>
  </si>
  <si>
    <t>Kolonna4010</t>
  </si>
  <si>
    <t>Kolonna4011</t>
  </si>
  <si>
    <t>Kolonna4012</t>
  </si>
  <si>
    <t>Kolonna4013</t>
  </si>
  <si>
    <t>Kolonna4014</t>
  </si>
  <si>
    <t>Kolonna4015</t>
  </si>
  <si>
    <t>Kolonna4016</t>
  </si>
  <si>
    <t>Kolonna4017</t>
  </si>
  <si>
    <t>Kolonna4018</t>
  </si>
  <si>
    <t>Kolonna4019</t>
  </si>
  <si>
    <t>Kolonna4020</t>
  </si>
  <si>
    <t>Kolonna4021</t>
  </si>
  <si>
    <t>Kolonna4022</t>
  </si>
  <si>
    <t>Kolonna4023</t>
  </si>
  <si>
    <t>Kolonna4024</t>
  </si>
  <si>
    <t>Kolonna4025</t>
  </si>
  <si>
    <t>Kolonna4026</t>
  </si>
  <si>
    <t>Kolonna4027</t>
  </si>
  <si>
    <t>Kolonna4028</t>
  </si>
  <si>
    <t>Kolonna4029</t>
  </si>
  <si>
    <t>Kolonna4030</t>
  </si>
  <si>
    <t>Kolonna4031</t>
  </si>
  <si>
    <t>Kolonna4032</t>
  </si>
  <si>
    <t>Kolonna4033</t>
  </si>
  <si>
    <t>Kolonna4034</t>
  </si>
  <si>
    <t>Kolonna4035</t>
  </si>
  <si>
    <t>Kolonna4036</t>
  </si>
  <si>
    <t>Kolonna4037</t>
  </si>
  <si>
    <t>Kolonna4038</t>
  </si>
  <si>
    <t>Kolonna4039</t>
  </si>
  <si>
    <t>Kolonna4040</t>
  </si>
  <si>
    <t>Kolonna4041</t>
  </si>
  <si>
    <t>Kolonna4042</t>
  </si>
  <si>
    <t>Kolonna4043</t>
  </si>
  <si>
    <t>Kolonna4044</t>
  </si>
  <si>
    <t>Kolonna4045</t>
  </si>
  <si>
    <t>Kolonna4046</t>
  </si>
  <si>
    <t>Kolonna4047</t>
  </si>
  <si>
    <t>Kolonna4048</t>
  </si>
  <si>
    <t>Kolonna4049</t>
  </si>
  <si>
    <t>Kolonna4050</t>
  </si>
  <si>
    <t>Kolonna4051</t>
  </si>
  <si>
    <t>Kolonna4052</t>
  </si>
  <si>
    <t>Kolonna4053</t>
  </si>
  <si>
    <t>Kolonna4054</t>
  </si>
  <si>
    <t>Kolonna4055</t>
  </si>
  <si>
    <t>Kolonna4056</t>
  </si>
  <si>
    <t>Kolonna4057</t>
  </si>
  <si>
    <t>Kolonna4058</t>
  </si>
  <si>
    <t>Kolonna4059</t>
  </si>
  <si>
    <t>Kolonna4060</t>
  </si>
  <si>
    <t>Kolonna4061</t>
  </si>
  <si>
    <t>Kolonna4062</t>
  </si>
  <si>
    <t>Kolonna4063</t>
  </si>
  <si>
    <t>Kolonna4064</t>
  </si>
  <si>
    <t>Kolonna4065</t>
  </si>
  <si>
    <t>Kolonna4066</t>
  </si>
  <si>
    <t>Kolonna4067</t>
  </si>
  <si>
    <t>Kolonna4068</t>
  </si>
  <si>
    <t>Kolonna4069</t>
  </si>
  <si>
    <t>Kolonna4070</t>
  </si>
  <si>
    <t>Kolonna4071</t>
  </si>
  <si>
    <t>Kolonna4072</t>
  </si>
  <si>
    <t>Kolonna4073</t>
  </si>
  <si>
    <t>Kolonna4074</t>
  </si>
  <si>
    <t>Kolonna4075</t>
  </si>
  <si>
    <t>Kolonna4076</t>
  </si>
  <si>
    <t>Kolonna4077</t>
  </si>
  <si>
    <t>Kolonna4078</t>
  </si>
  <si>
    <t>Kolonna4079</t>
  </si>
  <si>
    <t>Kolonna4080</t>
  </si>
  <si>
    <t>Kolonna4081</t>
  </si>
  <si>
    <t>Kolonna4082</t>
  </si>
  <si>
    <t>Kolonna4083</t>
  </si>
  <si>
    <t>Kolonna4084</t>
  </si>
  <si>
    <t>Kolonna4085</t>
  </si>
  <si>
    <t>Kolonna4086</t>
  </si>
  <si>
    <t>Kolonna4087</t>
  </si>
  <si>
    <t>Kolonna4088</t>
  </si>
  <si>
    <t>Kolonna4089</t>
  </si>
  <si>
    <t>Kolonna4090</t>
  </si>
  <si>
    <t>Kolonna4091</t>
  </si>
  <si>
    <t>Kolonna4092</t>
  </si>
  <si>
    <t>Kolonna4093</t>
  </si>
  <si>
    <t>Kolonna4094</t>
  </si>
  <si>
    <t>Kolonna4095</t>
  </si>
  <si>
    <t>Kolonna4096</t>
  </si>
  <si>
    <t>Kolonna4097</t>
  </si>
  <si>
    <t>Kolonna4098</t>
  </si>
  <si>
    <t>Kolonna4099</t>
  </si>
  <si>
    <t>Kolonna4100</t>
  </si>
  <si>
    <t>Kolonna4101</t>
  </si>
  <si>
    <t>Kolonna4102</t>
  </si>
  <si>
    <t>Kolonna4103</t>
  </si>
  <si>
    <t>Kolonna4104</t>
  </si>
  <si>
    <t>Kolonna4105</t>
  </si>
  <si>
    <t>Kolonna4106</t>
  </si>
  <si>
    <t>Kolonna4107</t>
  </si>
  <si>
    <t>Kolonna4108</t>
  </si>
  <si>
    <t>Kolonna4109</t>
  </si>
  <si>
    <t>Kolonna4110</t>
  </si>
  <si>
    <t>Kolonna4111</t>
  </si>
  <si>
    <t>Kolonna4112</t>
  </si>
  <si>
    <t>Kolonna4113</t>
  </si>
  <si>
    <t>Kolonna4114</t>
  </si>
  <si>
    <t>Kolonna4115</t>
  </si>
  <si>
    <t>Kolonna4116</t>
  </si>
  <si>
    <t>Kolonna4117</t>
  </si>
  <si>
    <t>Kolonna4118</t>
  </si>
  <si>
    <t>Kolonna4119</t>
  </si>
  <si>
    <t>Kolonna4120</t>
  </si>
  <si>
    <t>Kolonna4121</t>
  </si>
  <si>
    <t>Kolonna4122</t>
  </si>
  <si>
    <t>Kolonna4123</t>
  </si>
  <si>
    <t>Kolonna4124</t>
  </si>
  <si>
    <t>Kolonna4125</t>
  </si>
  <si>
    <t>Kolonna4126</t>
  </si>
  <si>
    <t>Kolonna4127</t>
  </si>
  <si>
    <t>Kolonna4128</t>
  </si>
  <si>
    <t>Kolonna4129</t>
  </si>
  <si>
    <t>Kolonna4130</t>
  </si>
  <si>
    <t>Kolonna4131</t>
  </si>
  <si>
    <t>Kolonna4132</t>
  </si>
  <si>
    <t>Kolonna4133</t>
  </si>
  <si>
    <t>Kolonna4134</t>
  </si>
  <si>
    <t>Kolonna4135</t>
  </si>
  <si>
    <t>Kolonna4136</t>
  </si>
  <si>
    <t>Kolonna4137</t>
  </si>
  <si>
    <t>Kolonna4138</t>
  </si>
  <si>
    <t>Kolonna4139</t>
  </si>
  <si>
    <t>Kolonna4140</t>
  </si>
  <si>
    <t>Kolonna4141</t>
  </si>
  <si>
    <t>Kolonna4142</t>
  </si>
  <si>
    <t>Kolonna4143</t>
  </si>
  <si>
    <t>Kolonna4144</t>
  </si>
  <si>
    <t>Kolonna4145</t>
  </si>
  <si>
    <t>Kolonna4146</t>
  </si>
  <si>
    <t>Kolonna4147</t>
  </si>
  <si>
    <t>Kolonna4148</t>
  </si>
  <si>
    <t>Kolonna4149</t>
  </si>
  <si>
    <t>Kolonna4150</t>
  </si>
  <si>
    <t>Kolonna4151</t>
  </si>
  <si>
    <t>Kolonna4152</t>
  </si>
  <si>
    <t>Kolonna4153</t>
  </si>
  <si>
    <t>Kolonna4154</t>
  </si>
  <si>
    <t>Kolonna4155</t>
  </si>
  <si>
    <t>Kolonna4156</t>
  </si>
  <si>
    <t>Kolonna4157</t>
  </si>
  <si>
    <t>Kolonna4158</t>
  </si>
  <si>
    <t>Kolonna4159</t>
  </si>
  <si>
    <t>Kolonna4160</t>
  </si>
  <si>
    <t>Kolonna4161</t>
  </si>
  <si>
    <t>Kolonna4162</t>
  </si>
  <si>
    <t>Kolonna4163</t>
  </si>
  <si>
    <t>Kolonna4164</t>
  </si>
  <si>
    <t>Kolonna4165</t>
  </si>
  <si>
    <t>Kolonna4166</t>
  </si>
  <si>
    <t>Kolonna4167</t>
  </si>
  <si>
    <t>Kolonna4168</t>
  </si>
  <si>
    <t>Kolonna4169</t>
  </si>
  <si>
    <t>Kolonna4170</t>
  </si>
  <si>
    <t>Kolonna4171</t>
  </si>
  <si>
    <t>Kolonna4172</t>
  </si>
  <si>
    <t>Kolonna4173</t>
  </si>
  <si>
    <t>Kolonna4174</t>
  </si>
  <si>
    <t>Kolonna4175</t>
  </si>
  <si>
    <t>Kolonna4176</t>
  </si>
  <si>
    <t>Kolonna4177</t>
  </si>
  <si>
    <t>Kolonna4178</t>
  </si>
  <si>
    <t>Kolonna4179</t>
  </si>
  <si>
    <t>Kolonna4180</t>
  </si>
  <si>
    <t>Kolonna4181</t>
  </si>
  <si>
    <t>Kolonna4182</t>
  </si>
  <si>
    <t>Kolonna4183</t>
  </si>
  <si>
    <t>Kolonna4184</t>
  </si>
  <si>
    <t>Kolonna4185</t>
  </si>
  <si>
    <t>Kolonna4186</t>
  </si>
  <si>
    <t>Kolonna4187</t>
  </si>
  <si>
    <t>Kolonna4188</t>
  </si>
  <si>
    <t>Kolonna4189</t>
  </si>
  <si>
    <t>Kolonna4190</t>
  </si>
  <si>
    <t>Kolonna4191</t>
  </si>
  <si>
    <t>Kolonna4192</t>
  </si>
  <si>
    <t>Kolonna4193</t>
  </si>
  <si>
    <t>Kolonna4194</t>
  </si>
  <si>
    <t>Kolonna4195</t>
  </si>
  <si>
    <t>Kolonna4196</t>
  </si>
  <si>
    <t>Kolonna4197</t>
  </si>
  <si>
    <t>Kolonna4198</t>
  </si>
  <si>
    <t>Kolonna4199</t>
  </si>
  <si>
    <t>Kolonna4200</t>
  </si>
  <si>
    <t>Kolonna4201</t>
  </si>
  <si>
    <t>Kolonna4202</t>
  </si>
  <si>
    <t>Kolonna4203</t>
  </si>
  <si>
    <t>Kolonna4204</t>
  </si>
  <si>
    <t>Kolonna4205</t>
  </si>
  <si>
    <t>Kolonna4206</t>
  </si>
  <si>
    <t>Kolonna4207</t>
  </si>
  <si>
    <t>Kolonna4208</t>
  </si>
  <si>
    <t>Kolonna4209</t>
  </si>
  <si>
    <t>Kolonna4210</t>
  </si>
  <si>
    <t>Kolonna4211</t>
  </si>
  <si>
    <t>Kolonna4212</t>
  </si>
  <si>
    <t>Kolonna4213</t>
  </si>
  <si>
    <t>Kolonna4214</t>
  </si>
  <si>
    <t>Kolonna4215</t>
  </si>
  <si>
    <t>Kolonna4216</t>
  </si>
  <si>
    <t>Kolonna4217</t>
  </si>
  <si>
    <t>Kolonna4218</t>
  </si>
  <si>
    <t>Kolonna4219</t>
  </si>
  <si>
    <t>Kolonna4220</t>
  </si>
  <si>
    <t>Kolonna4221</t>
  </si>
  <si>
    <t>Kolonna4222</t>
  </si>
  <si>
    <t>Kolonna4223</t>
  </si>
  <si>
    <t>Kolonna4224</t>
  </si>
  <si>
    <t>Kolonna4225</t>
  </si>
  <si>
    <t>Kolonna4226</t>
  </si>
  <si>
    <t>Kolonna4227</t>
  </si>
  <si>
    <t>Kolonna4228</t>
  </si>
  <si>
    <t>Kolonna4229</t>
  </si>
  <si>
    <t>Kolonna4230</t>
  </si>
  <si>
    <t>Kolonna4231</t>
  </si>
  <si>
    <t>Kolonna4232</t>
  </si>
  <si>
    <t>Kolonna4233</t>
  </si>
  <si>
    <t>Kolonna4234</t>
  </si>
  <si>
    <t>Kolonna4235</t>
  </si>
  <si>
    <t>Kolonna4236</t>
  </si>
  <si>
    <t>Kolonna4237</t>
  </si>
  <si>
    <t>Kolonna4238</t>
  </si>
  <si>
    <t>Kolonna4239</t>
  </si>
  <si>
    <t>Kolonna4240</t>
  </si>
  <si>
    <t>Kolonna4241</t>
  </si>
  <si>
    <t>Kolonna4242</t>
  </si>
  <si>
    <t>Kolonna4243</t>
  </si>
  <si>
    <t>Kolonna4244</t>
  </si>
  <si>
    <t>Kolonna4245</t>
  </si>
  <si>
    <t>Kolonna4246</t>
  </si>
  <si>
    <t>Kolonna4247</t>
  </si>
  <si>
    <t>Kolonna4248</t>
  </si>
  <si>
    <t>Kolonna4249</t>
  </si>
  <si>
    <t>Kolonna4250</t>
  </si>
  <si>
    <t>Kolonna4251</t>
  </si>
  <si>
    <t>Kolonna4252</t>
  </si>
  <si>
    <t>Kolonna4253</t>
  </si>
  <si>
    <t>Kolonna4254</t>
  </si>
  <si>
    <t>Kolonna4255</t>
  </si>
  <si>
    <t>Kolonna4256</t>
  </si>
  <si>
    <t>Kolonna4257</t>
  </si>
  <si>
    <t>Kolonna4258</t>
  </si>
  <si>
    <t>Kolonna4259</t>
  </si>
  <si>
    <t>Kolonna4260</t>
  </si>
  <si>
    <t>Kolonna4261</t>
  </si>
  <si>
    <t>Kolonna4262</t>
  </si>
  <si>
    <t>Kolonna4263</t>
  </si>
  <si>
    <t>Kolonna4264</t>
  </si>
  <si>
    <t>Kolonna4265</t>
  </si>
  <si>
    <t>Kolonna4266</t>
  </si>
  <si>
    <t>Kolonna4267</t>
  </si>
  <si>
    <t>Kolonna4268</t>
  </si>
  <si>
    <t>Kolonna4269</t>
  </si>
  <si>
    <t>Kolonna4270</t>
  </si>
  <si>
    <t>Kolonna4271</t>
  </si>
  <si>
    <t>Kolonna4272</t>
  </si>
  <si>
    <t>Kolonna4273</t>
  </si>
  <si>
    <t>Kolonna4274</t>
  </si>
  <si>
    <t>Kolonna4275</t>
  </si>
  <si>
    <t>Kolonna4276</t>
  </si>
  <si>
    <t>Kolonna4277</t>
  </si>
  <si>
    <t>Kolonna4278</t>
  </si>
  <si>
    <t>Kolonna4279</t>
  </si>
  <si>
    <t>Kolonna4280</t>
  </si>
  <si>
    <t>Kolonna4281</t>
  </si>
  <si>
    <t>Kolonna4282</t>
  </si>
  <si>
    <t>Kolonna4283</t>
  </si>
  <si>
    <t>Kolonna4284</t>
  </si>
  <si>
    <t>Kolonna4285</t>
  </si>
  <si>
    <t>Kolonna4286</t>
  </si>
  <si>
    <t>Kolonna4287</t>
  </si>
  <si>
    <t>Kolonna4288</t>
  </si>
  <si>
    <t>Kolonna4289</t>
  </si>
  <si>
    <t>Kolonna4290</t>
  </si>
  <si>
    <t>Kolonna4291</t>
  </si>
  <si>
    <t>Kolonna4292</t>
  </si>
  <si>
    <t>Kolonna4293</t>
  </si>
  <si>
    <t>Kolonna4294</t>
  </si>
  <si>
    <t>Kolonna4295</t>
  </si>
  <si>
    <t>Kolonna4296</t>
  </si>
  <si>
    <t>Kolonna4297</t>
  </si>
  <si>
    <t>Kolonna4298</t>
  </si>
  <si>
    <t>Kolonna4299</t>
  </si>
  <si>
    <t>Kolonna4300</t>
  </si>
  <si>
    <t>Kolonna4301</t>
  </si>
  <si>
    <t>Kolonna4302</t>
  </si>
  <si>
    <t>Kolonna4303</t>
  </si>
  <si>
    <t>Kolonna4304</t>
  </si>
  <si>
    <t>Kolonna4305</t>
  </si>
  <si>
    <t>Kolonna4306</t>
  </si>
  <si>
    <t>Kolonna4307</t>
  </si>
  <si>
    <t>Kolonna4308</t>
  </si>
  <si>
    <t>Kolonna4309</t>
  </si>
  <si>
    <t>Kolonna4310</t>
  </si>
  <si>
    <t>Kolonna4311</t>
  </si>
  <si>
    <t>Kolonna4312</t>
  </si>
  <si>
    <t>Kolonna4313</t>
  </si>
  <si>
    <t>Kolonna4314</t>
  </si>
  <si>
    <t>Kolonna4315</t>
  </si>
  <si>
    <t>Kolonna4316</t>
  </si>
  <si>
    <t>Kolonna4317</t>
  </si>
  <si>
    <t>Kolonna4318</t>
  </si>
  <si>
    <t>Kolonna4319</t>
  </si>
  <si>
    <t>Kolonna4320</t>
  </si>
  <si>
    <t>Kolonna4321</t>
  </si>
  <si>
    <t>Kolonna4322</t>
  </si>
  <si>
    <t>Kolonna4323</t>
  </si>
  <si>
    <t>Kolonna4324</t>
  </si>
  <si>
    <t>Kolonna4325</t>
  </si>
  <si>
    <t>Kolonna4326</t>
  </si>
  <si>
    <t>Kolonna4327</t>
  </si>
  <si>
    <t>Kolonna4328</t>
  </si>
  <si>
    <t>Kolonna4329</t>
  </si>
  <si>
    <t>Kolonna4330</t>
  </si>
  <si>
    <t>Kolonna4331</t>
  </si>
  <si>
    <t>Kolonna4332</t>
  </si>
  <si>
    <t>Kolonna4333</t>
  </si>
  <si>
    <t>Kolonna4334</t>
  </si>
  <si>
    <t>Kolonna4335</t>
  </si>
  <si>
    <t>Kolonna4336</t>
  </si>
  <si>
    <t>Kolonna4337</t>
  </si>
  <si>
    <t>Kolonna4338</t>
  </si>
  <si>
    <t>Kolonna4339</t>
  </si>
  <si>
    <t>Kolonna4340</t>
  </si>
  <si>
    <t>Kolonna4341</t>
  </si>
  <si>
    <t>Kolonna4342</t>
  </si>
  <si>
    <t>Kolonna4343</t>
  </si>
  <si>
    <t>Kolonna4344</t>
  </si>
  <si>
    <t>Kolonna4345</t>
  </si>
  <si>
    <t>Kolonna4346</t>
  </si>
  <si>
    <t>Kolonna4347</t>
  </si>
  <si>
    <t>Kolonna4348</t>
  </si>
  <si>
    <t>Kolonna4349</t>
  </si>
  <si>
    <t>Kolonna4350</t>
  </si>
  <si>
    <t>Kolonna4351</t>
  </si>
  <si>
    <t>Kolonna4352</t>
  </si>
  <si>
    <t>Kolonna4353</t>
  </si>
  <si>
    <t>Kolonna4354</t>
  </si>
  <si>
    <t>Kolonna4355</t>
  </si>
  <si>
    <t>Kolonna4356</t>
  </si>
  <si>
    <t>Kolonna4357</t>
  </si>
  <si>
    <t>Kolonna4358</t>
  </si>
  <si>
    <t>Kolonna4359</t>
  </si>
  <si>
    <t>Kolonna4360</t>
  </si>
  <si>
    <t>Kolonna4361</t>
  </si>
  <si>
    <t>Kolonna4362</t>
  </si>
  <si>
    <t>Kolonna4363</t>
  </si>
  <si>
    <t>Kolonna4364</t>
  </si>
  <si>
    <t>Kolonna4365</t>
  </si>
  <si>
    <t>Kolonna4366</t>
  </si>
  <si>
    <t>Kolonna4367</t>
  </si>
  <si>
    <t>Kolonna4368</t>
  </si>
  <si>
    <t>Kolonna4369</t>
  </si>
  <si>
    <t>Kolonna4370</t>
  </si>
  <si>
    <t>Kolonna4371</t>
  </si>
  <si>
    <t>Kolonna4372</t>
  </si>
  <si>
    <t>Kolonna4373</t>
  </si>
  <si>
    <t>Kolonna4374</t>
  </si>
  <si>
    <t>Kolonna4375</t>
  </si>
  <si>
    <t>Kolonna4376</t>
  </si>
  <si>
    <t>Kolonna4377</t>
  </si>
  <si>
    <t>Kolonna4378</t>
  </si>
  <si>
    <t>Kolonna4379</t>
  </si>
  <si>
    <t>Kolonna4380</t>
  </si>
  <si>
    <t>Kolonna4381</t>
  </si>
  <si>
    <t>Kolonna4382</t>
  </si>
  <si>
    <t>Kolonna4383</t>
  </si>
  <si>
    <t>Kolonna4384</t>
  </si>
  <si>
    <t>Kolonna4385</t>
  </si>
  <si>
    <t>Kolonna4386</t>
  </si>
  <si>
    <t>Kolonna4387</t>
  </si>
  <si>
    <t>Kolonna4388</t>
  </si>
  <si>
    <t>Kolonna4389</t>
  </si>
  <si>
    <t>Kolonna4390</t>
  </si>
  <si>
    <t>Kolonna4391</t>
  </si>
  <si>
    <t>Kolonna4392</t>
  </si>
  <si>
    <t>Kolonna4393</t>
  </si>
  <si>
    <t>Kolonna4394</t>
  </si>
  <si>
    <t>Kolonna4395</t>
  </si>
  <si>
    <t>Kolonna4396</t>
  </si>
  <si>
    <t>Kolonna4397</t>
  </si>
  <si>
    <t>Kolonna4398</t>
  </si>
  <si>
    <t>Kolonna4399</t>
  </si>
  <si>
    <t>Kolonna4400</t>
  </si>
  <si>
    <t>Kolonna4401</t>
  </si>
  <si>
    <t>Kolonna4402</t>
  </si>
  <si>
    <t>Kolonna4403</t>
  </si>
  <si>
    <t>Kolonna4404</t>
  </si>
  <si>
    <t>Kolonna4405</t>
  </si>
  <si>
    <t>Kolonna4406</t>
  </si>
  <si>
    <t>Kolonna4407</t>
  </si>
  <si>
    <t>Kolonna4408</t>
  </si>
  <si>
    <t>Kolonna4409</t>
  </si>
  <si>
    <t>Kolonna4410</t>
  </si>
  <si>
    <t>Kolonna4411</t>
  </si>
  <si>
    <t>Kolonna4412</t>
  </si>
  <si>
    <t>Kolonna4413</t>
  </si>
  <si>
    <t>Kolonna4414</t>
  </si>
  <si>
    <t>Kolonna4415</t>
  </si>
  <si>
    <t>Kolonna4416</t>
  </si>
  <si>
    <t>Kolonna4417</t>
  </si>
  <si>
    <t>Kolonna4418</t>
  </si>
  <si>
    <t>Kolonna4419</t>
  </si>
  <si>
    <t>Kolonna4420</t>
  </si>
  <si>
    <t>Kolonna4421</t>
  </si>
  <si>
    <t>Kolonna4422</t>
  </si>
  <si>
    <t>Kolonna4423</t>
  </si>
  <si>
    <t>Kolonna4424</t>
  </si>
  <si>
    <t>Kolonna4425</t>
  </si>
  <si>
    <t>Kolonna4426</t>
  </si>
  <si>
    <t>Kolonna4427</t>
  </si>
  <si>
    <t>Kolonna4428</t>
  </si>
  <si>
    <t>Kolonna4429</t>
  </si>
  <si>
    <t>Kolonna4430</t>
  </si>
  <si>
    <t>Kolonna4431</t>
  </si>
  <si>
    <t>Kolonna4432</t>
  </si>
  <si>
    <t>Kolonna4433</t>
  </si>
  <si>
    <t>Kolonna4434</t>
  </si>
  <si>
    <t>Kolonna4435</t>
  </si>
  <si>
    <t>Kolonna4436</t>
  </si>
  <si>
    <t>Kolonna4437</t>
  </si>
  <si>
    <t>Kolonna4438</t>
  </si>
  <si>
    <t>Kolonna4439</t>
  </si>
  <si>
    <t>Kolonna4440</t>
  </si>
  <si>
    <t>Kolonna4441</t>
  </si>
  <si>
    <t>Kolonna4442</t>
  </si>
  <si>
    <t>Kolonna4443</t>
  </si>
  <si>
    <t>Kolonna4444</t>
  </si>
  <si>
    <t>Kolonna4445</t>
  </si>
  <si>
    <t>Kolonna4446</t>
  </si>
  <si>
    <t>Kolonna4447</t>
  </si>
  <si>
    <t>Kolonna4448</t>
  </si>
  <si>
    <t>Kolonna4449</t>
  </si>
  <si>
    <t>Kolonna4450</t>
  </si>
  <si>
    <t>Kolonna4451</t>
  </si>
  <si>
    <t>Kolonna4452</t>
  </si>
  <si>
    <t>Kolonna4453</t>
  </si>
  <si>
    <t>Kolonna4454</t>
  </si>
  <si>
    <t>Kolonna4455</t>
  </si>
  <si>
    <t>Kolonna4456</t>
  </si>
  <si>
    <t>Kolonna4457</t>
  </si>
  <si>
    <t>Kolonna4458</t>
  </si>
  <si>
    <t>Kolonna4459</t>
  </si>
  <si>
    <t>Kolonna4460</t>
  </si>
  <si>
    <t>Kolonna4461</t>
  </si>
  <si>
    <t>Kolonna4462</t>
  </si>
  <si>
    <t>Kolonna4463</t>
  </si>
  <si>
    <t>Kolonna4464</t>
  </si>
  <si>
    <t>Kolonna4465</t>
  </si>
  <si>
    <t>Kolonna4466</t>
  </si>
  <si>
    <t>Kolonna4467</t>
  </si>
  <si>
    <t>Kolonna4468</t>
  </si>
  <si>
    <t>Kolonna4469</t>
  </si>
  <si>
    <t>Kolonna4470</t>
  </si>
  <si>
    <t>Kolonna4471</t>
  </si>
  <si>
    <t>Kolonna4472</t>
  </si>
  <si>
    <t>Kolonna4473</t>
  </si>
  <si>
    <t>Kolonna4474</t>
  </si>
  <si>
    <t>Kolonna4475</t>
  </si>
  <si>
    <t>Kolonna4476</t>
  </si>
  <si>
    <t>Kolonna4477</t>
  </si>
  <si>
    <t>Kolonna4478</t>
  </si>
  <si>
    <t>Kolonna4479</t>
  </si>
  <si>
    <t>Kolonna4480</t>
  </si>
  <si>
    <t>Kolonna4481</t>
  </si>
  <si>
    <t>Kolonna4482</t>
  </si>
  <si>
    <t>Kolonna4483</t>
  </si>
  <si>
    <t>Kolonna4484</t>
  </si>
  <si>
    <t>Kolonna4485</t>
  </si>
  <si>
    <t>Kolonna4486</t>
  </si>
  <si>
    <t>Kolonna4487</t>
  </si>
  <si>
    <t>Kolonna4488</t>
  </si>
  <si>
    <t>Kolonna4489</t>
  </si>
  <si>
    <t>Kolonna4490</t>
  </si>
  <si>
    <t>Kolonna4491</t>
  </si>
  <si>
    <t>Kolonna4492</t>
  </si>
  <si>
    <t>Kolonna4493</t>
  </si>
  <si>
    <t>Kolonna4494</t>
  </si>
  <si>
    <t>Kolonna4495</t>
  </si>
  <si>
    <t>Kolonna4496</t>
  </si>
  <si>
    <t>Kolonna4497</t>
  </si>
  <si>
    <t>Kolonna4498</t>
  </si>
  <si>
    <t>Kolonna4499</t>
  </si>
  <si>
    <t>Kolonna4500</t>
  </si>
  <si>
    <t>Kolonna4501</t>
  </si>
  <si>
    <t>Kolonna4502</t>
  </si>
  <si>
    <t>Kolonna4503</t>
  </si>
  <si>
    <t>Kolonna4504</t>
  </si>
  <si>
    <t>Kolonna4505</t>
  </si>
  <si>
    <t>Kolonna4506</t>
  </si>
  <si>
    <t>Kolonna4507</t>
  </si>
  <si>
    <t>Kolonna4508</t>
  </si>
  <si>
    <t>Kolonna4509</t>
  </si>
  <si>
    <t>Kolonna4510</t>
  </si>
  <si>
    <t>Kolonna4511</t>
  </si>
  <si>
    <t>Kolonna4512</t>
  </si>
  <si>
    <t>Kolonna4513</t>
  </si>
  <si>
    <t>Kolonna4514</t>
  </si>
  <si>
    <t>Kolonna4515</t>
  </si>
  <si>
    <t>Kolonna4516</t>
  </si>
  <si>
    <t>Kolonna4517</t>
  </si>
  <si>
    <t>Kolonna4518</t>
  </si>
  <si>
    <t>Kolonna4519</t>
  </si>
  <si>
    <t>Kolonna4520</t>
  </si>
  <si>
    <t>Kolonna4521</t>
  </si>
  <si>
    <t>Kolonna4522</t>
  </si>
  <si>
    <t>Kolonna4523</t>
  </si>
  <si>
    <t>Kolonna4524</t>
  </si>
  <si>
    <t>Kolonna4525</t>
  </si>
  <si>
    <t>Kolonna4526</t>
  </si>
  <si>
    <t>Kolonna4527</t>
  </si>
  <si>
    <t>Kolonna4528</t>
  </si>
  <si>
    <t>Kolonna4529</t>
  </si>
  <si>
    <t>Kolonna4530</t>
  </si>
  <si>
    <t>Kolonna4531</t>
  </si>
  <si>
    <t>Kolonna4532</t>
  </si>
  <si>
    <t>Kolonna4533</t>
  </si>
  <si>
    <t>Kolonna4534</t>
  </si>
  <si>
    <t>Kolonna4535</t>
  </si>
  <si>
    <t>Kolonna4536</t>
  </si>
  <si>
    <t>Kolonna4537</t>
  </si>
  <si>
    <t>Kolonna4538</t>
  </si>
  <si>
    <t>Kolonna4539</t>
  </si>
  <si>
    <t>Kolonna4540</t>
  </si>
  <si>
    <t>Kolonna4541</t>
  </si>
  <si>
    <t>Kolonna4542</t>
  </si>
  <si>
    <t>Kolonna4543</t>
  </si>
  <si>
    <t>Kolonna4544</t>
  </si>
  <si>
    <t>Kolonna4545</t>
  </si>
  <si>
    <t>Kolonna4546</t>
  </si>
  <si>
    <t>Kolonna4547</t>
  </si>
  <si>
    <t>Kolonna4548</t>
  </si>
  <si>
    <t>Kolonna4549</t>
  </si>
  <si>
    <t>Kolonna4550</t>
  </si>
  <si>
    <t>Kolonna4551</t>
  </si>
  <si>
    <t>Kolonna4552</t>
  </si>
  <si>
    <t>Kolonna4553</t>
  </si>
  <si>
    <t>Kolonna4554</t>
  </si>
  <si>
    <t>Kolonna4555</t>
  </si>
  <si>
    <t>Kolonna4556</t>
  </si>
  <si>
    <t>Kolonna4557</t>
  </si>
  <si>
    <t>Kolonna4558</t>
  </si>
  <si>
    <t>Kolonna4559</t>
  </si>
  <si>
    <t>Kolonna4560</t>
  </si>
  <si>
    <t>Kolonna4561</t>
  </si>
  <si>
    <t>Kolonna4562</t>
  </si>
  <si>
    <t>Kolonna4563</t>
  </si>
  <si>
    <t>Kolonna4564</t>
  </si>
  <si>
    <t>Kolonna4565</t>
  </si>
  <si>
    <t>Kolonna4566</t>
  </si>
  <si>
    <t>Kolonna4567</t>
  </si>
  <si>
    <t>Kolonna4568</t>
  </si>
  <si>
    <t>Kolonna4569</t>
  </si>
  <si>
    <t>Kolonna4570</t>
  </si>
  <si>
    <t>Kolonna4571</t>
  </si>
  <si>
    <t>Kolonna4572</t>
  </si>
  <si>
    <t>Kolonna4573</t>
  </si>
  <si>
    <t>Kolonna4574</t>
  </si>
  <si>
    <t>Kolonna4575</t>
  </si>
  <si>
    <t>Kolonna4576</t>
  </si>
  <si>
    <t>Kolonna4577</t>
  </si>
  <si>
    <t>Kolonna4578</t>
  </si>
  <si>
    <t>Kolonna4579</t>
  </si>
  <si>
    <t>Kolonna4580</t>
  </si>
  <si>
    <t>Kolonna4581</t>
  </si>
  <si>
    <t>Kolonna4582</t>
  </si>
  <si>
    <t>Kolonna4583</t>
  </si>
  <si>
    <t>Kolonna4584</t>
  </si>
  <si>
    <t>Kolonna4585</t>
  </si>
  <si>
    <t>Kolonna4586</t>
  </si>
  <si>
    <t>Kolonna4587</t>
  </si>
  <si>
    <t>Kolonna4588</t>
  </si>
  <si>
    <t>Kolonna4589</t>
  </si>
  <si>
    <t>Kolonna4590</t>
  </si>
  <si>
    <t>Kolonna4591</t>
  </si>
  <si>
    <t>Kolonna4592</t>
  </si>
  <si>
    <t>Kolonna4593</t>
  </si>
  <si>
    <t>Kolonna4594</t>
  </si>
  <si>
    <t>Kolonna4595</t>
  </si>
  <si>
    <t>Kolonna4596</t>
  </si>
  <si>
    <t>Kolonna4597</t>
  </si>
  <si>
    <t>Kolonna4598</t>
  </si>
  <si>
    <t>Kolonna4599</t>
  </si>
  <si>
    <t>Kolonna4600</t>
  </si>
  <si>
    <t>Kolonna4601</t>
  </si>
  <si>
    <t>Kolonna4602</t>
  </si>
  <si>
    <t>Kolonna4603</t>
  </si>
  <si>
    <t>Kolonna4604</t>
  </si>
  <si>
    <t>Kolonna4605</t>
  </si>
  <si>
    <t>Kolonna4606</t>
  </si>
  <si>
    <t>Kolonna4607</t>
  </si>
  <si>
    <t>Kolonna4608</t>
  </si>
  <si>
    <t>Kolonna4609</t>
  </si>
  <si>
    <t>Kolonna4610</t>
  </si>
  <si>
    <t>Kolonna4611</t>
  </si>
  <si>
    <t>Kolonna4612</t>
  </si>
  <si>
    <t>Kolonna4613</t>
  </si>
  <si>
    <t>Kolonna4614</t>
  </si>
  <si>
    <t>Kolonna4615</t>
  </si>
  <si>
    <t>Kolonna4616</t>
  </si>
  <si>
    <t>Kolonna4617</t>
  </si>
  <si>
    <t>Kolonna4618</t>
  </si>
  <si>
    <t>Kolonna4619</t>
  </si>
  <si>
    <t>Kolonna4620</t>
  </si>
  <si>
    <t>Kolonna4621</t>
  </si>
  <si>
    <t>Kolonna4622</t>
  </si>
  <si>
    <t>Kolonna4623</t>
  </si>
  <si>
    <t>Kolonna4624</t>
  </si>
  <si>
    <t>Kolonna4625</t>
  </si>
  <si>
    <t>Kolonna4626</t>
  </si>
  <si>
    <t>Kolonna4627</t>
  </si>
  <si>
    <t>Kolonna4628</t>
  </si>
  <si>
    <t>Kolonna4629</t>
  </si>
  <si>
    <t>Kolonna4630</t>
  </si>
  <si>
    <t>Kolonna4631</t>
  </si>
  <si>
    <t>Kolonna4632</t>
  </si>
  <si>
    <t>Kolonna4633</t>
  </si>
  <si>
    <t>Kolonna4634</t>
  </si>
  <si>
    <t>Kolonna4635</t>
  </si>
  <si>
    <t>Kolonna4636</t>
  </si>
  <si>
    <t>Kolonna4637</t>
  </si>
  <si>
    <t>Kolonna4638</t>
  </si>
  <si>
    <t>Kolonna4639</t>
  </si>
  <si>
    <t>Kolonna4640</t>
  </si>
  <si>
    <t>Kolonna4641</t>
  </si>
  <si>
    <t>Kolonna4642</t>
  </si>
  <si>
    <t>Kolonna4643</t>
  </si>
  <si>
    <t>Kolonna4644</t>
  </si>
  <si>
    <t>Kolonna4645</t>
  </si>
  <si>
    <t>Kolonna4646</t>
  </si>
  <si>
    <t>Kolonna4647</t>
  </si>
  <si>
    <t>Kolonna4648</t>
  </si>
  <si>
    <t>Kolonna4649</t>
  </si>
  <si>
    <t>Kolonna4650</t>
  </si>
  <si>
    <t>Kolonna4651</t>
  </si>
  <si>
    <t>Kolonna4652</t>
  </si>
  <si>
    <t>Kolonna4653</t>
  </si>
  <si>
    <t>Kolonna4654</t>
  </si>
  <si>
    <t>Kolonna4655</t>
  </si>
  <si>
    <t>Kolonna4656</t>
  </si>
  <si>
    <t>Kolonna4657</t>
  </si>
  <si>
    <t>Kolonna4658</t>
  </si>
  <si>
    <t>Kolonna4659</t>
  </si>
  <si>
    <t>Kolonna4660</t>
  </si>
  <si>
    <t>Kolonna4661</t>
  </si>
  <si>
    <t>Kolonna4662</t>
  </si>
  <si>
    <t>Kolonna4663</t>
  </si>
  <si>
    <t>Kolonna4664</t>
  </si>
  <si>
    <t>Kolonna4665</t>
  </si>
  <si>
    <t>Kolonna4666</t>
  </si>
  <si>
    <t>Kolonna4667</t>
  </si>
  <si>
    <t>Kolonna4668</t>
  </si>
  <si>
    <t>Kolonna4669</t>
  </si>
  <si>
    <t>Kolonna4670</t>
  </si>
  <si>
    <t>Kolonna4671</t>
  </si>
  <si>
    <t>Kolonna4672</t>
  </si>
  <si>
    <t>Kolonna4673</t>
  </si>
  <si>
    <t>Kolonna4674</t>
  </si>
  <si>
    <t>Kolonna4675</t>
  </si>
  <si>
    <t>Kolonna4676</t>
  </si>
  <si>
    <t>Kolonna4677</t>
  </si>
  <si>
    <t>Kolonna4678</t>
  </si>
  <si>
    <t>Kolonna4679</t>
  </si>
  <si>
    <t>Kolonna4680</t>
  </si>
  <si>
    <t>Kolonna4681</t>
  </si>
  <si>
    <t>Kolonna4682</t>
  </si>
  <si>
    <t>Kolonna4683</t>
  </si>
  <si>
    <t>Kolonna4684</t>
  </si>
  <si>
    <t>Kolonna4685</t>
  </si>
  <si>
    <t>Kolonna4686</t>
  </si>
  <si>
    <t>Kolonna4687</t>
  </si>
  <si>
    <t>Kolonna4688</t>
  </si>
  <si>
    <t>Kolonna4689</t>
  </si>
  <si>
    <t>Kolonna4690</t>
  </si>
  <si>
    <t>Kolonna4691</t>
  </si>
  <si>
    <t>Kolonna4692</t>
  </si>
  <si>
    <t>Kolonna4693</t>
  </si>
  <si>
    <t>Kolonna4694</t>
  </si>
  <si>
    <t>Kolonna4695</t>
  </si>
  <si>
    <t>Kolonna4696</t>
  </si>
  <si>
    <t>Kolonna4697</t>
  </si>
  <si>
    <t>Kolonna4698</t>
  </si>
  <si>
    <t>Kolonna4699</t>
  </si>
  <si>
    <t>Kolonna4700</t>
  </si>
  <si>
    <t>Kolonna4701</t>
  </si>
  <si>
    <t>Kolonna4702</t>
  </si>
  <si>
    <t>Kolonna4703</t>
  </si>
  <si>
    <t>Kolonna4704</t>
  </si>
  <si>
    <t>Kolonna4705</t>
  </si>
  <si>
    <t>Kolonna4706</t>
  </si>
  <si>
    <t>Kolonna4707</t>
  </si>
  <si>
    <t>Kolonna4708</t>
  </si>
  <si>
    <t>Kolonna4709</t>
  </si>
  <si>
    <t>Kolonna4710</t>
  </si>
  <si>
    <t>Kolonna4711</t>
  </si>
  <si>
    <t>Kolonna4712</t>
  </si>
  <si>
    <t>Kolonna4713</t>
  </si>
  <si>
    <t>Kolonna4714</t>
  </si>
  <si>
    <t>Kolonna4715</t>
  </si>
  <si>
    <t>Kolonna4716</t>
  </si>
  <si>
    <t>Kolonna4717</t>
  </si>
  <si>
    <t>Kolonna4718</t>
  </si>
  <si>
    <t>Kolonna4719</t>
  </si>
  <si>
    <t>Kolonna4720</t>
  </si>
  <si>
    <t>Kolonna4721</t>
  </si>
  <si>
    <t>Kolonna4722</t>
  </si>
  <si>
    <t>Kolonna4723</t>
  </si>
  <si>
    <t>Kolonna4724</t>
  </si>
  <si>
    <t>Kolonna4725</t>
  </si>
  <si>
    <t>Kolonna4726</t>
  </si>
  <si>
    <t>Kolonna4727</t>
  </si>
  <si>
    <t>Kolonna4728</t>
  </si>
  <si>
    <t>Kolonna4729</t>
  </si>
  <si>
    <t>Kolonna4730</t>
  </si>
  <si>
    <t>Kolonna4731</t>
  </si>
  <si>
    <t>Kolonna4732</t>
  </si>
  <si>
    <t>Kolonna4733</t>
  </si>
  <si>
    <t>Kolonna4734</t>
  </si>
  <si>
    <t>Kolonna4735</t>
  </si>
  <si>
    <t>Kolonna4736</t>
  </si>
  <si>
    <t>Kolonna4737</t>
  </si>
  <si>
    <t>Kolonna4738</t>
  </si>
  <si>
    <t>Kolonna4739</t>
  </si>
  <si>
    <t>Kolonna4740</t>
  </si>
  <si>
    <t>Kolonna4741</t>
  </si>
  <si>
    <t>Kolonna4742</t>
  </si>
  <si>
    <t>Kolonna4743</t>
  </si>
  <si>
    <t>Kolonna4744</t>
  </si>
  <si>
    <t>Kolonna4745</t>
  </si>
  <si>
    <t>Kolonna4746</t>
  </si>
  <si>
    <t>Kolonna4747</t>
  </si>
  <si>
    <t>Kolonna4748</t>
  </si>
  <si>
    <t>Kolonna4749</t>
  </si>
  <si>
    <t>Kolonna4750</t>
  </si>
  <si>
    <t>Kolonna4751</t>
  </si>
  <si>
    <t>Kolonna4752</t>
  </si>
  <si>
    <t>Kolonna4753</t>
  </si>
  <si>
    <t>Kolonna4754</t>
  </si>
  <si>
    <t>Kolonna4755</t>
  </si>
  <si>
    <t>Kolonna4756</t>
  </si>
  <si>
    <t>Kolonna4757</t>
  </si>
  <si>
    <t>Kolonna4758</t>
  </si>
  <si>
    <t>Kolonna4759</t>
  </si>
  <si>
    <t>Kolonna4760</t>
  </si>
  <si>
    <t>Kolonna4761</t>
  </si>
  <si>
    <t>Kolonna4762</t>
  </si>
  <si>
    <t>Kolonna4763</t>
  </si>
  <si>
    <t>Kolonna4764</t>
  </si>
  <si>
    <t>Kolonna4765</t>
  </si>
  <si>
    <t>Kolonna4766</t>
  </si>
  <si>
    <t>Kolonna4767</t>
  </si>
  <si>
    <t>Kolonna4768</t>
  </si>
  <si>
    <t>Kolonna4769</t>
  </si>
  <si>
    <t>Kolonna4770</t>
  </si>
  <si>
    <t>Kolonna4771</t>
  </si>
  <si>
    <t>Kolonna4772</t>
  </si>
  <si>
    <t>Kolonna4773</t>
  </si>
  <si>
    <t>Kolonna4774</t>
  </si>
  <si>
    <t>Kolonna4775</t>
  </si>
  <si>
    <t>Kolonna4776</t>
  </si>
  <si>
    <t>Kolonna4777</t>
  </si>
  <si>
    <t>Kolonna4778</t>
  </si>
  <si>
    <t>Kolonna4779</t>
  </si>
  <si>
    <t>Kolonna4780</t>
  </si>
  <si>
    <t>Kolonna4781</t>
  </si>
  <si>
    <t>Kolonna4782</t>
  </si>
  <si>
    <t>Kolonna4783</t>
  </si>
  <si>
    <t>Kolonna4784</t>
  </si>
  <si>
    <t>Kolonna4785</t>
  </si>
  <si>
    <t>Kolonna4786</t>
  </si>
  <si>
    <t>Kolonna4787</t>
  </si>
  <si>
    <t>Kolonna4788</t>
  </si>
  <si>
    <t>Kolonna4789</t>
  </si>
  <si>
    <t>Kolonna4790</t>
  </si>
  <si>
    <t>Kolonna4791</t>
  </si>
  <si>
    <t>Kolonna4792</t>
  </si>
  <si>
    <t>Kolonna4793</t>
  </si>
  <si>
    <t>Kolonna4794</t>
  </si>
  <si>
    <t>Kolonna4795</t>
  </si>
  <si>
    <t>Kolonna4796</t>
  </si>
  <si>
    <t>Kolonna4797</t>
  </si>
  <si>
    <t>Kolonna4798</t>
  </si>
  <si>
    <t>Kolonna4799</t>
  </si>
  <si>
    <t>Kolonna4800</t>
  </si>
  <si>
    <t>Kolonna4801</t>
  </si>
  <si>
    <t>Kolonna4802</t>
  </si>
  <si>
    <t>Kolonna4803</t>
  </si>
  <si>
    <t>Kolonna4804</t>
  </si>
  <si>
    <t>Kolonna4805</t>
  </si>
  <si>
    <t>Kolonna4806</t>
  </si>
  <si>
    <t>Kolonna4807</t>
  </si>
  <si>
    <t>Kolonna4808</t>
  </si>
  <si>
    <t>Kolonna4809</t>
  </si>
  <si>
    <t>Kolonna4810</t>
  </si>
  <si>
    <t>Kolonna4811</t>
  </si>
  <si>
    <t>Kolonna4812</t>
  </si>
  <si>
    <t>Kolonna4813</t>
  </si>
  <si>
    <t>Kolonna4814</t>
  </si>
  <si>
    <t>Kolonna4815</t>
  </si>
  <si>
    <t>Kolonna4816</t>
  </si>
  <si>
    <t>Kolonna4817</t>
  </si>
  <si>
    <t>Kolonna4818</t>
  </si>
  <si>
    <t>Kolonna4819</t>
  </si>
  <si>
    <t>Kolonna4820</t>
  </si>
  <si>
    <t>Kolonna4821</t>
  </si>
  <si>
    <t>Kolonna4822</t>
  </si>
  <si>
    <t>Kolonna4823</t>
  </si>
  <si>
    <t>Kolonna4824</t>
  </si>
  <si>
    <t>Kolonna4825</t>
  </si>
  <si>
    <t>Kolonna4826</t>
  </si>
  <si>
    <t>Kolonna4827</t>
  </si>
  <si>
    <t>Kolonna4828</t>
  </si>
  <si>
    <t>Kolonna4829</t>
  </si>
  <si>
    <t>Kolonna4830</t>
  </si>
  <si>
    <t>Kolonna4831</t>
  </si>
  <si>
    <t>Kolonna4832</t>
  </si>
  <si>
    <t>Kolonna4833</t>
  </si>
  <si>
    <t>Kolonna4834</t>
  </si>
  <si>
    <t>Kolonna4835</t>
  </si>
  <si>
    <t>Kolonna4836</t>
  </si>
  <si>
    <t>Kolonna4837</t>
  </si>
  <si>
    <t>Kolonna4838</t>
  </si>
  <si>
    <t>Kolonna4839</t>
  </si>
  <si>
    <t>Kolonna4840</t>
  </si>
  <si>
    <t>Kolonna4841</t>
  </si>
  <si>
    <t>Kolonna4842</t>
  </si>
  <si>
    <t>Kolonna4843</t>
  </si>
  <si>
    <t>Kolonna4844</t>
  </si>
  <si>
    <t>Kolonna4845</t>
  </si>
  <si>
    <t>Kolonna4846</t>
  </si>
  <si>
    <t>Kolonna4847</t>
  </si>
  <si>
    <t>Kolonna4848</t>
  </si>
  <si>
    <t>Kolonna4849</t>
  </si>
  <si>
    <t>Kolonna4850</t>
  </si>
  <si>
    <t>Kolonna4851</t>
  </si>
  <si>
    <t>Kolonna4852</t>
  </si>
  <si>
    <t>Kolonna4853</t>
  </si>
  <si>
    <t>Kolonna4854</t>
  </si>
  <si>
    <t>Kolonna4855</t>
  </si>
  <si>
    <t>Kolonna4856</t>
  </si>
  <si>
    <t>Kolonna4857</t>
  </si>
  <si>
    <t>Kolonna4858</t>
  </si>
  <si>
    <t>Kolonna4859</t>
  </si>
  <si>
    <t>Kolonna4860</t>
  </si>
  <si>
    <t>Kolonna4861</t>
  </si>
  <si>
    <t>Kolonna4862</t>
  </si>
  <si>
    <t>Kolonna4863</t>
  </si>
  <si>
    <t>Kolonna4864</t>
  </si>
  <si>
    <t>Kolonna4865</t>
  </si>
  <si>
    <t>Kolonna4866</t>
  </si>
  <si>
    <t>Kolonna4867</t>
  </si>
  <si>
    <t>Kolonna4868</t>
  </si>
  <si>
    <t>Kolonna4869</t>
  </si>
  <si>
    <t>Kolonna4870</t>
  </si>
  <si>
    <t>Kolonna4871</t>
  </si>
  <si>
    <t>Kolonna4872</t>
  </si>
  <si>
    <t>Kolonna4873</t>
  </si>
  <si>
    <t>Kolonna4874</t>
  </si>
  <si>
    <t>Kolonna4875</t>
  </si>
  <si>
    <t>Kolonna4876</t>
  </si>
  <si>
    <t>Kolonna4877</t>
  </si>
  <si>
    <t>Kolonna4878</t>
  </si>
  <si>
    <t>Kolonna4879</t>
  </si>
  <si>
    <t>Kolonna4880</t>
  </si>
  <si>
    <t>Kolonna4881</t>
  </si>
  <si>
    <t>Kolonna4882</t>
  </si>
  <si>
    <t>Kolonna4883</t>
  </si>
  <si>
    <t>Kolonna4884</t>
  </si>
  <si>
    <t>Kolonna4885</t>
  </si>
  <si>
    <t>Kolonna4886</t>
  </si>
  <si>
    <t>Kolonna4887</t>
  </si>
  <si>
    <t>Kolonna4888</t>
  </si>
  <si>
    <t>Kolonna4889</t>
  </si>
  <si>
    <t>Kolonna4890</t>
  </si>
  <si>
    <t>Kolonna4891</t>
  </si>
  <si>
    <t>Kolonna4892</t>
  </si>
  <si>
    <t>Kolonna4893</t>
  </si>
  <si>
    <t>Kolonna4894</t>
  </si>
  <si>
    <t>Kolonna4895</t>
  </si>
  <si>
    <t>Kolonna4896</t>
  </si>
  <si>
    <t>Kolonna4897</t>
  </si>
  <si>
    <t>Kolonna4898</t>
  </si>
  <si>
    <t>Kolonna4899</t>
  </si>
  <si>
    <t>Kolonna4900</t>
  </si>
  <si>
    <t>Kolonna4901</t>
  </si>
  <si>
    <t>Kolonna4902</t>
  </si>
  <si>
    <t>Kolonna4903</t>
  </si>
  <si>
    <t>Kolonna4904</t>
  </si>
  <si>
    <t>Kolonna4905</t>
  </si>
  <si>
    <t>Kolonna4906</t>
  </si>
  <si>
    <t>Kolonna4907</t>
  </si>
  <si>
    <t>Kolonna4908</t>
  </si>
  <si>
    <t>Kolonna4909</t>
  </si>
  <si>
    <t>Kolonna4910</t>
  </si>
  <si>
    <t>Kolonna4911</t>
  </si>
  <si>
    <t>Kolonna4912</t>
  </si>
  <si>
    <t>Kolonna4913</t>
  </si>
  <si>
    <t>Kolonna4914</t>
  </si>
  <si>
    <t>Kolonna4915</t>
  </si>
  <si>
    <t>Kolonna4916</t>
  </si>
  <si>
    <t>Kolonna4917</t>
  </si>
  <si>
    <t>Kolonna4918</t>
  </si>
  <si>
    <t>Kolonna4919</t>
  </si>
  <si>
    <t>Kolonna4920</t>
  </si>
  <si>
    <t>Kolonna4921</t>
  </si>
  <si>
    <t>Kolonna4922</t>
  </si>
  <si>
    <t>Kolonna4923</t>
  </si>
  <si>
    <t>Kolonna4924</t>
  </si>
  <si>
    <t>Kolonna4925</t>
  </si>
  <si>
    <t>Kolonna4926</t>
  </si>
  <si>
    <t>Kolonna4927</t>
  </si>
  <si>
    <t>Kolonna4928</t>
  </si>
  <si>
    <t>Kolonna4929</t>
  </si>
  <si>
    <t>Kolonna4930</t>
  </si>
  <si>
    <t>Kolonna4931</t>
  </si>
  <si>
    <t>Kolonna4932</t>
  </si>
  <si>
    <t>Kolonna4933</t>
  </si>
  <si>
    <t>Kolonna4934</t>
  </si>
  <si>
    <t>Kolonna4935</t>
  </si>
  <si>
    <t>Kolonna4936</t>
  </si>
  <si>
    <t>Kolonna4937</t>
  </si>
  <si>
    <t>Kolonna4938</t>
  </si>
  <si>
    <t>Kolonna4939</t>
  </si>
  <si>
    <t>Kolonna4940</t>
  </si>
  <si>
    <t>Kolonna4941</t>
  </si>
  <si>
    <t>Kolonna4942</t>
  </si>
  <si>
    <t>Kolonna4943</t>
  </si>
  <si>
    <t>Kolonna4944</t>
  </si>
  <si>
    <t>Kolonna4945</t>
  </si>
  <si>
    <t>Kolonna4946</t>
  </si>
  <si>
    <t>Kolonna4947</t>
  </si>
  <si>
    <t>Kolonna4948</t>
  </si>
  <si>
    <t>Kolonna4949</t>
  </si>
  <si>
    <t>Kolonna4950</t>
  </si>
  <si>
    <t>Kolonna4951</t>
  </si>
  <si>
    <t>Kolonna4952</t>
  </si>
  <si>
    <t>Kolonna4953</t>
  </si>
  <si>
    <t>Kolonna4954</t>
  </si>
  <si>
    <t>Kolonna4955</t>
  </si>
  <si>
    <t>Kolonna4956</t>
  </si>
  <si>
    <t>Kolonna4957</t>
  </si>
  <si>
    <t>Kolonna4958</t>
  </si>
  <si>
    <t>Kolonna4959</t>
  </si>
  <si>
    <t>Kolonna4960</t>
  </si>
  <si>
    <t>Kolonna4961</t>
  </si>
  <si>
    <t>Kolonna4962</t>
  </si>
  <si>
    <t>Kolonna4963</t>
  </si>
  <si>
    <t>Kolonna4964</t>
  </si>
  <si>
    <t>Kolonna4965</t>
  </si>
  <si>
    <t>Kolonna4966</t>
  </si>
  <si>
    <t>Kolonna4967</t>
  </si>
  <si>
    <t>Kolonna4968</t>
  </si>
  <si>
    <t>Kolonna4969</t>
  </si>
  <si>
    <t>Kolonna4970</t>
  </si>
  <si>
    <t>Kolonna4971</t>
  </si>
  <si>
    <t>Kolonna4972</t>
  </si>
  <si>
    <t>Kolonna4973</t>
  </si>
  <si>
    <t>Kolonna4974</t>
  </si>
  <si>
    <t>Kolonna4975</t>
  </si>
  <si>
    <t>Kolonna4976</t>
  </si>
  <si>
    <t>Kolonna4977</t>
  </si>
  <si>
    <t>Kolonna4978</t>
  </si>
  <si>
    <t>Kolonna4979</t>
  </si>
  <si>
    <t>Kolonna4980</t>
  </si>
  <si>
    <t>Kolonna4981</t>
  </si>
  <si>
    <t>Kolonna4982</t>
  </si>
  <si>
    <t>Kolonna4983</t>
  </si>
  <si>
    <t>Kolonna4984</t>
  </si>
  <si>
    <t>Kolonna4985</t>
  </si>
  <si>
    <t>Kolonna4986</t>
  </si>
  <si>
    <t>Kolonna4987</t>
  </si>
  <si>
    <t>Kolonna4988</t>
  </si>
  <si>
    <t>Kolonna4989</t>
  </si>
  <si>
    <t>Kolonna4990</t>
  </si>
  <si>
    <t>Kolonna4991</t>
  </si>
  <si>
    <t>Kolonna4992</t>
  </si>
  <si>
    <t>Kolonna4993</t>
  </si>
  <si>
    <t>Kolonna4994</t>
  </si>
  <si>
    <t>Kolonna4995</t>
  </si>
  <si>
    <t>Kolonna4996</t>
  </si>
  <si>
    <t>Kolonna4997</t>
  </si>
  <si>
    <t>Kolonna4998</t>
  </si>
  <si>
    <t>Kolonna4999</t>
  </si>
  <si>
    <t>Kolonna5000</t>
  </si>
  <si>
    <t>Kolonna5001</t>
  </si>
  <si>
    <t>Kolonna5002</t>
  </si>
  <si>
    <t>Kolonna5003</t>
  </si>
  <si>
    <t>Kolonna5004</t>
  </si>
  <si>
    <t>Kolonna5005</t>
  </si>
  <si>
    <t>Kolonna5006</t>
  </si>
  <si>
    <t>Kolonna5007</t>
  </si>
  <si>
    <t>Kolonna5008</t>
  </si>
  <si>
    <t>Kolonna5009</t>
  </si>
  <si>
    <t>Kolonna5010</t>
  </si>
  <si>
    <t>Kolonna5011</t>
  </si>
  <si>
    <t>Kolonna5012</t>
  </si>
  <si>
    <t>Kolonna5013</t>
  </si>
  <si>
    <t>Kolonna5014</t>
  </si>
  <si>
    <t>Kolonna5015</t>
  </si>
  <si>
    <t>Kolonna5016</t>
  </si>
  <si>
    <t>Kolonna5017</t>
  </si>
  <si>
    <t>Kolonna5018</t>
  </si>
  <si>
    <t>Kolonna5019</t>
  </si>
  <si>
    <t>Kolonna5020</t>
  </si>
  <si>
    <t>Kolonna5021</t>
  </si>
  <si>
    <t>Kolonna5022</t>
  </si>
  <si>
    <t>Kolonna5023</t>
  </si>
  <si>
    <t>Kolonna5024</t>
  </si>
  <si>
    <t>Kolonna5025</t>
  </si>
  <si>
    <t>Kolonna5026</t>
  </si>
  <si>
    <t>Kolonna5027</t>
  </si>
  <si>
    <t>Kolonna5028</t>
  </si>
  <si>
    <t>Kolonna5029</t>
  </si>
  <si>
    <t>Kolonna5030</t>
  </si>
  <si>
    <t>Kolonna5031</t>
  </si>
  <si>
    <t>Kolonna5032</t>
  </si>
  <si>
    <t>Kolonna5033</t>
  </si>
  <si>
    <t>Kolonna5034</t>
  </si>
  <si>
    <t>Kolonna5035</t>
  </si>
  <si>
    <t>Kolonna5036</t>
  </si>
  <si>
    <t>Kolonna5037</t>
  </si>
  <si>
    <t>Kolonna5038</t>
  </si>
  <si>
    <t>Kolonna5039</t>
  </si>
  <si>
    <t>Kolonna5040</t>
  </si>
  <si>
    <t>Kolonna5041</t>
  </si>
  <si>
    <t>Kolonna5042</t>
  </si>
  <si>
    <t>Kolonna5043</t>
  </si>
  <si>
    <t>Kolonna5044</t>
  </si>
  <si>
    <t>Kolonna5045</t>
  </si>
  <si>
    <t>Kolonna5046</t>
  </si>
  <si>
    <t>Kolonna5047</t>
  </si>
  <si>
    <t>Kolonna5048</t>
  </si>
  <si>
    <t>Kolonna5049</t>
  </si>
  <si>
    <t>Kolonna5050</t>
  </si>
  <si>
    <t>Kolonna5051</t>
  </si>
  <si>
    <t>Kolonna5052</t>
  </si>
  <si>
    <t>Kolonna5053</t>
  </si>
  <si>
    <t>Kolonna5054</t>
  </si>
  <si>
    <t>Kolonna5055</t>
  </si>
  <si>
    <t>Kolonna5056</t>
  </si>
  <si>
    <t>Kolonna5057</t>
  </si>
  <si>
    <t>Kolonna5058</t>
  </si>
  <si>
    <t>Kolonna5059</t>
  </si>
  <si>
    <t>Kolonna5060</t>
  </si>
  <si>
    <t>Kolonna5061</t>
  </si>
  <si>
    <t>Kolonna5062</t>
  </si>
  <si>
    <t>Kolonna5063</t>
  </si>
  <si>
    <t>Kolonna5064</t>
  </si>
  <si>
    <t>Kolonna5065</t>
  </si>
  <si>
    <t>Kolonna5066</t>
  </si>
  <si>
    <t>Kolonna5067</t>
  </si>
  <si>
    <t>Kolonna5068</t>
  </si>
  <si>
    <t>Kolonna5069</t>
  </si>
  <si>
    <t>Kolonna5070</t>
  </si>
  <si>
    <t>Kolonna5071</t>
  </si>
  <si>
    <t>Kolonna5072</t>
  </si>
  <si>
    <t>Kolonna5073</t>
  </si>
  <si>
    <t>Kolonna5074</t>
  </si>
  <si>
    <t>Kolonna5075</t>
  </si>
  <si>
    <t>Kolonna5076</t>
  </si>
  <si>
    <t>Kolonna5077</t>
  </si>
  <si>
    <t>Kolonna5078</t>
  </si>
  <si>
    <t>Kolonna5079</t>
  </si>
  <si>
    <t>Kolonna5080</t>
  </si>
  <si>
    <t>Kolonna5081</t>
  </si>
  <si>
    <t>Kolonna5082</t>
  </si>
  <si>
    <t>Kolonna5083</t>
  </si>
  <si>
    <t>Kolonna5084</t>
  </si>
  <si>
    <t>Kolonna5085</t>
  </si>
  <si>
    <t>Kolonna5086</t>
  </si>
  <si>
    <t>Kolonna5087</t>
  </si>
  <si>
    <t>Kolonna5088</t>
  </si>
  <si>
    <t>Kolonna5089</t>
  </si>
  <si>
    <t>Kolonna5090</t>
  </si>
  <si>
    <t>Kolonna5091</t>
  </si>
  <si>
    <t>Kolonna5092</t>
  </si>
  <si>
    <t>Kolonna5093</t>
  </si>
  <si>
    <t>Kolonna5094</t>
  </si>
  <si>
    <t>Kolonna5095</t>
  </si>
  <si>
    <t>Kolonna5096</t>
  </si>
  <si>
    <t>Kolonna5097</t>
  </si>
  <si>
    <t>Kolonna5098</t>
  </si>
  <si>
    <t>Kolonna5099</t>
  </si>
  <si>
    <t>Kolonna5100</t>
  </si>
  <si>
    <t>Kolonna5101</t>
  </si>
  <si>
    <t>Kolonna5102</t>
  </si>
  <si>
    <t>Kolonna5103</t>
  </si>
  <si>
    <t>Kolonna5104</t>
  </si>
  <si>
    <t>Kolonna5105</t>
  </si>
  <si>
    <t>Kolonna5106</t>
  </si>
  <si>
    <t>Kolonna5107</t>
  </si>
  <si>
    <t>Kolonna5108</t>
  </si>
  <si>
    <t>Kolonna5109</t>
  </si>
  <si>
    <t>Kolonna5110</t>
  </si>
  <si>
    <t>Kolonna5111</t>
  </si>
  <si>
    <t>Kolonna5112</t>
  </si>
  <si>
    <t>Kolonna5113</t>
  </si>
  <si>
    <t>Kolonna5114</t>
  </si>
  <si>
    <t>Kolonna5115</t>
  </si>
  <si>
    <t>Kolonna5116</t>
  </si>
  <si>
    <t>Kolonna5117</t>
  </si>
  <si>
    <t>Kolonna5118</t>
  </si>
  <si>
    <t>Kolonna5119</t>
  </si>
  <si>
    <t>Kolonna5120</t>
  </si>
  <si>
    <t>Kolonna5121</t>
  </si>
  <si>
    <t>Kolonna5122</t>
  </si>
  <si>
    <t>Kolonna5123</t>
  </si>
  <si>
    <t>Kolonna5124</t>
  </si>
  <si>
    <t>Kolonna5125</t>
  </si>
  <si>
    <t>Kolonna5126</t>
  </si>
  <si>
    <t>Kolonna5127</t>
  </si>
  <si>
    <t>Kolonna5128</t>
  </si>
  <si>
    <t>Kolonna5129</t>
  </si>
  <si>
    <t>Kolonna5130</t>
  </si>
  <si>
    <t>Kolonna5131</t>
  </si>
  <si>
    <t>Kolonna5132</t>
  </si>
  <si>
    <t>Kolonna5133</t>
  </si>
  <si>
    <t>Kolonna5134</t>
  </si>
  <si>
    <t>Kolonna5135</t>
  </si>
  <si>
    <t>Kolonna5136</t>
  </si>
  <si>
    <t>Kolonna5137</t>
  </si>
  <si>
    <t>Kolonna5138</t>
  </si>
  <si>
    <t>Kolonna5139</t>
  </si>
  <si>
    <t>Kolonna5140</t>
  </si>
  <si>
    <t>Kolonna5141</t>
  </si>
  <si>
    <t>Kolonna5142</t>
  </si>
  <si>
    <t>Kolonna5143</t>
  </si>
  <si>
    <t>Kolonna5144</t>
  </si>
  <si>
    <t>Kolonna5145</t>
  </si>
  <si>
    <t>Kolonna5146</t>
  </si>
  <si>
    <t>Kolonna5147</t>
  </si>
  <si>
    <t>Kolonna5148</t>
  </si>
  <si>
    <t>Kolonna5149</t>
  </si>
  <si>
    <t>Kolonna5150</t>
  </si>
  <si>
    <t>Kolonna5151</t>
  </si>
  <si>
    <t>Kolonna5152</t>
  </si>
  <si>
    <t>Kolonna5153</t>
  </si>
  <si>
    <t>Kolonna5154</t>
  </si>
  <si>
    <t>Kolonna5155</t>
  </si>
  <si>
    <t>Kolonna5156</t>
  </si>
  <si>
    <t>Kolonna5157</t>
  </si>
  <si>
    <t>Kolonna5158</t>
  </si>
  <si>
    <t>Kolonna5159</t>
  </si>
  <si>
    <t>Kolonna5160</t>
  </si>
  <si>
    <t>Kolonna5161</t>
  </si>
  <si>
    <t>Kolonna5162</t>
  </si>
  <si>
    <t>Kolonna5163</t>
  </si>
  <si>
    <t>Kolonna5164</t>
  </si>
  <si>
    <t>Kolonna5165</t>
  </si>
  <si>
    <t>Kolonna5166</t>
  </si>
  <si>
    <t>Kolonna5167</t>
  </si>
  <si>
    <t>Kolonna5168</t>
  </si>
  <si>
    <t>Kolonna5169</t>
  </si>
  <si>
    <t>Kolonna5170</t>
  </si>
  <si>
    <t>Kolonna5171</t>
  </si>
  <si>
    <t>Kolonna5172</t>
  </si>
  <si>
    <t>Kolonna5173</t>
  </si>
  <si>
    <t>Kolonna5174</t>
  </si>
  <si>
    <t>Kolonna5175</t>
  </si>
  <si>
    <t>Kolonna5176</t>
  </si>
  <si>
    <t>Kolonna5177</t>
  </si>
  <si>
    <t>Kolonna5178</t>
  </si>
  <si>
    <t>Kolonna5179</t>
  </si>
  <si>
    <t>Kolonna5180</t>
  </si>
  <si>
    <t>Kolonna5181</t>
  </si>
  <si>
    <t>Kolonna5182</t>
  </si>
  <si>
    <t>Kolonna5183</t>
  </si>
  <si>
    <t>Kolonna5184</t>
  </si>
  <si>
    <t>Kolonna5185</t>
  </si>
  <si>
    <t>Kolonna5186</t>
  </si>
  <si>
    <t>Kolonna5187</t>
  </si>
  <si>
    <t>Kolonna5188</t>
  </si>
  <si>
    <t>Kolonna5189</t>
  </si>
  <si>
    <t>Kolonna5190</t>
  </si>
  <si>
    <t>Kolonna5191</t>
  </si>
  <si>
    <t>Kolonna5192</t>
  </si>
  <si>
    <t>Kolonna5193</t>
  </si>
  <si>
    <t>Kolonna5194</t>
  </si>
  <si>
    <t>Kolonna5195</t>
  </si>
  <si>
    <t>Kolonna5196</t>
  </si>
  <si>
    <t>Kolonna5197</t>
  </si>
  <si>
    <t>Kolonna5198</t>
  </si>
  <si>
    <t>Kolonna5199</t>
  </si>
  <si>
    <t>Kolonna5200</t>
  </si>
  <si>
    <t>Kolonna5201</t>
  </si>
  <si>
    <t>Kolonna5202</t>
  </si>
  <si>
    <t>Kolonna5203</t>
  </si>
  <si>
    <t>Kolonna5204</t>
  </si>
  <si>
    <t>Kolonna5205</t>
  </si>
  <si>
    <t>Kolonna5206</t>
  </si>
  <si>
    <t>Kolonna5207</t>
  </si>
  <si>
    <t>Kolonna5208</t>
  </si>
  <si>
    <t>Kolonna5209</t>
  </si>
  <si>
    <t>Kolonna5210</t>
  </si>
  <si>
    <t>Kolonna5211</t>
  </si>
  <si>
    <t>Kolonna5212</t>
  </si>
  <si>
    <t>Kolonna5213</t>
  </si>
  <si>
    <t>Kolonna5214</t>
  </si>
  <si>
    <t>Kolonna5215</t>
  </si>
  <si>
    <t>Kolonna5216</t>
  </si>
  <si>
    <t>Kolonna5217</t>
  </si>
  <si>
    <t>Kolonna5218</t>
  </si>
  <si>
    <t>Kolonna5219</t>
  </si>
  <si>
    <t>Kolonna5220</t>
  </si>
  <si>
    <t>Kolonna5221</t>
  </si>
  <si>
    <t>Kolonna5222</t>
  </si>
  <si>
    <t>Kolonna5223</t>
  </si>
  <si>
    <t>Kolonna5224</t>
  </si>
  <si>
    <t>Kolonna5225</t>
  </si>
  <si>
    <t>Kolonna5226</t>
  </si>
  <si>
    <t>Kolonna5227</t>
  </si>
  <si>
    <t>Kolonna5228</t>
  </si>
  <si>
    <t>Kolonna5229</t>
  </si>
  <si>
    <t>Kolonna5230</t>
  </si>
  <si>
    <t>Kolonna5231</t>
  </si>
  <si>
    <t>Kolonna5232</t>
  </si>
  <si>
    <t>Kolonna5233</t>
  </si>
  <si>
    <t>Kolonna5234</t>
  </si>
  <si>
    <t>Kolonna5235</t>
  </si>
  <si>
    <t>Kolonna5236</t>
  </si>
  <si>
    <t>Kolonna5237</t>
  </si>
  <si>
    <t>Kolonna5238</t>
  </si>
  <si>
    <t>Kolonna5239</t>
  </si>
  <si>
    <t>Kolonna5240</t>
  </si>
  <si>
    <t>Kolonna5241</t>
  </si>
  <si>
    <t>Kolonna5242</t>
  </si>
  <si>
    <t>Kolonna5243</t>
  </si>
  <si>
    <t>Kolonna5244</t>
  </si>
  <si>
    <t>Kolonna5245</t>
  </si>
  <si>
    <t>Kolonna5246</t>
  </si>
  <si>
    <t>Kolonna5247</t>
  </si>
  <si>
    <t>Kolonna5248</t>
  </si>
  <si>
    <t>Kolonna5249</t>
  </si>
  <si>
    <t>Kolonna5250</t>
  </si>
  <si>
    <t>Kolonna5251</t>
  </si>
  <si>
    <t>Kolonna5252</t>
  </si>
  <si>
    <t>Kolonna5253</t>
  </si>
  <si>
    <t>Kolonna5254</t>
  </si>
  <si>
    <t>Kolonna5255</t>
  </si>
  <si>
    <t>Kolonna5256</t>
  </si>
  <si>
    <t>Kolonna5257</t>
  </si>
  <si>
    <t>Kolonna5258</t>
  </si>
  <si>
    <t>Kolonna5259</t>
  </si>
  <si>
    <t>Kolonna5260</t>
  </si>
  <si>
    <t>Kolonna5261</t>
  </si>
  <si>
    <t>Kolonna5262</t>
  </si>
  <si>
    <t>Kolonna5263</t>
  </si>
  <si>
    <t>Kolonna5264</t>
  </si>
  <si>
    <t>Kolonna5265</t>
  </si>
  <si>
    <t>Kolonna5266</t>
  </si>
  <si>
    <t>Kolonna5267</t>
  </si>
  <si>
    <t>Kolonna5268</t>
  </si>
  <si>
    <t>Kolonna5269</t>
  </si>
  <si>
    <t>Kolonna5270</t>
  </si>
  <si>
    <t>Kolonna5271</t>
  </si>
  <si>
    <t>Kolonna5272</t>
  </si>
  <si>
    <t>Kolonna5273</t>
  </si>
  <si>
    <t>Kolonna5274</t>
  </si>
  <si>
    <t>Kolonna5275</t>
  </si>
  <si>
    <t>Kolonna5276</t>
  </si>
  <si>
    <t>Kolonna5277</t>
  </si>
  <si>
    <t>Kolonna5278</t>
  </si>
  <si>
    <t>Kolonna5279</t>
  </si>
  <si>
    <t>Kolonna5280</t>
  </si>
  <si>
    <t>Kolonna5281</t>
  </si>
  <si>
    <t>Kolonna5282</t>
  </si>
  <si>
    <t>Kolonna5283</t>
  </si>
  <si>
    <t>Kolonna5284</t>
  </si>
  <si>
    <t>Kolonna5285</t>
  </si>
  <si>
    <t>Kolonna5286</t>
  </si>
  <si>
    <t>Kolonna5287</t>
  </si>
  <si>
    <t>Kolonna5288</t>
  </si>
  <si>
    <t>Kolonna5289</t>
  </si>
  <si>
    <t>Kolonna5290</t>
  </si>
  <si>
    <t>Kolonna5291</t>
  </si>
  <si>
    <t>Kolonna5292</t>
  </si>
  <si>
    <t>Kolonna5293</t>
  </si>
  <si>
    <t>Kolonna5294</t>
  </si>
  <si>
    <t>Kolonna5295</t>
  </si>
  <si>
    <t>Kolonna5296</t>
  </si>
  <si>
    <t>Kolonna5297</t>
  </si>
  <si>
    <t>Kolonna5298</t>
  </si>
  <si>
    <t>Kolonna5299</t>
  </si>
  <si>
    <t>Kolonna5300</t>
  </si>
  <si>
    <t>Kolonna5301</t>
  </si>
  <si>
    <t>Kolonna5302</t>
  </si>
  <si>
    <t>Kolonna5303</t>
  </si>
  <si>
    <t>Kolonna5304</t>
  </si>
  <si>
    <t>Kolonna5305</t>
  </si>
  <si>
    <t>Kolonna5306</t>
  </si>
  <si>
    <t>Kolonna5307</t>
  </si>
  <si>
    <t>Kolonna5308</t>
  </si>
  <si>
    <t>Kolonna5309</t>
  </si>
  <si>
    <t>Kolonna5310</t>
  </si>
  <si>
    <t>Kolonna5311</t>
  </si>
  <si>
    <t>Kolonna5312</t>
  </si>
  <si>
    <t>Kolonna5313</t>
  </si>
  <si>
    <t>Kolonna5314</t>
  </si>
  <si>
    <t>Kolonna5315</t>
  </si>
  <si>
    <t>Kolonna5316</t>
  </si>
  <si>
    <t>Kolonna5317</t>
  </si>
  <si>
    <t>Kolonna5318</t>
  </si>
  <si>
    <t>Kolonna5319</t>
  </si>
  <si>
    <t>Kolonna5320</t>
  </si>
  <si>
    <t>Kolonna5321</t>
  </si>
  <si>
    <t>Kolonna5322</t>
  </si>
  <si>
    <t>Kolonna5323</t>
  </si>
  <si>
    <t>Kolonna5324</t>
  </si>
  <si>
    <t>Kolonna5325</t>
  </si>
  <si>
    <t>Kolonna5326</t>
  </si>
  <si>
    <t>Kolonna5327</t>
  </si>
  <si>
    <t>Kolonna5328</t>
  </si>
  <si>
    <t>Kolonna5329</t>
  </si>
  <si>
    <t>Kolonna5330</t>
  </si>
  <si>
    <t>Kolonna5331</t>
  </si>
  <si>
    <t>Kolonna5332</t>
  </si>
  <si>
    <t>Kolonna5333</t>
  </si>
  <si>
    <t>Kolonna5334</t>
  </si>
  <si>
    <t>Kolonna5335</t>
  </si>
  <si>
    <t>Kolonna5336</t>
  </si>
  <si>
    <t>Kolonna5337</t>
  </si>
  <si>
    <t>Kolonna5338</t>
  </si>
  <si>
    <t>Kolonna5339</t>
  </si>
  <si>
    <t>Kolonna5340</t>
  </si>
  <si>
    <t>Kolonna5341</t>
  </si>
  <si>
    <t>Kolonna5342</t>
  </si>
  <si>
    <t>Kolonna5343</t>
  </si>
  <si>
    <t>Kolonna5344</t>
  </si>
  <si>
    <t>Kolonna5345</t>
  </si>
  <si>
    <t>Kolonna5346</t>
  </si>
  <si>
    <t>Kolonna5347</t>
  </si>
  <si>
    <t>Kolonna5348</t>
  </si>
  <si>
    <t>Kolonna5349</t>
  </si>
  <si>
    <t>Kolonna5350</t>
  </si>
  <si>
    <t>Kolonna5351</t>
  </si>
  <si>
    <t>Kolonna5352</t>
  </si>
  <si>
    <t>Kolonna5353</t>
  </si>
  <si>
    <t>Kolonna5354</t>
  </si>
  <si>
    <t>Kolonna5355</t>
  </si>
  <si>
    <t>Kolonna5356</t>
  </si>
  <si>
    <t>Kolonna5357</t>
  </si>
  <si>
    <t>Kolonna5358</t>
  </si>
  <si>
    <t>Kolonna5359</t>
  </si>
  <si>
    <t>Kolonna5360</t>
  </si>
  <si>
    <t>Kolonna5361</t>
  </si>
  <si>
    <t>Kolonna5362</t>
  </si>
  <si>
    <t>Kolonna5363</t>
  </si>
  <si>
    <t>Kolonna5364</t>
  </si>
  <si>
    <t>Kolonna5365</t>
  </si>
  <si>
    <t>Kolonna5366</t>
  </si>
  <si>
    <t>Kolonna5367</t>
  </si>
  <si>
    <t>Kolonna5368</t>
  </si>
  <si>
    <t>Kolonna5369</t>
  </si>
  <si>
    <t>Kolonna5370</t>
  </si>
  <si>
    <t>Kolonna5371</t>
  </si>
  <si>
    <t>Kolonna5372</t>
  </si>
  <si>
    <t>Kolonna5373</t>
  </si>
  <si>
    <t>Kolonna5374</t>
  </si>
  <si>
    <t>Kolonna5375</t>
  </si>
  <si>
    <t>Kolonna5376</t>
  </si>
  <si>
    <t>Kolonna5377</t>
  </si>
  <si>
    <t>Kolonna5378</t>
  </si>
  <si>
    <t>Kolonna5379</t>
  </si>
  <si>
    <t>Kolonna5380</t>
  </si>
  <si>
    <t>Kolonna5381</t>
  </si>
  <si>
    <t>Kolonna5382</t>
  </si>
  <si>
    <t>Kolonna5383</t>
  </si>
  <si>
    <t>Kolonna5384</t>
  </si>
  <si>
    <t>Kolonna5385</t>
  </si>
  <si>
    <t>Kolonna5386</t>
  </si>
  <si>
    <t>Kolonna5387</t>
  </si>
  <si>
    <t>Kolonna5388</t>
  </si>
  <si>
    <t>Kolonna5389</t>
  </si>
  <si>
    <t>Kolonna5390</t>
  </si>
  <si>
    <t>Kolonna5391</t>
  </si>
  <si>
    <t>Kolonna5392</t>
  </si>
  <si>
    <t>Kolonna5393</t>
  </si>
  <si>
    <t>Kolonna5394</t>
  </si>
  <si>
    <t>Kolonna5395</t>
  </si>
  <si>
    <t>Kolonna5396</t>
  </si>
  <si>
    <t>Kolonna5397</t>
  </si>
  <si>
    <t>Kolonna5398</t>
  </si>
  <si>
    <t>Kolonna5399</t>
  </si>
  <si>
    <t>Kolonna5400</t>
  </si>
  <si>
    <t>Kolonna5401</t>
  </si>
  <si>
    <t>Kolonna5402</t>
  </si>
  <si>
    <t>Kolonna5403</t>
  </si>
  <si>
    <t>Kolonna5404</t>
  </si>
  <si>
    <t>Kolonna5405</t>
  </si>
  <si>
    <t>Kolonna5406</t>
  </si>
  <si>
    <t>Kolonna5407</t>
  </si>
  <si>
    <t>Kolonna5408</t>
  </si>
  <si>
    <t>Kolonna5409</t>
  </si>
  <si>
    <t>Kolonna5410</t>
  </si>
  <si>
    <t>Kolonna5411</t>
  </si>
  <si>
    <t>Kolonna5412</t>
  </si>
  <si>
    <t>Kolonna5413</t>
  </si>
  <si>
    <t>Kolonna5414</t>
  </si>
  <si>
    <t>Kolonna5415</t>
  </si>
  <si>
    <t>Kolonna5416</t>
  </si>
  <si>
    <t>Kolonna5417</t>
  </si>
  <si>
    <t>Kolonna5418</t>
  </si>
  <si>
    <t>Kolonna5419</t>
  </si>
  <si>
    <t>Kolonna5420</t>
  </si>
  <si>
    <t>Kolonna5421</t>
  </si>
  <si>
    <t>Kolonna5422</t>
  </si>
  <si>
    <t>Kolonna5423</t>
  </si>
  <si>
    <t>Kolonna5424</t>
  </si>
  <si>
    <t>Kolonna5425</t>
  </si>
  <si>
    <t>Kolonna5426</t>
  </si>
  <si>
    <t>Kolonna5427</t>
  </si>
  <si>
    <t>Kolonna5428</t>
  </si>
  <si>
    <t>Kolonna5429</t>
  </si>
  <si>
    <t>Kolonna5430</t>
  </si>
  <si>
    <t>Kolonna5431</t>
  </si>
  <si>
    <t>Kolonna5432</t>
  </si>
  <si>
    <t>Kolonna5433</t>
  </si>
  <si>
    <t>Kolonna5434</t>
  </si>
  <si>
    <t>Kolonna5435</t>
  </si>
  <si>
    <t>Kolonna5436</t>
  </si>
  <si>
    <t>Kolonna5437</t>
  </si>
  <si>
    <t>Kolonna5438</t>
  </si>
  <si>
    <t>Kolonna5439</t>
  </si>
  <si>
    <t>Kolonna5440</t>
  </si>
  <si>
    <t>Kolonna5441</t>
  </si>
  <si>
    <t>Kolonna5442</t>
  </si>
  <si>
    <t>Kolonna5443</t>
  </si>
  <si>
    <t>Kolonna5444</t>
  </si>
  <si>
    <t>Kolonna5445</t>
  </si>
  <si>
    <t>Kolonna5446</t>
  </si>
  <si>
    <t>Kolonna5447</t>
  </si>
  <si>
    <t>Kolonna5448</t>
  </si>
  <si>
    <t>Kolonna5449</t>
  </si>
  <si>
    <t>Kolonna5450</t>
  </si>
  <si>
    <t>Kolonna5451</t>
  </si>
  <si>
    <t>Kolonna5452</t>
  </si>
  <si>
    <t>Kolonna5453</t>
  </si>
  <si>
    <t>Kolonna5454</t>
  </si>
  <si>
    <t>Kolonna5455</t>
  </si>
  <si>
    <t>Kolonna5456</t>
  </si>
  <si>
    <t>Kolonna5457</t>
  </si>
  <si>
    <t>Kolonna5458</t>
  </si>
  <si>
    <t>Kolonna5459</t>
  </si>
  <si>
    <t>Kolonna5460</t>
  </si>
  <si>
    <t>Kolonna5461</t>
  </si>
  <si>
    <t>Kolonna5462</t>
  </si>
  <si>
    <t>Kolonna5463</t>
  </si>
  <si>
    <t>Kolonna5464</t>
  </si>
  <si>
    <t>Kolonna5465</t>
  </si>
  <si>
    <t>Kolonna5466</t>
  </si>
  <si>
    <t>Kolonna5467</t>
  </si>
  <si>
    <t>Kolonna5468</t>
  </si>
  <si>
    <t>Kolonna5469</t>
  </si>
  <si>
    <t>Kolonna5470</t>
  </si>
  <si>
    <t>Kolonna5471</t>
  </si>
  <si>
    <t>Kolonna5472</t>
  </si>
  <si>
    <t>Kolonna5473</t>
  </si>
  <si>
    <t>Kolonna5474</t>
  </si>
  <si>
    <t>Kolonna5475</t>
  </si>
  <si>
    <t>Kolonna5476</t>
  </si>
  <si>
    <t>Kolonna5477</t>
  </si>
  <si>
    <t>Kolonna5478</t>
  </si>
  <si>
    <t>Kolonna5479</t>
  </si>
  <si>
    <t>Kolonna5480</t>
  </si>
  <si>
    <t>Kolonna5481</t>
  </si>
  <si>
    <t>Kolonna5482</t>
  </si>
  <si>
    <t>Kolonna5483</t>
  </si>
  <si>
    <t>Kolonna5484</t>
  </si>
  <si>
    <t>Kolonna5485</t>
  </si>
  <si>
    <t>Kolonna5486</t>
  </si>
  <si>
    <t>Kolonna5487</t>
  </si>
  <si>
    <t>Kolonna5488</t>
  </si>
  <si>
    <t>Kolonna5489</t>
  </si>
  <si>
    <t>Kolonna5490</t>
  </si>
  <si>
    <t>Kolonna5491</t>
  </si>
  <si>
    <t>Kolonna5492</t>
  </si>
  <si>
    <t>Kolonna5493</t>
  </si>
  <si>
    <t>Kolonna5494</t>
  </si>
  <si>
    <t>Kolonna5495</t>
  </si>
  <si>
    <t>Kolonna5496</t>
  </si>
  <si>
    <t>Kolonna5497</t>
  </si>
  <si>
    <t>Kolonna5498</t>
  </si>
  <si>
    <t>Kolonna5499</t>
  </si>
  <si>
    <t>Kolonna5500</t>
  </si>
  <si>
    <t>Kolonna5501</t>
  </si>
  <si>
    <t>Kolonna5502</t>
  </si>
  <si>
    <t>Kolonna5503</t>
  </si>
  <si>
    <t>Kolonna5504</t>
  </si>
  <si>
    <t>Kolonna5505</t>
  </si>
  <si>
    <t>Kolonna5506</t>
  </si>
  <si>
    <t>Kolonna5507</t>
  </si>
  <si>
    <t>Kolonna5508</t>
  </si>
  <si>
    <t>Kolonna5509</t>
  </si>
  <si>
    <t>Kolonna5510</t>
  </si>
  <si>
    <t>Kolonna5511</t>
  </si>
  <si>
    <t>Kolonna5512</t>
  </si>
  <si>
    <t>Kolonna5513</t>
  </si>
  <si>
    <t>Kolonna5514</t>
  </si>
  <si>
    <t>Kolonna5515</t>
  </si>
  <si>
    <t>Kolonna5516</t>
  </si>
  <si>
    <t>Kolonna5517</t>
  </si>
  <si>
    <t>Kolonna5518</t>
  </si>
  <si>
    <t>Kolonna5519</t>
  </si>
  <si>
    <t>Kolonna5520</t>
  </si>
  <si>
    <t>Kolonna5521</t>
  </si>
  <si>
    <t>Kolonna5522</t>
  </si>
  <si>
    <t>Kolonna5523</t>
  </si>
  <si>
    <t>Kolonna5524</t>
  </si>
  <si>
    <t>Kolonna5525</t>
  </si>
  <si>
    <t>Kolonna5526</t>
  </si>
  <si>
    <t>Kolonna5527</t>
  </si>
  <si>
    <t>Kolonna5528</t>
  </si>
  <si>
    <t>Kolonna5529</t>
  </si>
  <si>
    <t>Kolonna5530</t>
  </si>
  <si>
    <t>Kolonna5531</t>
  </si>
  <si>
    <t>Kolonna5532</t>
  </si>
  <si>
    <t>Kolonna5533</t>
  </si>
  <si>
    <t>Kolonna5534</t>
  </si>
  <si>
    <t>Kolonna5535</t>
  </si>
  <si>
    <t>Kolonna5536</t>
  </si>
  <si>
    <t>Kolonna5537</t>
  </si>
  <si>
    <t>Kolonna5538</t>
  </si>
  <si>
    <t>Kolonna5539</t>
  </si>
  <si>
    <t>Kolonna5540</t>
  </si>
  <si>
    <t>Kolonna5541</t>
  </si>
  <si>
    <t>Kolonna5542</t>
  </si>
  <si>
    <t>Kolonna5543</t>
  </si>
  <si>
    <t>Kolonna5544</t>
  </si>
  <si>
    <t>Kolonna5545</t>
  </si>
  <si>
    <t>Kolonna5546</t>
  </si>
  <si>
    <t>Kolonna5547</t>
  </si>
  <si>
    <t>Kolonna5548</t>
  </si>
  <si>
    <t>Kolonna5549</t>
  </si>
  <si>
    <t>Kolonna5550</t>
  </si>
  <si>
    <t>Kolonna5551</t>
  </si>
  <si>
    <t>Kolonna5552</t>
  </si>
  <si>
    <t>Kolonna5553</t>
  </si>
  <si>
    <t>Kolonna5554</t>
  </si>
  <si>
    <t>Kolonna5555</t>
  </si>
  <si>
    <t>Kolonna5556</t>
  </si>
  <si>
    <t>Kolonna5557</t>
  </si>
  <si>
    <t>Kolonna5558</t>
  </si>
  <si>
    <t>Kolonna5559</t>
  </si>
  <si>
    <t>Kolonna5560</t>
  </si>
  <si>
    <t>Kolonna5561</t>
  </si>
  <si>
    <t>Kolonna5562</t>
  </si>
  <si>
    <t>Kolonna5563</t>
  </si>
  <si>
    <t>Kolonna5564</t>
  </si>
  <si>
    <t>Kolonna5565</t>
  </si>
  <si>
    <t>Kolonna5566</t>
  </si>
  <si>
    <t>Kolonna5567</t>
  </si>
  <si>
    <t>Kolonna5568</t>
  </si>
  <si>
    <t>Kolonna5569</t>
  </si>
  <si>
    <t>Kolonna5570</t>
  </si>
  <si>
    <t>Kolonna5571</t>
  </si>
  <si>
    <t>Kolonna5572</t>
  </si>
  <si>
    <t>Kolonna5573</t>
  </si>
  <si>
    <t>Kolonna5574</t>
  </si>
  <si>
    <t>Kolonna5575</t>
  </si>
  <si>
    <t>Kolonna5576</t>
  </si>
  <si>
    <t>Kolonna5577</t>
  </si>
  <si>
    <t>Kolonna5578</t>
  </si>
  <si>
    <t>Kolonna5579</t>
  </si>
  <si>
    <t>Kolonna5580</t>
  </si>
  <si>
    <t>Kolonna5581</t>
  </si>
  <si>
    <t>Kolonna5582</t>
  </si>
  <si>
    <t>Kolonna5583</t>
  </si>
  <si>
    <t>Kolonna5584</t>
  </si>
  <si>
    <t>Kolonna5585</t>
  </si>
  <si>
    <t>Kolonna5586</t>
  </si>
  <si>
    <t>Kolonna5587</t>
  </si>
  <si>
    <t>Kolonna5588</t>
  </si>
  <si>
    <t>Kolonna5589</t>
  </si>
  <si>
    <t>Kolonna5590</t>
  </si>
  <si>
    <t>Kolonna5591</t>
  </si>
  <si>
    <t>Kolonna5592</t>
  </si>
  <si>
    <t>Kolonna5593</t>
  </si>
  <si>
    <t>Kolonna5594</t>
  </si>
  <si>
    <t>Kolonna5595</t>
  </si>
  <si>
    <t>Kolonna5596</t>
  </si>
  <si>
    <t>Kolonna5597</t>
  </si>
  <si>
    <t>Kolonna5598</t>
  </si>
  <si>
    <t>Kolonna5599</t>
  </si>
  <si>
    <t>Kolonna5600</t>
  </si>
  <si>
    <t>Kolonna5601</t>
  </si>
  <si>
    <t>Kolonna5602</t>
  </si>
  <si>
    <t>Kolonna5603</t>
  </si>
  <si>
    <t>Kolonna5604</t>
  </si>
  <si>
    <t>Kolonna5605</t>
  </si>
  <si>
    <t>Kolonna5606</t>
  </si>
  <si>
    <t>Kolonna5607</t>
  </si>
  <si>
    <t>Kolonna5608</t>
  </si>
  <si>
    <t>Kolonna5609</t>
  </si>
  <si>
    <t>Kolonna5610</t>
  </si>
  <si>
    <t>Kolonna5611</t>
  </si>
  <si>
    <t>Kolonna5612</t>
  </si>
  <si>
    <t>Kolonna5613</t>
  </si>
  <si>
    <t>Kolonna5614</t>
  </si>
  <si>
    <t>Kolonna5615</t>
  </si>
  <si>
    <t>Kolonna5616</t>
  </si>
  <si>
    <t>Kolonna5617</t>
  </si>
  <si>
    <t>Kolonna5618</t>
  </si>
  <si>
    <t>Kolonna5619</t>
  </si>
  <si>
    <t>Kolonna5620</t>
  </si>
  <si>
    <t>Kolonna5621</t>
  </si>
  <si>
    <t>Kolonna5622</t>
  </si>
  <si>
    <t>Kolonna5623</t>
  </si>
  <si>
    <t>Kolonna5624</t>
  </si>
  <si>
    <t>Kolonna5625</t>
  </si>
  <si>
    <t>Kolonna5626</t>
  </si>
  <si>
    <t>Kolonna5627</t>
  </si>
  <si>
    <t>Kolonna5628</t>
  </si>
  <si>
    <t>Kolonna5629</t>
  </si>
  <si>
    <t>Kolonna5630</t>
  </si>
  <si>
    <t>Kolonna5631</t>
  </si>
  <si>
    <t>Kolonna5632</t>
  </si>
  <si>
    <t>Kolonna5633</t>
  </si>
  <si>
    <t>Kolonna5634</t>
  </si>
  <si>
    <t>Kolonna5635</t>
  </si>
  <si>
    <t>Kolonna5636</t>
  </si>
  <si>
    <t>Kolonna5637</t>
  </si>
  <si>
    <t>Kolonna5638</t>
  </si>
  <si>
    <t>Kolonna5639</t>
  </si>
  <si>
    <t>Kolonna5640</t>
  </si>
  <si>
    <t>Kolonna5641</t>
  </si>
  <si>
    <t>Kolonna5642</t>
  </si>
  <si>
    <t>Kolonna5643</t>
  </si>
  <si>
    <t>Kolonna5644</t>
  </si>
  <si>
    <t>Kolonna5645</t>
  </si>
  <si>
    <t>Kolonna5646</t>
  </si>
  <si>
    <t>Kolonna5647</t>
  </si>
  <si>
    <t>Kolonna5648</t>
  </si>
  <si>
    <t>Kolonna5649</t>
  </si>
  <si>
    <t>Kolonna5650</t>
  </si>
  <si>
    <t>Kolonna5651</t>
  </si>
  <si>
    <t>Kolonna5652</t>
  </si>
  <si>
    <t>Kolonna5653</t>
  </si>
  <si>
    <t>Kolonna5654</t>
  </si>
  <si>
    <t>Kolonna5655</t>
  </si>
  <si>
    <t>Kolonna5656</t>
  </si>
  <si>
    <t>Kolonna5657</t>
  </si>
  <si>
    <t>Kolonna5658</t>
  </si>
  <si>
    <t>Kolonna5659</t>
  </si>
  <si>
    <t>Kolonna5660</t>
  </si>
  <si>
    <t>Kolonna5661</t>
  </si>
  <si>
    <t>Kolonna5662</t>
  </si>
  <si>
    <t>Kolonna5663</t>
  </si>
  <si>
    <t>Kolonna5664</t>
  </si>
  <si>
    <t>Kolonna5665</t>
  </si>
  <si>
    <t>Kolonna5666</t>
  </si>
  <si>
    <t>Kolonna5667</t>
  </si>
  <si>
    <t>Kolonna5668</t>
  </si>
  <si>
    <t>Kolonna5669</t>
  </si>
  <si>
    <t>Kolonna5670</t>
  </si>
  <si>
    <t>Kolonna5671</t>
  </si>
  <si>
    <t>Kolonna5672</t>
  </si>
  <si>
    <t>Kolonna5673</t>
  </si>
  <si>
    <t>Kolonna5674</t>
  </si>
  <si>
    <t>Kolonna5675</t>
  </si>
  <si>
    <t>Kolonna5676</t>
  </si>
  <si>
    <t>Kolonna5677</t>
  </si>
  <si>
    <t>Kolonna5678</t>
  </si>
  <si>
    <t>Kolonna5679</t>
  </si>
  <si>
    <t>Kolonna5680</t>
  </si>
  <si>
    <t>Kolonna5681</t>
  </si>
  <si>
    <t>Kolonna5682</t>
  </si>
  <si>
    <t>Kolonna5683</t>
  </si>
  <si>
    <t>Kolonna5684</t>
  </si>
  <si>
    <t>Kolonna5685</t>
  </si>
  <si>
    <t>Kolonna5686</t>
  </si>
  <si>
    <t>Kolonna5687</t>
  </si>
  <si>
    <t>Kolonna5688</t>
  </si>
  <si>
    <t>Kolonna5689</t>
  </si>
  <si>
    <t>Kolonna5690</t>
  </si>
  <si>
    <t>Kolonna5691</t>
  </si>
  <si>
    <t>Kolonna5692</t>
  </si>
  <si>
    <t>Kolonna5693</t>
  </si>
  <si>
    <t>Kolonna5694</t>
  </si>
  <si>
    <t>Kolonna5695</t>
  </si>
  <si>
    <t>Kolonna5696</t>
  </si>
  <si>
    <t>Kolonna5697</t>
  </si>
  <si>
    <t>Kolonna5698</t>
  </si>
  <si>
    <t>Kolonna5699</t>
  </si>
  <si>
    <t>Kolonna5700</t>
  </si>
  <si>
    <t>Kolonna5701</t>
  </si>
  <si>
    <t>Kolonna5702</t>
  </si>
  <si>
    <t>Kolonna5703</t>
  </si>
  <si>
    <t>Kolonna5704</t>
  </si>
  <si>
    <t>Kolonna5705</t>
  </si>
  <si>
    <t>Kolonna5706</t>
  </si>
  <si>
    <t>Kolonna5707</t>
  </si>
  <si>
    <t>Kolonna5708</t>
  </si>
  <si>
    <t>Kolonna5709</t>
  </si>
  <si>
    <t>Kolonna5710</t>
  </si>
  <si>
    <t>Kolonna5711</t>
  </si>
  <si>
    <t>Kolonna5712</t>
  </si>
  <si>
    <t>Kolonna5713</t>
  </si>
  <si>
    <t>Kolonna5714</t>
  </si>
  <si>
    <t>Kolonna5715</t>
  </si>
  <si>
    <t>Kolonna5716</t>
  </si>
  <si>
    <t>Kolonna5717</t>
  </si>
  <si>
    <t>Kolonna5718</t>
  </si>
  <si>
    <t>Kolonna5719</t>
  </si>
  <si>
    <t>Kolonna5720</t>
  </si>
  <si>
    <t>Kolonna5721</t>
  </si>
  <si>
    <t>Kolonna5722</t>
  </si>
  <si>
    <t>Kolonna5723</t>
  </si>
  <si>
    <t>Kolonna5724</t>
  </si>
  <si>
    <t>Kolonna5725</t>
  </si>
  <si>
    <t>Kolonna5726</t>
  </si>
  <si>
    <t>Kolonna5727</t>
  </si>
  <si>
    <t>Kolonna5728</t>
  </si>
  <si>
    <t>Kolonna5729</t>
  </si>
  <si>
    <t>Kolonna5730</t>
  </si>
  <si>
    <t>Kolonna5731</t>
  </si>
  <si>
    <t>Kolonna5732</t>
  </si>
  <si>
    <t>Kolonna5733</t>
  </si>
  <si>
    <t>Kolonna5734</t>
  </si>
  <si>
    <t>Kolonna5735</t>
  </si>
  <si>
    <t>Kolonna5736</t>
  </si>
  <si>
    <t>Kolonna5737</t>
  </si>
  <si>
    <t>Kolonna5738</t>
  </si>
  <si>
    <t>Kolonna5739</t>
  </si>
  <si>
    <t>Kolonna5740</t>
  </si>
  <si>
    <t>Kolonna5741</t>
  </si>
  <si>
    <t>Kolonna5742</t>
  </si>
  <si>
    <t>Kolonna5743</t>
  </si>
  <si>
    <t>Kolonna5744</t>
  </si>
  <si>
    <t>Kolonna5745</t>
  </si>
  <si>
    <t>Kolonna5746</t>
  </si>
  <si>
    <t>Kolonna5747</t>
  </si>
  <si>
    <t>Kolonna5748</t>
  </si>
  <si>
    <t>Kolonna5749</t>
  </si>
  <si>
    <t>Kolonna5750</t>
  </si>
  <si>
    <t>Kolonna5751</t>
  </si>
  <si>
    <t>Kolonna5752</t>
  </si>
  <si>
    <t>Kolonna5753</t>
  </si>
  <si>
    <t>Kolonna5754</t>
  </si>
  <si>
    <t>Kolonna5755</t>
  </si>
  <si>
    <t>Kolonna5756</t>
  </si>
  <si>
    <t>Kolonna5757</t>
  </si>
  <si>
    <t>Kolonna5758</t>
  </si>
  <si>
    <t>Kolonna5759</t>
  </si>
  <si>
    <t>Kolonna5760</t>
  </si>
  <si>
    <t>Kolonna5761</t>
  </si>
  <si>
    <t>Kolonna5762</t>
  </si>
  <si>
    <t>Kolonna5763</t>
  </si>
  <si>
    <t>Kolonna5764</t>
  </si>
  <si>
    <t>Kolonna5765</t>
  </si>
  <si>
    <t>Kolonna5766</t>
  </si>
  <si>
    <t>Kolonna5767</t>
  </si>
  <si>
    <t>Kolonna5768</t>
  </si>
  <si>
    <t>Kolonna5769</t>
  </si>
  <si>
    <t>Kolonna5770</t>
  </si>
  <si>
    <t>Kolonna5771</t>
  </si>
  <si>
    <t>Kolonna5772</t>
  </si>
  <si>
    <t>Kolonna5773</t>
  </si>
  <si>
    <t>Kolonna5774</t>
  </si>
  <si>
    <t>Kolonna5775</t>
  </si>
  <si>
    <t>Kolonna5776</t>
  </si>
  <si>
    <t>Kolonna5777</t>
  </si>
  <si>
    <t>Kolonna5778</t>
  </si>
  <si>
    <t>Kolonna5779</t>
  </si>
  <si>
    <t>Kolonna5780</t>
  </si>
  <si>
    <t>Kolonna5781</t>
  </si>
  <si>
    <t>Kolonna5782</t>
  </si>
  <si>
    <t>Kolonna5783</t>
  </si>
  <si>
    <t>Kolonna5784</t>
  </si>
  <si>
    <t>Kolonna5785</t>
  </si>
  <si>
    <t>Kolonna5786</t>
  </si>
  <si>
    <t>Kolonna5787</t>
  </si>
  <si>
    <t>Kolonna5788</t>
  </si>
  <si>
    <t>Kolonna5789</t>
  </si>
  <si>
    <t>Kolonna5790</t>
  </si>
  <si>
    <t>Kolonna5791</t>
  </si>
  <si>
    <t>Kolonna5792</t>
  </si>
  <si>
    <t>Kolonna5793</t>
  </si>
  <si>
    <t>Kolonna5794</t>
  </si>
  <si>
    <t>Kolonna5795</t>
  </si>
  <si>
    <t>Kolonna5796</t>
  </si>
  <si>
    <t>Kolonna5797</t>
  </si>
  <si>
    <t>Kolonna5798</t>
  </si>
  <si>
    <t>Kolonna5799</t>
  </si>
  <si>
    <t>Kolonna5800</t>
  </si>
  <si>
    <t>Kolonna5801</t>
  </si>
  <si>
    <t>Kolonna5802</t>
  </si>
  <si>
    <t>Kolonna5803</t>
  </si>
  <si>
    <t>Kolonna5804</t>
  </si>
  <si>
    <t>Kolonna5805</t>
  </si>
  <si>
    <t>Kolonna5806</t>
  </si>
  <si>
    <t>Kolonna5807</t>
  </si>
  <si>
    <t>Kolonna5808</t>
  </si>
  <si>
    <t>Kolonna5809</t>
  </si>
  <si>
    <t>Kolonna5810</t>
  </si>
  <si>
    <t>Kolonna5811</t>
  </si>
  <si>
    <t>Kolonna5812</t>
  </si>
  <si>
    <t>Kolonna5813</t>
  </si>
  <si>
    <t>Kolonna5814</t>
  </si>
  <si>
    <t>Kolonna5815</t>
  </si>
  <si>
    <t>Kolonna5816</t>
  </si>
  <si>
    <t>Kolonna5817</t>
  </si>
  <si>
    <t>Kolonna5818</t>
  </si>
  <si>
    <t>Kolonna5819</t>
  </si>
  <si>
    <t>Kolonna5820</t>
  </si>
  <si>
    <t>Kolonna5821</t>
  </si>
  <si>
    <t>Kolonna5822</t>
  </si>
  <si>
    <t>Kolonna5823</t>
  </si>
  <si>
    <t>Kolonna5824</t>
  </si>
  <si>
    <t>Kolonna5825</t>
  </si>
  <si>
    <t>Kolonna5826</t>
  </si>
  <si>
    <t>Kolonna5827</t>
  </si>
  <si>
    <t>Kolonna5828</t>
  </si>
  <si>
    <t>Kolonna5829</t>
  </si>
  <si>
    <t>Kolonna5830</t>
  </si>
  <si>
    <t>Kolonna5831</t>
  </si>
  <si>
    <t>Kolonna5832</t>
  </si>
  <si>
    <t>Kolonna5833</t>
  </si>
  <si>
    <t>Kolonna5834</t>
  </si>
  <si>
    <t>Kolonna5835</t>
  </si>
  <si>
    <t>Kolonna5836</t>
  </si>
  <si>
    <t>Kolonna5837</t>
  </si>
  <si>
    <t>Kolonna5838</t>
  </si>
  <si>
    <t>Kolonna5839</t>
  </si>
  <si>
    <t>Kolonna5840</t>
  </si>
  <si>
    <t>Kolonna5841</t>
  </si>
  <si>
    <t>Kolonna5842</t>
  </si>
  <si>
    <t>Kolonna5843</t>
  </si>
  <si>
    <t>Kolonna5844</t>
  </si>
  <si>
    <t>Kolonna5845</t>
  </si>
  <si>
    <t>Kolonna5846</t>
  </si>
  <si>
    <t>Kolonna5847</t>
  </si>
  <si>
    <t>Kolonna5848</t>
  </si>
  <si>
    <t>Kolonna5849</t>
  </si>
  <si>
    <t>Kolonna5850</t>
  </si>
  <si>
    <t>Kolonna5851</t>
  </si>
  <si>
    <t>Kolonna5852</t>
  </si>
  <si>
    <t>Kolonna5853</t>
  </si>
  <si>
    <t>Kolonna5854</t>
  </si>
  <si>
    <t>Kolonna5855</t>
  </si>
  <si>
    <t>Kolonna5856</t>
  </si>
  <si>
    <t>Kolonna5857</t>
  </si>
  <si>
    <t>Kolonna5858</t>
  </si>
  <si>
    <t>Kolonna5859</t>
  </si>
  <si>
    <t>Kolonna5860</t>
  </si>
  <si>
    <t>Kolonna5861</t>
  </si>
  <si>
    <t>Kolonna5862</t>
  </si>
  <si>
    <t>Kolonna5863</t>
  </si>
  <si>
    <t>Kolonna5864</t>
  </si>
  <si>
    <t>Kolonna5865</t>
  </si>
  <si>
    <t>Kolonna5866</t>
  </si>
  <si>
    <t>Kolonna5867</t>
  </si>
  <si>
    <t>Kolonna5868</t>
  </si>
  <si>
    <t>Kolonna5869</t>
  </si>
  <si>
    <t>Kolonna5870</t>
  </si>
  <si>
    <t>Kolonna5871</t>
  </si>
  <si>
    <t>Kolonna5872</t>
  </si>
  <si>
    <t>Kolonna5873</t>
  </si>
  <si>
    <t>Kolonna5874</t>
  </si>
  <si>
    <t>Kolonna5875</t>
  </si>
  <si>
    <t>Kolonna5876</t>
  </si>
  <si>
    <t>Kolonna5877</t>
  </si>
  <si>
    <t>Kolonna5878</t>
  </si>
  <si>
    <t>Kolonna5879</t>
  </si>
  <si>
    <t>Kolonna5880</t>
  </si>
  <si>
    <t>Kolonna5881</t>
  </si>
  <si>
    <t>Kolonna5882</t>
  </si>
  <si>
    <t>Kolonna5883</t>
  </si>
  <si>
    <t>Kolonna5884</t>
  </si>
  <si>
    <t>Kolonna5885</t>
  </si>
  <si>
    <t>Kolonna5886</t>
  </si>
  <si>
    <t>Kolonna5887</t>
  </si>
  <si>
    <t>Kolonna5888</t>
  </si>
  <si>
    <t>Kolonna5889</t>
  </si>
  <si>
    <t>Kolonna5890</t>
  </si>
  <si>
    <t>Kolonna5891</t>
  </si>
  <si>
    <t>Kolonna5892</t>
  </si>
  <si>
    <t>Kolonna5893</t>
  </si>
  <si>
    <t>Kolonna5894</t>
  </si>
  <si>
    <t>Kolonna5895</t>
  </si>
  <si>
    <t>Kolonna5896</t>
  </si>
  <si>
    <t>Kolonna5897</t>
  </si>
  <si>
    <t>Kolonna5898</t>
  </si>
  <si>
    <t>Kolonna5899</t>
  </si>
  <si>
    <t>Kolonna5900</t>
  </si>
  <si>
    <t>Kolonna5901</t>
  </si>
  <si>
    <t>Kolonna5902</t>
  </si>
  <si>
    <t>Kolonna5903</t>
  </si>
  <si>
    <t>Kolonna5904</t>
  </si>
  <si>
    <t>Kolonna5905</t>
  </si>
  <si>
    <t>Kolonna5906</t>
  </si>
  <si>
    <t>Kolonna5907</t>
  </si>
  <si>
    <t>Kolonna5908</t>
  </si>
  <si>
    <t>Kolonna5909</t>
  </si>
  <si>
    <t>Kolonna5910</t>
  </si>
  <si>
    <t>Kolonna5911</t>
  </si>
  <si>
    <t>Kolonna5912</t>
  </si>
  <si>
    <t>Kolonna5913</t>
  </si>
  <si>
    <t>Kolonna5914</t>
  </si>
  <si>
    <t>Kolonna5915</t>
  </si>
  <si>
    <t>Kolonna5916</t>
  </si>
  <si>
    <t>Kolonna5917</t>
  </si>
  <si>
    <t>Kolonna5918</t>
  </si>
  <si>
    <t>Kolonna5919</t>
  </si>
  <si>
    <t>Kolonna5920</t>
  </si>
  <si>
    <t>Kolonna5921</t>
  </si>
  <si>
    <t>Kolonna5922</t>
  </si>
  <si>
    <t>Kolonna5923</t>
  </si>
  <si>
    <t>Kolonna5924</t>
  </si>
  <si>
    <t>Kolonna5925</t>
  </si>
  <si>
    <t>Kolonna5926</t>
  </si>
  <si>
    <t>Kolonna5927</t>
  </si>
  <si>
    <t>Kolonna5928</t>
  </si>
  <si>
    <t>Kolonna5929</t>
  </si>
  <si>
    <t>Kolonna5930</t>
  </si>
  <si>
    <t>Kolonna5931</t>
  </si>
  <si>
    <t>Kolonna5932</t>
  </si>
  <si>
    <t>Kolonna5933</t>
  </si>
  <si>
    <t>Kolonna5934</t>
  </si>
  <si>
    <t>Kolonna5935</t>
  </si>
  <si>
    <t>Kolonna5936</t>
  </si>
  <si>
    <t>Kolonna5937</t>
  </si>
  <si>
    <t>Kolonna5938</t>
  </si>
  <si>
    <t>Kolonna5939</t>
  </si>
  <si>
    <t>Kolonna5940</t>
  </si>
  <si>
    <t>Kolonna5941</t>
  </si>
  <si>
    <t>Kolonna5942</t>
  </si>
  <si>
    <t>Kolonna5943</t>
  </si>
  <si>
    <t>Kolonna5944</t>
  </si>
  <si>
    <t>Kolonna5945</t>
  </si>
  <si>
    <t>Kolonna5946</t>
  </si>
  <si>
    <t>Kolonna5947</t>
  </si>
  <si>
    <t>Kolonna5948</t>
  </si>
  <si>
    <t>Kolonna5949</t>
  </si>
  <si>
    <t>Kolonna5950</t>
  </si>
  <si>
    <t>Kolonna5951</t>
  </si>
  <si>
    <t>Kolonna5952</t>
  </si>
  <si>
    <t>Kolonna5953</t>
  </si>
  <si>
    <t>Kolonna5954</t>
  </si>
  <si>
    <t>Kolonna5955</t>
  </si>
  <si>
    <t>Kolonna5956</t>
  </si>
  <si>
    <t>Kolonna5957</t>
  </si>
  <si>
    <t>Kolonna5958</t>
  </si>
  <si>
    <t>Kolonna5959</t>
  </si>
  <si>
    <t>Kolonna5960</t>
  </si>
  <si>
    <t>Kolonna5961</t>
  </si>
  <si>
    <t>Kolonna5962</t>
  </si>
  <si>
    <t>Kolonna5963</t>
  </si>
  <si>
    <t>Kolonna5964</t>
  </si>
  <si>
    <t>Kolonna5965</t>
  </si>
  <si>
    <t>Kolonna5966</t>
  </si>
  <si>
    <t>Kolonna5967</t>
  </si>
  <si>
    <t>Kolonna5968</t>
  </si>
  <si>
    <t>Kolonna5969</t>
  </si>
  <si>
    <t>Kolonna5970</t>
  </si>
  <si>
    <t>Kolonna5971</t>
  </si>
  <si>
    <t>Kolonna5972</t>
  </si>
  <si>
    <t>Kolonna5973</t>
  </si>
  <si>
    <t>Kolonna5974</t>
  </si>
  <si>
    <t>Kolonna5975</t>
  </si>
  <si>
    <t>Kolonna5976</t>
  </si>
  <si>
    <t>Kolonna5977</t>
  </si>
  <si>
    <t>Kolonna5978</t>
  </si>
  <si>
    <t>Kolonna5979</t>
  </si>
  <si>
    <t>Kolonna5980</t>
  </si>
  <si>
    <t>Kolonna5981</t>
  </si>
  <si>
    <t>Kolonna5982</t>
  </si>
  <si>
    <t>Kolonna5983</t>
  </si>
  <si>
    <t>Kolonna5984</t>
  </si>
  <si>
    <t>Kolonna5985</t>
  </si>
  <si>
    <t>Kolonna5986</t>
  </si>
  <si>
    <t>Kolonna5987</t>
  </si>
  <si>
    <t>Kolonna5988</t>
  </si>
  <si>
    <t>Kolonna5989</t>
  </si>
  <si>
    <t>Kolonna5990</t>
  </si>
  <si>
    <t>Kolonna5991</t>
  </si>
  <si>
    <t>Kolonna5992</t>
  </si>
  <si>
    <t>Kolonna5993</t>
  </si>
  <si>
    <t>Kolonna5994</t>
  </si>
  <si>
    <t>Kolonna5995</t>
  </si>
  <si>
    <t>Kolonna5996</t>
  </si>
  <si>
    <t>Kolonna5997</t>
  </si>
  <si>
    <t>Kolonna5998</t>
  </si>
  <si>
    <t>Kolonna5999</t>
  </si>
  <si>
    <t>Kolonna6000</t>
  </si>
  <si>
    <t>Kolonna6001</t>
  </si>
  <si>
    <t>Kolonna6002</t>
  </si>
  <si>
    <t>Kolonna6003</t>
  </si>
  <si>
    <t>Kolonna6004</t>
  </si>
  <si>
    <t>Kolonna6005</t>
  </si>
  <si>
    <t>Kolonna6006</t>
  </si>
  <si>
    <t>Kolonna6007</t>
  </si>
  <si>
    <t>Kolonna6008</t>
  </si>
  <si>
    <t>Kolonna6009</t>
  </si>
  <si>
    <t>Kolonna6010</t>
  </si>
  <si>
    <t>Kolonna6011</t>
  </si>
  <si>
    <t>Kolonna6012</t>
  </si>
  <si>
    <t>Kolonna6013</t>
  </si>
  <si>
    <t>Kolonna6014</t>
  </si>
  <si>
    <t>Kolonna6015</t>
  </si>
  <si>
    <t>Kolonna6016</t>
  </si>
  <si>
    <t>Kolonna6017</t>
  </si>
  <si>
    <t>Kolonna6018</t>
  </si>
  <si>
    <t>Kolonna6019</t>
  </si>
  <si>
    <t>Kolonna6020</t>
  </si>
  <si>
    <t>Kolonna6021</t>
  </si>
  <si>
    <t>Kolonna6022</t>
  </si>
  <si>
    <t>Kolonna6023</t>
  </si>
  <si>
    <t>Kolonna6024</t>
  </si>
  <si>
    <t>Kolonna6025</t>
  </si>
  <si>
    <t>Kolonna6026</t>
  </si>
  <si>
    <t>Kolonna6027</t>
  </si>
  <si>
    <t>Kolonna6028</t>
  </si>
  <si>
    <t>Kolonna6029</t>
  </si>
  <si>
    <t>Kolonna6030</t>
  </si>
  <si>
    <t>Kolonna6031</t>
  </si>
  <si>
    <t>Kolonna6032</t>
  </si>
  <si>
    <t>Kolonna6033</t>
  </si>
  <si>
    <t>Kolonna6034</t>
  </si>
  <si>
    <t>Kolonna6035</t>
  </si>
  <si>
    <t>Kolonna6036</t>
  </si>
  <si>
    <t>Kolonna6037</t>
  </si>
  <si>
    <t>Kolonna6038</t>
  </si>
  <si>
    <t>Kolonna6039</t>
  </si>
  <si>
    <t>Kolonna6040</t>
  </si>
  <si>
    <t>Kolonna6041</t>
  </si>
  <si>
    <t>Kolonna6042</t>
  </si>
  <si>
    <t>Kolonna6043</t>
  </si>
  <si>
    <t>Kolonna6044</t>
  </si>
  <si>
    <t>Kolonna6045</t>
  </si>
  <si>
    <t>Kolonna6046</t>
  </si>
  <si>
    <t>Kolonna6047</t>
  </si>
  <si>
    <t>Kolonna6048</t>
  </si>
  <si>
    <t>Kolonna6049</t>
  </si>
  <si>
    <t>Kolonna6050</t>
  </si>
  <si>
    <t>Kolonna6051</t>
  </si>
  <si>
    <t>Kolonna6052</t>
  </si>
  <si>
    <t>Kolonna6053</t>
  </si>
  <si>
    <t>Kolonna6054</t>
  </si>
  <si>
    <t>Kolonna6055</t>
  </si>
  <si>
    <t>Kolonna6056</t>
  </si>
  <si>
    <t>Kolonna6057</t>
  </si>
  <si>
    <t>Kolonna6058</t>
  </si>
  <si>
    <t>Kolonna6059</t>
  </si>
  <si>
    <t>Kolonna6060</t>
  </si>
  <si>
    <t>Kolonna6061</t>
  </si>
  <si>
    <t>Kolonna6062</t>
  </si>
  <si>
    <t>Kolonna6063</t>
  </si>
  <si>
    <t>Kolonna6064</t>
  </si>
  <si>
    <t>Kolonna6065</t>
  </si>
  <si>
    <t>Kolonna6066</t>
  </si>
  <si>
    <t>Kolonna6067</t>
  </si>
  <si>
    <t>Kolonna6068</t>
  </si>
  <si>
    <t>Kolonna6069</t>
  </si>
  <si>
    <t>Kolonna6070</t>
  </si>
  <si>
    <t>Kolonna6071</t>
  </si>
  <si>
    <t>Kolonna6072</t>
  </si>
  <si>
    <t>Kolonna6073</t>
  </si>
  <si>
    <t>Kolonna6074</t>
  </si>
  <si>
    <t>Kolonna6075</t>
  </si>
  <si>
    <t>Kolonna6076</t>
  </si>
  <si>
    <t>Kolonna6077</t>
  </si>
  <si>
    <t>Kolonna6078</t>
  </si>
  <si>
    <t>Kolonna6079</t>
  </si>
  <si>
    <t>Kolonna6080</t>
  </si>
  <si>
    <t>Kolonna6081</t>
  </si>
  <si>
    <t>Kolonna6082</t>
  </si>
  <si>
    <t>Kolonna6083</t>
  </si>
  <si>
    <t>Kolonna6084</t>
  </si>
  <si>
    <t>Kolonna6085</t>
  </si>
  <si>
    <t>Kolonna6086</t>
  </si>
  <si>
    <t>Kolonna6087</t>
  </si>
  <si>
    <t>Kolonna6088</t>
  </si>
  <si>
    <t>Kolonna6089</t>
  </si>
  <si>
    <t>Kolonna6090</t>
  </si>
  <si>
    <t>Kolonna6091</t>
  </si>
  <si>
    <t>Kolonna6092</t>
  </si>
  <si>
    <t>Kolonna6093</t>
  </si>
  <si>
    <t>Kolonna6094</t>
  </si>
  <si>
    <t>Kolonna6095</t>
  </si>
  <si>
    <t>Kolonna6096</t>
  </si>
  <si>
    <t>Kolonna6097</t>
  </si>
  <si>
    <t>Kolonna6098</t>
  </si>
  <si>
    <t>Kolonna6099</t>
  </si>
  <si>
    <t>Kolonna6100</t>
  </si>
  <si>
    <t>Kolonna6101</t>
  </si>
  <si>
    <t>Kolonna6102</t>
  </si>
  <si>
    <t>Kolonna6103</t>
  </si>
  <si>
    <t>Kolonna6104</t>
  </si>
  <si>
    <t>Kolonna6105</t>
  </si>
  <si>
    <t>Kolonna6106</t>
  </si>
  <si>
    <t>Kolonna6107</t>
  </si>
  <si>
    <t>Kolonna6108</t>
  </si>
  <si>
    <t>Kolonna6109</t>
  </si>
  <si>
    <t>Kolonna6110</t>
  </si>
  <si>
    <t>Kolonna6111</t>
  </si>
  <si>
    <t>Kolonna6112</t>
  </si>
  <si>
    <t>Kolonna6113</t>
  </si>
  <si>
    <t>Kolonna6114</t>
  </si>
  <si>
    <t>Kolonna6115</t>
  </si>
  <si>
    <t>Kolonna6116</t>
  </si>
  <si>
    <t>Kolonna6117</t>
  </si>
  <si>
    <t>Kolonna6118</t>
  </si>
  <si>
    <t>Kolonna6119</t>
  </si>
  <si>
    <t>Kolonna6120</t>
  </si>
  <si>
    <t>Kolonna6121</t>
  </si>
  <si>
    <t>Kolonna6122</t>
  </si>
  <si>
    <t>Kolonna6123</t>
  </si>
  <si>
    <t>Kolonna6124</t>
  </si>
  <si>
    <t>Kolonna6125</t>
  </si>
  <si>
    <t>Kolonna6126</t>
  </si>
  <si>
    <t>Kolonna6127</t>
  </si>
  <si>
    <t>Kolonna6128</t>
  </si>
  <si>
    <t>Kolonna6129</t>
  </si>
  <si>
    <t>Kolonna6130</t>
  </si>
  <si>
    <t>Kolonna6131</t>
  </si>
  <si>
    <t>Kolonna6132</t>
  </si>
  <si>
    <t>Kolonna6133</t>
  </si>
  <si>
    <t>Kolonna6134</t>
  </si>
  <si>
    <t>Kolonna6135</t>
  </si>
  <si>
    <t>Kolonna6136</t>
  </si>
  <si>
    <t>Kolonna6137</t>
  </si>
  <si>
    <t>Kolonna6138</t>
  </si>
  <si>
    <t>Kolonna6139</t>
  </si>
  <si>
    <t>Kolonna6140</t>
  </si>
  <si>
    <t>Kolonna6141</t>
  </si>
  <si>
    <t>Kolonna6142</t>
  </si>
  <si>
    <t>Kolonna6143</t>
  </si>
  <si>
    <t>Kolonna6144</t>
  </si>
  <si>
    <t>Kolonna6145</t>
  </si>
  <si>
    <t>Kolonna6146</t>
  </si>
  <si>
    <t>Kolonna6147</t>
  </si>
  <si>
    <t>Kolonna6148</t>
  </si>
  <si>
    <t>Kolonna6149</t>
  </si>
  <si>
    <t>Kolonna6150</t>
  </si>
  <si>
    <t>Kolonna6151</t>
  </si>
  <si>
    <t>Kolonna6152</t>
  </si>
  <si>
    <t>Kolonna6153</t>
  </si>
  <si>
    <t>Kolonna6154</t>
  </si>
  <si>
    <t>Kolonna6155</t>
  </si>
  <si>
    <t>Kolonna6156</t>
  </si>
  <si>
    <t>Kolonna6157</t>
  </si>
  <si>
    <t>Kolonna6158</t>
  </si>
  <si>
    <t>Kolonna6159</t>
  </si>
  <si>
    <t>Kolonna6160</t>
  </si>
  <si>
    <t>Kolonna6161</t>
  </si>
  <si>
    <t>Kolonna6162</t>
  </si>
  <si>
    <t>Kolonna6163</t>
  </si>
  <si>
    <t>Kolonna6164</t>
  </si>
  <si>
    <t>Kolonna6165</t>
  </si>
  <si>
    <t>Kolonna6166</t>
  </si>
  <si>
    <t>Kolonna6167</t>
  </si>
  <si>
    <t>Kolonna6168</t>
  </si>
  <si>
    <t>Kolonna6169</t>
  </si>
  <si>
    <t>Kolonna6170</t>
  </si>
  <si>
    <t>Kolonna6171</t>
  </si>
  <si>
    <t>Kolonna6172</t>
  </si>
  <si>
    <t>Kolonna6173</t>
  </si>
  <si>
    <t>Kolonna6174</t>
  </si>
  <si>
    <t>Kolonna6175</t>
  </si>
  <si>
    <t>Kolonna6176</t>
  </si>
  <si>
    <t>Kolonna6177</t>
  </si>
  <si>
    <t>Kolonna6178</t>
  </si>
  <si>
    <t>Kolonna6179</t>
  </si>
  <si>
    <t>Kolonna6180</t>
  </si>
  <si>
    <t>Kolonna6181</t>
  </si>
  <si>
    <t>Kolonna6182</t>
  </si>
  <si>
    <t>Kolonna6183</t>
  </si>
  <si>
    <t>Kolonna6184</t>
  </si>
  <si>
    <t>Kolonna6185</t>
  </si>
  <si>
    <t>Kolonna6186</t>
  </si>
  <si>
    <t>Kolonna6187</t>
  </si>
  <si>
    <t>Kolonna6188</t>
  </si>
  <si>
    <t>Kolonna6189</t>
  </si>
  <si>
    <t>Kolonna6190</t>
  </si>
  <si>
    <t>Kolonna6191</t>
  </si>
  <si>
    <t>Kolonna6192</t>
  </si>
  <si>
    <t>Kolonna6193</t>
  </si>
  <si>
    <t>Kolonna6194</t>
  </si>
  <si>
    <t>Kolonna6195</t>
  </si>
  <si>
    <t>Kolonna6196</t>
  </si>
  <si>
    <t>Kolonna6197</t>
  </si>
  <si>
    <t>Kolonna6198</t>
  </si>
  <si>
    <t>Kolonna6199</t>
  </si>
  <si>
    <t>Kolonna6200</t>
  </si>
  <si>
    <t>Kolonna6201</t>
  </si>
  <si>
    <t>Kolonna6202</t>
  </si>
  <si>
    <t>Kolonna6203</t>
  </si>
  <si>
    <t>Kolonna6204</t>
  </si>
  <si>
    <t>Kolonna6205</t>
  </si>
  <si>
    <t>Kolonna6206</t>
  </si>
  <si>
    <t>Kolonna6207</t>
  </si>
  <si>
    <t>Kolonna6208</t>
  </si>
  <si>
    <t>Kolonna6209</t>
  </si>
  <si>
    <t>Kolonna6210</t>
  </si>
  <si>
    <t>Kolonna6211</t>
  </si>
  <si>
    <t>Kolonna6212</t>
  </si>
  <si>
    <t>Kolonna6213</t>
  </si>
  <si>
    <t>Kolonna6214</t>
  </si>
  <si>
    <t>Kolonna6215</t>
  </si>
  <si>
    <t>Kolonna6216</t>
  </si>
  <si>
    <t>Kolonna6217</t>
  </si>
  <si>
    <t>Kolonna6218</t>
  </si>
  <si>
    <t>Kolonna6219</t>
  </si>
  <si>
    <t>Kolonna6220</t>
  </si>
  <si>
    <t>Kolonna6221</t>
  </si>
  <si>
    <t>Kolonna6222</t>
  </si>
  <si>
    <t>Kolonna6223</t>
  </si>
  <si>
    <t>Kolonna6224</t>
  </si>
  <si>
    <t>Kolonna6225</t>
  </si>
  <si>
    <t>Kolonna6226</t>
  </si>
  <si>
    <t>Kolonna6227</t>
  </si>
  <si>
    <t>Kolonna6228</t>
  </si>
  <si>
    <t>Kolonna6229</t>
  </si>
  <si>
    <t>Kolonna6230</t>
  </si>
  <si>
    <t>Kolonna6231</t>
  </si>
  <si>
    <t>Kolonna6232</t>
  </si>
  <si>
    <t>Kolonna6233</t>
  </si>
  <si>
    <t>Kolonna6234</t>
  </si>
  <si>
    <t>Kolonna6235</t>
  </si>
  <si>
    <t>Kolonna6236</t>
  </si>
  <si>
    <t>Kolonna6237</t>
  </si>
  <si>
    <t>Kolonna6238</t>
  </si>
  <si>
    <t>Kolonna6239</t>
  </si>
  <si>
    <t>Kolonna6240</t>
  </si>
  <si>
    <t>Kolonna6241</t>
  </si>
  <si>
    <t>Kolonna6242</t>
  </si>
  <si>
    <t>Kolonna6243</t>
  </si>
  <si>
    <t>Kolonna6244</t>
  </si>
  <si>
    <t>Kolonna6245</t>
  </si>
  <si>
    <t>Kolonna6246</t>
  </si>
  <si>
    <t>Kolonna6247</t>
  </si>
  <si>
    <t>Kolonna6248</t>
  </si>
  <si>
    <t>Kolonna6249</t>
  </si>
  <si>
    <t>Kolonna6250</t>
  </si>
  <si>
    <t>Kolonna6251</t>
  </si>
  <si>
    <t>Kolonna6252</t>
  </si>
  <si>
    <t>Kolonna6253</t>
  </si>
  <si>
    <t>Kolonna6254</t>
  </si>
  <si>
    <t>Kolonna6255</t>
  </si>
  <si>
    <t>Kolonna6256</t>
  </si>
  <si>
    <t>Kolonna6257</t>
  </si>
  <si>
    <t>Kolonna6258</t>
  </si>
  <si>
    <t>Kolonna6259</t>
  </si>
  <si>
    <t>Kolonna6260</t>
  </si>
  <si>
    <t>Kolonna6261</t>
  </si>
  <si>
    <t>Kolonna6262</t>
  </si>
  <si>
    <t>Kolonna6263</t>
  </si>
  <si>
    <t>Kolonna6264</t>
  </si>
  <si>
    <t>Kolonna6265</t>
  </si>
  <si>
    <t>Kolonna6266</t>
  </si>
  <si>
    <t>Kolonna6267</t>
  </si>
  <si>
    <t>Kolonna6268</t>
  </si>
  <si>
    <t>Kolonna6269</t>
  </si>
  <si>
    <t>Kolonna6270</t>
  </si>
  <si>
    <t>Kolonna6271</t>
  </si>
  <si>
    <t>Kolonna6272</t>
  </si>
  <si>
    <t>Kolonna6273</t>
  </si>
  <si>
    <t>Kolonna6274</t>
  </si>
  <si>
    <t>Kolonna6275</t>
  </si>
  <si>
    <t>Kolonna6276</t>
  </si>
  <si>
    <t>Kolonna6277</t>
  </si>
  <si>
    <t>Kolonna6278</t>
  </si>
  <si>
    <t>Kolonna6279</t>
  </si>
  <si>
    <t>Kolonna6280</t>
  </si>
  <si>
    <t>Kolonna6281</t>
  </si>
  <si>
    <t>Kolonna6282</t>
  </si>
  <si>
    <t>Kolonna6283</t>
  </si>
  <si>
    <t>Kolonna6284</t>
  </si>
  <si>
    <t>Kolonna6285</t>
  </si>
  <si>
    <t>Kolonna6286</t>
  </si>
  <si>
    <t>Kolonna6287</t>
  </si>
  <si>
    <t>Kolonna6288</t>
  </si>
  <si>
    <t>Kolonna6289</t>
  </si>
  <si>
    <t>Kolonna6290</t>
  </si>
  <si>
    <t>Kolonna6291</t>
  </si>
  <si>
    <t>Kolonna6292</t>
  </si>
  <si>
    <t>Kolonna6293</t>
  </si>
  <si>
    <t>Kolonna6294</t>
  </si>
  <si>
    <t>Kolonna6295</t>
  </si>
  <si>
    <t>Kolonna6296</t>
  </si>
  <si>
    <t>Kolonna6297</t>
  </si>
  <si>
    <t>Kolonna6298</t>
  </si>
  <si>
    <t>Kolonna6299</t>
  </si>
  <si>
    <t>Kolonna6300</t>
  </si>
  <si>
    <t>Kolonna6301</t>
  </si>
  <si>
    <t>Kolonna6302</t>
  </si>
  <si>
    <t>Kolonna6303</t>
  </si>
  <si>
    <t>Kolonna6304</t>
  </si>
  <si>
    <t>Kolonna6305</t>
  </si>
  <si>
    <t>Kolonna6306</t>
  </si>
  <si>
    <t>Kolonna6307</t>
  </si>
  <si>
    <t>Kolonna6308</t>
  </si>
  <si>
    <t>Kolonna6309</t>
  </si>
  <si>
    <t>Kolonna6310</t>
  </si>
  <si>
    <t>Kolonna6311</t>
  </si>
  <si>
    <t>Kolonna6312</t>
  </si>
  <si>
    <t>Kolonna6313</t>
  </si>
  <si>
    <t>Kolonna6314</t>
  </si>
  <si>
    <t>Kolonna6315</t>
  </si>
  <si>
    <t>Kolonna6316</t>
  </si>
  <si>
    <t>Kolonna6317</t>
  </si>
  <si>
    <t>Kolonna6318</t>
  </si>
  <si>
    <t>Kolonna6319</t>
  </si>
  <si>
    <t>Kolonna6320</t>
  </si>
  <si>
    <t>Kolonna6321</t>
  </si>
  <si>
    <t>Kolonna6322</t>
  </si>
  <si>
    <t>Kolonna6323</t>
  </si>
  <si>
    <t>Kolonna6324</t>
  </si>
  <si>
    <t>Kolonna6325</t>
  </si>
  <si>
    <t>Kolonna6326</t>
  </si>
  <si>
    <t>Kolonna6327</t>
  </si>
  <si>
    <t>Kolonna6328</t>
  </si>
  <si>
    <t>Kolonna6329</t>
  </si>
  <si>
    <t>Kolonna6330</t>
  </si>
  <si>
    <t>Kolonna6331</t>
  </si>
  <si>
    <t>Kolonna6332</t>
  </si>
  <si>
    <t>Kolonna6333</t>
  </si>
  <si>
    <t>Kolonna6334</t>
  </si>
  <si>
    <t>Kolonna6335</t>
  </si>
  <si>
    <t>Kolonna6336</t>
  </si>
  <si>
    <t>Kolonna6337</t>
  </si>
  <si>
    <t>Kolonna6338</t>
  </si>
  <si>
    <t>Kolonna6339</t>
  </si>
  <si>
    <t>Kolonna6340</t>
  </si>
  <si>
    <t>Kolonna6341</t>
  </si>
  <si>
    <t>Kolonna6342</t>
  </si>
  <si>
    <t>Kolonna6343</t>
  </si>
  <si>
    <t>Kolonna6344</t>
  </si>
  <si>
    <t>Kolonna6345</t>
  </si>
  <si>
    <t>Kolonna6346</t>
  </si>
  <si>
    <t>Kolonna6347</t>
  </si>
  <si>
    <t>Kolonna6348</t>
  </si>
  <si>
    <t>Kolonna6349</t>
  </si>
  <si>
    <t>Kolonna6350</t>
  </si>
  <si>
    <t>Kolonna6351</t>
  </si>
  <si>
    <t>Kolonna6352</t>
  </si>
  <si>
    <t>Kolonna6353</t>
  </si>
  <si>
    <t>Kolonna6354</t>
  </si>
  <si>
    <t>Kolonna6355</t>
  </si>
  <si>
    <t>Kolonna6356</t>
  </si>
  <si>
    <t>Kolonna6357</t>
  </si>
  <si>
    <t>Kolonna6358</t>
  </si>
  <si>
    <t>Kolonna6359</t>
  </si>
  <si>
    <t>Kolonna6360</t>
  </si>
  <si>
    <t>Kolonna6361</t>
  </si>
  <si>
    <t>Kolonna6362</t>
  </si>
  <si>
    <t>Kolonna6363</t>
  </si>
  <si>
    <t>Kolonna6364</t>
  </si>
  <si>
    <t>Kolonna6365</t>
  </si>
  <si>
    <t>Kolonna6366</t>
  </si>
  <si>
    <t>Kolonna6367</t>
  </si>
  <si>
    <t>Kolonna6368</t>
  </si>
  <si>
    <t>Kolonna6369</t>
  </si>
  <si>
    <t>Kolonna6370</t>
  </si>
  <si>
    <t>Kolonna6371</t>
  </si>
  <si>
    <t>Kolonna6372</t>
  </si>
  <si>
    <t>Kolonna6373</t>
  </si>
  <si>
    <t>Kolonna6374</t>
  </si>
  <si>
    <t>Kolonna6375</t>
  </si>
  <si>
    <t>Kolonna6376</t>
  </si>
  <si>
    <t>Kolonna6377</t>
  </si>
  <si>
    <t>Kolonna6378</t>
  </si>
  <si>
    <t>Kolonna6379</t>
  </si>
  <si>
    <t>Kolonna6380</t>
  </si>
  <si>
    <t>Kolonna6381</t>
  </si>
  <si>
    <t>Kolonna6382</t>
  </si>
  <si>
    <t>Kolonna6383</t>
  </si>
  <si>
    <t>Kolonna6384</t>
  </si>
  <si>
    <t>Kolonna6385</t>
  </si>
  <si>
    <t>Kolonna6386</t>
  </si>
  <si>
    <t>Kolonna6387</t>
  </si>
  <si>
    <t>Kolonna6388</t>
  </si>
  <si>
    <t>Kolonna6389</t>
  </si>
  <si>
    <t>Kolonna6390</t>
  </si>
  <si>
    <t>Kolonna6391</t>
  </si>
  <si>
    <t>Kolonna6392</t>
  </si>
  <si>
    <t>Kolonna6393</t>
  </si>
  <si>
    <t>Kolonna6394</t>
  </si>
  <si>
    <t>Kolonna6395</t>
  </si>
  <si>
    <t>Kolonna6396</t>
  </si>
  <si>
    <t>Kolonna6397</t>
  </si>
  <si>
    <t>Kolonna6398</t>
  </si>
  <si>
    <t>Kolonna6399</t>
  </si>
  <si>
    <t>Kolonna6400</t>
  </si>
  <si>
    <t>Kolonna6401</t>
  </si>
  <si>
    <t>Kolonna6402</t>
  </si>
  <si>
    <t>Kolonna6403</t>
  </si>
  <si>
    <t>Kolonna6404</t>
  </si>
  <si>
    <t>Kolonna6405</t>
  </si>
  <si>
    <t>Kolonna6406</t>
  </si>
  <si>
    <t>Kolonna6407</t>
  </si>
  <si>
    <t>Kolonna6408</t>
  </si>
  <si>
    <t>Kolonna6409</t>
  </si>
  <si>
    <t>Kolonna6410</t>
  </si>
  <si>
    <t>Kolonna6411</t>
  </si>
  <si>
    <t>Kolonna6412</t>
  </si>
  <si>
    <t>Kolonna6413</t>
  </si>
  <si>
    <t>Kolonna6414</t>
  </si>
  <si>
    <t>Kolonna6415</t>
  </si>
  <si>
    <t>Kolonna6416</t>
  </si>
  <si>
    <t>Kolonna6417</t>
  </si>
  <si>
    <t>Kolonna6418</t>
  </si>
  <si>
    <t>Kolonna6419</t>
  </si>
  <si>
    <t>Kolonna6420</t>
  </si>
  <si>
    <t>Kolonna6421</t>
  </si>
  <si>
    <t>Kolonna6422</t>
  </si>
  <si>
    <t>Kolonna6423</t>
  </si>
  <si>
    <t>Kolonna6424</t>
  </si>
  <si>
    <t>Kolonna6425</t>
  </si>
  <si>
    <t>Kolonna6426</t>
  </si>
  <si>
    <t>Kolonna6427</t>
  </si>
  <si>
    <t>Kolonna6428</t>
  </si>
  <si>
    <t>Kolonna6429</t>
  </si>
  <si>
    <t>Kolonna6430</t>
  </si>
  <si>
    <t>Kolonna6431</t>
  </si>
  <si>
    <t>Kolonna6432</t>
  </si>
  <si>
    <t>Kolonna6433</t>
  </si>
  <si>
    <t>Kolonna6434</t>
  </si>
  <si>
    <t>Kolonna6435</t>
  </si>
  <si>
    <t>Kolonna6436</t>
  </si>
  <si>
    <t>Kolonna6437</t>
  </si>
  <si>
    <t>Kolonna6438</t>
  </si>
  <si>
    <t>Kolonna6439</t>
  </si>
  <si>
    <t>Kolonna6440</t>
  </si>
  <si>
    <t>Kolonna6441</t>
  </si>
  <si>
    <t>Kolonna6442</t>
  </si>
  <si>
    <t>Kolonna6443</t>
  </si>
  <si>
    <t>Kolonna6444</t>
  </si>
  <si>
    <t>Kolonna6445</t>
  </si>
  <si>
    <t>Kolonna6446</t>
  </si>
  <si>
    <t>Kolonna6447</t>
  </si>
  <si>
    <t>Kolonna6448</t>
  </si>
  <si>
    <t>Kolonna6449</t>
  </si>
  <si>
    <t>Kolonna6450</t>
  </si>
  <si>
    <t>Kolonna6451</t>
  </si>
  <si>
    <t>Kolonna6452</t>
  </si>
  <si>
    <t>Kolonna6453</t>
  </si>
  <si>
    <t>Kolonna6454</t>
  </si>
  <si>
    <t>Kolonna6455</t>
  </si>
  <si>
    <t>Kolonna6456</t>
  </si>
  <si>
    <t>Kolonna6457</t>
  </si>
  <si>
    <t>Kolonna6458</t>
  </si>
  <si>
    <t>Kolonna6459</t>
  </si>
  <si>
    <t>Kolonna6460</t>
  </si>
  <si>
    <t>Kolonna6461</t>
  </si>
  <si>
    <t>Kolonna6462</t>
  </si>
  <si>
    <t>Kolonna6463</t>
  </si>
  <si>
    <t>Kolonna6464</t>
  </si>
  <si>
    <t>Kolonna6465</t>
  </si>
  <si>
    <t>Kolonna6466</t>
  </si>
  <si>
    <t>Kolonna6467</t>
  </si>
  <si>
    <t>Kolonna6468</t>
  </si>
  <si>
    <t>Kolonna6469</t>
  </si>
  <si>
    <t>Kolonna6470</t>
  </si>
  <si>
    <t>Kolonna6471</t>
  </si>
  <si>
    <t>Kolonna6472</t>
  </si>
  <si>
    <t>Kolonna6473</t>
  </si>
  <si>
    <t>Kolonna6474</t>
  </si>
  <si>
    <t>Kolonna6475</t>
  </si>
  <si>
    <t>Kolonna6476</t>
  </si>
  <si>
    <t>Kolonna6477</t>
  </si>
  <si>
    <t>Kolonna6478</t>
  </si>
  <si>
    <t>Kolonna6479</t>
  </si>
  <si>
    <t>Kolonna6480</t>
  </si>
  <si>
    <t>Kolonna6481</t>
  </si>
  <si>
    <t>Kolonna6482</t>
  </si>
  <si>
    <t>Kolonna6483</t>
  </si>
  <si>
    <t>Kolonna6484</t>
  </si>
  <si>
    <t>Kolonna6485</t>
  </si>
  <si>
    <t>Kolonna6486</t>
  </si>
  <si>
    <t>Kolonna6487</t>
  </si>
  <si>
    <t>Kolonna6488</t>
  </si>
  <si>
    <t>Kolonna6489</t>
  </si>
  <si>
    <t>Kolonna6490</t>
  </si>
  <si>
    <t>Kolonna6491</t>
  </si>
  <si>
    <t>Kolonna6492</t>
  </si>
  <si>
    <t>Kolonna6493</t>
  </si>
  <si>
    <t>Kolonna6494</t>
  </si>
  <si>
    <t>Kolonna6495</t>
  </si>
  <si>
    <t>Kolonna6496</t>
  </si>
  <si>
    <t>Kolonna6497</t>
  </si>
  <si>
    <t>Kolonna6498</t>
  </si>
  <si>
    <t>Kolonna6499</t>
  </si>
  <si>
    <t>Kolonna6500</t>
  </si>
  <si>
    <t>Kolonna6501</t>
  </si>
  <si>
    <t>Kolonna6502</t>
  </si>
  <si>
    <t>Kolonna6503</t>
  </si>
  <si>
    <t>Kolonna6504</t>
  </si>
  <si>
    <t>Kolonna6505</t>
  </si>
  <si>
    <t>Kolonna6506</t>
  </si>
  <si>
    <t>Kolonna6507</t>
  </si>
  <si>
    <t>Kolonna6508</t>
  </si>
  <si>
    <t>Kolonna6509</t>
  </si>
  <si>
    <t>Kolonna6510</t>
  </si>
  <si>
    <t>Kolonna6511</t>
  </si>
  <si>
    <t>Kolonna6512</t>
  </si>
  <si>
    <t>Kolonna6513</t>
  </si>
  <si>
    <t>Kolonna6514</t>
  </si>
  <si>
    <t>Kolonna6515</t>
  </si>
  <si>
    <t>Kolonna6516</t>
  </si>
  <si>
    <t>Kolonna6517</t>
  </si>
  <si>
    <t>Kolonna6518</t>
  </si>
  <si>
    <t>Kolonna6519</t>
  </si>
  <si>
    <t>Kolonna6520</t>
  </si>
  <si>
    <t>Kolonna6521</t>
  </si>
  <si>
    <t>Kolonna6522</t>
  </si>
  <si>
    <t>Kolonna6523</t>
  </si>
  <si>
    <t>Kolonna6524</t>
  </si>
  <si>
    <t>Kolonna6525</t>
  </si>
  <si>
    <t>Kolonna6526</t>
  </si>
  <si>
    <t>Kolonna6527</t>
  </si>
  <si>
    <t>Kolonna6528</t>
  </si>
  <si>
    <t>Kolonna6529</t>
  </si>
  <si>
    <t>Kolonna6530</t>
  </si>
  <si>
    <t>Kolonna6531</t>
  </si>
  <si>
    <t>Kolonna6532</t>
  </si>
  <si>
    <t>Kolonna6533</t>
  </si>
  <si>
    <t>Kolonna6534</t>
  </si>
  <si>
    <t>Kolonna6535</t>
  </si>
  <si>
    <t>Kolonna6536</t>
  </si>
  <si>
    <t>Kolonna6537</t>
  </si>
  <si>
    <t>Kolonna6538</t>
  </si>
  <si>
    <t>Kolonna6539</t>
  </si>
  <si>
    <t>Kolonna6540</t>
  </si>
  <si>
    <t>Kolonna6541</t>
  </si>
  <si>
    <t>Kolonna6542</t>
  </si>
  <si>
    <t>Kolonna6543</t>
  </si>
  <si>
    <t>Kolonna6544</t>
  </si>
  <si>
    <t>Kolonna6545</t>
  </si>
  <si>
    <t>Kolonna6546</t>
  </si>
  <si>
    <t>Kolonna6547</t>
  </si>
  <si>
    <t>Kolonna6548</t>
  </si>
  <si>
    <t>Kolonna6549</t>
  </si>
  <si>
    <t>Kolonna6550</t>
  </si>
  <si>
    <t>Kolonna6551</t>
  </si>
  <si>
    <t>Kolonna6552</t>
  </si>
  <si>
    <t>Kolonna6553</t>
  </si>
  <si>
    <t>Kolonna6554</t>
  </si>
  <si>
    <t>Kolonna6555</t>
  </si>
  <si>
    <t>Kolonna6556</t>
  </si>
  <si>
    <t>Kolonna6557</t>
  </si>
  <si>
    <t>Kolonna6558</t>
  </si>
  <si>
    <t>Kolonna6559</t>
  </si>
  <si>
    <t>Kolonna6560</t>
  </si>
  <si>
    <t>Kolonna6561</t>
  </si>
  <si>
    <t>Kolonna6562</t>
  </si>
  <si>
    <t>Kolonna6563</t>
  </si>
  <si>
    <t>Kolonna6564</t>
  </si>
  <si>
    <t>Kolonna6565</t>
  </si>
  <si>
    <t>Kolonna6566</t>
  </si>
  <si>
    <t>Kolonna6567</t>
  </si>
  <si>
    <t>Kolonna6568</t>
  </si>
  <si>
    <t>Kolonna6569</t>
  </si>
  <si>
    <t>Kolonna6570</t>
  </si>
  <si>
    <t>Kolonna6571</t>
  </si>
  <si>
    <t>Kolonna6572</t>
  </si>
  <si>
    <t>Kolonna6573</t>
  </si>
  <si>
    <t>Kolonna6574</t>
  </si>
  <si>
    <t>Kolonna6575</t>
  </si>
  <si>
    <t>Kolonna6576</t>
  </si>
  <si>
    <t>Kolonna6577</t>
  </si>
  <si>
    <t>Kolonna6578</t>
  </si>
  <si>
    <t>Kolonna6579</t>
  </si>
  <si>
    <t>Kolonna6580</t>
  </si>
  <si>
    <t>Kolonna6581</t>
  </si>
  <si>
    <t>Kolonna6582</t>
  </si>
  <si>
    <t>Kolonna6583</t>
  </si>
  <si>
    <t>Kolonna6584</t>
  </si>
  <si>
    <t>Kolonna6585</t>
  </si>
  <si>
    <t>Kolonna6586</t>
  </si>
  <si>
    <t>Kolonna6587</t>
  </si>
  <si>
    <t>Kolonna6588</t>
  </si>
  <si>
    <t>Kolonna6589</t>
  </si>
  <si>
    <t>Kolonna6590</t>
  </si>
  <si>
    <t>Kolonna6591</t>
  </si>
  <si>
    <t>Kolonna6592</t>
  </si>
  <si>
    <t>Kolonna6593</t>
  </si>
  <si>
    <t>Kolonna6594</t>
  </si>
  <si>
    <t>Kolonna6595</t>
  </si>
  <si>
    <t>Kolonna6596</t>
  </si>
  <si>
    <t>Kolonna6597</t>
  </si>
  <si>
    <t>Kolonna6598</t>
  </si>
  <si>
    <t>Kolonna6599</t>
  </si>
  <si>
    <t>Kolonna6600</t>
  </si>
  <si>
    <t>Kolonna6601</t>
  </si>
  <si>
    <t>Kolonna6602</t>
  </si>
  <si>
    <t>Kolonna6603</t>
  </si>
  <si>
    <t>Kolonna6604</t>
  </si>
  <si>
    <t>Kolonna6605</t>
  </si>
  <si>
    <t>Kolonna6606</t>
  </si>
  <si>
    <t>Kolonna6607</t>
  </si>
  <si>
    <t>Kolonna6608</t>
  </si>
  <si>
    <t>Kolonna6609</t>
  </si>
  <si>
    <t>Kolonna6610</t>
  </si>
  <si>
    <t>Kolonna6611</t>
  </si>
  <si>
    <t>Kolonna6612</t>
  </si>
  <si>
    <t>Kolonna6613</t>
  </si>
  <si>
    <t>Kolonna6614</t>
  </si>
  <si>
    <t>Kolonna6615</t>
  </si>
  <si>
    <t>Kolonna6616</t>
  </si>
  <si>
    <t>Kolonna6617</t>
  </si>
  <si>
    <t>Kolonna6618</t>
  </si>
  <si>
    <t>Kolonna6619</t>
  </si>
  <si>
    <t>Kolonna6620</t>
  </si>
  <si>
    <t>Kolonna6621</t>
  </si>
  <si>
    <t>Kolonna6622</t>
  </si>
  <si>
    <t>Kolonna6623</t>
  </si>
  <si>
    <t>Kolonna6624</t>
  </si>
  <si>
    <t>Kolonna6625</t>
  </si>
  <si>
    <t>Kolonna6626</t>
  </si>
  <si>
    <t>Kolonna6627</t>
  </si>
  <si>
    <t>Kolonna6628</t>
  </si>
  <si>
    <t>Kolonna6629</t>
  </si>
  <si>
    <t>Kolonna6630</t>
  </si>
  <si>
    <t>Kolonna6631</t>
  </si>
  <si>
    <t>Kolonna6632</t>
  </si>
  <si>
    <t>Kolonna6633</t>
  </si>
  <si>
    <t>Kolonna6634</t>
  </si>
  <si>
    <t>Kolonna6635</t>
  </si>
  <si>
    <t>Kolonna6636</t>
  </si>
  <si>
    <t>Kolonna6637</t>
  </si>
  <si>
    <t>Kolonna6638</t>
  </si>
  <si>
    <t>Kolonna6639</t>
  </si>
  <si>
    <t>Kolonna6640</t>
  </si>
  <si>
    <t>Kolonna6641</t>
  </si>
  <si>
    <t>Kolonna6642</t>
  </si>
  <si>
    <t>Kolonna6643</t>
  </si>
  <si>
    <t>Kolonna6644</t>
  </si>
  <si>
    <t>Kolonna6645</t>
  </si>
  <si>
    <t>Kolonna6646</t>
  </si>
  <si>
    <t>Kolonna6647</t>
  </si>
  <si>
    <t>Kolonna6648</t>
  </si>
  <si>
    <t>Kolonna6649</t>
  </si>
  <si>
    <t>Kolonna6650</t>
  </si>
  <si>
    <t>Kolonna6651</t>
  </si>
  <si>
    <t>Kolonna6652</t>
  </si>
  <si>
    <t>Kolonna6653</t>
  </si>
  <si>
    <t>Kolonna6654</t>
  </si>
  <si>
    <t>Kolonna6655</t>
  </si>
  <si>
    <t>Kolonna6656</t>
  </si>
  <si>
    <t>Kolonna6657</t>
  </si>
  <si>
    <t>Kolonna6658</t>
  </si>
  <si>
    <t>Kolonna6659</t>
  </si>
  <si>
    <t>Kolonna6660</t>
  </si>
  <si>
    <t>Kolonna6661</t>
  </si>
  <si>
    <t>Kolonna6662</t>
  </si>
  <si>
    <t>Kolonna6663</t>
  </si>
  <si>
    <t>Kolonna6664</t>
  </si>
  <si>
    <t>Kolonna6665</t>
  </si>
  <si>
    <t>Kolonna6666</t>
  </si>
  <si>
    <t>Kolonna6667</t>
  </si>
  <si>
    <t>Kolonna6668</t>
  </si>
  <si>
    <t>Kolonna6669</t>
  </si>
  <si>
    <t>Kolonna6670</t>
  </si>
  <si>
    <t>Kolonna6671</t>
  </si>
  <si>
    <t>Kolonna6672</t>
  </si>
  <si>
    <t>Kolonna6673</t>
  </si>
  <si>
    <t>Kolonna6674</t>
  </si>
  <si>
    <t>Kolonna6675</t>
  </si>
  <si>
    <t>Kolonna6676</t>
  </si>
  <si>
    <t>Kolonna6677</t>
  </si>
  <si>
    <t>Kolonna6678</t>
  </si>
  <si>
    <t>Kolonna6679</t>
  </si>
  <si>
    <t>Kolonna6680</t>
  </si>
  <si>
    <t>Kolonna6681</t>
  </si>
  <si>
    <t>Kolonna6682</t>
  </si>
  <si>
    <t>Kolonna6683</t>
  </si>
  <si>
    <t>Kolonna6684</t>
  </si>
  <si>
    <t>Kolonna6685</t>
  </si>
  <si>
    <t>Kolonna6686</t>
  </si>
  <si>
    <t>Kolonna6687</t>
  </si>
  <si>
    <t>Kolonna6688</t>
  </si>
  <si>
    <t>Kolonna6689</t>
  </si>
  <si>
    <t>Kolonna6690</t>
  </si>
  <si>
    <t>Kolonna6691</t>
  </si>
  <si>
    <t>Kolonna6692</t>
  </si>
  <si>
    <t>Kolonna6693</t>
  </si>
  <si>
    <t>Kolonna6694</t>
  </si>
  <si>
    <t>Kolonna6695</t>
  </si>
  <si>
    <t>Kolonna6696</t>
  </si>
  <si>
    <t>Kolonna6697</t>
  </si>
  <si>
    <t>Kolonna6698</t>
  </si>
  <si>
    <t>Kolonna6699</t>
  </si>
  <si>
    <t>Kolonna6700</t>
  </si>
  <si>
    <t>Kolonna6701</t>
  </si>
  <si>
    <t>Kolonna6702</t>
  </si>
  <si>
    <t>Kolonna6703</t>
  </si>
  <si>
    <t>Kolonna6704</t>
  </si>
  <si>
    <t>Kolonna6705</t>
  </si>
  <si>
    <t>Kolonna6706</t>
  </si>
  <si>
    <t>Kolonna6707</t>
  </si>
  <si>
    <t>Kolonna6708</t>
  </si>
  <si>
    <t>Kolonna6709</t>
  </si>
  <si>
    <t>Kolonna6710</t>
  </si>
  <si>
    <t>Kolonna6711</t>
  </si>
  <si>
    <t>Kolonna6712</t>
  </si>
  <si>
    <t>Kolonna6713</t>
  </si>
  <si>
    <t>Kolonna6714</t>
  </si>
  <si>
    <t>Kolonna6715</t>
  </si>
  <si>
    <t>Kolonna6716</t>
  </si>
  <si>
    <t>Kolonna6717</t>
  </si>
  <si>
    <t>Kolonna6718</t>
  </si>
  <si>
    <t>Kolonna6719</t>
  </si>
  <si>
    <t>Kolonna6720</t>
  </si>
  <si>
    <t>Kolonna6721</t>
  </si>
  <si>
    <t>Kolonna6722</t>
  </si>
  <si>
    <t>Kolonna6723</t>
  </si>
  <si>
    <t>Kolonna6724</t>
  </si>
  <si>
    <t>Kolonna6725</t>
  </si>
  <si>
    <t>Kolonna6726</t>
  </si>
  <si>
    <t>Kolonna6727</t>
  </si>
  <si>
    <t>Kolonna6728</t>
  </si>
  <si>
    <t>Kolonna6729</t>
  </si>
  <si>
    <t>Kolonna6730</t>
  </si>
  <si>
    <t>Kolonna6731</t>
  </si>
  <si>
    <t>Kolonna6732</t>
  </si>
  <si>
    <t>Kolonna6733</t>
  </si>
  <si>
    <t>Kolonna6734</t>
  </si>
  <si>
    <t>Kolonna6735</t>
  </si>
  <si>
    <t>Kolonna6736</t>
  </si>
  <si>
    <t>Kolonna6737</t>
  </si>
  <si>
    <t>Kolonna6738</t>
  </si>
  <si>
    <t>Kolonna6739</t>
  </si>
  <si>
    <t>Kolonna6740</t>
  </si>
  <si>
    <t>Kolonna6741</t>
  </si>
  <si>
    <t>Kolonna6742</t>
  </si>
  <si>
    <t>Kolonna6743</t>
  </si>
  <si>
    <t>Kolonna6744</t>
  </si>
  <si>
    <t>Kolonna6745</t>
  </si>
  <si>
    <t>Kolonna6746</t>
  </si>
  <si>
    <t>Kolonna6747</t>
  </si>
  <si>
    <t>Kolonna6748</t>
  </si>
  <si>
    <t>Kolonna6749</t>
  </si>
  <si>
    <t>Kolonna6750</t>
  </si>
  <si>
    <t>Kolonna6751</t>
  </si>
  <si>
    <t>Kolonna6752</t>
  </si>
  <si>
    <t>Kolonna6753</t>
  </si>
  <si>
    <t>Kolonna6754</t>
  </si>
  <si>
    <t>Kolonna6755</t>
  </si>
  <si>
    <t>Kolonna6756</t>
  </si>
  <si>
    <t>Kolonna6757</t>
  </si>
  <si>
    <t>Kolonna6758</t>
  </si>
  <si>
    <t>Kolonna6759</t>
  </si>
  <si>
    <t>Kolonna6760</t>
  </si>
  <si>
    <t>Kolonna6761</t>
  </si>
  <si>
    <t>Kolonna6762</t>
  </si>
  <si>
    <t>Kolonna6763</t>
  </si>
  <si>
    <t>Kolonna6764</t>
  </si>
  <si>
    <t>Kolonna6765</t>
  </si>
  <si>
    <t>Kolonna6766</t>
  </si>
  <si>
    <t>Kolonna6767</t>
  </si>
  <si>
    <t>Kolonna6768</t>
  </si>
  <si>
    <t>Kolonna6769</t>
  </si>
  <si>
    <t>Kolonna6770</t>
  </si>
  <si>
    <t>Kolonna6771</t>
  </si>
  <si>
    <t>Kolonna6772</t>
  </si>
  <si>
    <t>Kolonna6773</t>
  </si>
  <si>
    <t>Kolonna6774</t>
  </si>
  <si>
    <t>Kolonna6775</t>
  </si>
  <si>
    <t>Kolonna6776</t>
  </si>
  <si>
    <t>Kolonna6777</t>
  </si>
  <si>
    <t>Kolonna6778</t>
  </si>
  <si>
    <t>Kolonna6779</t>
  </si>
  <si>
    <t>Kolonna6780</t>
  </si>
  <si>
    <t>Kolonna6781</t>
  </si>
  <si>
    <t>Kolonna6782</t>
  </si>
  <si>
    <t>Kolonna6783</t>
  </si>
  <si>
    <t>Kolonna6784</t>
  </si>
  <si>
    <t>Kolonna6785</t>
  </si>
  <si>
    <t>Kolonna6786</t>
  </si>
  <si>
    <t>Kolonna6787</t>
  </si>
  <si>
    <t>Kolonna6788</t>
  </si>
  <si>
    <t>Kolonna6789</t>
  </si>
  <si>
    <t>Kolonna6790</t>
  </si>
  <si>
    <t>Kolonna6791</t>
  </si>
  <si>
    <t>Kolonna6792</t>
  </si>
  <si>
    <t>Kolonna6793</t>
  </si>
  <si>
    <t>Kolonna6794</t>
  </si>
  <si>
    <t>Kolonna6795</t>
  </si>
  <si>
    <t>Kolonna6796</t>
  </si>
  <si>
    <t>Kolonna6797</t>
  </si>
  <si>
    <t>Kolonna6798</t>
  </si>
  <si>
    <t>Kolonna6799</t>
  </si>
  <si>
    <t>Kolonna6800</t>
  </si>
  <si>
    <t>Kolonna6801</t>
  </si>
  <si>
    <t>Kolonna6802</t>
  </si>
  <si>
    <t>Kolonna6803</t>
  </si>
  <si>
    <t>Kolonna6804</t>
  </si>
  <si>
    <t>Kolonna6805</t>
  </si>
  <si>
    <t>Kolonna6806</t>
  </si>
  <si>
    <t>Kolonna6807</t>
  </si>
  <si>
    <t>Kolonna6808</t>
  </si>
  <si>
    <t>Kolonna6809</t>
  </si>
  <si>
    <t>Kolonna6810</t>
  </si>
  <si>
    <t>Kolonna6811</t>
  </si>
  <si>
    <t>Kolonna6812</t>
  </si>
  <si>
    <t>Kolonna6813</t>
  </si>
  <si>
    <t>Kolonna6814</t>
  </si>
  <si>
    <t>Kolonna6815</t>
  </si>
  <si>
    <t>Kolonna6816</t>
  </si>
  <si>
    <t>Kolonna6817</t>
  </si>
  <si>
    <t>Kolonna6818</t>
  </si>
  <si>
    <t>Kolonna6819</t>
  </si>
  <si>
    <t>Kolonna6820</t>
  </si>
  <si>
    <t>Kolonna6821</t>
  </si>
  <si>
    <t>Kolonna6822</t>
  </si>
  <si>
    <t>Kolonna6823</t>
  </si>
  <si>
    <t>Kolonna6824</t>
  </si>
  <si>
    <t>Kolonna6825</t>
  </si>
  <si>
    <t>Kolonna6826</t>
  </si>
  <si>
    <t>Kolonna6827</t>
  </si>
  <si>
    <t>Kolonna6828</t>
  </si>
  <si>
    <t>Kolonna6829</t>
  </si>
  <si>
    <t>Kolonna6830</t>
  </si>
  <si>
    <t>Kolonna6831</t>
  </si>
  <si>
    <t>Kolonna6832</t>
  </si>
  <si>
    <t>Kolonna6833</t>
  </si>
  <si>
    <t>Kolonna6834</t>
  </si>
  <si>
    <t>Kolonna6835</t>
  </si>
  <si>
    <t>Kolonna6836</t>
  </si>
  <si>
    <t>Kolonna6837</t>
  </si>
  <si>
    <t>Kolonna6838</t>
  </si>
  <si>
    <t>Kolonna6839</t>
  </si>
  <si>
    <t>Kolonna6840</t>
  </si>
  <si>
    <t>Kolonna6841</t>
  </si>
  <si>
    <t>Kolonna6842</t>
  </si>
  <si>
    <t>Kolonna6843</t>
  </si>
  <si>
    <t>Kolonna6844</t>
  </si>
  <si>
    <t>Kolonna6845</t>
  </si>
  <si>
    <t>Kolonna6846</t>
  </si>
  <si>
    <t>Kolonna6847</t>
  </si>
  <si>
    <t>Kolonna6848</t>
  </si>
  <si>
    <t>Kolonna6849</t>
  </si>
  <si>
    <t>Kolonna6850</t>
  </si>
  <si>
    <t>Kolonna6851</t>
  </si>
  <si>
    <t>Kolonna6852</t>
  </si>
  <si>
    <t>Kolonna6853</t>
  </si>
  <si>
    <t>Kolonna6854</t>
  </si>
  <si>
    <t>Kolonna6855</t>
  </si>
  <si>
    <t>Kolonna6856</t>
  </si>
  <si>
    <t>Kolonna6857</t>
  </si>
  <si>
    <t>Kolonna6858</t>
  </si>
  <si>
    <t>Kolonna6859</t>
  </si>
  <si>
    <t>Kolonna6860</t>
  </si>
  <si>
    <t>Kolonna6861</t>
  </si>
  <si>
    <t>Kolonna6862</t>
  </si>
  <si>
    <t>Kolonna6863</t>
  </si>
  <si>
    <t>Kolonna6864</t>
  </si>
  <si>
    <t>Kolonna6865</t>
  </si>
  <si>
    <t>Kolonna6866</t>
  </si>
  <si>
    <t>Kolonna6867</t>
  </si>
  <si>
    <t>Kolonna6868</t>
  </si>
  <si>
    <t>Kolonna6869</t>
  </si>
  <si>
    <t>Kolonna6870</t>
  </si>
  <si>
    <t>Kolonna6871</t>
  </si>
  <si>
    <t>Kolonna6872</t>
  </si>
  <si>
    <t>Kolonna6873</t>
  </si>
  <si>
    <t>Kolonna6874</t>
  </si>
  <si>
    <t>Kolonna6875</t>
  </si>
  <si>
    <t>Kolonna6876</t>
  </si>
  <si>
    <t>Kolonna6877</t>
  </si>
  <si>
    <t>Kolonna6878</t>
  </si>
  <si>
    <t>Kolonna6879</t>
  </si>
  <si>
    <t>Kolonna6880</t>
  </si>
  <si>
    <t>Kolonna6881</t>
  </si>
  <si>
    <t>Kolonna6882</t>
  </si>
  <si>
    <t>Kolonna6883</t>
  </si>
  <si>
    <t>Kolonna6884</t>
  </si>
  <si>
    <t>Kolonna6885</t>
  </si>
  <si>
    <t>Kolonna6886</t>
  </si>
  <si>
    <t>Kolonna6887</t>
  </si>
  <si>
    <t>Kolonna6888</t>
  </si>
  <si>
    <t>Kolonna6889</t>
  </si>
  <si>
    <t>Kolonna6890</t>
  </si>
  <si>
    <t>Kolonna6891</t>
  </si>
  <si>
    <t>Kolonna6892</t>
  </si>
  <si>
    <t>Kolonna6893</t>
  </si>
  <si>
    <t>Kolonna6894</t>
  </si>
  <si>
    <t>Kolonna6895</t>
  </si>
  <si>
    <t>Kolonna6896</t>
  </si>
  <si>
    <t>Kolonna6897</t>
  </si>
  <si>
    <t>Kolonna6898</t>
  </si>
  <si>
    <t>Kolonna6899</t>
  </si>
  <si>
    <t>Kolonna6900</t>
  </si>
  <si>
    <t>Kolonna6901</t>
  </si>
  <si>
    <t>Kolonna6902</t>
  </si>
  <si>
    <t>Kolonna6903</t>
  </si>
  <si>
    <t>Kolonna6904</t>
  </si>
  <si>
    <t>Kolonna6905</t>
  </si>
  <si>
    <t>Kolonna6906</t>
  </si>
  <si>
    <t>Kolonna6907</t>
  </si>
  <si>
    <t>Kolonna6908</t>
  </si>
  <si>
    <t>Kolonna6909</t>
  </si>
  <si>
    <t>Kolonna6910</t>
  </si>
  <si>
    <t>Kolonna6911</t>
  </si>
  <si>
    <t>Kolonna6912</t>
  </si>
  <si>
    <t>Kolonna6913</t>
  </si>
  <si>
    <t>Kolonna6914</t>
  </si>
  <si>
    <t>Kolonna6915</t>
  </si>
  <si>
    <t>Kolonna6916</t>
  </si>
  <si>
    <t>Kolonna6917</t>
  </si>
  <si>
    <t>Kolonna6918</t>
  </si>
  <si>
    <t>Kolonna6919</t>
  </si>
  <si>
    <t>Kolonna6920</t>
  </si>
  <si>
    <t>Kolonna6921</t>
  </si>
  <si>
    <t>Kolonna6922</t>
  </si>
  <si>
    <t>Kolonna6923</t>
  </si>
  <si>
    <t>Kolonna6924</t>
  </si>
  <si>
    <t>Kolonna6925</t>
  </si>
  <si>
    <t>Kolonna6926</t>
  </si>
  <si>
    <t>Kolonna6927</t>
  </si>
  <si>
    <t>Kolonna6928</t>
  </si>
  <si>
    <t>Kolonna6929</t>
  </si>
  <si>
    <t>Kolonna6930</t>
  </si>
  <si>
    <t>Kolonna6931</t>
  </si>
  <si>
    <t>Kolonna6932</t>
  </si>
  <si>
    <t>Kolonna6933</t>
  </si>
  <si>
    <t>Kolonna6934</t>
  </si>
  <si>
    <t>Kolonna6935</t>
  </si>
  <si>
    <t>Kolonna6936</t>
  </si>
  <si>
    <t>Kolonna6937</t>
  </si>
  <si>
    <t>Kolonna6938</t>
  </si>
  <si>
    <t>Kolonna6939</t>
  </si>
  <si>
    <t>Kolonna6940</t>
  </si>
  <si>
    <t>Kolonna6941</t>
  </si>
  <si>
    <t>Kolonna6942</t>
  </si>
  <si>
    <t>Kolonna6943</t>
  </si>
  <si>
    <t>Kolonna6944</t>
  </si>
  <si>
    <t>Kolonna6945</t>
  </si>
  <si>
    <t>Kolonna6946</t>
  </si>
  <si>
    <t>Kolonna6947</t>
  </si>
  <si>
    <t>Kolonna6948</t>
  </si>
  <si>
    <t>Kolonna6949</t>
  </si>
  <si>
    <t>Kolonna6950</t>
  </si>
  <si>
    <t>Kolonna6951</t>
  </si>
  <si>
    <t>Kolonna6952</t>
  </si>
  <si>
    <t>Kolonna6953</t>
  </si>
  <si>
    <t>Kolonna6954</t>
  </si>
  <si>
    <t>Kolonna6955</t>
  </si>
  <si>
    <t>Kolonna6956</t>
  </si>
  <si>
    <t>Kolonna6957</t>
  </si>
  <si>
    <t>Kolonna6958</t>
  </si>
  <si>
    <t>Kolonna6959</t>
  </si>
  <si>
    <t>Kolonna6960</t>
  </si>
  <si>
    <t>Kolonna6961</t>
  </si>
  <si>
    <t>Kolonna6962</t>
  </si>
  <si>
    <t>Kolonna6963</t>
  </si>
  <si>
    <t>Kolonna6964</t>
  </si>
  <si>
    <t>Kolonna6965</t>
  </si>
  <si>
    <t>Kolonna6966</t>
  </si>
  <si>
    <t>Kolonna6967</t>
  </si>
  <si>
    <t>Kolonna6968</t>
  </si>
  <si>
    <t>Kolonna6969</t>
  </si>
  <si>
    <t>Kolonna6970</t>
  </si>
  <si>
    <t>Kolonna6971</t>
  </si>
  <si>
    <t>Kolonna6972</t>
  </si>
  <si>
    <t>Kolonna6973</t>
  </si>
  <si>
    <t>Kolonna6974</t>
  </si>
  <si>
    <t>Kolonna6975</t>
  </si>
  <si>
    <t>Kolonna6976</t>
  </si>
  <si>
    <t>Kolonna6977</t>
  </si>
  <si>
    <t>Kolonna6978</t>
  </si>
  <si>
    <t>Kolonna6979</t>
  </si>
  <si>
    <t>Kolonna6980</t>
  </si>
  <si>
    <t>Kolonna6981</t>
  </si>
  <si>
    <t>Kolonna6982</t>
  </si>
  <si>
    <t>Kolonna6983</t>
  </si>
  <si>
    <t>Kolonna6984</t>
  </si>
  <si>
    <t>Kolonna6985</t>
  </si>
  <si>
    <t>Kolonna6986</t>
  </si>
  <si>
    <t>Kolonna6987</t>
  </si>
  <si>
    <t>Kolonna6988</t>
  </si>
  <si>
    <t>Kolonna6989</t>
  </si>
  <si>
    <t>Kolonna6990</t>
  </si>
  <si>
    <t>Kolonna6991</t>
  </si>
  <si>
    <t>Kolonna6992</t>
  </si>
  <si>
    <t>Kolonna6993</t>
  </si>
  <si>
    <t>Kolonna6994</t>
  </si>
  <si>
    <t>Kolonna6995</t>
  </si>
  <si>
    <t>Kolonna6996</t>
  </si>
  <si>
    <t>Kolonna6997</t>
  </si>
  <si>
    <t>Kolonna6998</t>
  </si>
  <si>
    <t>Kolonna6999</t>
  </si>
  <si>
    <t>Kolonna7000</t>
  </si>
  <si>
    <t>Kolonna7001</t>
  </si>
  <si>
    <t>Kolonna7002</t>
  </si>
  <si>
    <t>Kolonna7003</t>
  </si>
  <si>
    <t>Kolonna7004</t>
  </si>
  <si>
    <t>Kolonna7005</t>
  </si>
  <si>
    <t>Kolonna7006</t>
  </si>
  <si>
    <t>Kolonna7007</t>
  </si>
  <si>
    <t>Kolonna7008</t>
  </si>
  <si>
    <t>Kolonna7009</t>
  </si>
  <si>
    <t>Kolonna7010</t>
  </si>
  <si>
    <t>Kolonna7011</t>
  </si>
  <si>
    <t>Kolonna7012</t>
  </si>
  <si>
    <t>Kolonna7013</t>
  </si>
  <si>
    <t>Kolonna7014</t>
  </si>
  <si>
    <t>Kolonna7015</t>
  </si>
  <si>
    <t>Kolonna7016</t>
  </si>
  <si>
    <t>Kolonna7017</t>
  </si>
  <si>
    <t>Kolonna7018</t>
  </si>
  <si>
    <t>Kolonna7019</t>
  </si>
  <si>
    <t>Kolonna7020</t>
  </si>
  <si>
    <t>Kolonna7021</t>
  </si>
  <si>
    <t>Kolonna7022</t>
  </si>
  <si>
    <t>Kolonna7023</t>
  </si>
  <si>
    <t>Kolonna7024</t>
  </si>
  <si>
    <t>Kolonna7025</t>
  </si>
  <si>
    <t>Kolonna7026</t>
  </si>
  <si>
    <t>Kolonna7027</t>
  </si>
  <si>
    <t>Kolonna7028</t>
  </si>
  <si>
    <t>Kolonna7029</t>
  </si>
  <si>
    <t>Kolonna7030</t>
  </si>
  <si>
    <t>Kolonna7031</t>
  </si>
  <si>
    <t>Kolonna7032</t>
  </si>
  <si>
    <t>Kolonna7033</t>
  </si>
  <si>
    <t>Kolonna7034</t>
  </si>
  <si>
    <t>Kolonna7035</t>
  </si>
  <si>
    <t>Kolonna7036</t>
  </si>
  <si>
    <t>Kolonna7037</t>
  </si>
  <si>
    <t>Kolonna7038</t>
  </si>
  <si>
    <t>Kolonna7039</t>
  </si>
  <si>
    <t>Kolonna7040</t>
  </si>
  <si>
    <t>Kolonna7041</t>
  </si>
  <si>
    <t>Kolonna7042</t>
  </si>
  <si>
    <t>Kolonna7043</t>
  </si>
  <si>
    <t>Kolonna7044</t>
  </si>
  <si>
    <t>Kolonna7045</t>
  </si>
  <si>
    <t>Kolonna7046</t>
  </si>
  <si>
    <t>Kolonna7047</t>
  </si>
  <si>
    <t>Kolonna7048</t>
  </si>
  <si>
    <t>Kolonna7049</t>
  </si>
  <si>
    <t>Kolonna7050</t>
  </si>
  <si>
    <t>Kolonna7051</t>
  </si>
  <si>
    <t>Kolonna7052</t>
  </si>
  <si>
    <t>Kolonna7053</t>
  </si>
  <si>
    <t>Kolonna7054</t>
  </si>
  <si>
    <t>Kolonna7055</t>
  </si>
  <si>
    <t>Kolonna7056</t>
  </si>
  <si>
    <t>Kolonna7057</t>
  </si>
  <si>
    <t>Kolonna7058</t>
  </si>
  <si>
    <t>Kolonna7059</t>
  </si>
  <si>
    <t>Kolonna7060</t>
  </si>
  <si>
    <t>Kolonna7061</t>
  </si>
  <si>
    <t>Kolonna7062</t>
  </si>
  <si>
    <t>Kolonna7063</t>
  </si>
  <si>
    <t>Kolonna7064</t>
  </si>
  <si>
    <t>Kolonna7065</t>
  </si>
  <si>
    <t>Kolonna7066</t>
  </si>
  <si>
    <t>Kolonna7067</t>
  </si>
  <si>
    <t>Kolonna7068</t>
  </si>
  <si>
    <t>Kolonna7069</t>
  </si>
  <si>
    <t>Kolonna7070</t>
  </si>
  <si>
    <t>Kolonna7071</t>
  </si>
  <si>
    <t>Kolonna7072</t>
  </si>
  <si>
    <t>Kolonna7073</t>
  </si>
  <si>
    <t>Kolonna7074</t>
  </si>
  <si>
    <t>Kolonna7075</t>
  </si>
  <si>
    <t>Kolonna7076</t>
  </si>
  <si>
    <t>Kolonna7077</t>
  </si>
  <si>
    <t>Kolonna7078</t>
  </si>
  <si>
    <t>Kolonna7079</t>
  </si>
  <si>
    <t>Kolonna7080</t>
  </si>
  <si>
    <t>Kolonna7081</t>
  </si>
  <si>
    <t>Kolonna7082</t>
  </si>
  <si>
    <t>Kolonna7083</t>
  </si>
  <si>
    <t>Kolonna7084</t>
  </si>
  <si>
    <t>Kolonna7085</t>
  </si>
  <si>
    <t>Kolonna7086</t>
  </si>
  <si>
    <t>Kolonna7087</t>
  </si>
  <si>
    <t>Kolonna7088</t>
  </si>
  <si>
    <t>Kolonna7089</t>
  </si>
  <si>
    <t>Kolonna7090</t>
  </si>
  <si>
    <t>Kolonna7091</t>
  </si>
  <si>
    <t>Kolonna7092</t>
  </si>
  <si>
    <t>Kolonna7093</t>
  </si>
  <si>
    <t>Kolonna7094</t>
  </si>
  <si>
    <t>Kolonna7095</t>
  </si>
  <si>
    <t>Kolonna7096</t>
  </si>
  <si>
    <t>Kolonna7097</t>
  </si>
  <si>
    <t>Kolonna7098</t>
  </si>
  <si>
    <t>Kolonna7099</t>
  </si>
  <si>
    <t>Kolonna7100</t>
  </si>
  <si>
    <t>Kolonna7101</t>
  </si>
  <si>
    <t>Kolonna7102</t>
  </si>
  <si>
    <t>Kolonna7103</t>
  </si>
  <si>
    <t>Kolonna7104</t>
  </si>
  <si>
    <t>Kolonna7105</t>
  </si>
  <si>
    <t>Kolonna7106</t>
  </si>
  <si>
    <t>Kolonna7107</t>
  </si>
  <si>
    <t>Kolonna7108</t>
  </si>
  <si>
    <t>Kolonna7109</t>
  </si>
  <si>
    <t>Kolonna7110</t>
  </si>
  <si>
    <t>Kolonna7111</t>
  </si>
  <si>
    <t>Kolonna7112</t>
  </si>
  <si>
    <t>Kolonna7113</t>
  </si>
  <si>
    <t>Kolonna7114</t>
  </si>
  <si>
    <t>Kolonna7115</t>
  </si>
  <si>
    <t>Kolonna7116</t>
  </si>
  <si>
    <t>Kolonna7117</t>
  </si>
  <si>
    <t>Kolonna7118</t>
  </si>
  <si>
    <t>Kolonna7119</t>
  </si>
  <si>
    <t>Kolonna7120</t>
  </si>
  <si>
    <t>Kolonna7121</t>
  </si>
  <si>
    <t>Kolonna7122</t>
  </si>
  <si>
    <t>Kolonna7123</t>
  </si>
  <si>
    <t>Kolonna7124</t>
  </si>
  <si>
    <t>Kolonna7125</t>
  </si>
  <si>
    <t>Kolonna7126</t>
  </si>
  <si>
    <t>Kolonna7127</t>
  </si>
  <si>
    <t>Kolonna7128</t>
  </si>
  <si>
    <t>Kolonna7129</t>
  </si>
  <si>
    <t>Kolonna7130</t>
  </si>
  <si>
    <t>Kolonna7131</t>
  </si>
  <si>
    <t>Kolonna7132</t>
  </si>
  <si>
    <t>Kolonna7133</t>
  </si>
  <si>
    <t>Kolonna7134</t>
  </si>
  <si>
    <t>Kolonna7135</t>
  </si>
  <si>
    <t>Kolonna7136</t>
  </si>
  <si>
    <t>Kolonna7137</t>
  </si>
  <si>
    <t>Kolonna7138</t>
  </si>
  <si>
    <t>Kolonna7139</t>
  </si>
  <si>
    <t>Kolonna7140</t>
  </si>
  <si>
    <t>Kolonna7141</t>
  </si>
  <si>
    <t>Kolonna7142</t>
  </si>
  <si>
    <t>Kolonna7143</t>
  </si>
  <si>
    <t>Kolonna7144</t>
  </si>
  <si>
    <t>Kolonna7145</t>
  </si>
  <si>
    <t>Kolonna7146</t>
  </si>
  <si>
    <t>Kolonna7147</t>
  </si>
  <si>
    <t>Kolonna7148</t>
  </si>
  <si>
    <t>Kolonna7149</t>
  </si>
  <si>
    <t>Kolonna7150</t>
  </si>
  <si>
    <t>Kolonna7151</t>
  </si>
  <si>
    <t>Kolonna7152</t>
  </si>
  <si>
    <t>Kolonna7153</t>
  </si>
  <si>
    <t>Kolonna7154</t>
  </si>
  <si>
    <t>Kolonna7155</t>
  </si>
  <si>
    <t>Kolonna7156</t>
  </si>
  <si>
    <t>Kolonna7157</t>
  </si>
  <si>
    <t>Kolonna7158</t>
  </si>
  <si>
    <t>Kolonna7159</t>
  </si>
  <si>
    <t>Kolonna7160</t>
  </si>
  <si>
    <t>Kolonna7161</t>
  </si>
  <si>
    <t>Kolonna7162</t>
  </si>
  <si>
    <t>Kolonna7163</t>
  </si>
  <si>
    <t>Kolonna7164</t>
  </si>
  <si>
    <t>Kolonna7165</t>
  </si>
  <si>
    <t>Kolonna7166</t>
  </si>
  <si>
    <t>Kolonna7167</t>
  </si>
  <si>
    <t>Kolonna7168</t>
  </si>
  <si>
    <t>Kolonna7169</t>
  </si>
  <si>
    <t>Kolonna7170</t>
  </si>
  <si>
    <t>Kolonna7171</t>
  </si>
  <si>
    <t>Kolonna7172</t>
  </si>
  <si>
    <t>Kolonna7173</t>
  </si>
  <si>
    <t>Kolonna7174</t>
  </si>
  <si>
    <t>Kolonna7175</t>
  </si>
  <si>
    <t>Kolonna7176</t>
  </si>
  <si>
    <t>Kolonna7177</t>
  </si>
  <si>
    <t>Kolonna7178</t>
  </si>
  <si>
    <t>Kolonna7179</t>
  </si>
  <si>
    <t>Kolonna7180</t>
  </si>
  <si>
    <t>Kolonna7181</t>
  </si>
  <si>
    <t>Kolonna7182</t>
  </si>
  <si>
    <t>Kolonna7183</t>
  </si>
  <si>
    <t>Kolonna7184</t>
  </si>
  <si>
    <t>Kolonna7185</t>
  </si>
  <si>
    <t>Kolonna7186</t>
  </si>
  <si>
    <t>Kolonna7187</t>
  </si>
  <si>
    <t>Kolonna7188</t>
  </si>
  <si>
    <t>Kolonna7189</t>
  </si>
  <si>
    <t>Kolonna7190</t>
  </si>
  <si>
    <t>Kolonna7191</t>
  </si>
  <si>
    <t>Kolonna7192</t>
  </si>
  <si>
    <t>Kolonna7193</t>
  </si>
  <si>
    <t>Kolonna7194</t>
  </si>
  <si>
    <t>Kolonna7195</t>
  </si>
  <si>
    <t>Kolonna7196</t>
  </si>
  <si>
    <t>Kolonna7197</t>
  </si>
  <si>
    <t>Kolonna7198</t>
  </si>
  <si>
    <t>Kolonna7199</t>
  </si>
  <si>
    <t>Kolonna7200</t>
  </si>
  <si>
    <t>Kolonna7201</t>
  </si>
  <si>
    <t>Kolonna7202</t>
  </si>
  <si>
    <t>Kolonna7203</t>
  </si>
  <si>
    <t>Kolonna7204</t>
  </si>
  <si>
    <t>Kolonna7205</t>
  </si>
  <si>
    <t>Kolonna7206</t>
  </si>
  <si>
    <t>Kolonna7207</t>
  </si>
  <si>
    <t>Kolonna7208</t>
  </si>
  <si>
    <t>Kolonna7209</t>
  </si>
  <si>
    <t>Kolonna7210</t>
  </si>
  <si>
    <t>Kolonna7211</t>
  </si>
  <si>
    <t>Kolonna7212</t>
  </si>
  <si>
    <t>Kolonna7213</t>
  </si>
  <si>
    <t>Kolonna7214</t>
  </si>
  <si>
    <t>Kolonna7215</t>
  </si>
  <si>
    <t>Kolonna7216</t>
  </si>
  <si>
    <t>Kolonna7217</t>
  </si>
  <si>
    <t>Kolonna7218</t>
  </si>
  <si>
    <t>Kolonna7219</t>
  </si>
  <si>
    <t>Kolonna7220</t>
  </si>
  <si>
    <t>Kolonna7221</t>
  </si>
  <si>
    <t>Kolonna7222</t>
  </si>
  <si>
    <t>Kolonna7223</t>
  </si>
  <si>
    <t>Kolonna7224</t>
  </si>
  <si>
    <t>Kolonna7225</t>
  </si>
  <si>
    <t>Kolonna7226</t>
  </si>
  <si>
    <t>Kolonna7227</t>
  </si>
  <si>
    <t>Kolonna7228</t>
  </si>
  <si>
    <t>Kolonna7229</t>
  </si>
  <si>
    <t>Kolonna7230</t>
  </si>
  <si>
    <t>Kolonna7231</t>
  </si>
  <si>
    <t>Kolonna7232</t>
  </si>
  <si>
    <t>Kolonna7233</t>
  </si>
  <si>
    <t>Kolonna7234</t>
  </si>
  <si>
    <t>Kolonna7235</t>
  </si>
  <si>
    <t>Kolonna7236</t>
  </si>
  <si>
    <t>Kolonna7237</t>
  </si>
  <si>
    <t>Kolonna7238</t>
  </si>
  <si>
    <t>Kolonna7239</t>
  </si>
  <si>
    <t>Kolonna7240</t>
  </si>
  <si>
    <t>Kolonna7241</t>
  </si>
  <si>
    <t>Kolonna7242</t>
  </si>
  <si>
    <t>Kolonna7243</t>
  </si>
  <si>
    <t>Kolonna7244</t>
  </si>
  <si>
    <t>Kolonna7245</t>
  </si>
  <si>
    <t>Kolonna7246</t>
  </si>
  <si>
    <t>Kolonna7247</t>
  </si>
  <si>
    <t>Kolonna7248</t>
  </si>
  <si>
    <t>Kolonna7249</t>
  </si>
  <si>
    <t>Kolonna7250</t>
  </si>
  <si>
    <t>Kolonna7251</t>
  </si>
  <si>
    <t>Kolonna7252</t>
  </si>
  <si>
    <t>Kolonna7253</t>
  </si>
  <si>
    <t>Kolonna7254</t>
  </si>
  <si>
    <t>Kolonna7255</t>
  </si>
  <si>
    <t>Kolonna7256</t>
  </si>
  <si>
    <t>Kolonna7257</t>
  </si>
  <si>
    <t>Kolonna7258</t>
  </si>
  <si>
    <t>Kolonna7259</t>
  </si>
  <si>
    <t>Kolonna7260</t>
  </si>
  <si>
    <t>Kolonna7261</t>
  </si>
  <si>
    <t>Kolonna7262</t>
  </si>
  <si>
    <t>Kolonna7263</t>
  </si>
  <si>
    <t>Kolonna7264</t>
  </si>
  <si>
    <t>Kolonna7265</t>
  </si>
  <si>
    <t>Kolonna7266</t>
  </si>
  <si>
    <t>Kolonna7267</t>
  </si>
  <si>
    <t>Kolonna7268</t>
  </si>
  <si>
    <t>Kolonna7269</t>
  </si>
  <si>
    <t>Kolonna7270</t>
  </si>
  <si>
    <t>Kolonna7271</t>
  </si>
  <si>
    <t>Kolonna7272</t>
  </si>
  <si>
    <t>Kolonna7273</t>
  </si>
  <si>
    <t>Kolonna7274</t>
  </si>
  <si>
    <t>Kolonna7275</t>
  </si>
  <si>
    <t>Kolonna7276</t>
  </si>
  <si>
    <t>Kolonna7277</t>
  </si>
  <si>
    <t>Kolonna7278</t>
  </si>
  <si>
    <t>Kolonna7279</t>
  </si>
  <si>
    <t>Kolonna7280</t>
  </si>
  <si>
    <t>Kolonna7281</t>
  </si>
  <si>
    <t>Kolonna7282</t>
  </si>
  <si>
    <t>Kolonna7283</t>
  </si>
  <si>
    <t>Kolonna7284</t>
  </si>
  <si>
    <t>Kolonna7285</t>
  </si>
  <si>
    <t>Kolonna7286</t>
  </si>
  <si>
    <t>Kolonna7287</t>
  </si>
  <si>
    <t>Kolonna7288</t>
  </si>
  <si>
    <t>Kolonna7289</t>
  </si>
  <si>
    <t>Kolonna7290</t>
  </si>
  <si>
    <t>Kolonna7291</t>
  </si>
  <si>
    <t>Kolonna7292</t>
  </si>
  <si>
    <t>Kolonna7293</t>
  </si>
  <si>
    <t>Kolonna7294</t>
  </si>
  <si>
    <t>Kolonna7295</t>
  </si>
  <si>
    <t>Kolonna7296</t>
  </si>
  <si>
    <t>Kolonna7297</t>
  </si>
  <si>
    <t>Kolonna7298</t>
  </si>
  <si>
    <t>Kolonna7299</t>
  </si>
  <si>
    <t>Kolonna7300</t>
  </si>
  <si>
    <t>Kolonna7301</t>
  </si>
  <si>
    <t>Kolonna7302</t>
  </si>
  <si>
    <t>Kolonna7303</t>
  </si>
  <si>
    <t>Kolonna7304</t>
  </si>
  <si>
    <t>Kolonna7305</t>
  </si>
  <si>
    <t>Kolonna7306</t>
  </si>
  <si>
    <t>Kolonna7307</t>
  </si>
  <si>
    <t>Kolonna7308</t>
  </si>
  <si>
    <t>Kolonna7309</t>
  </si>
  <si>
    <t>Kolonna7310</t>
  </si>
  <si>
    <t>Kolonna7311</t>
  </si>
  <si>
    <t>Kolonna7312</t>
  </si>
  <si>
    <t>Kolonna7313</t>
  </si>
  <si>
    <t>Kolonna7314</t>
  </si>
  <si>
    <t>Kolonna7315</t>
  </si>
  <si>
    <t>Kolonna7316</t>
  </si>
  <si>
    <t>Kolonna7317</t>
  </si>
  <si>
    <t>Kolonna7318</t>
  </si>
  <si>
    <t>Kolonna7319</t>
  </si>
  <si>
    <t>Kolonna7320</t>
  </si>
  <si>
    <t>Kolonna7321</t>
  </si>
  <si>
    <t>Kolonna7322</t>
  </si>
  <si>
    <t>Kolonna7323</t>
  </si>
  <si>
    <t>Kolonna7324</t>
  </si>
  <si>
    <t>Kolonna7325</t>
  </si>
  <si>
    <t>Kolonna7326</t>
  </si>
  <si>
    <t>Kolonna7327</t>
  </si>
  <si>
    <t>Kolonna7328</t>
  </si>
  <si>
    <t>Kolonna7329</t>
  </si>
  <si>
    <t>Kolonna7330</t>
  </si>
  <si>
    <t>Kolonna7331</t>
  </si>
  <si>
    <t>Kolonna7332</t>
  </si>
  <si>
    <t>Kolonna7333</t>
  </si>
  <si>
    <t>Kolonna7334</t>
  </si>
  <si>
    <t>Kolonna7335</t>
  </si>
  <si>
    <t>Kolonna7336</t>
  </si>
  <si>
    <t>Kolonna7337</t>
  </si>
  <si>
    <t>Kolonna7338</t>
  </si>
  <si>
    <t>Kolonna7339</t>
  </si>
  <si>
    <t>Kolonna7340</t>
  </si>
  <si>
    <t>Kolonna7341</t>
  </si>
  <si>
    <t>Kolonna7342</t>
  </si>
  <si>
    <t>Kolonna7343</t>
  </si>
  <si>
    <t>Kolonna7344</t>
  </si>
  <si>
    <t>Kolonna7345</t>
  </si>
  <si>
    <t>Kolonna7346</t>
  </si>
  <si>
    <t>Kolonna7347</t>
  </si>
  <si>
    <t>Kolonna7348</t>
  </si>
  <si>
    <t>Kolonna7349</t>
  </si>
  <si>
    <t>Kolonna7350</t>
  </si>
  <si>
    <t>Kolonna7351</t>
  </si>
  <si>
    <t>Kolonna7352</t>
  </si>
  <si>
    <t>Kolonna7353</t>
  </si>
  <si>
    <t>Kolonna7354</t>
  </si>
  <si>
    <t>Kolonna7355</t>
  </si>
  <si>
    <t>Kolonna7356</t>
  </si>
  <si>
    <t>Kolonna7357</t>
  </si>
  <si>
    <t>Kolonna7358</t>
  </si>
  <si>
    <t>Kolonna7359</t>
  </si>
  <si>
    <t>Kolonna7360</t>
  </si>
  <si>
    <t>Kolonna7361</t>
  </si>
  <si>
    <t>Kolonna7362</t>
  </si>
  <si>
    <t>Kolonna7363</t>
  </si>
  <si>
    <t>Kolonna7364</t>
  </si>
  <si>
    <t>Kolonna7365</t>
  </si>
  <si>
    <t>Kolonna7366</t>
  </si>
  <si>
    <t>Kolonna7367</t>
  </si>
  <si>
    <t>Kolonna7368</t>
  </si>
  <si>
    <t>Kolonna7369</t>
  </si>
  <si>
    <t>Kolonna7370</t>
  </si>
  <si>
    <t>Kolonna7371</t>
  </si>
  <si>
    <t>Kolonna7372</t>
  </si>
  <si>
    <t>Kolonna7373</t>
  </si>
  <si>
    <t>Kolonna7374</t>
  </si>
  <si>
    <t>Kolonna7375</t>
  </si>
  <si>
    <t>Kolonna7376</t>
  </si>
  <si>
    <t>Kolonna7377</t>
  </si>
  <si>
    <t>Kolonna7378</t>
  </si>
  <si>
    <t>Kolonna7379</t>
  </si>
  <si>
    <t>Kolonna7380</t>
  </si>
  <si>
    <t>Kolonna7381</t>
  </si>
  <si>
    <t>Kolonna7382</t>
  </si>
  <si>
    <t>Kolonna7383</t>
  </si>
  <si>
    <t>Kolonna7384</t>
  </si>
  <si>
    <t>Kolonna7385</t>
  </si>
  <si>
    <t>Kolonna7386</t>
  </si>
  <si>
    <t>Kolonna7387</t>
  </si>
  <si>
    <t>Kolonna7388</t>
  </si>
  <si>
    <t>Kolonna7389</t>
  </si>
  <si>
    <t>Kolonna7390</t>
  </si>
  <si>
    <t>Kolonna7391</t>
  </si>
  <si>
    <t>Kolonna7392</t>
  </si>
  <si>
    <t>Kolonna7393</t>
  </si>
  <si>
    <t>Kolonna7394</t>
  </si>
  <si>
    <t>Kolonna7395</t>
  </si>
  <si>
    <t>Kolonna7396</t>
  </si>
  <si>
    <t>Kolonna7397</t>
  </si>
  <si>
    <t>Kolonna7398</t>
  </si>
  <si>
    <t>Kolonna7399</t>
  </si>
  <si>
    <t>Kolonna7400</t>
  </si>
  <si>
    <t>Kolonna7401</t>
  </si>
  <si>
    <t>Kolonna7402</t>
  </si>
  <si>
    <t>Kolonna7403</t>
  </si>
  <si>
    <t>Kolonna7404</t>
  </si>
  <si>
    <t>Kolonna7405</t>
  </si>
  <si>
    <t>Kolonna7406</t>
  </si>
  <si>
    <t>Kolonna7407</t>
  </si>
  <si>
    <t>Kolonna7408</t>
  </si>
  <si>
    <t>Kolonna7409</t>
  </si>
  <si>
    <t>Kolonna7410</t>
  </si>
  <si>
    <t>Kolonna7411</t>
  </si>
  <si>
    <t>Kolonna7412</t>
  </si>
  <si>
    <t>Kolonna7413</t>
  </si>
  <si>
    <t>Kolonna7414</t>
  </si>
  <si>
    <t>Kolonna7415</t>
  </si>
  <si>
    <t>Kolonna7416</t>
  </si>
  <si>
    <t>Kolonna7417</t>
  </si>
  <si>
    <t>Kolonna7418</t>
  </si>
  <si>
    <t>Kolonna7419</t>
  </si>
  <si>
    <t>Kolonna7420</t>
  </si>
  <si>
    <t>Kolonna7421</t>
  </si>
  <si>
    <t>Kolonna7422</t>
  </si>
  <si>
    <t>Kolonna7423</t>
  </si>
  <si>
    <t>Kolonna7424</t>
  </si>
  <si>
    <t>Kolonna7425</t>
  </si>
  <si>
    <t>Kolonna7426</t>
  </si>
  <si>
    <t>Kolonna7427</t>
  </si>
  <si>
    <t>Kolonna7428</t>
  </si>
  <si>
    <t>Kolonna7429</t>
  </si>
  <si>
    <t>Kolonna7430</t>
  </si>
  <si>
    <t>Kolonna7431</t>
  </si>
  <si>
    <t>Kolonna7432</t>
  </si>
  <si>
    <t>Kolonna7433</t>
  </si>
  <si>
    <t>Kolonna7434</t>
  </si>
  <si>
    <t>Kolonna7435</t>
  </si>
  <si>
    <t>Kolonna7436</t>
  </si>
  <si>
    <t>Kolonna7437</t>
  </si>
  <si>
    <t>Kolonna7438</t>
  </si>
  <si>
    <t>Kolonna7439</t>
  </si>
  <si>
    <t>Kolonna7440</t>
  </si>
  <si>
    <t>Kolonna7441</t>
  </si>
  <si>
    <t>Kolonna7442</t>
  </si>
  <si>
    <t>Kolonna7443</t>
  </si>
  <si>
    <t>Kolonna7444</t>
  </si>
  <si>
    <t>Kolonna7445</t>
  </si>
  <si>
    <t>Kolonna7446</t>
  </si>
  <si>
    <t>Kolonna7447</t>
  </si>
  <si>
    <t>Kolonna7448</t>
  </si>
  <si>
    <t>Kolonna7449</t>
  </si>
  <si>
    <t>Kolonna7450</t>
  </si>
  <si>
    <t>Kolonna7451</t>
  </si>
  <si>
    <t>Kolonna7452</t>
  </si>
  <si>
    <t>Kolonna7453</t>
  </si>
  <si>
    <t>Kolonna7454</t>
  </si>
  <si>
    <t>Kolonna7455</t>
  </si>
  <si>
    <t>Kolonna7456</t>
  </si>
  <si>
    <t>Kolonna7457</t>
  </si>
  <si>
    <t>Kolonna7458</t>
  </si>
  <si>
    <t>Kolonna7459</t>
  </si>
  <si>
    <t>Kolonna7460</t>
  </si>
  <si>
    <t>Kolonna7461</t>
  </si>
  <si>
    <t>Kolonna7462</t>
  </si>
  <si>
    <t>Kolonna7463</t>
  </si>
  <si>
    <t>Kolonna7464</t>
  </si>
  <si>
    <t>Kolonna7465</t>
  </si>
  <si>
    <t>Kolonna7466</t>
  </si>
  <si>
    <t>Kolonna7467</t>
  </si>
  <si>
    <t>Kolonna7468</t>
  </si>
  <si>
    <t>Kolonna7469</t>
  </si>
  <si>
    <t>Kolonna7470</t>
  </si>
  <si>
    <t>Kolonna7471</t>
  </si>
  <si>
    <t>Kolonna7472</t>
  </si>
  <si>
    <t>Kolonna7473</t>
  </si>
  <si>
    <t>Kolonna7474</t>
  </si>
  <si>
    <t>Kolonna7475</t>
  </si>
  <si>
    <t>Kolonna7476</t>
  </si>
  <si>
    <t>Kolonna7477</t>
  </si>
  <si>
    <t>Kolonna7478</t>
  </si>
  <si>
    <t>Kolonna7479</t>
  </si>
  <si>
    <t>Kolonna7480</t>
  </si>
  <si>
    <t>Kolonna7481</t>
  </si>
  <si>
    <t>Kolonna7482</t>
  </si>
  <si>
    <t>Kolonna7483</t>
  </si>
  <si>
    <t>Kolonna7484</t>
  </si>
  <si>
    <t>Kolonna7485</t>
  </si>
  <si>
    <t>Kolonna7486</t>
  </si>
  <si>
    <t>Kolonna7487</t>
  </si>
  <si>
    <t>Kolonna7488</t>
  </si>
  <si>
    <t>Kolonna7489</t>
  </si>
  <si>
    <t>Kolonna7490</t>
  </si>
  <si>
    <t>Kolonna7491</t>
  </si>
  <si>
    <t>Kolonna7492</t>
  </si>
  <si>
    <t>Kolonna7493</t>
  </si>
  <si>
    <t>Kolonna7494</t>
  </si>
  <si>
    <t>Kolonna7495</t>
  </si>
  <si>
    <t>Kolonna7496</t>
  </si>
  <si>
    <t>Kolonna7497</t>
  </si>
  <si>
    <t>Kolonna7498</t>
  </si>
  <si>
    <t>Kolonna7499</t>
  </si>
  <si>
    <t>Kolonna7500</t>
  </si>
  <si>
    <t>Kolonna7501</t>
  </si>
  <si>
    <t>Kolonna7502</t>
  </si>
  <si>
    <t>Kolonna7503</t>
  </si>
  <si>
    <t>Kolonna7504</t>
  </si>
  <si>
    <t>Kolonna7505</t>
  </si>
  <si>
    <t>Kolonna7506</t>
  </si>
  <si>
    <t>Kolonna7507</t>
  </si>
  <si>
    <t>Kolonna7508</t>
  </si>
  <si>
    <t>Kolonna7509</t>
  </si>
  <si>
    <t>Kolonna7510</t>
  </si>
  <si>
    <t>Kolonna7511</t>
  </si>
  <si>
    <t>Kolonna7512</t>
  </si>
  <si>
    <t>Kolonna7513</t>
  </si>
  <si>
    <t>Kolonna7514</t>
  </si>
  <si>
    <t>Kolonna7515</t>
  </si>
  <si>
    <t>Kolonna7516</t>
  </si>
  <si>
    <t>Kolonna7517</t>
  </si>
  <si>
    <t>Kolonna7518</t>
  </si>
  <si>
    <t>Kolonna7519</t>
  </si>
  <si>
    <t>Kolonna7520</t>
  </si>
  <si>
    <t>Kolonna7521</t>
  </si>
  <si>
    <t>Kolonna7522</t>
  </si>
  <si>
    <t>Kolonna7523</t>
  </si>
  <si>
    <t>Kolonna7524</t>
  </si>
  <si>
    <t>Kolonna7525</t>
  </si>
  <si>
    <t>Kolonna7526</t>
  </si>
  <si>
    <t>Kolonna7527</t>
  </si>
  <si>
    <t>Kolonna7528</t>
  </si>
  <si>
    <t>Kolonna7529</t>
  </si>
  <si>
    <t>Kolonna7530</t>
  </si>
  <si>
    <t>Kolonna7531</t>
  </si>
  <si>
    <t>Kolonna7532</t>
  </si>
  <si>
    <t>Kolonna7533</t>
  </si>
  <si>
    <t>Kolonna7534</t>
  </si>
  <si>
    <t>Kolonna7535</t>
  </si>
  <si>
    <t>Kolonna7536</t>
  </si>
  <si>
    <t>Kolonna7537</t>
  </si>
  <si>
    <t>Kolonna7538</t>
  </si>
  <si>
    <t>Kolonna7539</t>
  </si>
  <si>
    <t>Kolonna7540</t>
  </si>
  <si>
    <t>Kolonna7541</t>
  </si>
  <si>
    <t>Kolonna7542</t>
  </si>
  <si>
    <t>Kolonna7543</t>
  </si>
  <si>
    <t>Kolonna7544</t>
  </si>
  <si>
    <t>Kolonna7545</t>
  </si>
  <si>
    <t>Kolonna7546</t>
  </si>
  <si>
    <t>Kolonna7547</t>
  </si>
  <si>
    <t>Kolonna7548</t>
  </si>
  <si>
    <t>Kolonna7549</t>
  </si>
  <si>
    <t>Kolonna7550</t>
  </si>
  <si>
    <t>Kolonna7551</t>
  </si>
  <si>
    <t>Kolonna7552</t>
  </si>
  <si>
    <t>Kolonna7553</t>
  </si>
  <si>
    <t>Kolonna7554</t>
  </si>
  <si>
    <t>Kolonna7555</t>
  </si>
  <si>
    <t>Kolonna7556</t>
  </si>
  <si>
    <t>Kolonna7557</t>
  </si>
  <si>
    <t>Kolonna7558</t>
  </si>
  <si>
    <t>Kolonna7559</t>
  </si>
  <si>
    <t>Kolonna7560</t>
  </si>
  <si>
    <t>Kolonna7561</t>
  </si>
  <si>
    <t>Kolonna7562</t>
  </si>
  <si>
    <t>Kolonna7563</t>
  </si>
  <si>
    <t>Kolonna7564</t>
  </si>
  <si>
    <t>Kolonna7565</t>
  </si>
  <si>
    <t>Kolonna7566</t>
  </si>
  <si>
    <t>Kolonna7567</t>
  </si>
  <si>
    <t>Kolonna7568</t>
  </si>
  <si>
    <t>Kolonna7569</t>
  </si>
  <si>
    <t>Kolonna7570</t>
  </si>
  <si>
    <t>Kolonna7571</t>
  </si>
  <si>
    <t>Kolonna7572</t>
  </si>
  <si>
    <t>Kolonna7573</t>
  </si>
  <si>
    <t>Kolonna7574</t>
  </si>
  <si>
    <t>Kolonna7575</t>
  </si>
  <si>
    <t>Kolonna7576</t>
  </si>
  <si>
    <t>Kolonna7577</t>
  </si>
  <si>
    <t>Kolonna7578</t>
  </si>
  <si>
    <t>Kolonna7579</t>
  </si>
  <si>
    <t>Kolonna7580</t>
  </si>
  <si>
    <t>Kolonna7581</t>
  </si>
  <si>
    <t>Kolonna7582</t>
  </si>
  <si>
    <t>Kolonna7583</t>
  </si>
  <si>
    <t>Kolonna7584</t>
  </si>
  <si>
    <t>Kolonna7585</t>
  </si>
  <si>
    <t>Kolonna7586</t>
  </si>
  <si>
    <t>Kolonna7587</t>
  </si>
  <si>
    <t>Kolonna7588</t>
  </si>
  <si>
    <t>Kolonna7589</t>
  </si>
  <si>
    <t>Kolonna7590</t>
  </si>
  <si>
    <t>Kolonna7591</t>
  </si>
  <si>
    <t>Kolonna7592</t>
  </si>
  <si>
    <t>Kolonna7593</t>
  </si>
  <si>
    <t>Kolonna7594</t>
  </si>
  <si>
    <t>Kolonna7595</t>
  </si>
  <si>
    <t>Kolonna7596</t>
  </si>
  <si>
    <t>Kolonna7597</t>
  </si>
  <si>
    <t>Kolonna7598</t>
  </si>
  <si>
    <t>Kolonna7599</t>
  </si>
  <si>
    <t>Kolonna7600</t>
  </si>
  <si>
    <t>Kolonna7601</t>
  </si>
  <si>
    <t>Kolonna7602</t>
  </si>
  <si>
    <t>Kolonna7603</t>
  </si>
  <si>
    <t>Kolonna7604</t>
  </si>
  <si>
    <t>Kolonna7605</t>
  </si>
  <si>
    <t>Kolonna7606</t>
  </si>
  <si>
    <t>Kolonna7607</t>
  </si>
  <si>
    <t>Kolonna7608</t>
  </si>
  <si>
    <t>Kolonna7609</t>
  </si>
  <si>
    <t>Kolonna7610</t>
  </si>
  <si>
    <t>Kolonna7611</t>
  </si>
  <si>
    <t>Kolonna7612</t>
  </si>
  <si>
    <t>Kolonna7613</t>
  </si>
  <si>
    <t>Kolonna7614</t>
  </si>
  <si>
    <t>Kolonna7615</t>
  </si>
  <si>
    <t>Kolonna7616</t>
  </si>
  <si>
    <t>Kolonna7617</t>
  </si>
  <si>
    <t>Kolonna7618</t>
  </si>
  <si>
    <t>Kolonna7619</t>
  </si>
  <si>
    <t>Kolonna7620</t>
  </si>
  <si>
    <t>Kolonna7621</t>
  </si>
  <si>
    <t>Kolonna7622</t>
  </si>
  <si>
    <t>Kolonna7623</t>
  </si>
  <si>
    <t>Kolonna7624</t>
  </si>
  <si>
    <t>Kolonna7625</t>
  </si>
  <si>
    <t>Kolonna7626</t>
  </si>
  <si>
    <t>Kolonna7627</t>
  </si>
  <si>
    <t>Kolonna7628</t>
  </si>
  <si>
    <t>Kolonna7629</t>
  </si>
  <si>
    <t>Kolonna7630</t>
  </si>
  <si>
    <t>Kolonna7631</t>
  </si>
  <si>
    <t>Kolonna7632</t>
  </si>
  <si>
    <t>Kolonna7633</t>
  </si>
  <si>
    <t>Kolonna7634</t>
  </si>
  <si>
    <t>Kolonna7635</t>
  </si>
  <si>
    <t>Kolonna7636</t>
  </si>
  <si>
    <t>Kolonna7637</t>
  </si>
  <si>
    <t>Kolonna7638</t>
  </si>
  <si>
    <t>Kolonna7639</t>
  </si>
  <si>
    <t>Kolonna7640</t>
  </si>
  <si>
    <t>Kolonna7641</t>
  </si>
  <si>
    <t>Kolonna7642</t>
  </si>
  <si>
    <t>Kolonna7643</t>
  </si>
  <si>
    <t>Kolonna7644</t>
  </si>
  <si>
    <t>Kolonna7645</t>
  </si>
  <si>
    <t>Kolonna7646</t>
  </si>
  <si>
    <t>Kolonna7647</t>
  </si>
  <si>
    <t>Kolonna7648</t>
  </si>
  <si>
    <t>Kolonna7649</t>
  </si>
  <si>
    <t>Kolonna7650</t>
  </si>
  <si>
    <t>Kolonna7651</t>
  </si>
  <si>
    <t>Kolonna7652</t>
  </si>
  <si>
    <t>Kolonna7653</t>
  </si>
  <si>
    <t>Kolonna7654</t>
  </si>
  <si>
    <t>Kolonna7655</t>
  </si>
  <si>
    <t>Kolonna7656</t>
  </si>
  <si>
    <t>Kolonna7657</t>
  </si>
  <si>
    <t>Kolonna7658</t>
  </si>
  <si>
    <t>Kolonna7659</t>
  </si>
  <si>
    <t>Kolonna7660</t>
  </si>
  <si>
    <t>Kolonna7661</t>
  </si>
  <si>
    <t>Kolonna7662</t>
  </si>
  <si>
    <t>Kolonna7663</t>
  </si>
  <si>
    <t>Kolonna7664</t>
  </si>
  <si>
    <t>Kolonna7665</t>
  </si>
  <si>
    <t>Kolonna7666</t>
  </si>
  <si>
    <t>Kolonna7667</t>
  </si>
  <si>
    <t>Kolonna7668</t>
  </si>
  <si>
    <t>Kolonna7669</t>
  </si>
  <si>
    <t>Kolonna7670</t>
  </si>
  <si>
    <t>Kolonna7671</t>
  </si>
  <si>
    <t>Kolonna7672</t>
  </si>
  <si>
    <t>Kolonna7673</t>
  </si>
  <si>
    <t>Kolonna7674</t>
  </si>
  <si>
    <t>Kolonna7675</t>
  </si>
  <si>
    <t>Kolonna7676</t>
  </si>
  <si>
    <t>Kolonna7677</t>
  </si>
  <si>
    <t>Kolonna7678</t>
  </si>
  <si>
    <t>Kolonna7679</t>
  </si>
  <si>
    <t>Kolonna7680</t>
  </si>
  <si>
    <t>Kolonna7681</t>
  </si>
  <si>
    <t>Kolonna7682</t>
  </si>
  <si>
    <t>Kolonna7683</t>
  </si>
  <si>
    <t>Kolonna7684</t>
  </si>
  <si>
    <t>Kolonna7685</t>
  </si>
  <si>
    <t>Kolonna7686</t>
  </si>
  <si>
    <t>Kolonna7687</t>
  </si>
  <si>
    <t>Kolonna7688</t>
  </si>
  <si>
    <t>Kolonna7689</t>
  </si>
  <si>
    <t>Kolonna7690</t>
  </si>
  <si>
    <t>Kolonna7691</t>
  </si>
  <si>
    <t>Kolonna7692</t>
  </si>
  <si>
    <t>Kolonna7693</t>
  </si>
  <si>
    <t>Kolonna7694</t>
  </si>
  <si>
    <t>Kolonna7695</t>
  </si>
  <si>
    <t>Kolonna7696</t>
  </si>
  <si>
    <t>Kolonna7697</t>
  </si>
  <si>
    <t>Kolonna7698</t>
  </si>
  <si>
    <t>Kolonna7699</t>
  </si>
  <si>
    <t>Kolonna7700</t>
  </si>
  <si>
    <t>Kolonna7701</t>
  </si>
  <si>
    <t>Kolonna7702</t>
  </si>
  <si>
    <t>Kolonna7703</t>
  </si>
  <si>
    <t>Kolonna7704</t>
  </si>
  <si>
    <t>Kolonna7705</t>
  </si>
  <si>
    <t>Kolonna7706</t>
  </si>
  <si>
    <t>Kolonna7707</t>
  </si>
  <si>
    <t>Kolonna7708</t>
  </si>
  <si>
    <t>Kolonna7709</t>
  </si>
  <si>
    <t>Kolonna7710</t>
  </si>
  <si>
    <t>Kolonna7711</t>
  </si>
  <si>
    <t>Kolonna7712</t>
  </si>
  <si>
    <t>Kolonna7713</t>
  </si>
  <si>
    <t>Kolonna7714</t>
  </si>
  <si>
    <t>Kolonna7715</t>
  </si>
  <si>
    <t>Kolonna7716</t>
  </si>
  <si>
    <t>Kolonna7717</t>
  </si>
  <si>
    <t>Kolonna7718</t>
  </si>
  <si>
    <t>Kolonna7719</t>
  </si>
  <si>
    <t>Kolonna7720</t>
  </si>
  <si>
    <t>Kolonna7721</t>
  </si>
  <si>
    <t>Kolonna7722</t>
  </si>
  <si>
    <t>Kolonna7723</t>
  </si>
  <si>
    <t>Kolonna7724</t>
  </si>
  <si>
    <t>Kolonna7725</t>
  </si>
  <si>
    <t>Kolonna7726</t>
  </si>
  <si>
    <t>Kolonna7727</t>
  </si>
  <si>
    <t>Kolonna7728</t>
  </si>
  <si>
    <t>Kolonna7729</t>
  </si>
  <si>
    <t>Kolonna7730</t>
  </si>
  <si>
    <t>Kolonna7731</t>
  </si>
  <si>
    <t>Kolonna7732</t>
  </si>
  <si>
    <t>Kolonna7733</t>
  </si>
  <si>
    <t>Kolonna7734</t>
  </si>
  <si>
    <t>Kolonna7735</t>
  </si>
  <si>
    <t>Kolonna7736</t>
  </si>
  <si>
    <t>Kolonna7737</t>
  </si>
  <si>
    <t>Kolonna7738</t>
  </si>
  <si>
    <t>Kolonna7739</t>
  </si>
  <si>
    <t>Kolonna7740</t>
  </si>
  <si>
    <t>Kolonna7741</t>
  </si>
  <si>
    <t>Kolonna7742</t>
  </si>
  <si>
    <t>Kolonna7743</t>
  </si>
  <si>
    <t>Kolonna7744</t>
  </si>
  <si>
    <t>Kolonna7745</t>
  </si>
  <si>
    <t>Kolonna7746</t>
  </si>
  <si>
    <t>Kolonna7747</t>
  </si>
  <si>
    <t>Kolonna7748</t>
  </si>
  <si>
    <t>Kolonna7749</t>
  </si>
  <si>
    <t>Kolonna7750</t>
  </si>
  <si>
    <t>Kolonna7751</t>
  </si>
  <si>
    <t>Kolonna7752</t>
  </si>
  <si>
    <t>Kolonna7753</t>
  </si>
  <si>
    <t>Kolonna7754</t>
  </si>
  <si>
    <t>Kolonna7755</t>
  </si>
  <si>
    <t>Kolonna7756</t>
  </si>
  <si>
    <t>Kolonna7757</t>
  </si>
  <si>
    <t>Kolonna7758</t>
  </si>
  <si>
    <t>Kolonna7759</t>
  </si>
  <si>
    <t>Kolonna7760</t>
  </si>
  <si>
    <t>Kolonna7761</t>
  </si>
  <si>
    <t>Kolonna7762</t>
  </si>
  <si>
    <t>Kolonna7763</t>
  </si>
  <si>
    <t>Kolonna7764</t>
  </si>
  <si>
    <t>Kolonna7765</t>
  </si>
  <si>
    <t>Kolonna7766</t>
  </si>
  <si>
    <t>Kolonna7767</t>
  </si>
  <si>
    <t>Kolonna7768</t>
  </si>
  <si>
    <t>Kolonna7769</t>
  </si>
  <si>
    <t>Kolonna7770</t>
  </si>
  <si>
    <t>Kolonna7771</t>
  </si>
  <si>
    <t>Kolonna7772</t>
  </si>
  <si>
    <t>Kolonna7773</t>
  </si>
  <si>
    <t>Kolonna7774</t>
  </si>
  <si>
    <t>Kolonna7775</t>
  </si>
  <si>
    <t>Kolonna7776</t>
  </si>
  <si>
    <t>Kolonna7777</t>
  </si>
  <si>
    <t>Kolonna7778</t>
  </si>
  <si>
    <t>Kolonna7779</t>
  </si>
  <si>
    <t>Kolonna7780</t>
  </si>
  <si>
    <t>Kolonna7781</t>
  </si>
  <si>
    <t>Kolonna7782</t>
  </si>
  <si>
    <t>Kolonna7783</t>
  </si>
  <si>
    <t>Kolonna7784</t>
  </si>
  <si>
    <t>Kolonna7785</t>
  </si>
  <si>
    <t>Kolonna7786</t>
  </si>
  <si>
    <t>Kolonna7787</t>
  </si>
  <si>
    <t>Kolonna7788</t>
  </si>
  <si>
    <t>Kolonna7789</t>
  </si>
  <si>
    <t>Kolonna7790</t>
  </si>
  <si>
    <t>Kolonna7791</t>
  </si>
  <si>
    <t>Kolonna7792</t>
  </si>
  <si>
    <t>Kolonna7793</t>
  </si>
  <si>
    <t>Kolonna7794</t>
  </si>
  <si>
    <t>Kolonna7795</t>
  </si>
  <si>
    <t>Kolonna7796</t>
  </si>
  <si>
    <t>Kolonna7797</t>
  </si>
  <si>
    <t>Kolonna7798</t>
  </si>
  <si>
    <t>Kolonna7799</t>
  </si>
  <si>
    <t>Kolonna7800</t>
  </si>
  <si>
    <t>Kolonna7801</t>
  </si>
  <si>
    <t>Kolonna7802</t>
  </si>
  <si>
    <t>Kolonna7803</t>
  </si>
  <si>
    <t>Kolonna7804</t>
  </si>
  <si>
    <t>Kolonna7805</t>
  </si>
  <si>
    <t>Kolonna7806</t>
  </si>
  <si>
    <t>Kolonna7807</t>
  </si>
  <si>
    <t>Kolonna7808</t>
  </si>
  <si>
    <t>Kolonna7809</t>
  </si>
  <si>
    <t>Kolonna7810</t>
  </si>
  <si>
    <t>Kolonna7811</t>
  </si>
  <si>
    <t>Kolonna7812</t>
  </si>
  <si>
    <t>Kolonna7813</t>
  </si>
  <si>
    <t>Kolonna7814</t>
  </si>
  <si>
    <t>Kolonna7815</t>
  </si>
  <si>
    <t>Kolonna7816</t>
  </si>
  <si>
    <t>Kolonna7817</t>
  </si>
  <si>
    <t>Kolonna7818</t>
  </si>
  <si>
    <t>Kolonna7819</t>
  </si>
  <si>
    <t>Kolonna7820</t>
  </si>
  <si>
    <t>Kolonna7821</t>
  </si>
  <si>
    <t>Kolonna7822</t>
  </si>
  <si>
    <t>Kolonna7823</t>
  </si>
  <si>
    <t>Kolonna7824</t>
  </si>
  <si>
    <t>Kolonna7825</t>
  </si>
  <si>
    <t>Kolonna7826</t>
  </si>
  <si>
    <t>Kolonna7827</t>
  </si>
  <si>
    <t>Kolonna7828</t>
  </si>
  <si>
    <t>Kolonna7829</t>
  </si>
  <si>
    <t>Kolonna7830</t>
  </si>
  <si>
    <t>Kolonna7831</t>
  </si>
  <si>
    <t>Kolonna7832</t>
  </si>
  <si>
    <t>Kolonna7833</t>
  </si>
  <si>
    <t>Kolonna7834</t>
  </si>
  <si>
    <t>Kolonna7835</t>
  </si>
  <si>
    <t>Kolonna7836</t>
  </si>
  <si>
    <t>Kolonna7837</t>
  </si>
  <si>
    <t>Kolonna7838</t>
  </si>
  <si>
    <t>Kolonna7839</t>
  </si>
  <si>
    <t>Kolonna7840</t>
  </si>
  <si>
    <t>Kolonna7841</t>
  </si>
  <si>
    <t>Kolonna7842</t>
  </si>
  <si>
    <t>Kolonna7843</t>
  </si>
  <si>
    <t>Kolonna7844</t>
  </si>
  <si>
    <t>Kolonna7845</t>
  </si>
  <si>
    <t>Kolonna7846</t>
  </si>
  <si>
    <t>Kolonna7847</t>
  </si>
  <si>
    <t>Kolonna7848</t>
  </si>
  <si>
    <t>Kolonna7849</t>
  </si>
  <si>
    <t>Kolonna7850</t>
  </si>
  <si>
    <t>Kolonna7851</t>
  </si>
  <si>
    <t>Kolonna7852</t>
  </si>
  <si>
    <t>Kolonna7853</t>
  </si>
  <si>
    <t>Kolonna7854</t>
  </si>
  <si>
    <t>Kolonna7855</t>
  </si>
  <si>
    <t>Kolonna7856</t>
  </si>
  <si>
    <t>Kolonna7857</t>
  </si>
  <si>
    <t>Kolonna7858</t>
  </si>
  <si>
    <t>Kolonna7859</t>
  </si>
  <si>
    <t>Kolonna7860</t>
  </si>
  <si>
    <t>Kolonna7861</t>
  </si>
  <si>
    <t>Kolonna7862</t>
  </si>
  <si>
    <t>Kolonna7863</t>
  </si>
  <si>
    <t>Kolonna7864</t>
  </si>
  <si>
    <t>Kolonna7865</t>
  </si>
  <si>
    <t>Kolonna7866</t>
  </si>
  <si>
    <t>Kolonna7867</t>
  </si>
  <si>
    <t>Kolonna7868</t>
  </si>
  <si>
    <t>Kolonna7869</t>
  </si>
  <si>
    <t>Kolonna7870</t>
  </si>
  <si>
    <t>Kolonna7871</t>
  </si>
  <si>
    <t>Kolonna7872</t>
  </si>
  <si>
    <t>Kolonna7873</t>
  </si>
  <si>
    <t>Kolonna7874</t>
  </si>
  <si>
    <t>Kolonna7875</t>
  </si>
  <si>
    <t>Kolonna7876</t>
  </si>
  <si>
    <t>Kolonna7877</t>
  </si>
  <si>
    <t>Kolonna7878</t>
  </si>
  <si>
    <t>Kolonna7879</t>
  </si>
  <si>
    <t>Kolonna7880</t>
  </si>
  <si>
    <t>Kolonna7881</t>
  </si>
  <si>
    <t>Kolonna7882</t>
  </si>
  <si>
    <t>Kolonna7883</t>
  </si>
  <si>
    <t>Kolonna7884</t>
  </si>
  <si>
    <t>Kolonna7885</t>
  </si>
  <si>
    <t>Kolonna7886</t>
  </si>
  <si>
    <t>Kolonna7887</t>
  </si>
  <si>
    <t>Kolonna7888</t>
  </si>
  <si>
    <t>Kolonna7889</t>
  </si>
  <si>
    <t>Kolonna7890</t>
  </si>
  <si>
    <t>Kolonna7891</t>
  </si>
  <si>
    <t>Kolonna7892</t>
  </si>
  <si>
    <t>Kolonna7893</t>
  </si>
  <si>
    <t>Kolonna7894</t>
  </si>
  <si>
    <t>Kolonna7895</t>
  </si>
  <si>
    <t>Kolonna7896</t>
  </si>
  <si>
    <t>Kolonna7897</t>
  </si>
  <si>
    <t>Kolonna7898</t>
  </si>
  <si>
    <t>Kolonna7899</t>
  </si>
  <si>
    <t>Kolonna7900</t>
  </si>
  <si>
    <t>Kolonna7901</t>
  </si>
  <si>
    <t>Kolonna7902</t>
  </si>
  <si>
    <t>Kolonna7903</t>
  </si>
  <si>
    <t>Kolonna7904</t>
  </si>
  <si>
    <t>Kolonna7905</t>
  </si>
  <si>
    <t>Kolonna7906</t>
  </si>
  <si>
    <t>Kolonna7907</t>
  </si>
  <si>
    <t>Kolonna7908</t>
  </si>
  <si>
    <t>Kolonna7909</t>
  </si>
  <si>
    <t>Kolonna7910</t>
  </si>
  <si>
    <t>Kolonna7911</t>
  </si>
  <si>
    <t>Kolonna7912</t>
  </si>
  <si>
    <t>Kolonna7913</t>
  </si>
  <si>
    <t>Kolonna7914</t>
  </si>
  <si>
    <t>Kolonna7915</t>
  </si>
  <si>
    <t>Kolonna7916</t>
  </si>
  <si>
    <t>Kolonna7917</t>
  </si>
  <si>
    <t>Kolonna7918</t>
  </si>
  <si>
    <t>Kolonna7919</t>
  </si>
  <si>
    <t>Kolonna7920</t>
  </si>
  <si>
    <t>Kolonna7921</t>
  </si>
  <si>
    <t>Kolonna7922</t>
  </si>
  <si>
    <t>Kolonna7923</t>
  </si>
  <si>
    <t>Kolonna7924</t>
  </si>
  <si>
    <t>Kolonna7925</t>
  </si>
  <si>
    <t>Kolonna7926</t>
  </si>
  <si>
    <t>Kolonna7927</t>
  </si>
  <si>
    <t>Kolonna7928</t>
  </si>
  <si>
    <t>Kolonna7929</t>
  </si>
  <si>
    <t>Kolonna7930</t>
  </si>
  <si>
    <t>Kolonna7931</t>
  </si>
  <si>
    <t>Kolonna7932</t>
  </si>
  <si>
    <t>Kolonna7933</t>
  </si>
  <si>
    <t>Kolonna7934</t>
  </si>
  <si>
    <t>Kolonna7935</t>
  </si>
  <si>
    <t>Kolonna7936</t>
  </si>
  <si>
    <t>Kolonna7937</t>
  </si>
  <si>
    <t>Kolonna7938</t>
  </si>
  <si>
    <t>Kolonna7939</t>
  </si>
  <si>
    <t>Kolonna7940</t>
  </si>
  <si>
    <t>Kolonna7941</t>
  </si>
  <si>
    <t>Kolonna7942</t>
  </si>
  <si>
    <t>Kolonna7943</t>
  </si>
  <si>
    <t>Kolonna7944</t>
  </si>
  <si>
    <t>Kolonna7945</t>
  </si>
  <si>
    <t>Kolonna7946</t>
  </si>
  <si>
    <t>Kolonna7947</t>
  </si>
  <si>
    <t>Kolonna7948</t>
  </si>
  <si>
    <t>Kolonna7949</t>
  </si>
  <si>
    <t>Kolonna7950</t>
  </si>
  <si>
    <t>Kolonna7951</t>
  </si>
  <si>
    <t>Kolonna7952</t>
  </si>
  <si>
    <t>Kolonna7953</t>
  </si>
  <si>
    <t>Kolonna7954</t>
  </si>
  <si>
    <t>Kolonna7955</t>
  </si>
  <si>
    <t>Kolonna7956</t>
  </si>
  <si>
    <t>Kolonna7957</t>
  </si>
  <si>
    <t>Kolonna7958</t>
  </si>
  <si>
    <t>Kolonna7959</t>
  </si>
  <si>
    <t>Kolonna7960</t>
  </si>
  <si>
    <t>Kolonna7961</t>
  </si>
  <si>
    <t>Kolonna7962</t>
  </si>
  <si>
    <t>Kolonna7963</t>
  </si>
  <si>
    <t>Kolonna7964</t>
  </si>
  <si>
    <t>Kolonna7965</t>
  </si>
  <si>
    <t>Kolonna7966</t>
  </si>
  <si>
    <t>Kolonna7967</t>
  </si>
  <si>
    <t>Kolonna7968</t>
  </si>
  <si>
    <t>Kolonna7969</t>
  </si>
  <si>
    <t>Kolonna7970</t>
  </si>
  <si>
    <t>Kolonna7971</t>
  </si>
  <si>
    <t>Kolonna7972</t>
  </si>
  <si>
    <t>Kolonna7973</t>
  </si>
  <si>
    <t>Kolonna7974</t>
  </si>
  <si>
    <t>Kolonna7975</t>
  </si>
  <si>
    <t>Kolonna7976</t>
  </si>
  <si>
    <t>Kolonna7977</t>
  </si>
  <si>
    <t>Kolonna7978</t>
  </si>
  <si>
    <t>Kolonna7979</t>
  </si>
  <si>
    <t>Kolonna7980</t>
  </si>
  <si>
    <t>Kolonna7981</t>
  </si>
  <si>
    <t>Kolonna7982</t>
  </si>
  <si>
    <t>Kolonna7983</t>
  </si>
  <si>
    <t>Kolonna7984</t>
  </si>
  <si>
    <t>Kolonna7985</t>
  </si>
  <si>
    <t>Kolonna7986</t>
  </si>
  <si>
    <t>Kolonna7987</t>
  </si>
  <si>
    <t>Kolonna7988</t>
  </si>
  <si>
    <t>Kolonna7989</t>
  </si>
  <si>
    <t>Kolonna7990</t>
  </si>
  <si>
    <t>Kolonna7991</t>
  </si>
  <si>
    <t>Kolonna7992</t>
  </si>
  <si>
    <t>Kolonna7993</t>
  </si>
  <si>
    <t>Kolonna7994</t>
  </si>
  <si>
    <t>Kolonna7995</t>
  </si>
  <si>
    <t>Kolonna7996</t>
  </si>
  <si>
    <t>Kolonna7997</t>
  </si>
  <si>
    <t>Kolonna7998</t>
  </si>
  <si>
    <t>Kolonna7999</t>
  </si>
  <si>
    <t>Kolonna8000</t>
  </si>
  <si>
    <t>Kolonna8001</t>
  </si>
  <si>
    <t>Kolonna8002</t>
  </si>
  <si>
    <t>Kolonna8003</t>
  </si>
  <si>
    <t>Kolonna8004</t>
  </si>
  <si>
    <t>Kolonna8005</t>
  </si>
  <si>
    <t>Kolonna8006</t>
  </si>
  <si>
    <t>Kolonna8007</t>
  </si>
  <si>
    <t>Kolonna8008</t>
  </si>
  <si>
    <t>Kolonna8009</t>
  </si>
  <si>
    <t>Kolonna8010</t>
  </si>
  <si>
    <t>Kolonna8011</t>
  </si>
  <si>
    <t>Kolonna8012</t>
  </si>
  <si>
    <t>Kolonna8013</t>
  </si>
  <si>
    <t>Kolonna8014</t>
  </si>
  <si>
    <t>Kolonna8015</t>
  </si>
  <si>
    <t>Kolonna8016</t>
  </si>
  <si>
    <t>Kolonna8017</t>
  </si>
  <si>
    <t>Kolonna8018</t>
  </si>
  <si>
    <t>Kolonna8019</t>
  </si>
  <si>
    <t>Kolonna8020</t>
  </si>
  <si>
    <t>Kolonna8021</t>
  </si>
  <si>
    <t>Kolonna8022</t>
  </si>
  <si>
    <t>Kolonna8023</t>
  </si>
  <si>
    <t>Kolonna8024</t>
  </si>
  <si>
    <t>Kolonna8025</t>
  </si>
  <si>
    <t>Kolonna8026</t>
  </si>
  <si>
    <t>Kolonna8027</t>
  </si>
  <si>
    <t>Kolonna8028</t>
  </si>
  <si>
    <t>Kolonna8029</t>
  </si>
  <si>
    <t>Kolonna8030</t>
  </si>
  <si>
    <t>Kolonna8031</t>
  </si>
  <si>
    <t>Kolonna8032</t>
  </si>
  <si>
    <t>Kolonna8033</t>
  </si>
  <si>
    <t>Kolonna8034</t>
  </si>
  <si>
    <t>Kolonna8035</t>
  </si>
  <si>
    <t>Kolonna8036</t>
  </si>
  <si>
    <t>Kolonna8037</t>
  </si>
  <si>
    <t>Kolonna8038</t>
  </si>
  <si>
    <t>Kolonna8039</t>
  </si>
  <si>
    <t>Kolonna8040</t>
  </si>
  <si>
    <t>Kolonna8041</t>
  </si>
  <si>
    <t>Kolonna8042</t>
  </si>
  <si>
    <t>Kolonna8043</t>
  </si>
  <si>
    <t>Kolonna8044</t>
  </si>
  <si>
    <t>Kolonna8045</t>
  </si>
  <si>
    <t>Kolonna8046</t>
  </si>
  <si>
    <t>Kolonna8047</t>
  </si>
  <si>
    <t>Kolonna8048</t>
  </si>
  <si>
    <t>Kolonna8049</t>
  </si>
  <si>
    <t>Kolonna8050</t>
  </si>
  <si>
    <t>Kolonna8051</t>
  </si>
  <si>
    <t>Kolonna8052</t>
  </si>
  <si>
    <t>Kolonna8053</t>
  </si>
  <si>
    <t>Kolonna8054</t>
  </si>
  <si>
    <t>Kolonna8055</t>
  </si>
  <si>
    <t>Kolonna8056</t>
  </si>
  <si>
    <t>Kolonna8057</t>
  </si>
  <si>
    <t>Kolonna8058</t>
  </si>
  <si>
    <t>Kolonna8059</t>
  </si>
  <si>
    <t>Kolonna8060</t>
  </si>
  <si>
    <t>Kolonna8061</t>
  </si>
  <si>
    <t>Kolonna8062</t>
  </si>
  <si>
    <t>Kolonna8063</t>
  </si>
  <si>
    <t>Kolonna8064</t>
  </si>
  <si>
    <t>Kolonna8065</t>
  </si>
  <si>
    <t>Kolonna8066</t>
  </si>
  <si>
    <t>Kolonna8067</t>
  </si>
  <si>
    <t>Kolonna8068</t>
  </si>
  <si>
    <t>Kolonna8069</t>
  </si>
  <si>
    <t>Kolonna8070</t>
  </si>
  <si>
    <t>Kolonna8071</t>
  </si>
  <si>
    <t>Kolonna8072</t>
  </si>
  <si>
    <t>Kolonna8073</t>
  </si>
  <si>
    <t>Kolonna8074</t>
  </si>
  <si>
    <t>Kolonna8075</t>
  </si>
  <si>
    <t>Kolonna8076</t>
  </si>
  <si>
    <t>Kolonna8077</t>
  </si>
  <si>
    <t>Kolonna8078</t>
  </si>
  <si>
    <t>Kolonna8079</t>
  </si>
  <si>
    <t>Kolonna8080</t>
  </si>
  <si>
    <t>Kolonna8081</t>
  </si>
  <si>
    <t>Kolonna8082</t>
  </si>
  <si>
    <t>Kolonna8083</t>
  </si>
  <si>
    <t>Kolonna8084</t>
  </si>
  <si>
    <t>Kolonna8085</t>
  </si>
  <si>
    <t>Kolonna8086</t>
  </si>
  <si>
    <t>Kolonna8087</t>
  </si>
  <si>
    <t>Kolonna8088</t>
  </si>
  <si>
    <t>Kolonna8089</t>
  </si>
  <si>
    <t>Kolonna8090</t>
  </si>
  <si>
    <t>Kolonna8091</t>
  </si>
  <si>
    <t>Kolonna8092</t>
  </si>
  <si>
    <t>Kolonna8093</t>
  </si>
  <si>
    <t>Kolonna8094</t>
  </si>
  <si>
    <t>Kolonna8095</t>
  </si>
  <si>
    <t>Kolonna8096</t>
  </si>
  <si>
    <t>Kolonna8097</t>
  </si>
  <si>
    <t>Kolonna8098</t>
  </si>
  <si>
    <t>Kolonna8099</t>
  </si>
  <si>
    <t>Kolonna8100</t>
  </si>
  <si>
    <t>Kolonna8101</t>
  </si>
  <si>
    <t>Kolonna8102</t>
  </si>
  <si>
    <t>Kolonna8103</t>
  </si>
  <si>
    <t>Kolonna8104</t>
  </si>
  <si>
    <t>Kolonna8105</t>
  </si>
  <si>
    <t>Kolonna8106</t>
  </si>
  <si>
    <t>Kolonna8107</t>
  </si>
  <si>
    <t>Kolonna8108</t>
  </si>
  <si>
    <t>Kolonna8109</t>
  </si>
  <si>
    <t>Kolonna8110</t>
  </si>
  <si>
    <t>Kolonna8111</t>
  </si>
  <si>
    <t>Kolonna8112</t>
  </si>
  <si>
    <t>Kolonna8113</t>
  </si>
  <si>
    <t>Kolonna8114</t>
  </si>
  <si>
    <t>Kolonna8115</t>
  </si>
  <si>
    <t>Kolonna8116</t>
  </si>
  <si>
    <t>Kolonna8117</t>
  </si>
  <si>
    <t>Kolonna8118</t>
  </si>
  <si>
    <t>Kolonna8119</t>
  </si>
  <si>
    <t>Kolonna8120</t>
  </si>
  <si>
    <t>Kolonna8121</t>
  </si>
  <si>
    <t>Kolonna8122</t>
  </si>
  <si>
    <t>Kolonna8123</t>
  </si>
  <si>
    <t>Kolonna8124</t>
  </si>
  <si>
    <t>Kolonna8125</t>
  </si>
  <si>
    <t>Kolonna8126</t>
  </si>
  <si>
    <t>Kolonna8127</t>
  </si>
  <si>
    <t>Kolonna8128</t>
  </si>
  <si>
    <t>Kolonna8129</t>
  </si>
  <si>
    <t>Kolonna8130</t>
  </si>
  <si>
    <t>Kolonna8131</t>
  </si>
  <si>
    <t>Kolonna8132</t>
  </si>
  <si>
    <t>Kolonna8133</t>
  </si>
  <si>
    <t>Kolonna8134</t>
  </si>
  <si>
    <t>Kolonna8135</t>
  </si>
  <si>
    <t>Kolonna8136</t>
  </si>
  <si>
    <t>Kolonna8137</t>
  </si>
  <si>
    <t>Kolonna8138</t>
  </si>
  <si>
    <t>Kolonna8139</t>
  </si>
  <si>
    <t>Kolonna8140</t>
  </si>
  <si>
    <t>Kolonna8141</t>
  </si>
  <si>
    <t>Kolonna8142</t>
  </si>
  <si>
    <t>Kolonna8143</t>
  </si>
  <si>
    <t>Kolonna8144</t>
  </si>
  <si>
    <t>Kolonna8145</t>
  </si>
  <si>
    <t>Kolonna8146</t>
  </si>
  <si>
    <t>Kolonna8147</t>
  </si>
  <si>
    <t>Kolonna8148</t>
  </si>
  <si>
    <t>Kolonna8149</t>
  </si>
  <si>
    <t>Kolonna8150</t>
  </si>
  <si>
    <t>Kolonna8151</t>
  </si>
  <si>
    <t>Kolonna8152</t>
  </si>
  <si>
    <t>Kolonna8153</t>
  </si>
  <si>
    <t>Kolonna8154</t>
  </si>
  <si>
    <t>Kolonna8155</t>
  </si>
  <si>
    <t>Kolonna8156</t>
  </si>
  <si>
    <t>Kolonna8157</t>
  </si>
  <si>
    <t>Kolonna8158</t>
  </si>
  <si>
    <t>Kolonna8159</t>
  </si>
  <si>
    <t>Kolonna8160</t>
  </si>
  <si>
    <t>Kolonna8161</t>
  </si>
  <si>
    <t>Kolonna8162</t>
  </si>
  <si>
    <t>Kolonna8163</t>
  </si>
  <si>
    <t>Kolonna8164</t>
  </si>
  <si>
    <t>Kolonna8165</t>
  </si>
  <si>
    <t>Kolonna8166</t>
  </si>
  <si>
    <t>Kolonna8167</t>
  </si>
  <si>
    <t>Kolonna8168</t>
  </si>
  <si>
    <t>Kolonna8169</t>
  </si>
  <si>
    <t>Kolonna8170</t>
  </si>
  <si>
    <t>Kolonna8171</t>
  </si>
  <si>
    <t>Kolonna8172</t>
  </si>
  <si>
    <t>Kolonna8173</t>
  </si>
  <si>
    <t>Kolonna8174</t>
  </si>
  <si>
    <t>Kolonna8175</t>
  </si>
  <si>
    <t>Kolonna8176</t>
  </si>
  <si>
    <t>Kolonna8177</t>
  </si>
  <si>
    <t>Kolonna8178</t>
  </si>
  <si>
    <t>Kolonna8179</t>
  </si>
  <si>
    <t>Kolonna8180</t>
  </si>
  <si>
    <t>Kolonna8181</t>
  </si>
  <si>
    <t>Kolonna8182</t>
  </si>
  <si>
    <t>Kolonna8183</t>
  </si>
  <si>
    <t>Kolonna8184</t>
  </si>
  <si>
    <t>Kolonna8185</t>
  </si>
  <si>
    <t>Kolonna8186</t>
  </si>
  <si>
    <t>Kolonna8187</t>
  </si>
  <si>
    <t>Kolonna8188</t>
  </si>
  <si>
    <t>Kolonna8189</t>
  </si>
  <si>
    <t>Kolonna8190</t>
  </si>
  <si>
    <t>Kolonna8191</t>
  </si>
  <si>
    <t>Kolonna8192</t>
  </si>
  <si>
    <t>Kolonna8193</t>
  </si>
  <si>
    <t>Kolonna8194</t>
  </si>
  <si>
    <t>Kolonna8195</t>
  </si>
  <si>
    <t>Kolonna8196</t>
  </si>
  <si>
    <t>Kolonna8197</t>
  </si>
  <si>
    <t>Kolonna8198</t>
  </si>
  <si>
    <t>Kolonna8199</t>
  </si>
  <si>
    <t>Kolonna8200</t>
  </si>
  <si>
    <t>Kolonna8201</t>
  </si>
  <si>
    <t>Kolonna8202</t>
  </si>
  <si>
    <t>Kolonna8203</t>
  </si>
  <si>
    <t>Kolonna8204</t>
  </si>
  <si>
    <t>Kolonna8205</t>
  </si>
  <si>
    <t>Kolonna8206</t>
  </si>
  <si>
    <t>Kolonna8207</t>
  </si>
  <si>
    <t>Kolonna8208</t>
  </si>
  <si>
    <t>Kolonna8209</t>
  </si>
  <si>
    <t>Kolonna8210</t>
  </si>
  <si>
    <t>Kolonna8211</t>
  </si>
  <si>
    <t>Kolonna8212</t>
  </si>
  <si>
    <t>Kolonna8213</t>
  </si>
  <si>
    <t>Kolonna8214</t>
  </si>
  <si>
    <t>Kolonna8215</t>
  </si>
  <si>
    <t>Kolonna8216</t>
  </si>
  <si>
    <t>Kolonna8217</t>
  </si>
  <si>
    <t>Kolonna8218</t>
  </si>
  <si>
    <t>Kolonna8219</t>
  </si>
  <si>
    <t>Kolonna8220</t>
  </si>
  <si>
    <t>Kolonna8221</t>
  </si>
  <si>
    <t>Kolonna8222</t>
  </si>
  <si>
    <t>Kolonna8223</t>
  </si>
  <si>
    <t>Kolonna8224</t>
  </si>
  <si>
    <t>Kolonna8225</t>
  </si>
  <si>
    <t>Kolonna8226</t>
  </si>
  <si>
    <t>Kolonna8227</t>
  </si>
  <si>
    <t>Kolonna8228</t>
  </si>
  <si>
    <t>Kolonna8229</t>
  </si>
  <si>
    <t>Kolonna8230</t>
  </si>
  <si>
    <t>Kolonna8231</t>
  </si>
  <si>
    <t>Kolonna8232</t>
  </si>
  <si>
    <t>Kolonna8233</t>
  </si>
  <si>
    <t>Kolonna8234</t>
  </si>
  <si>
    <t>Kolonna8235</t>
  </si>
  <si>
    <t>Kolonna8236</t>
  </si>
  <si>
    <t>Kolonna8237</t>
  </si>
  <si>
    <t>Kolonna8238</t>
  </si>
  <si>
    <t>Kolonna8239</t>
  </si>
  <si>
    <t>Kolonna8240</t>
  </si>
  <si>
    <t>Kolonna8241</t>
  </si>
  <si>
    <t>Kolonna8242</t>
  </si>
  <si>
    <t>Kolonna8243</t>
  </si>
  <si>
    <t>Kolonna8244</t>
  </si>
  <si>
    <t>Kolonna8245</t>
  </si>
  <si>
    <t>Kolonna8246</t>
  </si>
  <si>
    <t>Kolonna8247</t>
  </si>
  <si>
    <t>Kolonna8248</t>
  </si>
  <si>
    <t>Kolonna8249</t>
  </si>
  <si>
    <t>Kolonna8250</t>
  </si>
  <si>
    <t>Kolonna8251</t>
  </si>
  <si>
    <t>Kolonna8252</t>
  </si>
  <si>
    <t>Kolonna8253</t>
  </si>
  <si>
    <t>Kolonna8254</t>
  </si>
  <si>
    <t>Kolonna8255</t>
  </si>
  <si>
    <t>Kolonna8256</t>
  </si>
  <si>
    <t>Kolonna8257</t>
  </si>
  <si>
    <t>Kolonna8258</t>
  </si>
  <si>
    <t>Kolonna8259</t>
  </si>
  <si>
    <t>Kolonna8260</t>
  </si>
  <si>
    <t>Kolonna8261</t>
  </si>
  <si>
    <t>Kolonna8262</t>
  </si>
  <si>
    <t>Kolonna8263</t>
  </si>
  <si>
    <t>Kolonna8264</t>
  </si>
  <si>
    <t>Kolonna8265</t>
  </si>
  <si>
    <t>Kolonna8266</t>
  </si>
  <si>
    <t>Kolonna8267</t>
  </si>
  <si>
    <t>Kolonna8268</t>
  </si>
  <si>
    <t>Kolonna8269</t>
  </si>
  <si>
    <t>Kolonna8270</t>
  </si>
  <si>
    <t>Kolonna8271</t>
  </si>
  <si>
    <t>Kolonna8272</t>
  </si>
  <si>
    <t>Kolonna8273</t>
  </si>
  <si>
    <t>Kolonna8274</t>
  </si>
  <si>
    <t>Kolonna8275</t>
  </si>
  <si>
    <t>Kolonna8276</t>
  </si>
  <si>
    <t>Kolonna8277</t>
  </si>
  <si>
    <t>Kolonna8278</t>
  </si>
  <si>
    <t>Kolonna8279</t>
  </si>
  <si>
    <t>Kolonna8280</t>
  </si>
  <si>
    <t>Kolonna8281</t>
  </si>
  <si>
    <t>Kolonna8282</t>
  </si>
  <si>
    <t>Kolonna8283</t>
  </si>
  <si>
    <t>Kolonna8284</t>
  </si>
  <si>
    <t>Kolonna8285</t>
  </si>
  <si>
    <t>Kolonna8286</t>
  </si>
  <si>
    <t>Kolonna8287</t>
  </si>
  <si>
    <t>Kolonna8288</t>
  </si>
  <si>
    <t>Kolonna8289</t>
  </si>
  <si>
    <t>Kolonna8290</t>
  </si>
  <si>
    <t>Kolonna8291</t>
  </si>
  <si>
    <t>Kolonna8292</t>
  </si>
  <si>
    <t>Kolonna8293</t>
  </si>
  <si>
    <t>Kolonna8294</t>
  </si>
  <si>
    <t>Kolonna8295</t>
  </si>
  <si>
    <t>Kolonna8296</t>
  </si>
  <si>
    <t>Kolonna8297</t>
  </si>
  <si>
    <t>Kolonna8298</t>
  </si>
  <si>
    <t>Kolonna8299</t>
  </si>
  <si>
    <t>Kolonna8300</t>
  </si>
  <si>
    <t>Kolonna8301</t>
  </si>
  <si>
    <t>Kolonna8302</t>
  </si>
  <si>
    <t>Kolonna8303</t>
  </si>
  <si>
    <t>Kolonna8304</t>
  </si>
  <si>
    <t>Kolonna8305</t>
  </si>
  <si>
    <t>Kolonna8306</t>
  </si>
  <si>
    <t>Kolonna8307</t>
  </si>
  <si>
    <t>Kolonna8308</t>
  </si>
  <si>
    <t>Kolonna8309</t>
  </si>
  <si>
    <t>Kolonna8310</t>
  </si>
  <si>
    <t>Kolonna8311</t>
  </si>
  <si>
    <t>Kolonna8312</t>
  </si>
  <si>
    <t>Kolonna8313</t>
  </si>
  <si>
    <t>Kolonna8314</t>
  </si>
  <si>
    <t>Kolonna8315</t>
  </si>
  <si>
    <t>Kolonna8316</t>
  </si>
  <si>
    <t>Kolonna8317</t>
  </si>
  <si>
    <t>Kolonna8318</t>
  </si>
  <si>
    <t>Kolonna8319</t>
  </si>
  <si>
    <t>Kolonna8320</t>
  </si>
  <si>
    <t>Kolonna8321</t>
  </si>
  <si>
    <t>Kolonna8322</t>
  </si>
  <si>
    <t>Kolonna8323</t>
  </si>
  <si>
    <t>Kolonna8324</t>
  </si>
  <si>
    <t>Kolonna8325</t>
  </si>
  <si>
    <t>Kolonna8326</t>
  </si>
  <si>
    <t>Kolonna8327</t>
  </si>
  <si>
    <t>Kolonna8328</t>
  </si>
  <si>
    <t>Kolonna8329</t>
  </si>
  <si>
    <t>Kolonna8330</t>
  </si>
  <si>
    <t>Kolonna8331</t>
  </si>
  <si>
    <t>Kolonna8332</t>
  </si>
  <si>
    <t>Kolonna8333</t>
  </si>
  <si>
    <t>Kolonna8334</t>
  </si>
  <si>
    <t>Kolonna8335</t>
  </si>
  <si>
    <t>Kolonna8336</t>
  </si>
  <si>
    <t>Kolonna8337</t>
  </si>
  <si>
    <t>Kolonna8338</t>
  </si>
  <si>
    <t>Kolonna8339</t>
  </si>
  <si>
    <t>Kolonna8340</t>
  </si>
  <si>
    <t>Kolonna8341</t>
  </si>
  <si>
    <t>Kolonna8342</t>
  </si>
  <si>
    <t>Kolonna8343</t>
  </si>
  <si>
    <t>Kolonna8344</t>
  </si>
  <si>
    <t>Kolonna8345</t>
  </si>
  <si>
    <t>Kolonna8346</t>
  </si>
  <si>
    <t>Kolonna8347</t>
  </si>
  <si>
    <t>Kolonna8348</t>
  </si>
  <si>
    <t>Kolonna8349</t>
  </si>
  <si>
    <t>Kolonna8350</t>
  </si>
  <si>
    <t>Kolonna8351</t>
  </si>
  <si>
    <t>Kolonna8352</t>
  </si>
  <si>
    <t>Kolonna8353</t>
  </si>
  <si>
    <t>Kolonna8354</t>
  </si>
  <si>
    <t>Kolonna8355</t>
  </si>
  <si>
    <t>Kolonna8356</t>
  </si>
  <si>
    <t>Kolonna8357</t>
  </si>
  <si>
    <t>Kolonna8358</t>
  </si>
  <si>
    <t>Kolonna8359</t>
  </si>
  <si>
    <t>Kolonna8360</t>
  </si>
  <si>
    <t>Kolonna8361</t>
  </si>
  <si>
    <t>Kolonna8362</t>
  </si>
  <si>
    <t>Kolonna8363</t>
  </si>
  <si>
    <t>Kolonna8364</t>
  </si>
  <si>
    <t>Kolonna8365</t>
  </si>
  <si>
    <t>Kolonna8366</t>
  </si>
  <si>
    <t>Kolonna8367</t>
  </si>
  <si>
    <t>Kolonna8368</t>
  </si>
  <si>
    <t>Kolonna8369</t>
  </si>
  <si>
    <t>Kolonna8370</t>
  </si>
  <si>
    <t>Kolonna8371</t>
  </si>
  <si>
    <t>Kolonna8372</t>
  </si>
  <si>
    <t>Kolonna8373</t>
  </si>
  <si>
    <t>Kolonna8374</t>
  </si>
  <si>
    <t>Kolonna8375</t>
  </si>
  <si>
    <t>Kolonna8376</t>
  </si>
  <si>
    <t>Kolonna8377</t>
  </si>
  <si>
    <t>Kolonna8378</t>
  </si>
  <si>
    <t>Kolonna8379</t>
  </si>
  <si>
    <t>Kolonna8380</t>
  </si>
  <si>
    <t>Kolonna8381</t>
  </si>
  <si>
    <t>Kolonna8382</t>
  </si>
  <si>
    <t>Kolonna8383</t>
  </si>
  <si>
    <t>Kolonna8384</t>
  </si>
  <si>
    <t>Kolonna8385</t>
  </si>
  <si>
    <t>Kolonna8386</t>
  </si>
  <si>
    <t>Kolonna8387</t>
  </si>
  <si>
    <t>Kolonna8388</t>
  </si>
  <si>
    <t>Kolonna8389</t>
  </si>
  <si>
    <t>Kolonna8390</t>
  </si>
  <si>
    <t>Kolonna8391</t>
  </si>
  <si>
    <t>Kolonna8392</t>
  </si>
  <si>
    <t>Kolonna8393</t>
  </si>
  <si>
    <t>Kolonna8394</t>
  </si>
  <si>
    <t>Kolonna8395</t>
  </si>
  <si>
    <t>Kolonna8396</t>
  </si>
  <si>
    <t>Kolonna8397</t>
  </si>
  <si>
    <t>Kolonna8398</t>
  </si>
  <si>
    <t>Kolonna8399</t>
  </si>
  <si>
    <t>Kolonna8400</t>
  </si>
  <si>
    <t>Kolonna8401</t>
  </si>
  <si>
    <t>Kolonna8402</t>
  </si>
  <si>
    <t>Kolonna8403</t>
  </si>
  <si>
    <t>Kolonna8404</t>
  </si>
  <si>
    <t>Kolonna8405</t>
  </si>
  <si>
    <t>Kolonna8406</t>
  </si>
  <si>
    <t>Kolonna8407</t>
  </si>
  <si>
    <t>Kolonna8408</t>
  </si>
  <si>
    <t>Kolonna8409</t>
  </si>
  <si>
    <t>Kolonna8410</t>
  </si>
  <si>
    <t>Kolonna8411</t>
  </si>
  <si>
    <t>Kolonna8412</t>
  </si>
  <si>
    <t>Kolonna8413</t>
  </si>
  <si>
    <t>Kolonna8414</t>
  </si>
  <si>
    <t>Kolonna8415</t>
  </si>
  <si>
    <t>Kolonna8416</t>
  </si>
  <si>
    <t>Kolonna8417</t>
  </si>
  <si>
    <t>Kolonna8418</t>
  </si>
  <si>
    <t>Kolonna8419</t>
  </si>
  <si>
    <t>Kolonna8420</t>
  </si>
  <si>
    <t>Kolonna8421</t>
  </si>
  <si>
    <t>Kolonna8422</t>
  </si>
  <si>
    <t>Kolonna8423</t>
  </si>
  <si>
    <t>Kolonna8424</t>
  </si>
  <si>
    <t>Kolonna8425</t>
  </si>
  <si>
    <t>Kolonna8426</t>
  </si>
  <si>
    <t>Kolonna8427</t>
  </si>
  <si>
    <t>Kolonna8428</t>
  </si>
  <si>
    <t>Kolonna8429</t>
  </si>
  <si>
    <t>Kolonna8430</t>
  </si>
  <si>
    <t>Kolonna8431</t>
  </si>
  <si>
    <t>Kolonna8432</t>
  </si>
  <si>
    <t>Kolonna8433</t>
  </si>
  <si>
    <t>Kolonna8434</t>
  </si>
  <si>
    <t>Kolonna8435</t>
  </si>
  <si>
    <t>Kolonna8436</t>
  </si>
  <si>
    <t>Kolonna8437</t>
  </si>
  <si>
    <t>Kolonna8438</t>
  </si>
  <si>
    <t>Kolonna8439</t>
  </si>
  <si>
    <t>Kolonna8440</t>
  </si>
  <si>
    <t>Kolonna8441</t>
  </si>
  <si>
    <t>Kolonna8442</t>
  </si>
  <si>
    <t>Kolonna8443</t>
  </si>
  <si>
    <t>Kolonna8444</t>
  </si>
  <si>
    <t>Kolonna8445</t>
  </si>
  <si>
    <t>Kolonna8446</t>
  </si>
  <si>
    <t>Kolonna8447</t>
  </si>
  <si>
    <t>Kolonna8448</t>
  </si>
  <si>
    <t>Kolonna8449</t>
  </si>
  <si>
    <t>Kolonna8450</t>
  </si>
  <si>
    <t>Kolonna8451</t>
  </si>
  <si>
    <t>Kolonna8452</t>
  </si>
  <si>
    <t>Kolonna8453</t>
  </si>
  <si>
    <t>Kolonna8454</t>
  </si>
  <si>
    <t>Kolonna8455</t>
  </si>
  <si>
    <t>Kolonna8456</t>
  </si>
  <si>
    <t>Kolonna8457</t>
  </si>
  <si>
    <t>Kolonna8458</t>
  </si>
  <si>
    <t>Kolonna8459</t>
  </si>
  <si>
    <t>Kolonna8460</t>
  </si>
  <si>
    <t>Kolonna8461</t>
  </si>
  <si>
    <t>Kolonna8462</t>
  </si>
  <si>
    <t>Kolonna8463</t>
  </si>
  <si>
    <t>Kolonna8464</t>
  </si>
  <si>
    <t>Kolonna8465</t>
  </si>
  <si>
    <t>Kolonna8466</t>
  </si>
  <si>
    <t>Kolonna8467</t>
  </si>
  <si>
    <t>Kolonna8468</t>
  </si>
  <si>
    <t>Kolonna8469</t>
  </si>
  <si>
    <t>Kolonna8470</t>
  </si>
  <si>
    <t>Kolonna8471</t>
  </si>
  <si>
    <t>Kolonna8472</t>
  </si>
  <si>
    <t>Kolonna8473</t>
  </si>
  <si>
    <t>Kolonna8474</t>
  </si>
  <si>
    <t>Kolonna8475</t>
  </si>
  <si>
    <t>Kolonna8476</t>
  </si>
  <si>
    <t>Kolonna8477</t>
  </si>
  <si>
    <t>Kolonna8478</t>
  </si>
  <si>
    <t>Kolonna8479</t>
  </si>
  <si>
    <t>Kolonna8480</t>
  </si>
  <si>
    <t>Kolonna8481</t>
  </si>
  <si>
    <t>Kolonna8482</t>
  </si>
  <si>
    <t>Kolonna8483</t>
  </si>
  <si>
    <t>Kolonna8484</t>
  </si>
  <si>
    <t>Kolonna8485</t>
  </si>
  <si>
    <t>Kolonna8486</t>
  </si>
  <si>
    <t>Kolonna8487</t>
  </si>
  <si>
    <t>Kolonna8488</t>
  </si>
  <si>
    <t>Kolonna8489</t>
  </si>
  <si>
    <t>Kolonna8490</t>
  </si>
  <si>
    <t>Kolonna8491</t>
  </si>
  <si>
    <t>Kolonna8492</t>
  </si>
  <si>
    <t>Kolonna8493</t>
  </si>
  <si>
    <t>Kolonna8494</t>
  </si>
  <si>
    <t>Kolonna8495</t>
  </si>
  <si>
    <t>Kolonna8496</t>
  </si>
  <si>
    <t>Kolonna8497</t>
  </si>
  <si>
    <t>Kolonna8498</t>
  </si>
  <si>
    <t>Kolonna8499</t>
  </si>
  <si>
    <t>Kolonna8500</t>
  </si>
  <si>
    <t>Kolonna8501</t>
  </si>
  <si>
    <t>Kolonna8502</t>
  </si>
  <si>
    <t>Kolonna8503</t>
  </si>
  <si>
    <t>Kolonna8504</t>
  </si>
  <si>
    <t>Kolonna8505</t>
  </si>
  <si>
    <t>Kolonna8506</t>
  </si>
  <si>
    <t>Kolonna8507</t>
  </si>
  <si>
    <t>Kolonna8508</t>
  </si>
  <si>
    <t>Kolonna8509</t>
  </si>
  <si>
    <t>Kolonna8510</t>
  </si>
  <si>
    <t>Kolonna8511</t>
  </si>
  <si>
    <t>Kolonna8512</t>
  </si>
  <si>
    <t>Kolonna8513</t>
  </si>
  <si>
    <t>Kolonna8514</t>
  </si>
  <si>
    <t>Kolonna8515</t>
  </si>
  <si>
    <t>Kolonna8516</t>
  </si>
  <si>
    <t>Kolonna8517</t>
  </si>
  <si>
    <t>Kolonna8518</t>
  </si>
  <si>
    <t>Kolonna8519</t>
  </si>
  <si>
    <t>Kolonna8520</t>
  </si>
  <si>
    <t>Kolonna8521</t>
  </si>
  <si>
    <t>Kolonna8522</t>
  </si>
  <si>
    <t>Kolonna8523</t>
  </si>
  <si>
    <t>Kolonna8524</t>
  </si>
  <si>
    <t>Kolonna8525</t>
  </si>
  <si>
    <t>Kolonna8526</t>
  </si>
  <si>
    <t>Kolonna8527</t>
  </si>
  <si>
    <t>Kolonna8528</t>
  </si>
  <si>
    <t>Kolonna8529</t>
  </si>
  <si>
    <t>Kolonna8530</t>
  </si>
  <si>
    <t>Kolonna8531</t>
  </si>
  <si>
    <t>Kolonna8532</t>
  </si>
  <si>
    <t>Kolonna8533</t>
  </si>
  <si>
    <t>Kolonna8534</t>
  </si>
  <si>
    <t>Kolonna8535</t>
  </si>
  <si>
    <t>Kolonna8536</t>
  </si>
  <si>
    <t>Kolonna8537</t>
  </si>
  <si>
    <t>Kolonna8538</t>
  </si>
  <si>
    <t>Kolonna8539</t>
  </si>
  <si>
    <t>Kolonna8540</t>
  </si>
  <si>
    <t>Kolonna8541</t>
  </si>
  <si>
    <t>Kolonna8542</t>
  </si>
  <si>
    <t>Kolonna8543</t>
  </si>
  <si>
    <t>Kolonna8544</t>
  </si>
  <si>
    <t>Kolonna8545</t>
  </si>
  <si>
    <t>Kolonna8546</t>
  </si>
  <si>
    <t>Kolonna8547</t>
  </si>
  <si>
    <t>Kolonna8548</t>
  </si>
  <si>
    <t>Kolonna8549</t>
  </si>
  <si>
    <t>Kolonna8550</t>
  </si>
  <si>
    <t>Kolonna8551</t>
  </si>
  <si>
    <t>Kolonna8552</t>
  </si>
  <si>
    <t>Kolonna8553</t>
  </si>
  <si>
    <t>Kolonna8554</t>
  </si>
  <si>
    <t>Kolonna8555</t>
  </si>
  <si>
    <t>Kolonna8556</t>
  </si>
  <si>
    <t>Kolonna8557</t>
  </si>
  <si>
    <t>Kolonna8558</t>
  </si>
  <si>
    <t>Kolonna8559</t>
  </si>
  <si>
    <t>Kolonna8560</t>
  </si>
  <si>
    <t>Kolonna8561</t>
  </si>
  <si>
    <t>Kolonna8562</t>
  </si>
  <si>
    <t>Kolonna8563</t>
  </si>
  <si>
    <t>Kolonna8564</t>
  </si>
  <si>
    <t>Kolonna8565</t>
  </si>
  <si>
    <t>Kolonna8566</t>
  </si>
  <si>
    <t>Kolonna8567</t>
  </si>
  <si>
    <t>Kolonna8568</t>
  </si>
  <si>
    <t>Kolonna8569</t>
  </si>
  <si>
    <t>Kolonna8570</t>
  </si>
  <si>
    <t>Kolonna8571</t>
  </si>
  <si>
    <t>Kolonna8572</t>
  </si>
  <si>
    <t>Kolonna8573</t>
  </si>
  <si>
    <t>Kolonna8574</t>
  </si>
  <si>
    <t>Kolonna8575</t>
  </si>
  <si>
    <t>Kolonna8576</t>
  </si>
  <si>
    <t>Kolonna8577</t>
  </si>
  <si>
    <t>Kolonna8578</t>
  </si>
  <si>
    <t>Kolonna8579</t>
  </si>
  <si>
    <t>Kolonna8580</t>
  </si>
  <si>
    <t>Kolonna8581</t>
  </si>
  <si>
    <t>Kolonna8582</t>
  </si>
  <si>
    <t>Kolonna8583</t>
  </si>
  <si>
    <t>Kolonna8584</t>
  </si>
  <si>
    <t>Kolonna8585</t>
  </si>
  <si>
    <t>Kolonna8586</t>
  </si>
  <si>
    <t>Kolonna8587</t>
  </si>
  <si>
    <t>Kolonna8588</t>
  </si>
  <si>
    <t>Kolonna8589</t>
  </si>
  <si>
    <t>Kolonna8590</t>
  </si>
  <si>
    <t>Kolonna8591</t>
  </si>
  <si>
    <t>Kolonna8592</t>
  </si>
  <si>
    <t>Kolonna8593</t>
  </si>
  <si>
    <t>Kolonna8594</t>
  </si>
  <si>
    <t>Kolonna8595</t>
  </si>
  <si>
    <t>Kolonna8596</t>
  </si>
  <si>
    <t>Kolonna8597</t>
  </si>
  <si>
    <t>Kolonna8598</t>
  </si>
  <si>
    <t>Kolonna8599</t>
  </si>
  <si>
    <t>Kolonna8600</t>
  </si>
  <si>
    <t>Kolonna8601</t>
  </si>
  <si>
    <t>Kolonna8602</t>
  </si>
  <si>
    <t>Kolonna8603</t>
  </si>
  <si>
    <t>Kolonna8604</t>
  </si>
  <si>
    <t>Kolonna8605</t>
  </si>
  <si>
    <t>Kolonna8606</t>
  </si>
  <si>
    <t>Kolonna8607</t>
  </si>
  <si>
    <t>Kolonna8608</t>
  </si>
  <si>
    <t>Kolonna8609</t>
  </si>
  <si>
    <t>Kolonna8610</t>
  </si>
  <si>
    <t>Kolonna8611</t>
  </si>
  <si>
    <t>Kolonna8612</t>
  </si>
  <si>
    <t>Kolonna8613</t>
  </si>
  <si>
    <t>Kolonna8614</t>
  </si>
  <si>
    <t>Kolonna8615</t>
  </si>
  <si>
    <t>Kolonna8616</t>
  </si>
  <si>
    <t>Kolonna8617</t>
  </si>
  <si>
    <t>Kolonna8618</t>
  </si>
  <si>
    <t>Kolonna8619</t>
  </si>
  <si>
    <t>Kolonna8620</t>
  </si>
  <si>
    <t>Kolonna8621</t>
  </si>
  <si>
    <t>Kolonna8622</t>
  </si>
  <si>
    <t>Kolonna8623</t>
  </si>
  <si>
    <t>Kolonna8624</t>
  </si>
  <si>
    <t>Kolonna8625</t>
  </si>
  <si>
    <t>Kolonna8626</t>
  </si>
  <si>
    <t>Kolonna8627</t>
  </si>
  <si>
    <t>Kolonna8628</t>
  </si>
  <si>
    <t>Kolonna8629</t>
  </si>
  <si>
    <t>Kolonna8630</t>
  </si>
  <si>
    <t>Kolonna8631</t>
  </si>
  <si>
    <t>Kolonna8632</t>
  </si>
  <si>
    <t>Kolonna8633</t>
  </si>
  <si>
    <t>Kolonna8634</t>
  </si>
  <si>
    <t>Kolonna8635</t>
  </si>
  <si>
    <t>Kolonna8636</t>
  </si>
  <si>
    <t>Kolonna8637</t>
  </si>
  <si>
    <t>Kolonna8638</t>
  </si>
  <si>
    <t>Kolonna8639</t>
  </si>
  <si>
    <t>Kolonna8640</t>
  </si>
  <si>
    <t>Kolonna8641</t>
  </si>
  <si>
    <t>Kolonna8642</t>
  </si>
  <si>
    <t>Kolonna8643</t>
  </si>
  <si>
    <t>Kolonna8644</t>
  </si>
  <si>
    <t>Kolonna8645</t>
  </si>
  <si>
    <t>Kolonna8646</t>
  </si>
  <si>
    <t>Kolonna8647</t>
  </si>
  <si>
    <t>Kolonna8648</t>
  </si>
  <si>
    <t>Kolonna8649</t>
  </si>
  <si>
    <t>Kolonna8650</t>
  </si>
  <si>
    <t>Kolonna8651</t>
  </si>
  <si>
    <t>Kolonna8652</t>
  </si>
  <si>
    <t>Kolonna8653</t>
  </si>
  <si>
    <t>Kolonna8654</t>
  </si>
  <si>
    <t>Kolonna8655</t>
  </si>
  <si>
    <t>Kolonna8656</t>
  </si>
  <si>
    <t>Kolonna8657</t>
  </si>
  <si>
    <t>Kolonna8658</t>
  </si>
  <si>
    <t>Kolonna8659</t>
  </si>
  <si>
    <t>Kolonna8660</t>
  </si>
  <si>
    <t>Kolonna8661</t>
  </si>
  <si>
    <t>Kolonna8662</t>
  </si>
  <si>
    <t>Kolonna8663</t>
  </si>
  <si>
    <t>Kolonna8664</t>
  </si>
  <si>
    <t>Kolonna8665</t>
  </si>
  <si>
    <t>Kolonna8666</t>
  </si>
  <si>
    <t>Kolonna8667</t>
  </si>
  <si>
    <t>Kolonna8668</t>
  </si>
  <si>
    <t>Kolonna8669</t>
  </si>
  <si>
    <t>Kolonna8670</t>
  </si>
  <si>
    <t>Kolonna8671</t>
  </si>
  <si>
    <t>Kolonna8672</t>
  </si>
  <si>
    <t>Kolonna8673</t>
  </si>
  <si>
    <t>Kolonna8674</t>
  </si>
  <si>
    <t>Kolonna8675</t>
  </si>
  <si>
    <t>Kolonna8676</t>
  </si>
  <si>
    <t>Kolonna8677</t>
  </si>
  <si>
    <t>Kolonna8678</t>
  </si>
  <si>
    <t>Kolonna8679</t>
  </si>
  <si>
    <t>Kolonna8680</t>
  </si>
  <si>
    <t>Kolonna8681</t>
  </si>
  <si>
    <t>Kolonna8682</t>
  </si>
  <si>
    <t>Kolonna8683</t>
  </si>
  <si>
    <t>Kolonna8684</t>
  </si>
  <si>
    <t>Kolonna8685</t>
  </si>
  <si>
    <t>Kolonna8686</t>
  </si>
  <si>
    <t>Kolonna8687</t>
  </si>
  <si>
    <t>Kolonna8688</t>
  </si>
  <si>
    <t>Kolonna8689</t>
  </si>
  <si>
    <t>Kolonna8690</t>
  </si>
  <si>
    <t>Kolonna8691</t>
  </si>
  <si>
    <t>Kolonna8692</t>
  </si>
  <si>
    <t>Kolonna8693</t>
  </si>
  <si>
    <t>Kolonna8694</t>
  </si>
  <si>
    <t>Kolonna8695</t>
  </si>
  <si>
    <t>Kolonna8696</t>
  </si>
  <si>
    <t>Kolonna8697</t>
  </si>
  <si>
    <t>Kolonna8698</t>
  </si>
  <si>
    <t>Kolonna8699</t>
  </si>
  <si>
    <t>Kolonna8700</t>
  </si>
  <si>
    <t>Kolonna8701</t>
  </si>
  <si>
    <t>Kolonna8702</t>
  </si>
  <si>
    <t>Kolonna8703</t>
  </si>
  <si>
    <t>Kolonna8704</t>
  </si>
  <si>
    <t>Kolonna8705</t>
  </si>
  <si>
    <t>Kolonna8706</t>
  </si>
  <si>
    <t>Kolonna8707</t>
  </si>
  <si>
    <t>Kolonna8708</t>
  </si>
  <si>
    <t>Kolonna8709</t>
  </si>
  <si>
    <t>Kolonna8710</t>
  </si>
  <si>
    <t>Kolonna8711</t>
  </si>
  <si>
    <t>Kolonna8712</t>
  </si>
  <si>
    <t>Kolonna8713</t>
  </si>
  <si>
    <t>Kolonna8714</t>
  </si>
  <si>
    <t>Kolonna8715</t>
  </si>
  <si>
    <t>Kolonna8716</t>
  </si>
  <si>
    <t>Kolonna8717</t>
  </si>
  <si>
    <t>Kolonna8718</t>
  </si>
  <si>
    <t>Kolonna8719</t>
  </si>
  <si>
    <t>Kolonna8720</t>
  </si>
  <si>
    <t>Kolonna8721</t>
  </si>
  <si>
    <t>Kolonna8722</t>
  </si>
  <si>
    <t>Kolonna8723</t>
  </si>
  <si>
    <t>Kolonna8724</t>
  </si>
  <si>
    <t>Kolonna8725</t>
  </si>
  <si>
    <t>Kolonna8726</t>
  </si>
  <si>
    <t>Kolonna8727</t>
  </si>
  <si>
    <t>Kolonna8728</t>
  </si>
  <si>
    <t>Kolonna8729</t>
  </si>
  <si>
    <t>Kolonna8730</t>
  </si>
  <si>
    <t>Kolonna8731</t>
  </si>
  <si>
    <t>Kolonna8732</t>
  </si>
  <si>
    <t>Kolonna8733</t>
  </si>
  <si>
    <t>Kolonna8734</t>
  </si>
  <si>
    <t>Kolonna8735</t>
  </si>
  <si>
    <t>Kolonna8736</t>
  </si>
  <si>
    <t>Kolonna8737</t>
  </si>
  <si>
    <t>Kolonna8738</t>
  </si>
  <si>
    <t>Kolonna8739</t>
  </si>
  <si>
    <t>Kolonna8740</t>
  </si>
  <si>
    <t>Kolonna8741</t>
  </si>
  <si>
    <t>Kolonna8742</t>
  </si>
  <si>
    <t>Kolonna8743</t>
  </si>
  <si>
    <t>Kolonna8744</t>
  </si>
  <si>
    <t>Kolonna8745</t>
  </si>
  <si>
    <t>Kolonna8746</t>
  </si>
  <si>
    <t>Kolonna8747</t>
  </si>
  <si>
    <t>Kolonna8748</t>
  </si>
  <si>
    <t>Kolonna8749</t>
  </si>
  <si>
    <t>Kolonna8750</t>
  </si>
  <si>
    <t>Kolonna8751</t>
  </si>
  <si>
    <t>Kolonna8752</t>
  </si>
  <si>
    <t>Kolonna8753</t>
  </si>
  <si>
    <t>Kolonna8754</t>
  </si>
  <si>
    <t>Kolonna8755</t>
  </si>
  <si>
    <t>Kolonna8756</t>
  </si>
  <si>
    <t>Kolonna8757</t>
  </si>
  <si>
    <t>Kolonna8758</t>
  </si>
  <si>
    <t>Kolonna8759</t>
  </si>
  <si>
    <t>Kolonna8760</t>
  </si>
  <si>
    <t>Kolonna8761</t>
  </si>
  <si>
    <t>Kolonna8762</t>
  </si>
  <si>
    <t>Kolonna8763</t>
  </si>
  <si>
    <t>Kolonna8764</t>
  </si>
  <si>
    <t>Kolonna8765</t>
  </si>
  <si>
    <t>Kolonna8766</t>
  </si>
  <si>
    <t>Kolonna8767</t>
  </si>
  <si>
    <t>Kolonna8768</t>
  </si>
  <si>
    <t>Kolonna8769</t>
  </si>
  <si>
    <t>Kolonna8770</t>
  </si>
  <si>
    <t>Kolonna8771</t>
  </si>
  <si>
    <t>Kolonna8772</t>
  </si>
  <si>
    <t>Kolonna8773</t>
  </si>
  <si>
    <t>Kolonna8774</t>
  </si>
  <si>
    <t>Kolonna8775</t>
  </si>
  <si>
    <t>Kolonna8776</t>
  </si>
  <si>
    <t>Kolonna8777</t>
  </si>
  <si>
    <t>Kolonna8778</t>
  </si>
  <si>
    <t>Kolonna8779</t>
  </si>
  <si>
    <t>Kolonna8780</t>
  </si>
  <si>
    <t>Kolonna8781</t>
  </si>
  <si>
    <t>Kolonna8782</t>
  </si>
  <si>
    <t>Kolonna8783</t>
  </si>
  <si>
    <t>Kolonna8784</t>
  </si>
  <si>
    <t>Kolonna8785</t>
  </si>
  <si>
    <t>Kolonna8786</t>
  </si>
  <si>
    <t>Kolonna8787</t>
  </si>
  <si>
    <t>Kolonna8788</t>
  </si>
  <si>
    <t>Kolonna8789</t>
  </si>
  <si>
    <t>Kolonna8790</t>
  </si>
  <si>
    <t>Kolonna8791</t>
  </si>
  <si>
    <t>Kolonna8792</t>
  </si>
  <si>
    <t>Kolonna8793</t>
  </si>
  <si>
    <t>Kolonna8794</t>
  </si>
  <si>
    <t>Kolonna8795</t>
  </si>
  <si>
    <t>Kolonna8796</t>
  </si>
  <si>
    <t>Kolonna8797</t>
  </si>
  <si>
    <t>Kolonna8798</t>
  </si>
  <si>
    <t>Kolonna8799</t>
  </si>
  <si>
    <t>Kolonna8800</t>
  </si>
  <si>
    <t>Kolonna8801</t>
  </si>
  <si>
    <t>Kolonna8802</t>
  </si>
  <si>
    <t>Kolonna8803</t>
  </si>
  <si>
    <t>Kolonna8804</t>
  </si>
  <si>
    <t>Kolonna8805</t>
  </si>
  <si>
    <t>Kolonna8806</t>
  </si>
  <si>
    <t>Kolonna8807</t>
  </si>
  <si>
    <t>Kolonna8808</t>
  </si>
  <si>
    <t>Kolonna8809</t>
  </si>
  <si>
    <t>Kolonna8810</t>
  </si>
  <si>
    <t>Kolonna8811</t>
  </si>
  <si>
    <t>Kolonna8812</t>
  </si>
  <si>
    <t>Kolonna8813</t>
  </si>
  <si>
    <t>Kolonna8814</t>
  </si>
  <si>
    <t>Kolonna8815</t>
  </si>
  <si>
    <t>Kolonna8816</t>
  </si>
  <si>
    <t>Kolonna8817</t>
  </si>
  <si>
    <t>Kolonna8818</t>
  </si>
  <si>
    <t>Kolonna8819</t>
  </si>
  <si>
    <t>Kolonna8820</t>
  </si>
  <si>
    <t>Kolonna8821</t>
  </si>
  <si>
    <t>Kolonna8822</t>
  </si>
  <si>
    <t>Kolonna8823</t>
  </si>
  <si>
    <t>Kolonna8824</t>
  </si>
  <si>
    <t>Kolonna8825</t>
  </si>
  <si>
    <t>Kolonna8826</t>
  </si>
  <si>
    <t>Kolonna8827</t>
  </si>
  <si>
    <t>Kolonna8828</t>
  </si>
  <si>
    <t>Kolonna8829</t>
  </si>
  <si>
    <t>Kolonna8830</t>
  </si>
  <si>
    <t>Kolonna8831</t>
  </si>
  <si>
    <t>Kolonna8832</t>
  </si>
  <si>
    <t>Kolonna8833</t>
  </si>
  <si>
    <t>Kolonna8834</t>
  </si>
  <si>
    <t>Kolonna8835</t>
  </si>
  <si>
    <t>Kolonna8836</t>
  </si>
  <si>
    <t>Kolonna8837</t>
  </si>
  <si>
    <t>Kolonna8838</t>
  </si>
  <si>
    <t>Kolonna8839</t>
  </si>
  <si>
    <t>Kolonna8840</t>
  </si>
  <si>
    <t>Kolonna8841</t>
  </si>
  <si>
    <t>Kolonna8842</t>
  </si>
  <si>
    <t>Kolonna8843</t>
  </si>
  <si>
    <t>Kolonna8844</t>
  </si>
  <si>
    <t>Kolonna8845</t>
  </si>
  <si>
    <t>Kolonna8846</t>
  </si>
  <si>
    <t>Kolonna8847</t>
  </si>
  <si>
    <t>Kolonna8848</t>
  </si>
  <si>
    <t>Kolonna8849</t>
  </si>
  <si>
    <t>Kolonna8850</t>
  </si>
  <si>
    <t>Kolonna8851</t>
  </si>
  <si>
    <t>Kolonna8852</t>
  </si>
  <si>
    <t>Kolonna8853</t>
  </si>
  <si>
    <t>Kolonna8854</t>
  </si>
  <si>
    <t>Kolonna8855</t>
  </si>
  <si>
    <t>Kolonna8856</t>
  </si>
  <si>
    <t>Kolonna8857</t>
  </si>
  <si>
    <t>Kolonna8858</t>
  </si>
  <si>
    <t>Kolonna8859</t>
  </si>
  <si>
    <t>Kolonna8860</t>
  </si>
  <si>
    <t>Kolonna8861</t>
  </si>
  <si>
    <t>Kolonna8862</t>
  </si>
  <si>
    <t>Kolonna8863</t>
  </si>
  <si>
    <t>Kolonna8864</t>
  </si>
  <si>
    <t>Kolonna8865</t>
  </si>
  <si>
    <t>Kolonna8866</t>
  </si>
  <si>
    <t>Kolonna8867</t>
  </si>
  <si>
    <t>Kolonna8868</t>
  </si>
  <si>
    <t>Kolonna8869</t>
  </si>
  <si>
    <t>Kolonna8870</t>
  </si>
  <si>
    <t>Kolonna8871</t>
  </si>
  <si>
    <t>Kolonna8872</t>
  </si>
  <si>
    <t>Kolonna8873</t>
  </si>
  <si>
    <t>Kolonna8874</t>
  </si>
  <si>
    <t>Kolonna8875</t>
  </si>
  <si>
    <t>Kolonna8876</t>
  </si>
  <si>
    <t>Kolonna8877</t>
  </si>
  <si>
    <t>Kolonna8878</t>
  </si>
  <si>
    <t>Kolonna8879</t>
  </si>
  <si>
    <t>Kolonna8880</t>
  </si>
  <si>
    <t>Kolonna8881</t>
  </si>
  <si>
    <t>Kolonna8882</t>
  </si>
  <si>
    <t>Kolonna8883</t>
  </si>
  <si>
    <t>Kolonna8884</t>
  </si>
  <si>
    <t>Kolonna8885</t>
  </si>
  <si>
    <t>Kolonna8886</t>
  </si>
  <si>
    <t>Kolonna8887</t>
  </si>
  <si>
    <t>Kolonna8888</t>
  </si>
  <si>
    <t>Kolonna8889</t>
  </si>
  <si>
    <t>Kolonna8890</t>
  </si>
  <si>
    <t>Kolonna8891</t>
  </si>
  <si>
    <t>Kolonna8892</t>
  </si>
  <si>
    <t>Kolonna8893</t>
  </si>
  <si>
    <t>Kolonna8894</t>
  </si>
  <si>
    <t>Kolonna8895</t>
  </si>
  <si>
    <t>Kolonna8896</t>
  </si>
  <si>
    <t>Kolonna8897</t>
  </si>
  <si>
    <t>Kolonna8898</t>
  </si>
  <si>
    <t>Kolonna8899</t>
  </si>
  <si>
    <t>Kolonna8900</t>
  </si>
  <si>
    <t>Kolonna8901</t>
  </si>
  <si>
    <t>Kolonna8902</t>
  </si>
  <si>
    <t>Kolonna8903</t>
  </si>
  <si>
    <t>Kolonna8904</t>
  </si>
  <si>
    <t>Kolonna8905</t>
  </si>
  <si>
    <t>Kolonna8906</t>
  </si>
  <si>
    <t>Kolonna8907</t>
  </si>
  <si>
    <t>Kolonna8908</t>
  </si>
  <si>
    <t>Kolonna8909</t>
  </si>
  <si>
    <t>Kolonna8910</t>
  </si>
  <si>
    <t>Kolonna8911</t>
  </si>
  <si>
    <t>Kolonna8912</t>
  </si>
  <si>
    <t>Kolonna8913</t>
  </si>
  <si>
    <t>Kolonna8914</t>
  </si>
  <si>
    <t>Kolonna8915</t>
  </si>
  <si>
    <t>Kolonna8916</t>
  </si>
  <si>
    <t>Kolonna8917</t>
  </si>
  <si>
    <t>Kolonna8918</t>
  </si>
  <si>
    <t>Kolonna8919</t>
  </si>
  <si>
    <t>Kolonna8920</t>
  </si>
  <si>
    <t>Kolonna8921</t>
  </si>
  <si>
    <t>Kolonna8922</t>
  </si>
  <si>
    <t>Kolonna8923</t>
  </si>
  <si>
    <t>Kolonna8924</t>
  </si>
  <si>
    <t>Kolonna8925</t>
  </si>
  <si>
    <t>Kolonna8926</t>
  </si>
  <si>
    <t>Kolonna8927</t>
  </si>
  <si>
    <t>Kolonna8928</t>
  </si>
  <si>
    <t>Kolonna8929</t>
  </si>
  <si>
    <t>Kolonna8930</t>
  </si>
  <si>
    <t>Kolonna8931</t>
  </si>
  <si>
    <t>Kolonna8932</t>
  </si>
  <si>
    <t>Kolonna8933</t>
  </si>
  <si>
    <t>Kolonna8934</t>
  </si>
  <si>
    <t>Kolonna8935</t>
  </si>
  <si>
    <t>Kolonna8936</t>
  </si>
  <si>
    <t>Kolonna8937</t>
  </si>
  <si>
    <t>Kolonna8938</t>
  </si>
  <si>
    <t>Kolonna8939</t>
  </si>
  <si>
    <t>Kolonna8940</t>
  </si>
  <si>
    <t>Kolonna8941</t>
  </si>
  <si>
    <t>Kolonna8942</t>
  </si>
  <si>
    <t>Kolonna8943</t>
  </si>
  <si>
    <t>Kolonna8944</t>
  </si>
  <si>
    <t>Kolonna8945</t>
  </si>
  <si>
    <t>Kolonna8946</t>
  </si>
  <si>
    <t>Kolonna8947</t>
  </si>
  <si>
    <t>Kolonna8948</t>
  </si>
  <si>
    <t>Kolonna8949</t>
  </si>
  <si>
    <t>Kolonna8950</t>
  </si>
  <si>
    <t>Kolonna8951</t>
  </si>
  <si>
    <t>Kolonna8952</t>
  </si>
  <si>
    <t>Kolonna8953</t>
  </si>
  <si>
    <t>Kolonna8954</t>
  </si>
  <si>
    <t>Kolonna8955</t>
  </si>
  <si>
    <t>Kolonna8956</t>
  </si>
  <si>
    <t>Kolonna8957</t>
  </si>
  <si>
    <t>Kolonna8958</t>
  </si>
  <si>
    <t>Kolonna8959</t>
  </si>
  <si>
    <t>Kolonna8960</t>
  </si>
  <si>
    <t>Kolonna8961</t>
  </si>
  <si>
    <t>Kolonna8962</t>
  </si>
  <si>
    <t>Kolonna8963</t>
  </si>
  <si>
    <t>Kolonna8964</t>
  </si>
  <si>
    <t>Kolonna8965</t>
  </si>
  <si>
    <t>Kolonna8966</t>
  </si>
  <si>
    <t>Kolonna8967</t>
  </si>
  <si>
    <t>Kolonna8968</t>
  </si>
  <si>
    <t>Kolonna8969</t>
  </si>
  <si>
    <t>Kolonna8970</t>
  </si>
  <si>
    <t>Kolonna8971</t>
  </si>
  <si>
    <t>Kolonna8972</t>
  </si>
  <si>
    <t>Kolonna8973</t>
  </si>
  <si>
    <t>Kolonna8974</t>
  </si>
  <si>
    <t>Kolonna8975</t>
  </si>
  <si>
    <t>Kolonna8976</t>
  </si>
  <si>
    <t>Kolonna8977</t>
  </si>
  <si>
    <t>Kolonna8978</t>
  </si>
  <si>
    <t>Kolonna8979</t>
  </si>
  <si>
    <t>Kolonna8980</t>
  </si>
  <si>
    <t>Kolonna8981</t>
  </si>
  <si>
    <t>Kolonna8982</t>
  </si>
  <si>
    <t>Kolonna8983</t>
  </si>
  <si>
    <t>Kolonna8984</t>
  </si>
  <si>
    <t>Kolonna8985</t>
  </si>
  <si>
    <t>Kolonna8986</t>
  </si>
  <si>
    <t>Kolonna8987</t>
  </si>
  <si>
    <t>Kolonna8988</t>
  </si>
  <si>
    <t>Kolonna8989</t>
  </si>
  <si>
    <t>Kolonna8990</t>
  </si>
  <si>
    <t>Kolonna8991</t>
  </si>
  <si>
    <t>Kolonna8992</t>
  </si>
  <si>
    <t>Kolonna8993</t>
  </si>
  <si>
    <t>Kolonna8994</t>
  </si>
  <si>
    <t>Kolonna8995</t>
  </si>
  <si>
    <t>Kolonna8996</t>
  </si>
  <si>
    <t>Kolonna8997</t>
  </si>
  <si>
    <t>Kolonna8998</t>
  </si>
  <si>
    <t>Kolonna8999</t>
  </si>
  <si>
    <t>Kolonna9000</t>
  </si>
  <si>
    <t>Kolonna9001</t>
  </si>
  <si>
    <t>Kolonna9002</t>
  </si>
  <si>
    <t>Kolonna9003</t>
  </si>
  <si>
    <t>Kolonna9004</t>
  </si>
  <si>
    <t>Kolonna9005</t>
  </si>
  <si>
    <t>Kolonna9006</t>
  </si>
  <si>
    <t>Kolonna9007</t>
  </si>
  <si>
    <t>Kolonna9008</t>
  </si>
  <si>
    <t>Kolonna9009</t>
  </si>
  <si>
    <t>Kolonna9010</t>
  </si>
  <si>
    <t>Kolonna9011</t>
  </si>
  <si>
    <t>Kolonna9012</t>
  </si>
  <si>
    <t>Kolonna9013</t>
  </si>
  <si>
    <t>Kolonna9014</t>
  </si>
  <si>
    <t>Kolonna9015</t>
  </si>
  <si>
    <t>Kolonna9016</t>
  </si>
  <si>
    <t>Kolonna9017</t>
  </si>
  <si>
    <t>Kolonna9018</t>
  </si>
  <si>
    <t>Kolonna9019</t>
  </si>
  <si>
    <t>Kolonna9020</t>
  </si>
  <si>
    <t>Kolonna9021</t>
  </si>
  <si>
    <t>Kolonna9022</t>
  </si>
  <si>
    <t>Kolonna9023</t>
  </si>
  <si>
    <t>Kolonna9024</t>
  </si>
  <si>
    <t>Kolonna9025</t>
  </si>
  <si>
    <t>Kolonna9026</t>
  </si>
  <si>
    <t>Kolonna9027</t>
  </si>
  <si>
    <t>Kolonna9028</t>
  </si>
  <si>
    <t>Kolonna9029</t>
  </si>
  <si>
    <t>Kolonna9030</t>
  </si>
  <si>
    <t>Kolonna9031</t>
  </si>
  <si>
    <t>Kolonna9032</t>
  </si>
  <si>
    <t>Kolonna9033</t>
  </si>
  <si>
    <t>Kolonna9034</t>
  </si>
  <si>
    <t>Kolonna9035</t>
  </si>
  <si>
    <t>Kolonna9036</t>
  </si>
  <si>
    <t>Kolonna9037</t>
  </si>
  <si>
    <t>Kolonna9038</t>
  </si>
  <si>
    <t>Kolonna9039</t>
  </si>
  <si>
    <t>Kolonna9040</t>
  </si>
  <si>
    <t>Kolonna9041</t>
  </si>
  <si>
    <t>Kolonna9042</t>
  </si>
  <si>
    <t>Kolonna9043</t>
  </si>
  <si>
    <t>Kolonna9044</t>
  </si>
  <si>
    <t>Kolonna9045</t>
  </si>
  <si>
    <t>Kolonna9046</t>
  </si>
  <si>
    <t>Kolonna9047</t>
  </si>
  <si>
    <t>Kolonna9048</t>
  </si>
  <si>
    <t>Kolonna9049</t>
  </si>
  <si>
    <t>Kolonna9050</t>
  </si>
  <si>
    <t>Kolonna9051</t>
  </si>
  <si>
    <t>Kolonna9052</t>
  </si>
  <si>
    <t>Kolonna9053</t>
  </si>
  <si>
    <t>Kolonna9054</t>
  </si>
  <si>
    <t>Kolonna9055</t>
  </si>
  <si>
    <t>Kolonna9056</t>
  </si>
  <si>
    <t>Kolonna9057</t>
  </si>
  <si>
    <t>Kolonna9058</t>
  </si>
  <si>
    <t>Kolonna9059</t>
  </si>
  <si>
    <t>Kolonna9060</t>
  </si>
  <si>
    <t>Kolonna9061</t>
  </si>
  <si>
    <t>Kolonna9062</t>
  </si>
  <si>
    <t>Kolonna9063</t>
  </si>
  <si>
    <t>Kolonna9064</t>
  </si>
  <si>
    <t>Kolonna9065</t>
  </si>
  <si>
    <t>Kolonna9066</t>
  </si>
  <si>
    <t>Kolonna9067</t>
  </si>
  <si>
    <t>Kolonna9068</t>
  </si>
  <si>
    <t>Kolonna9069</t>
  </si>
  <si>
    <t>Kolonna9070</t>
  </si>
  <si>
    <t>Kolonna9071</t>
  </si>
  <si>
    <t>Kolonna9072</t>
  </si>
  <si>
    <t>Kolonna9073</t>
  </si>
  <si>
    <t>Kolonna9074</t>
  </si>
  <si>
    <t>Kolonna9075</t>
  </si>
  <si>
    <t>Kolonna9076</t>
  </si>
  <si>
    <t>Kolonna9077</t>
  </si>
  <si>
    <t>Kolonna9078</t>
  </si>
  <si>
    <t>Kolonna9079</t>
  </si>
  <si>
    <t>Kolonna9080</t>
  </si>
  <si>
    <t>Kolonna9081</t>
  </si>
  <si>
    <t>Kolonna9082</t>
  </si>
  <si>
    <t>Kolonna9083</t>
  </si>
  <si>
    <t>Kolonna9084</t>
  </si>
  <si>
    <t>Kolonna9085</t>
  </si>
  <si>
    <t>Kolonna9086</t>
  </si>
  <si>
    <t>Kolonna9087</t>
  </si>
  <si>
    <t>Kolonna9088</t>
  </si>
  <si>
    <t>Kolonna9089</t>
  </si>
  <si>
    <t>Kolonna9090</t>
  </si>
  <si>
    <t>Kolonna9091</t>
  </si>
  <si>
    <t>Kolonna9092</t>
  </si>
  <si>
    <t>Kolonna9093</t>
  </si>
  <si>
    <t>Kolonna9094</t>
  </si>
  <si>
    <t>Kolonna9095</t>
  </si>
  <si>
    <t>Kolonna9096</t>
  </si>
  <si>
    <t>Kolonna9097</t>
  </si>
  <si>
    <t>Kolonna9098</t>
  </si>
  <si>
    <t>Kolonna9099</t>
  </si>
  <si>
    <t>Kolonna9100</t>
  </si>
  <si>
    <t>Kolonna9101</t>
  </si>
  <si>
    <t>Kolonna9102</t>
  </si>
  <si>
    <t>Kolonna9103</t>
  </si>
  <si>
    <t>Kolonna9104</t>
  </si>
  <si>
    <t>Kolonna9105</t>
  </si>
  <si>
    <t>Kolonna9106</t>
  </si>
  <si>
    <t>Kolonna9107</t>
  </si>
  <si>
    <t>Kolonna9108</t>
  </si>
  <si>
    <t>Kolonna9109</t>
  </si>
  <si>
    <t>Kolonna9110</t>
  </si>
  <si>
    <t>Kolonna9111</t>
  </si>
  <si>
    <t>Kolonna9112</t>
  </si>
  <si>
    <t>Kolonna9113</t>
  </si>
  <si>
    <t>Kolonna9114</t>
  </si>
  <si>
    <t>Kolonna9115</t>
  </si>
  <si>
    <t>Kolonna9116</t>
  </si>
  <si>
    <t>Kolonna9117</t>
  </si>
  <si>
    <t>Kolonna9118</t>
  </si>
  <si>
    <t>Kolonna9119</t>
  </si>
  <si>
    <t>Kolonna9120</t>
  </si>
  <si>
    <t>Kolonna9121</t>
  </si>
  <si>
    <t>Kolonna9122</t>
  </si>
  <si>
    <t>Kolonna9123</t>
  </si>
  <si>
    <t>Kolonna9124</t>
  </si>
  <si>
    <t>Kolonna9125</t>
  </si>
  <si>
    <t>Kolonna9126</t>
  </si>
  <si>
    <t>Kolonna9127</t>
  </si>
  <si>
    <t>Kolonna9128</t>
  </si>
  <si>
    <t>Kolonna9129</t>
  </si>
  <si>
    <t>Kolonna9130</t>
  </si>
  <si>
    <t>Kolonna9131</t>
  </si>
  <si>
    <t>Kolonna9132</t>
  </si>
  <si>
    <t>Kolonna9133</t>
  </si>
  <si>
    <t>Kolonna9134</t>
  </si>
  <si>
    <t>Kolonna9135</t>
  </si>
  <si>
    <t>Kolonna9136</t>
  </si>
  <si>
    <t>Kolonna9137</t>
  </si>
  <si>
    <t>Kolonna9138</t>
  </si>
  <si>
    <t>Kolonna9139</t>
  </si>
  <si>
    <t>Kolonna9140</t>
  </si>
  <si>
    <t>Kolonna9141</t>
  </si>
  <si>
    <t>Kolonna9142</t>
  </si>
  <si>
    <t>Kolonna9143</t>
  </si>
  <si>
    <t>Kolonna9144</t>
  </si>
  <si>
    <t>Kolonna9145</t>
  </si>
  <si>
    <t>Kolonna9146</t>
  </si>
  <si>
    <t>Kolonna9147</t>
  </si>
  <si>
    <t>Kolonna9148</t>
  </si>
  <si>
    <t>Kolonna9149</t>
  </si>
  <si>
    <t>Kolonna9150</t>
  </si>
  <si>
    <t>Kolonna9151</t>
  </si>
  <si>
    <t>Kolonna9152</t>
  </si>
  <si>
    <t>Kolonna9153</t>
  </si>
  <si>
    <t>Kolonna9154</t>
  </si>
  <si>
    <t>Kolonna9155</t>
  </si>
  <si>
    <t>Kolonna9156</t>
  </si>
  <si>
    <t>Kolonna9157</t>
  </si>
  <si>
    <t>Kolonna9158</t>
  </si>
  <si>
    <t>Kolonna9159</t>
  </si>
  <si>
    <t>Kolonna9160</t>
  </si>
  <si>
    <t>Kolonna9161</t>
  </si>
  <si>
    <t>Kolonna9162</t>
  </si>
  <si>
    <t>Kolonna9163</t>
  </si>
  <si>
    <t>Kolonna9164</t>
  </si>
  <si>
    <t>Kolonna9165</t>
  </si>
  <si>
    <t>Kolonna9166</t>
  </si>
  <si>
    <t>Kolonna9167</t>
  </si>
  <si>
    <t>Kolonna9168</t>
  </si>
  <si>
    <t>Kolonna9169</t>
  </si>
  <si>
    <t>Kolonna9170</t>
  </si>
  <si>
    <t>Kolonna9171</t>
  </si>
  <si>
    <t>Kolonna9172</t>
  </si>
  <si>
    <t>Kolonna9173</t>
  </si>
  <si>
    <t>Kolonna9174</t>
  </si>
  <si>
    <t>Kolonna9175</t>
  </si>
  <si>
    <t>Kolonna9176</t>
  </si>
  <si>
    <t>Kolonna9177</t>
  </si>
  <si>
    <t>Kolonna9178</t>
  </si>
  <si>
    <t>Kolonna9179</t>
  </si>
  <si>
    <t>Kolonna9180</t>
  </si>
  <si>
    <t>Kolonna9181</t>
  </si>
  <si>
    <t>Kolonna9182</t>
  </si>
  <si>
    <t>Kolonna9183</t>
  </si>
  <si>
    <t>Kolonna9184</t>
  </si>
  <si>
    <t>Kolonna9185</t>
  </si>
  <si>
    <t>Kolonna9186</t>
  </si>
  <si>
    <t>Kolonna9187</t>
  </si>
  <si>
    <t>Kolonna9188</t>
  </si>
  <si>
    <t>Kolonna9189</t>
  </si>
  <si>
    <t>Kolonna9190</t>
  </si>
  <si>
    <t>Kolonna9191</t>
  </si>
  <si>
    <t>Kolonna9192</t>
  </si>
  <si>
    <t>Kolonna9193</t>
  </si>
  <si>
    <t>Kolonna9194</t>
  </si>
  <si>
    <t>Kolonna9195</t>
  </si>
  <si>
    <t>Kolonna9196</t>
  </si>
  <si>
    <t>Kolonna9197</t>
  </si>
  <si>
    <t>Kolonna9198</t>
  </si>
  <si>
    <t>Kolonna9199</t>
  </si>
  <si>
    <t>Kolonna9200</t>
  </si>
  <si>
    <t>Kolonna9201</t>
  </si>
  <si>
    <t>Kolonna9202</t>
  </si>
  <si>
    <t>Kolonna9203</t>
  </si>
  <si>
    <t>Kolonna9204</t>
  </si>
  <si>
    <t>Kolonna9205</t>
  </si>
  <si>
    <t>Kolonna9206</t>
  </si>
  <si>
    <t>Kolonna9207</t>
  </si>
  <si>
    <t>Kolonna9208</t>
  </si>
  <si>
    <t>Kolonna9209</t>
  </si>
  <si>
    <t>Kolonna9210</t>
  </si>
  <si>
    <t>Kolonna9211</t>
  </si>
  <si>
    <t>Kolonna9212</t>
  </si>
  <si>
    <t>Kolonna9213</t>
  </si>
  <si>
    <t>Kolonna9214</t>
  </si>
  <si>
    <t>Kolonna9215</t>
  </si>
  <si>
    <t>Kolonna9216</t>
  </si>
  <si>
    <t>Kolonna9217</t>
  </si>
  <si>
    <t>Kolonna9218</t>
  </si>
  <si>
    <t>Kolonna9219</t>
  </si>
  <si>
    <t>Kolonna9220</t>
  </si>
  <si>
    <t>Kolonna9221</t>
  </si>
  <si>
    <t>Kolonna9222</t>
  </si>
  <si>
    <t>Kolonna9223</t>
  </si>
  <si>
    <t>Kolonna9224</t>
  </si>
  <si>
    <t>Kolonna9225</t>
  </si>
  <si>
    <t>Kolonna9226</t>
  </si>
  <si>
    <t>Kolonna9227</t>
  </si>
  <si>
    <t>Kolonna9228</t>
  </si>
  <si>
    <t>Kolonna9229</t>
  </si>
  <si>
    <t>Kolonna9230</t>
  </si>
  <si>
    <t>Kolonna9231</t>
  </si>
  <si>
    <t>Kolonna9232</t>
  </si>
  <si>
    <t>Kolonna9233</t>
  </si>
  <si>
    <t>Kolonna9234</t>
  </si>
  <si>
    <t>Kolonna9235</t>
  </si>
  <si>
    <t>Kolonna9236</t>
  </si>
  <si>
    <t>Kolonna9237</t>
  </si>
  <si>
    <t>Kolonna9238</t>
  </si>
  <si>
    <t>Kolonna9239</t>
  </si>
  <si>
    <t>Kolonna9240</t>
  </si>
  <si>
    <t>Kolonna9241</t>
  </si>
  <si>
    <t>Kolonna9242</t>
  </si>
  <si>
    <t>Kolonna9243</t>
  </si>
  <si>
    <t>Kolonna9244</t>
  </si>
  <si>
    <t>Kolonna9245</t>
  </si>
  <si>
    <t>Kolonna9246</t>
  </si>
  <si>
    <t>Kolonna9247</t>
  </si>
  <si>
    <t>Kolonna9248</t>
  </si>
  <si>
    <t>Kolonna9249</t>
  </si>
  <si>
    <t>Kolonna9250</t>
  </si>
  <si>
    <t>Kolonna9251</t>
  </si>
  <si>
    <t>Kolonna9252</t>
  </si>
  <si>
    <t>Kolonna9253</t>
  </si>
  <si>
    <t>Kolonna9254</t>
  </si>
  <si>
    <t>Kolonna9255</t>
  </si>
  <si>
    <t>Kolonna9256</t>
  </si>
  <si>
    <t>Kolonna9257</t>
  </si>
  <si>
    <t>Kolonna9258</t>
  </si>
  <si>
    <t>Kolonna9259</t>
  </si>
  <si>
    <t>Kolonna9260</t>
  </si>
  <si>
    <t>Kolonna9261</t>
  </si>
  <si>
    <t>Kolonna9262</t>
  </si>
  <si>
    <t>Kolonna9263</t>
  </si>
  <si>
    <t>Kolonna9264</t>
  </si>
  <si>
    <t>Kolonna9265</t>
  </si>
  <si>
    <t>Kolonna9266</t>
  </si>
  <si>
    <t>Kolonna9267</t>
  </si>
  <si>
    <t>Kolonna9268</t>
  </si>
  <si>
    <t>Kolonna9269</t>
  </si>
  <si>
    <t>Kolonna9270</t>
  </si>
  <si>
    <t>Kolonna9271</t>
  </si>
  <si>
    <t>Kolonna9272</t>
  </si>
  <si>
    <t>Kolonna9273</t>
  </si>
  <si>
    <t>Kolonna9274</t>
  </si>
  <si>
    <t>Kolonna9275</t>
  </si>
  <si>
    <t>Kolonna9276</t>
  </si>
  <si>
    <t>Kolonna9277</t>
  </si>
  <si>
    <t>Kolonna9278</t>
  </si>
  <si>
    <t>Kolonna9279</t>
  </si>
  <si>
    <t>Kolonna9280</t>
  </si>
  <si>
    <t>Kolonna9281</t>
  </si>
  <si>
    <t>Kolonna9282</t>
  </si>
  <si>
    <t>Kolonna9283</t>
  </si>
  <si>
    <t>Kolonna9284</t>
  </si>
  <si>
    <t>Kolonna9285</t>
  </si>
  <si>
    <t>Kolonna9286</t>
  </si>
  <si>
    <t>Kolonna9287</t>
  </si>
  <si>
    <t>Kolonna9288</t>
  </si>
  <si>
    <t>Kolonna9289</t>
  </si>
  <si>
    <t>Kolonna9290</t>
  </si>
  <si>
    <t>Kolonna9291</t>
  </si>
  <si>
    <t>Kolonna9292</t>
  </si>
  <si>
    <t>Kolonna9293</t>
  </si>
  <si>
    <t>Kolonna9294</t>
  </si>
  <si>
    <t>Kolonna9295</t>
  </si>
  <si>
    <t>Kolonna9296</t>
  </si>
  <si>
    <t>Kolonna9297</t>
  </si>
  <si>
    <t>Kolonna9298</t>
  </si>
  <si>
    <t>Kolonna9299</t>
  </si>
  <si>
    <t>Kolonna9300</t>
  </si>
  <si>
    <t>Kolonna9301</t>
  </si>
  <si>
    <t>Kolonna9302</t>
  </si>
  <si>
    <t>Kolonna9303</t>
  </si>
  <si>
    <t>Kolonna9304</t>
  </si>
  <si>
    <t>Kolonna9305</t>
  </si>
  <si>
    <t>Kolonna9306</t>
  </si>
  <si>
    <t>Kolonna9307</t>
  </si>
  <si>
    <t>Kolonna9308</t>
  </si>
  <si>
    <t>Kolonna9309</t>
  </si>
  <si>
    <t>Kolonna9310</t>
  </si>
  <si>
    <t>Kolonna9311</t>
  </si>
  <si>
    <t>Kolonna9312</t>
  </si>
  <si>
    <t>Kolonna9313</t>
  </si>
  <si>
    <t>Kolonna9314</t>
  </si>
  <si>
    <t>Kolonna9315</t>
  </si>
  <si>
    <t>Kolonna9316</t>
  </si>
  <si>
    <t>Kolonna9317</t>
  </si>
  <si>
    <t>Kolonna9318</t>
  </si>
  <si>
    <t>Kolonna9319</t>
  </si>
  <si>
    <t>Kolonna9320</t>
  </si>
  <si>
    <t>Kolonna9321</t>
  </si>
  <si>
    <t>Kolonna9322</t>
  </si>
  <si>
    <t>Kolonna9323</t>
  </si>
  <si>
    <t>Kolonna9324</t>
  </si>
  <si>
    <t>Kolonna9325</t>
  </si>
  <si>
    <t>Kolonna9326</t>
  </si>
  <si>
    <t>Kolonna9327</t>
  </si>
  <si>
    <t>Kolonna9328</t>
  </si>
  <si>
    <t>Kolonna9329</t>
  </si>
  <si>
    <t>Kolonna9330</t>
  </si>
  <si>
    <t>Kolonna9331</t>
  </si>
  <si>
    <t>Kolonna9332</t>
  </si>
  <si>
    <t>Kolonna9333</t>
  </si>
  <si>
    <t>Kolonna9334</t>
  </si>
  <si>
    <t>Kolonna9335</t>
  </si>
  <si>
    <t>Kolonna9336</t>
  </si>
  <si>
    <t>Kolonna9337</t>
  </si>
  <si>
    <t>Kolonna9338</t>
  </si>
  <si>
    <t>Kolonna9339</t>
  </si>
  <si>
    <t>Kolonna9340</t>
  </si>
  <si>
    <t>Kolonna9341</t>
  </si>
  <si>
    <t>Kolonna9342</t>
  </si>
  <si>
    <t>Kolonna9343</t>
  </si>
  <si>
    <t>Kolonna9344</t>
  </si>
  <si>
    <t>Kolonna9345</t>
  </si>
  <si>
    <t>Kolonna9346</t>
  </si>
  <si>
    <t>Kolonna9347</t>
  </si>
  <si>
    <t>Kolonna9348</t>
  </si>
  <si>
    <t>Kolonna9349</t>
  </si>
  <si>
    <t>Kolonna9350</t>
  </si>
  <si>
    <t>Kolonna9351</t>
  </si>
  <si>
    <t>Kolonna9352</t>
  </si>
  <si>
    <t>Kolonna9353</t>
  </si>
  <si>
    <t>Kolonna9354</t>
  </si>
  <si>
    <t>Kolonna9355</t>
  </si>
  <si>
    <t>Kolonna9356</t>
  </si>
  <si>
    <t>Kolonna9357</t>
  </si>
  <si>
    <t>Kolonna9358</t>
  </si>
  <si>
    <t>Kolonna9359</t>
  </si>
  <si>
    <t>Kolonna9360</t>
  </si>
  <si>
    <t>Kolonna9361</t>
  </si>
  <si>
    <t>Kolonna9362</t>
  </si>
  <si>
    <t>Kolonna9363</t>
  </si>
  <si>
    <t>Kolonna9364</t>
  </si>
  <si>
    <t>Kolonna9365</t>
  </si>
  <si>
    <t>Kolonna9366</t>
  </si>
  <si>
    <t>Kolonna9367</t>
  </si>
  <si>
    <t>Kolonna9368</t>
  </si>
  <si>
    <t>Kolonna9369</t>
  </si>
  <si>
    <t>Kolonna9370</t>
  </si>
  <si>
    <t>Kolonna9371</t>
  </si>
  <si>
    <t>Kolonna9372</t>
  </si>
  <si>
    <t>Kolonna9373</t>
  </si>
  <si>
    <t>Kolonna9374</t>
  </si>
  <si>
    <t>Kolonna9375</t>
  </si>
  <si>
    <t>Kolonna9376</t>
  </si>
  <si>
    <t>Kolonna9377</t>
  </si>
  <si>
    <t>Kolonna9378</t>
  </si>
  <si>
    <t>Kolonna9379</t>
  </si>
  <si>
    <t>Kolonna9380</t>
  </si>
  <si>
    <t>Kolonna9381</t>
  </si>
  <si>
    <t>Kolonna9382</t>
  </si>
  <si>
    <t>Kolonna9383</t>
  </si>
  <si>
    <t>Kolonna9384</t>
  </si>
  <si>
    <t>Kolonna9385</t>
  </si>
  <si>
    <t>Kolonna9386</t>
  </si>
  <si>
    <t>Kolonna9387</t>
  </si>
  <si>
    <t>Kolonna9388</t>
  </si>
  <si>
    <t>Kolonna9389</t>
  </si>
  <si>
    <t>Kolonna9390</t>
  </si>
  <si>
    <t>Kolonna9391</t>
  </si>
  <si>
    <t>Kolonna9392</t>
  </si>
  <si>
    <t>Kolonna9393</t>
  </si>
  <si>
    <t>Kolonna9394</t>
  </si>
  <si>
    <t>Kolonna9395</t>
  </si>
  <si>
    <t>Kolonna9396</t>
  </si>
  <si>
    <t>Kolonna9397</t>
  </si>
  <si>
    <t>Kolonna9398</t>
  </si>
  <si>
    <t>Kolonna9399</t>
  </si>
  <si>
    <t>Kolonna9400</t>
  </si>
  <si>
    <t>Kolonna9401</t>
  </si>
  <si>
    <t>Kolonna9402</t>
  </si>
  <si>
    <t>Kolonna9403</t>
  </si>
  <si>
    <t>Kolonna9404</t>
  </si>
  <si>
    <t>Kolonna9405</t>
  </si>
  <si>
    <t>Kolonna9406</t>
  </si>
  <si>
    <t>Kolonna9407</t>
  </si>
  <si>
    <t>Kolonna9408</t>
  </si>
  <si>
    <t>Kolonna9409</t>
  </si>
  <si>
    <t>Kolonna9410</t>
  </si>
  <si>
    <t>Kolonna9411</t>
  </si>
  <si>
    <t>Kolonna9412</t>
  </si>
  <si>
    <t>Kolonna9413</t>
  </si>
  <si>
    <t>Kolonna9414</t>
  </si>
  <si>
    <t>Kolonna9415</t>
  </si>
  <si>
    <t>Kolonna9416</t>
  </si>
  <si>
    <t>Kolonna9417</t>
  </si>
  <si>
    <t>Kolonna9418</t>
  </si>
  <si>
    <t>Kolonna9419</t>
  </si>
  <si>
    <t>Kolonna9420</t>
  </si>
  <si>
    <t>Kolonna9421</t>
  </si>
  <si>
    <t>Kolonna9422</t>
  </si>
  <si>
    <t>Kolonna9423</t>
  </si>
  <si>
    <t>Kolonna9424</t>
  </si>
  <si>
    <t>Kolonna9425</t>
  </si>
  <si>
    <t>Kolonna9426</t>
  </si>
  <si>
    <t>Kolonna9427</t>
  </si>
  <si>
    <t>Kolonna9428</t>
  </si>
  <si>
    <t>Kolonna9429</t>
  </si>
  <si>
    <t>Kolonna9430</t>
  </si>
  <si>
    <t>Kolonna9431</t>
  </si>
  <si>
    <t>Kolonna9432</t>
  </si>
  <si>
    <t>Kolonna9433</t>
  </si>
  <si>
    <t>Kolonna9434</t>
  </si>
  <si>
    <t>Kolonna9435</t>
  </si>
  <si>
    <t>Kolonna9436</t>
  </si>
  <si>
    <t>Kolonna9437</t>
  </si>
  <si>
    <t>Kolonna9438</t>
  </si>
  <si>
    <t>Kolonna9439</t>
  </si>
  <si>
    <t>Kolonna9440</t>
  </si>
  <si>
    <t>Kolonna9441</t>
  </si>
  <si>
    <t>Kolonna9442</t>
  </si>
  <si>
    <t>Kolonna9443</t>
  </si>
  <si>
    <t>Kolonna9444</t>
  </si>
  <si>
    <t>Kolonna9445</t>
  </si>
  <si>
    <t>Kolonna9446</t>
  </si>
  <si>
    <t>Kolonna9447</t>
  </si>
  <si>
    <t>Kolonna9448</t>
  </si>
  <si>
    <t>Kolonna9449</t>
  </si>
  <si>
    <t>Kolonna9450</t>
  </si>
  <si>
    <t>Kolonna9451</t>
  </si>
  <si>
    <t>Kolonna9452</t>
  </si>
  <si>
    <t>Kolonna9453</t>
  </si>
  <si>
    <t>Kolonna9454</t>
  </si>
  <si>
    <t>Kolonna9455</t>
  </si>
  <si>
    <t>Kolonna9456</t>
  </si>
  <si>
    <t>Kolonna9457</t>
  </si>
  <si>
    <t>Kolonna9458</t>
  </si>
  <si>
    <t>Kolonna9459</t>
  </si>
  <si>
    <t>Kolonna9460</t>
  </si>
  <si>
    <t>Kolonna9461</t>
  </si>
  <si>
    <t>Kolonna9462</t>
  </si>
  <si>
    <t>Kolonna9463</t>
  </si>
  <si>
    <t>Kolonna9464</t>
  </si>
  <si>
    <t>Kolonna9465</t>
  </si>
  <si>
    <t>Kolonna9466</t>
  </si>
  <si>
    <t>Kolonna9467</t>
  </si>
  <si>
    <t>Kolonna9468</t>
  </si>
  <si>
    <t>Kolonna9469</t>
  </si>
  <si>
    <t>Kolonna9470</t>
  </si>
  <si>
    <t>Kolonna9471</t>
  </si>
  <si>
    <t>Kolonna9472</t>
  </si>
  <si>
    <t>Kolonna9473</t>
  </si>
  <si>
    <t>Kolonna9474</t>
  </si>
  <si>
    <t>Kolonna9475</t>
  </si>
  <si>
    <t>Kolonna9476</t>
  </si>
  <si>
    <t>Kolonna9477</t>
  </si>
  <si>
    <t>Kolonna9478</t>
  </si>
  <si>
    <t>Kolonna9479</t>
  </si>
  <si>
    <t>Kolonna9480</t>
  </si>
  <si>
    <t>Kolonna9481</t>
  </si>
  <si>
    <t>Kolonna9482</t>
  </si>
  <si>
    <t>Kolonna9483</t>
  </si>
  <si>
    <t>Kolonna9484</t>
  </si>
  <si>
    <t>Kolonna9485</t>
  </si>
  <si>
    <t>Kolonna9486</t>
  </si>
  <si>
    <t>Kolonna9487</t>
  </si>
  <si>
    <t>Kolonna9488</t>
  </si>
  <si>
    <t>Kolonna9489</t>
  </si>
  <si>
    <t>Kolonna9490</t>
  </si>
  <si>
    <t>Kolonna9491</t>
  </si>
  <si>
    <t>Kolonna9492</t>
  </si>
  <si>
    <t>Kolonna9493</t>
  </si>
  <si>
    <t>Kolonna9494</t>
  </si>
  <si>
    <t>Kolonna9495</t>
  </si>
  <si>
    <t>Kolonna9496</t>
  </si>
  <si>
    <t>Kolonna9497</t>
  </si>
  <si>
    <t>Kolonna9498</t>
  </si>
  <si>
    <t>Kolonna9499</t>
  </si>
  <si>
    <t>Kolonna9500</t>
  </si>
  <si>
    <t>Kolonna9501</t>
  </si>
  <si>
    <t>Kolonna9502</t>
  </si>
  <si>
    <t>Kolonna9503</t>
  </si>
  <si>
    <t>Kolonna9504</t>
  </si>
  <si>
    <t>Kolonna9505</t>
  </si>
  <si>
    <t>Kolonna9506</t>
  </si>
  <si>
    <t>Kolonna9507</t>
  </si>
  <si>
    <t>Kolonna9508</t>
  </si>
  <si>
    <t>Kolonna9509</t>
  </si>
  <si>
    <t>Kolonna9510</t>
  </si>
  <si>
    <t>Kolonna9511</t>
  </si>
  <si>
    <t>Kolonna9512</t>
  </si>
  <si>
    <t>Kolonna9513</t>
  </si>
  <si>
    <t>Kolonna9514</t>
  </si>
  <si>
    <t>Kolonna9515</t>
  </si>
  <si>
    <t>Kolonna9516</t>
  </si>
  <si>
    <t>Kolonna9517</t>
  </si>
  <si>
    <t>Kolonna9518</t>
  </si>
  <si>
    <t>Kolonna9519</t>
  </si>
  <si>
    <t>Kolonna9520</t>
  </si>
  <si>
    <t>Kolonna9521</t>
  </si>
  <si>
    <t>Kolonna9522</t>
  </si>
  <si>
    <t>Kolonna9523</t>
  </si>
  <si>
    <t>Kolonna9524</t>
  </si>
  <si>
    <t>Kolonna9525</t>
  </si>
  <si>
    <t>Kolonna9526</t>
  </si>
  <si>
    <t>Kolonna9527</t>
  </si>
  <si>
    <t>Kolonna9528</t>
  </si>
  <si>
    <t>Kolonna9529</t>
  </si>
  <si>
    <t>Kolonna9530</t>
  </si>
  <si>
    <t>Kolonna9531</t>
  </si>
  <si>
    <t>Kolonna9532</t>
  </si>
  <si>
    <t>Kolonna9533</t>
  </si>
  <si>
    <t>Kolonna9534</t>
  </si>
  <si>
    <t>Kolonna9535</t>
  </si>
  <si>
    <t>Kolonna9536</t>
  </si>
  <si>
    <t>Kolonna9537</t>
  </si>
  <si>
    <t>Kolonna9538</t>
  </si>
  <si>
    <t>Kolonna9539</t>
  </si>
  <si>
    <t>Kolonna9540</t>
  </si>
  <si>
    <t>Kolonna9541</t>
  </si>
  <si>
    <t>Kolonna9542</t>
  </si>
  <si>
    <t>Kolonna9543</t>
  </si>
  <si>
    <t>Kolonna9544</t>
  </si>
  <si>
    <t>Kolonna9545</t>
  </si>
  <si>
    <t>Kolonna9546</t>
  </si>
  <si>
    <t>Kolonna9547</t>
  </si>
  <si>
    <t>Kolonna9548</t>
  </si>
  <si>
    <t>Kolonna9549</t>
  </si>
  <si>
    <t>Kolonna9550</t>
  </si>
  <si>
    <t>Kolonna9551</t>
  </si>
  <si>
    <t>Kolonna9552</t>
  </si>
  <si>
    <t>Kolonna9553</t>
  </si>
  <si>
    <t>Kolonna9554</t>
  </si>
  <si>
    <t>Kolonna9555</t>
  </si>
  <si>
    <t>Kolonna9556</t>
  </si>
  <si>
    <t>Kolonna9557</t>
  </si>
  <si>
    <t>Kolonna9558</t>
  </si>
  <si>
    <t>Kolonna9559</t>
  </si>
  <si>
    <t>Kolonna9560</t>
  </si>
  <si>
    <t>Kolonna9561</t>
  </si>
  <si>
    <t>Kolonna9562</t>
  </si>
  <si>
    <t>Kolonna9563</t>
  </si>
  <si>
    <t>Kolonna9564</t>
  </si>
  <si>
    <t>Kolonna9565</t>
  </si>
  <si>
    <t>Kolonna9566</t>
  </si>
  <si>
    <t>Kolonna9567</t>
  </si>
  <si>
    <t>Kolonna9568</t>
  </si>
  <si>
    <t>Kolonna9569</t>
  </si>
  <si>
    <t>Kolonna9570</t>
  </si>
  <si>
    <t>Kolonna9571</t>
  </si>
  <si>
    <t>Kolonna9572</t>
  </si>
  <si>
    <t>Kolonna9573</t>
  </si>
  <si>
    <t>Kolonna9574</t>
  </si>
  <si>
    <t>Kolonna9575</t>
  </si>
  <si>
    <t>Kolonna9576</t>
  </si>
  <si>
    <t>Kolonna9577</t>
  </si>
  <si>
    <t>Kolonna9578</t>
  </si>
  <si>
    <t>Kolonna9579</t>
  </si>
  <si>
    <t>Kolonna9580</t>
  </si>
  <si>
    <t>Kolonna9581</t>
  </si>
  <si>
    <t>Kolonna9582</t>
  </si>
  <si>
    <t>Kolonna9583</t>
  </si>
  <si>
    <t>Kolonna9584</t>
  </si>
  <si>
    <t>Kolonna9585</t>
  </si>
  <si>
    <t>Kolonna9586</t>
  </si>
  <si>
    <t>Kolonna9587</t>
  </si>
  <si>
    <t>Kolonna9588</t>
  </si>
  <si>
    <t>Kolonna9589</t>
  </si>
  <si>
    <t>Kolonna9590</t>
  </si>
  <si>
    <t>Kolonna9591</t>
  </si>
  <si>
    <t>Kolonna9592</t>
  </si>
  <si>
    <t>Kolonna9593</t>
  </si>
  <si>
    <t>Kolonna9594</t>
  </si>
  <si>
    <t>Kolonna9595</t>
  </si>
  <si>
    <t>Kolonna9596</t>
  </si>
  <si>
    <t>Kolonna9597</t>
  </si>
  <si>
    <t>Kolonna9598</t>
  </si>
  <si>
    <t>Kolonna9599</t>
  </si>
  <si>
    <t>Kolonna9600</t>
  </si>
  <si>
    <t>Kolonna9601</t>
  </si>
  <si>
    <t>Kolonna9602</t>
  </si>
  <si>
    <t>Kolonna9603</t>
  </si>
  <si>
    <t>Kolonna9604</t>
  </si>
  <si>
    <t>Kolonna9605</t>
  </si>
  <si>
    <t>Kolonna9606</t>
  </si>
  <si>
    <t>Kolonna9607</t>
  </si>
  <si>
    <t>Kolonna9608</t>
  </si>
  <si>
    <t>Kolonna9609</t>
  </si>
  <si>
    <t>Kolonna9610</t>
  </si>
  <si>
    <t>Kolonna9611</t>
  </si>
  <si>
    <t>Kolonna9612</t>
  </si>
  <si>
    <t>Kolonna9613</t>
  </si>
  <si>
    <t>Kolonna9614</t>
  </si>
  <si>
    <t>Kolonna9615</t>
  </si>
  <si>
    <t>Kolonna9616</t>
  </si>
  <si>
    <t>Kolonna9617</t>
  </si>
  <si>
    <t>Kolonna9618</t>
  </si>
  <si>
    <t>Kolonna9619</t>
  </si>
  <si>
    <t>Kolonna9620</t>
  </si>
  <si>
    <t>Kolonna9621</t>
  </si>
  <si>
    <t>Kolonna9622</t>
  </si>
  <si>
    <t>Kolonna9623</t>
  </si>
  <si>
    <t>Kolonna9624</t>
  </si>
  <si>
    <t>Kolonna9625</t>
  </si>
  <si>
    <t>Kolonna9626</t>
  </si>
  <si>
    <t>Kolonna9627</t>
  </si>
  <si>
    <t>Kolonna9628</t>
  </si>
  <si>
    <t>Kolonna9629</t>
  </si>
  <si>
    <t>Kolonna9630</t>
  </si>
  <si>
    <t>Kolonna9631</t>
  </si>
  <si>
    <t>Kolonna9632</t>
  </si>
  <si>
    <t>Kolonna9633</t>
  </si>
  <si>
    <t>Kolonna9634</t>
  </si>
  <si>
    <t>Kolonna9635</t>
  </si>
  <si>
    <t>Kolonna9636</t>
  </si>
  <si>
    <t>Kolonna9637</t>
  </si>
  <si>
    <t>Kolonna9638</t>
  </si>
  <si>
    <t>Kolonna9639</t>
  </si>
  <si>
    <t>Kolonna9640</t>
  </si>
  <si>
    <t>Kolonna9641</t>
  </si>
  <si>
    <t>Kolonna9642</t>
  </si>
  <si>
    <t>Kolonna9643</t>
  </si>
  <si>
    <t>Kolonna9644</t>
  </si>
  <si>
    <t>Kolonna9645</t>
  </si>
  <si>
    <t>Kolonna9646</t>
  </si>
  <si>
    <t>Kolonna9647</t>
  </si>
  <si>
    <t>Kolonna9648</t>
  </si>
  <si>
    <t>Kolonna9649</t>
  </si>
  <si>
    <t>Kolonna9650</t>
  </si>
  <si>
    <t>Kolonna9651</t>
  </si>
  <si>
    <t>Kolonna9652</t>
  </si>
  <si>
    <t>Kolonna9653</t>
  </si>
  <si>
    <t>Kolonna9654</t>
  </si>
  <si>
    <t>Kolonna9655</t>
  </si>
  <si>
    <t>Kolonna9656</t>
  </si>
  <si>
    <t>Kolonna9657</t>
  </si>
  <si>
    <t>Kolonna9658</t>
  </si>
  <si>
    <t>Kolonna9659</t>
  </si>
  <si>
    <t>Kolonna9660</t>
  </si>
  <si>
    <t>Kolonna9661</t>
  </si>
  <si>
    <t>Kolonna9662</t>
  </si>
  <si>
    <t>Kolonna9663</t>
  </si>
  <si>
    <t>Kolonna9664</t>
  </si>
  <si>
    <t>Kolonna9665</t>
  </si>
  <si>
    <t>Kolonna9666</t>
  </si>
  <si>
    <t>Kolonna9667</t>
  </si>
  <si>
    <t>Kolonna9668</t>
  </si>
  <si>
    <t>Kolonna9669</t>
  </si>
  <si>
    <t>Kolonna9670</t>
  </si>
  <si>
    <t>Kolonna9671</t>
  </si>
  <si>
    <t>Kolonna9672</t>
  </si>
  <si>
    <t>Kolonna9673</t>
  </si>
  <si>
    <t>Kolonna9674</t>
  </si>
  <si>
    <t>Kolonna9675</t>
  </si>
  <si>
    <t>Kolonna9676</t>
  </si>
  <si>
    <t>Kolonna9677</t>
  </si>
  <si>
    <t>Kolonna9678</t>
  </si>
  <si>
    <t>Kolonna9679</t>
  </si>
  <si>
    <t>Kolonna9680</t>
  </si>
  <si>
    <t>Kolonna9681</t>
  </si>
  <si>
    <t>Kolonna9682</t>
  </si>
  <si>
    <t>Kolonna9683</t>
  </si>
  <si>
    <t>Kolonna9684</t>
  </si>
  <si>
    <t>Kolonna9685</t>
  </si>
  <si>
    <t>Kolonna9686</t>
  </si>
  <si>
    <t>Kolonna9687</t>
  </si>
  <si>
    <t>Kolonna9688</t>
  </si>
  <si>
    <t>Kolonna9689</t>
  </si>
  <si>
    <t>Kolonna9690</t>
  </si>
  <si>
    <t>Kolonna9691</t>
  </si>
  <si>
    <t>Kolonna9692</t>
  </si>
  <si>
    <t>Kolonna9693</t>
  </si>
  <si>
    <t>Kolonna9694</t>
  </si>
  <si>
    <t>Kolonna9695</t>
  </si>
  <si>
    <t>Kolonna9696</t>
  </si>
  <si>
    <t>Kolonna9697</t>
  </si>
  <si>
    <t>Kolonna9698</t>
  </si>
  <si>
    <t>Kolonna9699</t>
  </si>
  <si>
    <t>Kolonna9700</t>
  </si>
  <si>
    <t>Kolonna9701</t>
  </si>
  <si>
    <t>Kolonna9702</t>
  </si>
  <si>
    <t>Kolonna9703</t>
  </si>
  <si>
    <t>Kolonna9704</t>
  </si>
  <si>
    <t>Kolonna9705</t>
  </si>
  <si>
    <t>Kolonna9706</t>
  </si>
  <si>
    <t>Kolonna9707</t>
  </si>
  <si>
    <t>Kolonna9708</t>
  </si>
  <si>
    <t>Kolonna9709</t>
  </si>
  <si>
    <t>Kolonna9710</t>
  </si>
  <si>
    <t>Kolonna9711</t>
  </si>
  <si>
    <t>Kolonna9712</t>
  </si>
  <si>
    <t>Kolonna9713</t>
  </si>
  <si>
    <t>Kolonna9714</t>
  </si>
  <si>
    <t>Kolonna9715</t>
  </si>
  <si>
    <t>Kolonna9716</t>
  </si>
  <si>
    <t>Kolonna9717</t>
  </si>
  <si>
    <t>Kolonna9718</t>
  </si>
  <si>
    <t>Kolonna9719</t>
  </si>
  <si>
    <t>Kolonna9720</t>
  </si>
  <si>
    <t>Kolonna9721</t>
  </si>
  <si>
    <t>Kolonna9722</t>
  </si>
  <si>
    <t>Kolonna9723</t>
  </si>
  <si>
    <t>Kolonna9724</t>
  </si>
  <si>
    <t>Kolonna9725</t>
  </si>
  <si>
    <t>Kolonna9726</t>
  </si>
  <si>
    <t>Kolonna9727</t>
  </si>
  <si>
    <t>Kolonna9728</t>
  </si>
  <si>
    <t>Kolonna9729</t>
  </si>
  <si>
    <t>Kolonna9730</t>
  </si>
  <si>
    <t>Kolonna9731</t>
  </si>
  <si>
    <t>Kolonna9732</t>
  </si>
  <si>
    <t>Kolonna9733</t>
  </si>
  <si>
    <t>Kolonna9734</t>
  </si>
  <si>
    <t>Kolonna9735</t>
  </si>
  <si>
    <t>Kolonna9736</t>
  </si>
  <si>
    <t>Kolonna9737</t>
  </si>
  <si>
    <t>Kolonna9738</t>
  </si>
  <si>
    <t>Kolonna9739</t>
  </si>
  <si>
    <t>Kolonna9740</t>
  </si>
  <si>
    <t>Kolonna9741</t>
  </si>
  <si>
    <t>Kolonna9742</t>
  </si>
  <si>
    <t>Kolonna9743</t>
  </si>
  <si>
    <t>Kolonna9744</t>
  </si>
  <si>
    <t>Kolonna9745</t>
  </si>
  <si>
    <t>Kolonna9746</t>
  </si>
  <si>
    <t>Kolonna9747</t>
  </si>
  <si>
    <t>Kolonna9748</t>
  </si>
  <si>
    <t>Kolonna9749</t>
  </si>
  <si>
    <t>Kolonna9750</t>
  </si>
  <si>
    <t>Kolonna9751</t>
  </si>
  <si>
    <t>Kolonna9752</t>
  </si>
  <si>
    <t>Kolonna9753</t>
  </si>
  <si>
    <t>Kolonna9754</t>
  </si>
  <si>
    <t>Kolonna9755</t>
  </si>
  <si>
    <t>Kolonna9756</t>
  </si>
  <si>
    <t>Kolonna9757</t>
  </si>
  <si>
    <t>Kolonna9758</t>
  </si>
  <si>
    <t>Kolonna9759</t>
  </si>
  <si>
    <t>Kolonna9760</t>
  </si>
  <si>
    <t>Kolonna9761</t>
  </si>
  <si>
    <t>Kolonna9762</t>
  </si>
  <si>
    <t>Kolonna9763</t>
  </si>
  <si>
    <t>Kolonna9764</t>
  </si>
  <si>
    <t>Kolonna9765</t>
  </si>
  <si>
    <t>Kolonna9766</t>
  </si>
  <si>
    <t>Kolonna9767</t>
  </si>
  <si>
    <t>Kolonna9768</t>
  </si>
  <si>
    <t>Kolonna9769</t>
  </si>
  <si>
    <t>Kolonna9770</t>
  </si>
  <si>
    <t>Kolonna9771</t>
  </si>
  <si>
    <t>Kolonna9772</t>
  </si>
  <si>
    <t>Kolonna9773</t>
  </si>
  <si>
    <t>Kolonna9774</t>
  </si>
  <si>
    <t>Kolonna9775</t>
  </si>
  <si>
    <t>Kolonna9776</t>
  </si>
  <si>
    <t>Kolonna9777</t>
  </si>
  <si>
    <t>Kolonna9778</t>
  </si>
  <si>
    <t>Kolonna9779</t>
  </si>
  <si>
    <t>Kolonna9780</t>
  </si>
  <si>
    <t>Kolonna9781</t>
  </si>
  <si>
    <t>Kolonna9782</t>
  </si>
  <si>
    <t>Kolonna9783</t>
  </si>
  <si>
    <t>Kolonna9784</t>
  </si>
  <si>
    <t>Kolonna9785</t>
  </si>
  <si>
    <t>Kolonna9786</t>
  </si>
  <si>
    <t>Kolonna9787</t>
  </si>
  <si>
    <t>Kolonna9788</t>
  </si>
  <si>
    <t>Kolonna9789</t>
  </si>
  <si>
    <t>Kolonna9790</t>
  </si>
  <si>
    <t>Kolonna9791</t>
  </si>
  <si>
    <t>Kolonna9792</t>
  </si>
  <si>
    <t>Kolonna9793</t>
  </si>
  <si>
    <t>Kolonna9794</t>
  </si>
  <si>
    <t>Kolonna9795</t>
  </si>
  <si>
    <t>Kolonna9796</t>
  </si>
  <si>
    <t>Kolonna9797</t>
  </si>
  <si>
    <t>Kolonna9798</t>
  </si>
  <si>
    <t>Kolonna9799</t>
  </si>
  <si>
    <t>Kolonna9800</t>
  </si>
  <si>
    <t>Kolonna9801</t>
  </si>
  <si>
    <t>Kolonna9802</t>
  </si>
  <si>
    <t>Kolonna9803</t>
  </si>
  <si>
    <t>Kolonna9804</t>
  </si>
  <si>
    <t>Kolonna9805</t>
  </si>
  <si>
    <t>Kolonna9806</t>
  </si>
  <si>
    <t>Kolonna9807</t>
  </si>
  <si>
    <t>Kolonna9808</t>
  </si>
  <si>
    <t>Kolonna9809</t>
  </si>
  <si>
    <t>Kolonna9810</t>
  </si>
  <si>
    <t>Kolonna9811</t>
  </si>
  <si>
    <t>Kolonna9812</t>
  </si>
  <si>
    <t>Kolonna9813</t>
  </si>
  <si>
    <t>Kolonna9814</t>
  </si>
  <si>
    <t>Kolonna9815</t>
  </si>
  <si>
    <t>Kolonna9816</t>
  </si>
  <si>
    <t>Kolonna9817</t>
  </si>
  <si>
    <t>Kolonna9818</t>
  </si>
  <si>
    <t>Kolonna9819</t>
  </si>
  <si>
    <t>Kolonna9820</t>
  </si>
  <si>
    <t>Kolonna9821</t>
  </si>
  <si>
    <t>Kolonna9822</t>
  </si>
  <si>
    <t>Kolonna9823</t>
  </si>
  <si>
    <t>Kolonna9824</t>
  </si>
  <si>
    <t>Kolonna9825</t>
  </si>
  <si>
    <t>Kolonna9826</t>
  </si>
  <si>
    <t>Kolonna9827</t>
  </si>
  <si>
    <t>Kolonna9828</t>
  </si>
  <si>
    <t>Kolonna9829</t>
  </si>
  <si>
    <t>Kolonna9830</t>
  </si>
  <si>
    <t>Kolonna9831</t>
  </si>
  <si>
    <t>Kolonna9832</t>
  </si>
  <si>
    <t>Kolonna9833</t>
  </si>
  <si>
    <t>Kolonna9834</t>
  </si>
  <si>
    <t>Kolonna9835</t>
  </si>
  <si>
    <t>Kolonna9836</t>
  </si>
  <si>
    <t>Kolonna9837</t>
  </si>
  <si>
    <t>Kolonna9838</t>
  </si>
  <si>
    <t>Kolonna9839</t>
  </si>
  <si>
    <t>Kolonna9840</t>
  </si>
  <si>
    <t>Kolonna9841</t>
  </si>
  <si>
    <t>Kolonna9842</t>
  </si>
  <si>
    <t>Kolonna9843</t>
  </si>
  <si>
    <t>Kolonna9844</t>
  </si>
  <si>
    <t>Kolonna9845</t>
  </si>
  <si>
    <t>Kolonna9846</t>
  </si>
  <si>
    <t>Kolonna9847</t>
  </si>
  <si>
    <t>Kolonna9848</t>
  </si>
  <si>
    <t>Kolonna9849</t>
  </si>
  <si>
    <t>Kolonna9850</t>
  </si>
  <si>
    <t>Kolonna9851</t>
  </si>
  <si>
    <t>Kolonna9852</t>
  </si>
  <si>
    <t>Kolonna9853</t>
  </si>
  <si>
    <t>Kolonna9854</t>
  </si>
  <si>
    <t>Kolonna9855</t>
  </si>
  <si>
    <t>Kolonna9856</t>
  </si>
  <si>
    <t>Kolonna9857</t>
  </si>
  <si>
    <t>Kolonna9858</t>
  </si>
  <si>
    <t>Kolonna9859</t>
  </si>
  <si>
    <t>Kolonna9860</t>
  </si>
  <si>
    <t>Kolonna9861</t>
  </si>
  <si>
    <t>Kolonna9862</t>
  </si>
  <si>
    <t>Kolonna9863</t>
  </si>
  <si>
    <t>Kolonna9864</t>
  </si>
  <si>
    <t>Kolonna9865</t>
  </si>
  <si>
    <t>Kolonna9866</t>
  </si>
  <si>
    <t>Kolonna9867</t>
  </si>
  <si>
    <t>Kolonna9868</t>
  </si>
  <si>
    <t>Kolonna9869</t>
  </si>
  <si>
    <t>Kolonna9870</t>
  </si>
  <si>
    <t>Kolonna9871</t>
  </si>
  <si>
    <t>Kolonna9872</t>
  </si>
  <si>
    <t>Kolonna9873</t>
  </si>
  <si>
    <t>Kolonna9874</t>
  </si>
  <si>
    <t>Kolonna9875</t>
  </si>
  <si>
    <t>Kolonna9876</t>
  </si>
  <si>
    <t>Kolonna9877</t>
  </si>
  <si>
    <t>Kolonna9878</t>
  </si>
  <si>
    <t>Kolonna9879</t>
  </si>
  <si>
    <t>Kolonna9880</t>
  </si>
  <si>
    <t>Kolonna9881</t>
  </si>
  <si>
    <t>Kolonna9882</t>
  </si>
  <si>
    <t>Kolonna9883</t>
  </si>
  <si>
    <t>Kolonna9884</t>
  </si>
  <si>
    <t>Kolonna9885</t>
  </si>
  <si>
    <t>Kolonna9886</t>
  </si>
  <si>
    <t>Kolonna9887</t>
  </si>
  <si>
    <t>Kolonna9888</t>
  </si>
  <si>
    <t>Kolonna9889</t>
  </si>
  <si>
    <t>Kolonna9890</t>
  </si>
  <si>
    <t>Kolonna9891</t>
  </si>
  <si>
    <t>Kolonna9892</t>
  </si>
  <si>
    <t>Kolonna9893</t>
  </si>
  <si>
    <t>Kolonna9894</t>
  </si>
  <si>
    <t>Kolonna9895</t>
  </si>
  <si>
    <t>Kolonna9896</t>
  </si>
  <si>
    <t>Kolonna9897</t>
  </si>
  <si>
    <t>Kolonna9898</t>
  </si>
  <si>
    <t>Kolonna9899</t>
  </si>
  <si>
    <t>Kolonna9900</t>
  </si>
  <si>
    <t>Kolonna9901</t>
  </si>
  <si>
    <t>Kolonna9902</t>
  </si>
  <si>
    <t>Kolonna9903</t>
  </si>
  <si>
    <t>Kolonna9904</t>
  </si>
  <si>
    <t>Kolonna9905</t>
  </si>
  <si>
    <t>Kolonna9906</t>
  </si>
  <si>
    <t>Kolonna9907</t>
  </si>
  <si>
    <t>Kolonna9908</t>
  </si>
  <si>
    <t>Kolonna9909</t>
  </si>
  <si>
    <t>Kolonna9910</t>
  </si>
  <si>
    <t>Kolonna9911</t>
  </si>
  <si>
    <t>Kolonna9912</t>
  </si>
  <si>
    <t>Kolonna9913</t>
  </si>
  <si>
    <t>Kolonna9914</t>
  </si>
  <si>
    <t>Kolonna9915</t>
  </si>
  <si>
    <t>Kolonna9916</t>
  </si>
  <si>
    <t>Kolonna9917</t>
  </si>
  <si>
    <t>Kolonna9918</t>
  </si>
  <si>
    <t>Kolonna9919</t>
  </si>
  <si>
    <t>Kolonna9920</t>
  </si>
  <si>
    <t>Kolonna9921</t>
  </si>
  <si>
    <t>Kolonna9922</t>
  </si>
  <si>
    <t>Kolonna9923</t>
  </si>
  <si>
    <t>Kolonna9924</t>
  </si>
  <si>
    <t>Kolonna9925</t>
  </si>
  <si>
    <t>Kolonna9926</t>
  </si>
  <si>
    <t>Kolonna9927</t>
  </si>
  <si>
    <t>Kolonna9928</t>
  </si>
  <si>
    <t>Kolonna9929</t>
  </si>
  <si>
    <t>Kolonna9930</t>
  </si>
  <si>
    <t>Kolonna9931</t>
  </si>
  <si>
    <t>Kolonna9932</t>
  </si>
  <si>
    <t>Kolonna9933</t>
  </si>
  <si>
    <t>Kolonna9934</t>
  </si>
  <si>
    <t>Kolonna9935</t>
  </si>
  <si>
    <t>Kolonna9936</t>
  </si>
  <si>
    <t>Kolonna9937</t>
  </si>
  <si>
    <t>Kolonna9938</t>
  </si>
  <si>
    <t>Kolonna9939</t>
  </si>
  <si>
    <t>Kolonna9940</t>
  </si>
  <si>
    <t>Kolonna9941</t>
  </si>
  <si>
    <t>Kolonna9942</t>
  </si>
  <si>
    <t>Kolonna9943</t>
  </si>
  <si>
    <t>Kolonna9944</t>
  </si>
  <si>
    <t>Kolonna9945</t>
  </si>
  <si>
    <t>Kolonna9946</t>
  </si>
  <si>
    <t>Kolonna9947</t>
  </si>
  <si>
    <t>Kolonna9948</t>
  </si>
  <si>
    <t>Kolonna9949</t>
  </si>
  <si>
    <t>Kolonna9950</t>
  </si>
  <si>
    <t>Kolonna9951</t>
  </si>
  <si>
    <t>Kolonna9952</t>
  </si>
  <si>
    <t>Kolonna9953</t>
  </si>
  <si>
    <t>Kolonna9954</t>
  </si>
  <si>
    <t>Kolonna9955</t>
  </si>
  <si>
    <t>Kolonna9956</t>
  </si>
  <si>
    <t>Kolonna9957</t>
  </si>
  <si>
    <t>Kolonna9958</t>
  </si>
  <si>
    <t>Kolonna9959</t>
  </si>
  <si>
    <t>Kolonna9960</t>
  </si>
  <si>
    <t>Kolonna9961</t>
  </si>
  <si>
    <t>Kolonna9962</t>
  </si>
  <si>
    <t>Kolonna9963</t>
  </si>
  <si>
    <t>Kolonna9964</t>
  </si>
  <si>
    <t>Kolonna9965</t>
  </si>
  <si>
    <t>Kolonna9966</t>
  </si>
  <si>
    <t>Kolonna9967</t>
  </si>
  <si>
    <t>Kolonna9968</t>
  </si>
  <si>
    <t>Kolonna9969</t>
  </si>
  <si>
    <t>Kolonna9970</t>
  </si>
  <si>
    <t>Kolonna9971</t>
  </si>
  <si>
    <t>Kolonna9972</t>
  </si>
  <si>
    <t>Kolonna9973</t>
  </si>
  <si>
    <t>Kolonna9974</t>
  </si>
  <si>
    <t>Kolonna9975</t>
  </si>
  <si>
    <t>Kolonna9976</t>
  </si>
  <si>
    <t>Kolonna9977</t>
  </si>
  <si>
    <t>Kolonna9978</t>
  </si>
  <si>
    <t>Kolonna9979</t>
  </si>
  <si>
    <t>Kolonna9980</t>
  </si>
  <si>
    <t>Kolonna9981</t>
  </si>
  <si>
    <t>Kolonna9982</t>
  </si>
  <si>
    <t>Kolonna9983</t>
  </si>
  <si>
    <t>Kolonna9984</t>
  </si>
  <si>
    <t>Kolonna9985</t>
  </si>
  <si>
    <t>Kolonna9986</t>
  </si>
  <si>
    <t>Kolonna9987</t>
  </si>
  <si>
    <t>Kolonna9988</t>
  </si>
  <si>
    <t>Kolonna9989</t>
  </si>
  <si>
    <t>Kolonna9990</t>
  </si>
  <si>
    <t>Kolonna9991</t>
  </si>
  <si>
    <t>Kolonna9992</t>
  </si>
  <si>
    <t>Kolonna9993</t>
  </si>
  <si>
    <t>Kolonna9994</t>
  </si>
  <si>
    <t>Kolonna9995</t>
  </si>
  <si>
    <t>Kolonna9996</t>
  </si>
  <si>
    <t>Kolonna9997</t>
  </si>
  <si>
    <t>Kolonna9998</t>
  </si>
  <si>
    <t>Kolonna9999</t>
  </si>
  <si>
    <t>Kolonna10000</t>
  </si>
  <si>
    <t>Kolonna10001</t>
  </si>
  <si>
    <t>Kolonna10002</t>
  </si>
  <si>
    <t>Kolonna10003</t>
  </si>
  <si>
    <t>Kolonna10004</t>
  </si>
  <si>
    <t>Kolonna10005</t>
  </si>
  <si>
    <t>Kolonna10006</t>
  </si>
  <si>
    <t>Kolonna10007</t>
  </si>
  <si>
    <t>Kolonna10008</t>
  </si>
  <si>
    <t>Kolonna10009</t>
  </si>
  <si>
    <t>Kolonna10010</t>
  </si>
  <si>
    <t>Kolonna10011</t>
  </si>
  <si>
    <t>Kolonna10012</t>
  </si>
  <si>
    <t>Kolonna10013</t>
  </si>
  <si>
    <t>Kolonna10014</t>
  </si>
  <si>
    <t>Kolonna10015</t>
  </si>
  <si>
    <t>Kolonna10016</t>
  </si>
  <si>
    <t>Kolonna10017</t>
  </si>
  <si>
    <t>Kolonna10018</t>
  </si>
  <si>
    <t>Kolonna10019</t>
  </si>
  <si>
    <t>Kolonna10020</t>
  </si>
  <si>
    <t>Kolonna10021</t>
  </si>
  <si>
    <t>Kolonna10022</t>
  </si>
  <si>
    <t>Kolonna10023</t>
  </si>
  <si>
    <t>Kolonna10024</t>
  </si>
  <si>
    <t>Kolonna10025</t>
  </si>
  <si>
    <t>Kolonna10026</t>
  </si>
  <si>
    <t>Kolonna10027</t>
  </si>
  <si>
    <t>Kolonna10028</t>
  </si>
  <si>
    <t>Kolonna10029</t>
  </si>
  <si>
    <t>Kolonna10030</t>
  </si>
  <si>
    <t>Kolonna10031</t>
  </si>
  <si>
    <t>Kolonna10032</t>
  </si>
  <si>
    <t>Kolonna10033</t>
  </si>
  <si>
    <t>Kolonna10034</t>
  </si>
  <si>
    <t>Kolonna10035</t>
  </si>
  <si>
    <t>Kolonna10036</t>
  </si>
  <si>
    <t>Kolonna10037</t>
  </si>
  <si>
    <t>Kolonna10038</t>
  </si>
  <si>
    <t>Kolonna10039</t>
  </si>
  <si>
    <t>Kolonna10040</t>
  </si>
  <si>
    <t>Kolonna10041</t>
  </si>
  <si>
    <t>Kolonna10042</t>
  </si>
  <si>
    <t>Kolonna10043</t>
  </si>
  <si>
    <t>Kolonna10044</t>
  </si>
  <si>
    <t>Kolonna10045</t>
  </si>
  <si>
    <t>Kolonna10046</t>
  </si>
  <si>
    <t>Kolonna10047</t>
  </si>
  <si>
    <t>Kolonna10048</t>
  </si>
  <si>
    <t>Kolonna10049</t>
  </si>
  <si>
    <t>Kolonna10050</t>
  </si>
  <si>
    <t>Kolonna10051</t>
  </si>
  <si>
    <t>Kolonna10052</t>
  </si>
  <si>
    <t>Kolonna10053</t>
  </si>
  <si>
    <t>Kolonna10054</t>
  </si>
  <si>
    <t>Kolonna10055</t>
  </si>
  <si>
    <t>Kolonna10056</t>
  </si>
  <si>
    <t>Kolonna10057</t>
  </si>
  <si>
    <t>Kolonna10058</t>
  </si>
  <si>
    <t>Kolonna10059</t>
  </si>
  <si>
    <t>Kolonna10060</t>
  </si>
  <si>
    <t>Kolonna10061</t>
  </si>
  <si>
    <t>Kolonna10062</t>
  </si>
  <si>
    <t>Kolonna10063</t>
  </si>
  <si>
    <t>Kolonna10064</t>
  </si>
  <si>
    <t>Kolonna10065</t>
  </si>
  <si>
    <t>Kolonna10066</t>
  </si>
  <si>
    <t>Kolonna10067</t>
  </si>
  <si>
    <t>Kolonna10068</t>
  </si>
  <si>
    <t>Kolonna10069</t>
  </si>
  <si>
    <t>Kolonna10070</t>
  </si>
  <si>
    <t>Kolonna10071</t>
  </si>
  <si>
    <t>Kolonna10072</t>
  </si>
  <si>
    <t>Kolonna10073</t>
  </si>
  <si>
    <t>Kolonna10074</t>
  </si>
  <si>
    <t>Kolonna10075</t>
  </si>
  <si>
    <t>Kolonna10076</t>
  </si>
  <si>
    <t>Kolonna10077</t>
  </si>
  <si>
    <t>Kolonna10078</t>
  </si>
  <si>
    <t>Kolonna10079</t>
  </si>
  <si>
    <t>Kolonna10080</t>
  </si>
  <si>
    <t>Kolonna10081</t>
  </si>
  <si>
    <t>Kolonna10082</t>
  </si>
  <si>
    <t>Kolonna10083</t>
  </si>
  <si>
    <t>Kolonna10084</t>
  </si>
  <si>
    <t>Kolonna10085</t>
  </si>
  <si>
    <t>Kolonna10086</t>
  </si>
  <si>
    <t>Kolonna10087</t>
  </si>
  <si>
    <t>Kolonna10088</t>
  </si>
  <si>
    <t>Kolonna10089</t>
  </si>
  <si>
    <t>Kolonna10090</t>
  </si>
  <si>
    <t>Kolonna10091</t>
  </si>
  <si>
    <t>Kolonna10092</t>
  </si>
  <si>
    <t>Kolonna10093</t>
  </si>
  <si>
    <t>Kolonna10094</t>
  </si>
  <si>
    <t>Kolonna10095</t>
  </si>
  <si>
    <t>Kolonna10096</t>
  </si>
  <si>
    <t>Kolonna10097</t>
  </si>
  <si>
    <t>Kolonna10098</t>
  </si>
  <si>
    <t>Kolonna10099</t>
  </si>
  <si>
    <t>Kolonna10100</t>
  </si>
  <si>
    <t>Kolonna10101</t>
  </si>
  <si>
    <t>Kolonna10102</t>
  </si>
  <si>
    <t>Kolonna10103</t>
  </si>
  <si>
    <t>Kolonna10104</t>
  </si>
  <si>
    <t>Kolonna10105</t>
  </si>
  <si>
    <t>Kolonna10106</t>
  </si>
  <si>
    <t>Kolonna10107</t>
  </si>
  <si>
    <t>Kolonna10108</t>
  </si>
  <si>
    <t>Kolonna10109</t>
  </si>
  <si>
    <t>Kolonna10110</t>
  </si>
  <si>
    <t>Kolonna10111</t>
  </si>
  <si>
    <t>Kolonna10112</t>
  </si>
  <si>
    <t>Kolonna10113</t>
  </si>
  <si>
    <t>Kolonna10114</t>
  </si>
  <si>
    <t>Kolonna10115</t>
  </si>
  <si>
    <t>Kolonna10116</t>
  </si>
  <si>
    <t>Kolonna10117</t>
  </si>
  <si>
    <t>Kolonna10118</t>
  </si>
  <si>
    <t>Kolonna10119</t>
  </si>
  <si>
    <t>Kolonna10120</t>
  </si>
  <si>
    <t>Kolonna10121</t>
  </si>
  <si>
    <t>Kolonna10122</t>
  </si>
  <si>
    <t>Kolonna10123</t>
  </si>
  <si>
    <t>Kolonna10124</t>
  </si>
  <si>
    <t>Kolonna10125</t>
  </si>
  <si>
    <t>Kolonna10126</t>
  </si>
  <si>
    <t>Kolonna10127</t>
  </si>
  <si>
    <t>Kolonna10128</t>
  </si>
  <si>
    <t>Kolonna10129</t>
  </si>
  <si>
    <t>Kolonna10130</t>
  </si>
  <si>
    <t>Kolonna10131</t>
  </si>
  <si>
    <t>Kolonna10132</t>
  </si>
  <si>
    <t>Kolonna10133</t>
  </si>
  <si>
    <t>Kolonna10134</t>
  </si>
  <si>
    <t>Kolonna10135</t>
  </si>
  <si>
    <t>Kolonna10136</t>
  </si>
  <si>
    <t>Kolonna10137</t>
  </si>
  <si>
    <t>Kolonna10138</t>
  </si>
  <si>
    <t>Kolonna10139</t>
  </si>
  <si>
    <t>Kolonna10140</t>
  </si>
  <si>
    <t>Kolonna10141</t>
  </si>
  <si>
    <t>Kolonna10142</t>
  </si>
  <si>
    <t>Kolonna10143</t>
  </si>
  <si>
    <t>Kolonna10144</t>
  </si>
  <si>
    <t>Kolonna10145</t>
  </si>
  <si>
    <t>Kolonna10146</t>
  </si>
  <si>
    <t>Kolonna10147</t>
  </si>
  <si>
    <t>Kolonna10148</t>
  </si>
  <si>
    <t>Kolonna10149</t>
  </si>
  <si>
    <t>Kolonna10150</t>
  </si>
  <si>
    <t>Kolonna10151</t>
  </si>
  <si>
    <t>Kolonna10152</t>
  </si>
  <si>
    <t>Kolonna10153</t>
  </si>
  <si>
    <t>Kolonna10154</t>
  </si>
  <si>
    <t>Kolonna10155</t>
  </si>
  <si>
    <t>Kolonna10156</t>
  </si>
  <si>
    <t>Kolonna10157</t>
  </si>
  <si>
    <t>Kolonna10158</t>
  </si>
  <si>
    <t>Kolonna10159</t>
  </si>
  <si>
    <t>Kolonna10160</t>
  </si>
  <si>
    <t>Kolonna10161</t>
  </si>
  <si>
    <t>Kolonna10162</t>
  </si>
  <si>
    <t>Kolonna10163</t>
  </si>
  <si>
    <t>Kolonna10164</t>
  </si>
  <si>
    <t>Kolonna10165</t>
  </si>
  <si>
    <t>Kolonna10166</t>
  </si>
  <si>
    <t>Kolonna10167</t>
  </si>
  <si>
    <t>Kolonna10168</t>
  </si>
  <si>
    <t>Kolonna10169</t>
  </si>
  <si>
    <t>Kolonna10170</t>
  </si>
  <si>
    <t>Kolonna10171</t>
  </si>
  <si>
    <t>Kolonna10172</t>
  </si>
  <si>
    <t>Kolonna10173</t>
  </si>
  <si>
    <t>Kolonna10174</t>
  </si>
  <si>
    <t>Kolonna10175</t>
  </si>
  <si>
    <t>Kolonna10176</t>
  </si>
  <si>
    <t>Kolonna10177</t>
  </si>
  <si>
    <t>Kolonna10178</t>
  </si>
  <si>
    <t>Kolonna10179</t>
  </si>
  <si>
    <t>Kolonna10180</t>
  </si>
  <si>
    <t>Kolonna10181</t>
  </si>
  <si>
    <t>Kolonna10182</t>
  </si>
  <si>
    <t>Kolonna10183</t>
  </si>
  <si>
    <t>Kolonna10184</t>
  </si>
  <si>
    <t>Kolonna10185</t>
  </si>
  <si>
    <t>Kolonna10186</t>
  </si>
  <si>
    <t>Kolonna10187</t>
  </si>
  <si>
    <t>Kolonna10188</t>
  </si>
  <si>
    <t>Kolonna10189</t>
  </si>
  <si>
    <t>Kolonna10190</t>
  </si>
  <si>
    <t>Kolonna10191</t>
  </si>
  <si>
    <t>Kolonna10192</t>
  </si>
  <si>
    <t>Kolonna10193</t>
  </si>
  <si>
    <t>Kolonna10194</t>
  </si>
  <si>
    <t>Kolonna10195</t>
  </si>
  <si>
    <t>Kolonna10196</t>
  </si>
  <si>
    <t>Kolonna10197</t>
  </si>
  <si>
    <t>Kolonna10198</t>
  </si>
  <si>
    <t>Kolonna10199</t>
  </si>
  <si>
    <t>Kolonna10200</t>
  </si>
  <si>
    <t>Kolonna10201</t>
  </si>
  <si>
    <t>Kolonna10202</t>
  </si>
  <si>
    <t>Kolonna10203</t>
  </si>
  <si>
    <t>Kolonna10204</t>
  </si>
  <si>
    <t>Kolonna10205</t>
  </si>
  <si>
    <t>Kolonna10206</t>
  </si>
  <si>
    <t>Kolonna10207</t>
  </si>
  <si>
    <t>Kolonna10208</t>
  </si>
  <si>
    <t>Kolonna10209</t>
  </si>
  <si>
    <t>Kolonna10210</t>
  </si>
  <si>
    <t>Kolonna10211</t>
  </si>
  <si>
    <t>Kolonna10212</t>
  </si>
  <si>
    <t>Kolonna10213</t>
  </si>
  <si>
    <t>Kolonna10214</t>
  </si>
  <si>
    <t>Kolonna10215</t>
  </si>
  <si>
    <t>Kolonna10216</t>
  </si>
  <si>
    <t>Kolonna10217</t>
  </si>
  <si>
    <t>Kolonna10218</t>
  </si>
  <si>
    <t>Kolonna10219</t>
  </si>
  <si>
    <t>Kolonna10220</t>
  </si>
  <si>
    <t>Kolonna10221</t>
  </si>
  <si>
    <t>Kolonna10222</t>
  </si>
  <si>
    <t>Kolonna10223</t>
  </si>
  <si>
    <t>Kolonna10224</t>
  </si>
  <si>
    <t>Kolonna10225</t>
  </si>
  <si>
    <t>Kolonna10226</t>
  </si>
  <si>
    <t>Kolonna10227</t>
  </si>
  <si>
    <t>Kolonna10228</t>
  </si>
  <si>
    <t>Kolonna10229</t>
  </si>
  <si>
    <t>Kolonna10230</t>
  </si>
  <si>
    <t>Kolonna10231</t>
  </si>
  <si>
    <t>Kolonna10232</t>
  </si>
  <si>
    <t>Kolonna10233</t>
  </si>
  <si>
    <t>Kolonna10234</t>
  </si>
  <si>
    <t>Kolonna10235</t>
  </si>
  <si>
    <t>Kolonna10236</t>
  </si>
  <si>
    <t>Kolonna10237</t>
  </si>
  <si>
    <t>Kolonna10238</t>
  </si>
  <si>
    <t>Kolonna10239</t>
  </si>
  <si>
    <t>Kolonna10240</t>
  </si>
  <si>
    <t>Kolonna10241</t>
  </si>
  <si>
    <t>Kolonna10242</t>
  </si>
  <si>
    <t>Kolonna10243</t>
  </si>
  <si>
    <t>Kolonna10244</t>
  </si>
  <si>
    <t>Kolonna10245</t>
  </si>
  <si>
    <t>Kolonna10246</t>
  </si>
  <si>
    <t>Kolonna10247</t>
  </si>
  <si>
    <t>Kolonna10248</t>
  </si>
  <si>
    <t>Kolonna10249</t>
  </si>
  <si>
    <t>Kolonna10250</t>
  </si>
  <si>
    <t>Kolonna10251</t>
  </si>
  <si>
    <t>Kolonna10252</t>
  </si>
  <si>
    <t>Kolonna10253</t>
  </si>
  <si>
    <t>Kolonna10254</t>
  </si>
  <si>
    <t>Kolonna10255</t>
  </si>
  <si>
    <t>Kolonna10256</t>
  </si>
  <si>
    <t>Kolonna10257</t>
  </si>
  <si>
    <t>Kolonna10258</t>
  </si>
  <si>
    <t>Kolonna10259</t>
  </si>
  <si>
    <t>Kolonna10260</t>
  </si>
  <si>
    <t>Kolonna10261</t>
  </si>
  <si>
    <t>Kolonna10262</t>
  </si>
  <si>
    <t>Kolonna10263</t>
  </si>
  <si>
    <t>Kolonna10264</t>
  </si>
  <si>
    <t>Kolonna10265</t>
  </si>
  <si>
    <t>Kolonna10266</t>
  </si>
  <si>
    <t>Kolonna10267</t>
  </si>
  <si>
    <t>Kolonna10268</t>
  </si>
  <si>
    <t>Kolonna10269</t>
  </si>
  <si>
    <t>Kolonna10270</t>
  </si>
  <si>
    <t>Kolonna10271</t>
  </si>
  <si>
    <t>Kolonna10272</t>
  </si>
  <si>
    <t>Kolonna10273</t>
  </si>
  <si>
    <t>Kolonna10274</t>
  </si>
  <si>
    <t>Kolonna10275</t>
  </si>
  <si>
    <t>Kolonna10276</t>
  </si>
  <si>
    <t>Kolonna10277</t>
  </si>
  <si>
    <t>Kolonna10278</t>
  </si>
  <si>
    <t>Kolonna10279</t>
  </si>
  <si>
    <t>Kolonna10280</t>
  </si>
  <si>
    <t>Kolonna10281</t>
  </si>
  <si>
    <t>Kolonna10282</t>
  </si>
  <si>
    <t>Kolonna10283</t>
  </si>
  <si>
    <t>Kolonna10284</t>
  </si>
  <si>
    <t>Kolonna10285</t>
  </si>
  <si>
    <t>Kolonna10286</t>
  </si>
  <si>
    <t>Kolonna10287</t>
  </si>
  <si>
    <t>Kolonna10288</t>
  </si>
  <si>
    <t>Kolonna10289</t>
  </si>
  <si>
    <t>Kolonna10290</t>
  </si>
  <si>
    <t>Kolonna10291</t>
  </si>
  <si>
    <t>Kolonna10292</t>
  </si>
  <si>
    <t>Kolonna10293</t>
  </si>
  <si>
    <t>Kolonna10294</t>
  </si>
  <si>
    <t>Kolonna10295</t>
  </si>
  <si>
    <t>Kolonna10296</t>
  </si>
  <si>
    <t>Kolonna10297</t>
  </si>
  <si>
    <t>Kolonna10298</t>
  </si>
  <si>
    <t>Kolonna10299</t>
  </si>
  <si>
    <t>Kolonna10300</t>
  </si>
  <si>
    <t>Kolonna10301</t>
  </si>
  <si>
    <t>Kolonna10302</t>
  </si>
  <si>
    <t>Kolonna10303</t>
  </si>
  <si>
    <t>Kolonna10304</t>
  </si>
  <si>
    <t>Kolonna10305</t>
  </si>
  <si>
    <t>Kolonna10306</t>
  </si>
  <si>
    <t>Kolonna10307</t>
  </si>
  <si>
    <t>Kolonna10308</t>
  </si>
  <si>
    <t>Kolonna10309</t>
  </si>
  <si>
    <t>Kolonna10310</t>
  </si>
  <si>
    <t>Kolonna10311</t>
  </si>
  <si>
    <t>Kolonna10312</t>
  </si>
  <si>
    <t>Kolonna10313</t>
  </si>
  <si>
    <t>Kolonna10314</t>
  </si>
  <si>
    <t>Kolonna10315</t>
  </si>
  <si>
    <t>Kolonna10316</t>
  </si>
  <si>
    <t>Kolonna10317</t>
  </si>
  <si>
    <t>Kolonna10318</t>
  </si>
  <si>
    <t>Kolonna10319</t>
  </si>
  <si>
    <t>Kolonna10320</t>
  </si>
  <si>
    <t>Kolonna10321</t>
  </si>
  <si>
    <t>Kolonna10322</t>
  </si>
  <si>
    <t>Kolonna10323</t>
  </si>
  <si>
    <t>Kolonna10324</t>
  </si>
  <si>
    <t>Kolonna10325</t>
  </si>
  <si>
    <t>Kolonna10326</t>
  </si>
  <si>
    <t>Kolonna10327</t>
  </si>
  <si>
    <t>Kolonna10328</t>
  </si>
  <si>
    <t>Kolonna10329</t>
  </si>
  <si>
    <t>Kolonna10330</t>
  </si>
  <si>
    <t>Kolonna10331</t>
  </si>
  <si>
    <t>Kolonna10332</t>
  </si>
  <si>
    <t>Kolonna10333</t>
  </si>
  <si>
    <t>Kolonna10334</t>
  </si>
  <si>
    <t>Kolonna10335</t>
  </si>
  <si>
    <t>Kolonna10336</t>
  </si>
  <si>
    <t>Kolonna10337</t>
  </si>
  <si>
    <t>Kolonna10338</t>
  </si>
  <si>
    <t>Kolonna10339</t>
  </si>
  <si>
    <t>Kolonna10340</t>
  </si>
  <si>
    <t>Kolonna10341</t>
  </si>
  <si>
    <t>Kolonna10342</t>
  </si>
  <si>
    <t>Kolonna10343</t>
  </si>
  <si>
    <t>Kolonna10344</t>
  </si>
  <si>
    <t>Kolonna10345</t>
  </si>
  <si>
    <t>Kolonna10346</t>
  </si>
  <si>
    <t>Kolonna10347</t>
  </si>
  <si>
    <t>Kolonna10348</t>
  </si>
  <si>
    <t>Kolonna10349</t>
  </si>
  <si>
    <t>Kolonna10350</t>
  </si>
  <si>
    <t>Kolonna10351</t>
  </si>
  <si>
    <t>Kolonna10352</t>
  </si>
  <si>
    <t>Kolonna10353</t>
  </si>
  <si>
    <t>Kolonna10354</t>
  </si>
  <si>
    <t>Kolonna10355</t>
  </si>
  <si>
    <t>Kolonna10356</t>
  </si>
  <si>
    <t>Kolonna10357</t>
  </si>
  <si>
    <t>Kolonna10358</t>
  </si>
  <si>
    <t>Kolonna10359</t>
  </si>
  <si>
    <t>Kolonna10360</t>
  </si>
  <si>
    <t>Kolonna10361</t>
  </si>
  <si>
    <t>Kolonna10362</t>
  </si>
  <si>
    <t>Kolonna10363</t>
  </si>
  <si>
    <t>Kolonna10364</t>
  </si>
  <si>
    <t>Kolonna10365</t>
  </si>
  <si>
    <t>Kolonna10366</t>
  </si>
  <si>
    <t>Kolonna10367</t>
  </si>
  <si>
    <t>Kolonna10368</t>
  </si>
  <si>
    <t>Kolonna10369</t>
  </si>
  <si>
    <t>Kolonna10370</t>
  </si>
  <si>
    <t>Kolonna10371</t>
  </si>
  <si>
    <t>Kolonna10372</t>
  </si>
  <si>
    <t>Kolonna10373</t>
  </si>
  <si>
    <t>Kolonna10374</t>
  </si>
  <si>
    <t>Kolonna10375</t>
  </si>
  <si>
    <t>Kolonna10376</t>
  </si>
  <si>
    <t>Kolonna10377</t>
  </si>
  <si>
    <t>Kolonna10378</t>
  </si>
  <si>
    <t>Kolonna10379</t>
  </si>
  <si>
    <t>Kolonna10380</t>
  </si>
  <si>
    <t>Kolonna10381</t>
  </si>
  <si>
    <t>Kolonna10382</t>
  </si>
  <si>
    <t>Kolonna10383</t>
  </si>
  <si>
    <t>Kolonna10384</t>
  </si>
  <si>
    <t>Kolonna10385</t>
  </si>
  <si>
    <t>Kolonna10386</t>
  </si>
  <si>
    <t>Kolonna10387</t>
  </si>
  <si>
    <t>Kolonna10388</t>
  </si>
  <si>
    <t>Kolonna10389</t>
  </si>
  <si>
    <t>Kolonna10390</t>
  </si>
  <si>
    <t>Kolonna10391</t>
  </si>
  <si>
    <t>Kolonna10392</t>
  </si>
  <si>
    <t>Kolonna10393</t>
  </si>
  <si>
    <t>Kolonna10394</t>
  </si>
  <si>
    <t>Kolonna10395</t>
  </si>
  <si>
    <t>Kolonna10396</t>
  </si>
  <si>
    <t>Kolonna10397</t>
  </si>
  <si>
    <t>Kolonna10398</t>
  </si>
  <si>
    <t>Kolonna10399</t>
  </si>
  <si>
    <t>Kolonna10400</t>
  </si>
  <si>
    <t>Kolonna10401</t>
  </si>
  <si>
    <t>Kolonna10402</t>
  </si>
  <si>
    <t>Kolonna10403</t>
  </si>
  <si>
    <t>Kolonna10404</t>
  </si>
  <si>
    <t>Kolonna10405</t>
  </si>
  <si>
    <t>Kolonna10406</t>
  </si>
  <si>
    <t>Kolonna10407</t>
  </si>
  <si>
    <t>Kolonna10408</t>
  </si>
  <si>
    <t>Kolonna10409</t>
  </si>
  <si>
    <t>Kolonna10410</t>
  </si>
  <si>
    <t>Kolonna10411</t>
  </si>
  <si>
    <t>Kolonna10412</t>
  </si>
  <si>
    <t>Kolonna10413</t>
  </si>
  <si>
    <t>Kolonna10414</t>
  </si>
  <si>
    <t>Kolonna10415</t>
  </si>
  <si>
    <t>Kolonna10416</t>
  </si>
  <si>
    <t>Kolonna10417</t>
  </si>
  <si>
    <t>Kolonna10418</t>
  </si>
  <si>
    <t>Kolonna10419</t>
  </si>
  <si>
    <t>Kolonna10420</t>
  </si>
  <si>
    <t>Kolonna10421</t>
  </si>
  <si>
    <t>Kolonna10422</t>
  </si>
  <si>
    <t>Kolonna10423</t>
  </si>
  <si>
    <t>Kolonna10424</t>
  </si>
  <si>
    <t>Kolonna10425</t>
  </si>
  <si>
    <t>Kolonna10426</t>
  </si>
  <si>
    <t>Kolonna10427</t>
  </si>
  <si>
    <t>Kolonna10428</t>
  </si>
  <si>
    <t>Kolonna10429</t>
  </si>
  <si>
    <t>Kolonna10430</t>
  </si>
  <si>
    <t>Kolonna10431</t>
  </si>
  <si>
    <t>Kolonna10432</t>
  </si>
  <si>
    <t>Kolonna10433</t>
  </si>
  <si>
    <t>Kolonna10434</t>
  </si>
  <si>
    <t>Kolonna10435</t>
  </si>
  <si>
    <t>Kolonna10436</t>
  </si>
  <si>
    <t>Kolonna10437</t>
  </si>
  <si>
    <t>Kolonna10438</t>
  </si>
  <si>
    <t>Kolonna10439</t>
  </si>
  <si>
    <t>Kolonna10440</t>
  </si>
  <si>
    <t>Kolonna10441</t>
  </si>
  <si>
    <t>Kolonna10442</t>
  </si>
  <si>
    <t>Kolonna10443</t>
  </si>
  <si>
    <t>Kolonna10444</t>
  </si>
  <si>
    <t>Kolonna10445</t>
  </si>
  <si>
    <t>Kolonna10446</t>
  </si>
  <si>
    <t>Kolonna10447</t>
  </si>
  <si>
    <t>Kolonna10448</t>
  </si>
  <si>
    <t>Kolonna10449</t>
  </si>
  <si>
    <t>Kolonna10450</t>
  </si>
  <si>
    <t>Kolonna10451</t>
  </si>
  <si>
    <t>Kolonna10452</t>
  </si>
  <si>
    <t>Kolonna10453</t>
  </si>
  <si>
    <t>Kolonna10454</t>
  </si>
  <si>
    <t>Kolonna10455</t>
  </si>
  <si>
    <t>Kolonna10456</t>
  </si>
  <si>
    <t>Kolonna10457</t>
  </si>
  <si>
    <t>Kolonna10458</t>
  </si>
  <si>
    <t>Kolonna10459</t>
  </si>
  <si>
    <t>Kolonna10460</t>
  </si>
  <si>
    <t>Kolonna10461</t>
  </si>
  <si>
    <t>Kolonna10462</t>
  </si>
  <si>
    <t>Kolonna10463</t>
  </si>
  <si>
    <t>Kolonna10464</t>
  </si>
  <si>
    <t>Kolonna10465</t>
  </si>
  <si>
    <t>Kolonna10466</t>
  </si>
  <si>
    <t>Kolonna10467</t>
  </si>
  <si>
    <t>Kolonna10468</t>
  </si>
  <si>
    <t>Kolonna10469</t>
  </si>
  <si>
    <t>Kolonna10470</t>
  </si>
  <si>
    <t>Kolonna10471</t>
  </si>
  <si>
    <t>Kolonna10472</t>
  </si>
  <si>
    <t>Kolonna10473</t>
  </si>
  <si>
    <t>Kolonna10474</t>
  </si>
  <si>
    <t>Kolonna10475</t>
  </si>
  <si>
    <t>Kolonna10476</t>
  </si>
  <si>
    <t>Kolonna10477</t>
  </si>
  <si>
    <t>Kolonna10478</t>
  </si>
  <si>
    <t>Kolonna10479</t>
  </si>
  <si>
    <t>Kolonna10480</t>
  </si>
  <si>
    <t>Kolonna10481</t>
  </si>
  <si>
    <t>Kolonna10482</t>
  </si>
  <si>
    <t>Kolonna10483</t>
  </si>
  <si>
    <t>Kolonna10484</t>
  </si>
  <si>
    <t>Kolonna10485</t>
  </si>
  <si>
    <t>Kolonna10486</t>
  </si>
  <si>
    <t>Kolonna10487</t>
  </si>
  <si>
    <t>Kolonna10488</t>
  </si>
  <si>
    <t>Kolonna10489</t>
  </si>
  <si>
    <t>Kolonna10490</t>
  </si>
  <si>
    <t>Kolonna10491</t>
  </si>
  <si>
    <t>Kolonna10492</t>
  </si>
  <si>
    <t>Kolonna10493</t>
  </si>
  <si>
    <t>Kolonna10494</t>
  </si>
  <si>
    <t>Kolonna10495</t>
  </si>
  <si>
    <t>Kolonna10496</t>
  </si>
  <si>
    <t>Kolonna10497</t>
  </si>
  <si>
    <t>Kolonna10498</t>
  </si>
  <si>
    <t>Kolonna10499</t>
  </si>
  <si>
    <t>Kolonna10500</t>
  </si>
  <si>
    <t>Kolonna10501</t>
  </si>
  <si>
    <t>Kolonna10502</t>
  </si>
  <si>
    <t>Kolonna10503</t>
  </si>
  <si>
    <t>Kolonna10504</t>
  </si>
  <si>
    <t>Kolonna10505</t>
  </si>
  <si>
    <t>Kolonna10506</t>
  </si>
  <si>
    <t>Kolonna10507</t>
  </si>
  <si>
    <t>Kolonna10508</t>
  </si>
  <si>
    <t>Kolonna10509</t>
  </si>
  <si>
    <t>Kolonna10510</t>
  </si>
  <si>
    <t>Kolonna10511</t>
  </si>
  <si>
    <t>Kolonna10512</t>
  </si>
  <si>
    <t>Kolonna10513</t>
  </si>
  <si>
    <t>Kolonna10514</t>
  </si>
  <si>
    <t>Kolonna10515</t>
  </si>
  <si>
    <t>Kolonna10516</t>
  </si>
  <si>
    <t>Kolonna10517</t>
  </si>
  <si>
    <t>Kolonna10518</t>
  </si>
  <si>
    <t>Kolonna10519</t>
  </si>
  <si>
    <t>Kolonna10520</t>
  </si>
  <si>
    <t>Kolonna10521</t>
  </si>
  <si>
    <t>Kolonna10522</t>
  </si>
  <si>
    <t>Kolonna10523</t>
  </si>
  <si>
    <t>Kolonna10524</t>
  </si>
  <si>
    <t>Kolonna10525</t>
  </si>
  <si>
    <t>Kolonna10526</t>
  </si>
  <si>
    <t>Kolonna10527</t>
  </si>
  <si>
    <t>Kolonna10528</t>
  </si>
  <si>
    <t>Kolonna10529</t>
  </si>
  <si>
    <t>Kolonna10530</t>
  </si>
  <si>
    <t>Kolonna10531</t>
  </si>
  <si>
    <t>Kolonna10532</t>
  </si>
  <si>
    <t>Kolonna10533</t>
  </si>
  <si>
    <t>Kolonna10534</t>
  </si>
  <si>
    <t>Kolonna10535</t>
  </si>
  <si>
    <t>Kolonna10536</t>
  </si>
  <si>
    <t>Kolonna10537</t>
  </si>
  <si>
    <t>Kolonna10538</t>
  </si>
  <si>
    <t>Kolonna10539</t>
  </si>
  <si>
    <t>Kolonna10540</t>
  </si>
  <si>
    <t>Kolonna10541</t>
  </si>
  <si>
    <t>Kolonna10542</t>
  </si>
  <si>
    <t>Kolonna10543</t>
  </si>
  <si>
    <t>Kolonna10544</t>
  </si>
  <si>
    <t>Kolonna10545</t>
  </si>
  <si>
    <t>Kolonna10546</t>
  </si>
  <si>
    <t>Kolonna10547</t>
  </si>
  <si>
    <t>Kolonna10548</t>
  </si>
  <si>
    <t>Kolonna10549</t>
  </si>
  <si>
    <t>Kolonna10550</t>
  </si>
  <si>
    <t>Kolonna10551</t>
  </si>
  <si>
    <t>Kolonna10552</t>
  </si>
  <si>
    <t>Kolonna10553</t>
  </si>
  <si>
    <t>Kolonna10554</t>
  </si>
  <si>
    <t>Kolonna10555</t>
  </si>
  <si>
    <t>Kolonna10556</t>
  </si>
  <si>
    <t>Kolonna10557</t>
  </si>
  <si>
    <t>Kolonna10558</t>
  </si>
  <si>
    <t>Kolonna10559</t>
  </si>
  <si>
    <t>Kolonna10560</t>
  </si>
  <si>
    <t>Kolonna10561</t>
  </si>
  <si>
    <t>Kolonna10562</t>
  </si>
  <si>
    <t>Kolonna10563</t>
  </si>
  <si>
    <t>Kolonna10564</t>
  </si>
  <si>
    <t>Kolonna10565</t>
  </si>
  <si>
    <t>Kolonna10566</t>
  </si>
  <si>
    <t>Kolonna10567</t>
  </si>
  <si>
    <t>Kolonna10568</t>
  </si>
  <si>
    <t>Kolonna10569</t>
  </si>
  <si>
    <t>Kolonna10570</t>
  </si>
  <si>
    <t>Kolonna10571</t>
  </si>
  <si>
    <t>Kolonna10572</t>
  </si>
  <si>
    <t>Kolonna10573</t>
  </si>
  <si>
    <t>Kolonna10574</t>
  </si>
  <si>
    <t>Kolonna10575</t>
  </si>
  <si>
    <t>Kolonna10576</t>
  </si>
  <si>
    <t>Kolonna10577</t>
  </si>
  <si>
    <t>Kolonna10578</t>
  </si>
  <si>
    <t>Kolonna10579</t>
  </si>
  <si>
    <t>Kolonna10580</t>
  </si>
  <si>
    <t>Kolonna10581</t>
  </si>
  <si>
    <t>Kolonna10582</t>
  </si>
  <si>
    <t>Kolonna10583</t>
  </si>
  <si>
    <t>Kolonna10584</t>
  </si>
  <si>
    <t>Kolonna10585</t>
  </si>
  <si>
    <t>Kolonna10586</t>
  </si>
  <si>
    <t>Kolonna10587</t>
  </si>
  <si>
    <t>Kolonna10588</t>
  </si>
  <si>
    <t>Kolonna10589</t>
  </si>
  <si>
    <t>Kolonna10590</t>
  </si>
  <si>
    <t>Kolonna10591</t>
  </si>
  <si>
    <t>Kolonna10592</t>
  </si>
  <si>
    <t>Kolonna10593</t>
  </si>
  <si>
    <t>Kolonna10594</t>
  </si>
  <si>
    <t>Kolonna10595</t>
  </si>
  <si>
    <t>Kolonna10596</t>
  </si>
  <si>
    <t>Kolonna10597</t>
  </si>
  <si>
    <t>Kolonna10598</t>
  </si>
  <si>
    <t>Kolonna10599</t>
  </si>
  <si>
    <t>Kolonna10600</t>
  </si>
  <si>
    <t>Kolonna10601</t>
  </si>
  <si>
    <t>Kolonna10602</t>
  </si>
  <si>
    <t>Kolonna10603</t>
  </si>
  <si>
    <t>Kolonna10604</t>
  </si>
  <si>
    <t>Kolonna10605</t>
  </si>
  <si>
    <t>Kolonna10606</t>
  </si>
  <si>
    <t>Kolonna10607</t>
  </si>
  <si>
    <t>Kolonna10608</t>
  </si>
  <si>
    <t>Kolonna10609</t>
  </si>
  <si>
    <t>Kolonna10610</t>
  </si>
  <si>
    <t>Kolonna10611</t>
  </si>
  <si>
    <t>Kolonna10612</t>
  </si>
  <si>
    <t>Kolonna10613</t>
  </si>
  <si>
    <t>Kolonna10614</t>
  </si>
  <si>
    <t>Kolonna10615</t>
  </si>
  <si>
    <t>Kolonna10616</t>
  </si>
  <si>
    <t>Kolonna10617</t>
  </si>
  <si>
    <t>Kolonna10618</t>
  </si>
  <si>
    <t>Kolonna10619</t>
  </si>
  <si>
    <t>Kolonna10620</t>
  </si>
  <si>
    <t>Kolonna10621</t>
  </si>
  <si>
    <t>Kolonna10622</t>
  </si>
  <si>
    <t>Kolonna10623</t>
  </si>
  <si>
    <t>Kolonna10624</t>
  </si>
  <si>
    <t>Kolonna10625</t>
  </si>
  <si>
    <t>Kolonna10626</t>
  </si>
  <si>
    <t>Kolonna10627</t>
  </si>
  <si>
    <t>Kolonna10628</t>
  </si>
  <si>
    <t>Kolonna10629</t>
  </si>
  <si>
    <t>Kolonna10630</t>
  </si>
  <si>
    <t>Kolonna10631</t>
  </si>
  <si>
    <t>Kolonna10632</t>
  </si>
  <si>
    <t>Kolonna10633</t>
  </si>
  <si>
    <t>Kolonna10634</t>
  </si>
  <si>
    <t>Kolonna10635</t>
  </si>
  <si>
    <t>Kolonna10636</t>
  </si>
  <si>
    <t>Kolonna10637</t>
  </si>
  <si>
    <t>Kolonna10638</t>
  </si>
  <si>
    <t>Kolonna10639</t>
  </si>
  <si>
    <t>Kolonna10640</t>
  </si>
  <si>
    <t>Kolonna10641</t>
  </si>
  <si>
    <t>Kolonna10642</t>
  </si>
  <si>
    <t>Kolonna10643</t>
  </si>
  <si>
    <t>Kolonna10644</t>
  </si>
  <si>
    <t>Kolonna10645</t>
  </si>
  <si>
    <t>Kolonna10646</t>
  </si>
  <si>
    <t>Kolonna10647</t>
  </si>
  <si>
    <t>Kolonna10648</t>
  </si>
  <si>
    <t>Kolonna10649</t>
  </si>
  <si>
    <t>Kolonna10650</t>
  </si>
  <si>
    <t>Kolonna10651</t>
  </si>
  <si>
    <t>Kolonna10652</t>
  </si>
  <si>
    <t>Kolonna10653</t>
  </si>
  <si>
    <t>Kolonna10654</t>
  </si>
  <si>
    <t>Kolonna10655</t>
  </si>
  <si>
    <t>Kolonna10656</t>
  </si>
  <si>
    <t>Kolonna10657</t>
  </si>
  <si>
    <t>Kolonna10658</t>
  </si>
  <si>
    <t>Kolonna10659</t>
  </si>
  <si>
    <t>Kolonna10660</t>
  </si>
  <si>
    <t>Kolonna10661</t>
  </si>
  <si>
    <t>Kolonna10662</t>
  </si>
  <si>
    <t>Kolonna10663</t>
  </si>
  <si>
    <t>Kolonna10664</t>
  </si>
  <si>
    <t>Kolonna10665</t>
  </si>
  <si>
    <t>Kolonna10666</t>
  </si>
  <si>
    <t>Kolonna10667</t>
  </si>
  <si>
    <t>Kolonna10668</t>
  </si>
  <si>
    <t>Kolonna10669</t>
  </si>
  <si>
    <t>Kolonna10670</t>
  </si>
  <si>
    <t>Kolonna10671</t>
  </si>
  <si>
    <t>Kolonna10672</t>
  </si>
  <si>
    <t>Kolonna10673</t>
  </si>
  <si>
    <t>Kolonna10674</t>
  </si>
  <si>
    <t>Kolonna10675</t>
  </si>
  <si>
    <t>Kolonna10676</t>
  </si>
  <si>
    <t>Kolonna10677</t>
  </si>
  <si>
    <t>Kolonna10678</t>
  </si>
  <si>
    <t>Kolonna10679</t>
  </si>
  <si>
    <t>Kolonna10680</t>
  </si>
  <si>
    <t>Kolonna10681</t>
  </si>
  <si>
    <t>Kolonna10682</t>
  </si>
  <si>
    <t>Kolonna10683</t>
  </si>
  <si>
    <t>Kolonna10684</t>
  </si>
  <si>
    <t>Kolonna10685</t>
  </si>
  <si>
    <t>Kolonna10686</t>
  </si>
  <si>
    <t>Kolonna10687</t>
  </si>
  <si>
    <t>Kolonna10688</t>
  </si>
  <si>
    <t>Kolonna10689</t>
  </si>
  <si>
    <t>Kolonna10690</t>
  </si>
  <si>
    <t>Kolonna10691</t>
  </si>
  <si>
    <t>Kolonna10692</t>
  </si>
  <si>
    <t>Kolonna10693</t>
  </si>
  <si>
    <t>Kolonna10694</t>
  </si>
  <si>
    <t>Kolonna10695</t>
  </si>
  <si>
    <t>Kolonna10696</t>
  </si>
  <si>
    <t>Kolonna10697</t>
  </si>
  <si>
    <t>Kolonna10698</t>
  </si>
  <si>
    <t>Kolonna10699</t>
  </si>
  <si>
    <t>Kolonna10700</t>
  </si>
  <si>
    <t>Kolonna10701</t>
  </si>
  <si>
    <t>Kolonna10702</t>
  </si>
  <si>
    <t>Kolonna10703</t>
  </si>
  <si>
    <t>Kolonna10704</t>
  </si>
  <si>
    <t>Kolonna10705</t>
  </si>
  <si>
    <t>Kolonna10706</t>
  </si>
  <si>
    <t>Kolonna10707</t>
  </si>
  <si>
    <t>Kolonna10708</t>
  </si>
  <si>
    <t>Kolonna10709</t>
  </si>
  <si>
    <t>Kolonna10710</t>
  </si>
  <si>
    <t>Kolonna10711</t>
  </si>
  <si>
    <t>Kolonna10712</t>
  </si>
  <si>
    <t>Kolonna10713</t>
  </si>
  <si>
    <t>Kolonna10714</t>
  </si>
  <si>
    <t>Kolonna10715</t>
  </si>
  <si>
    <t>Kolonna10716</t>
  </si>
  <si>
    <t>Kolonna10717</t>
  </si>
  <si>
    <t>Kolonna10718</t>
  </si>
  <si>
    <t>Kolonna10719</t>
  </si>
  <si>
    <t>Kolonna10720</t>
  </si>
  <si>
    <t>Kolonna10721</t>
  </si>
  <si>
    <t>Kolonna10722</t>
  </si>
  <si>
    <t>Kolonna10723</t>
  </si>
  <si>
    <t>Kolonna10724</t>
  </si>
  <si>
    <t>Kolonna10725</t>
  </si>
  <si>
    <t>Kolonna10726</t>
  </si>
  <si>
    <t>Kolonna10727</t>
  </si>
  <si>
    <t>Kolonna10728</t>
  </si>
  <si>
    <t>Kolonna10729</t>
  </si>
  <si>
    <t>Kolonna10730</t>
  </si>
  <si>
    <t>Kolonna10731</t>
  </si>
  <si>
    <t>Kolonna10732</t>
  </si>
  <si>
    <t>Kolonna10733</t>
  </si>
  <si>
    <t>Kolonna10734</t>
  </si>
  <si>
    <t>Kolonna10735</t>
  </si>
  <si>
    <t>Kolonna10736</t>
  </si>
  <si>
    <t>Kolonna10737</t>
  </si>
  <si>
    <t>Kolonna10738</t>
  </si>
  <si>
    <t>Kolonna10739</t>
  </si>
  <si>
    <t>Kolonna10740</t>
  </si>
  <si>
    <t>Kolonna10741</t>
  </si>
  <si>
    <t>Kolonna10742</t>
  </si>
  <si>
    <t>Kolonna10743</t>
  </si>
  <si>
    <t>Kolonna10744</t>
  </si>
  <si>
    <t>Kolonna10745</t>
  </si>
  <si>
    <t>Kolonna10746</t>
  </si>
  <si>
    <t>Kolonna10747</t>
  </si>
  <si>
    <t>Kolonna10748</t>
  </si>
  <si>
    <t>Kolonna10749</t>
  </si>
  <si>
    <t>Kolonna10750</t>
  </si>
  <si>
    <t>Kolonna10751</t>
  </si>
  <si>
    <t>Kolonna10752</t>
  </si>
  <si>
    <t>Kolonna10753</t>
  </si>
  <si>
    <t>Kolonna10754</t>
  </si>
  <si>
    <t>Kolonna10755</t>
  </si>
  <si>
    <t>Kolonna10756</t>
  </si>
  <si>
    <t>Kolonna10757</t>
  </si>
  <si>
    <t>Kolonna10758</t>
  </si>
  <si>
    <t>Kolonna10759</t>
  </si>
  <si>
    <t>Kolonna10760</t>
  </si>
  <si>
    <t>Kolonna10761</t>
  </si>
  <si>
    <t>Kolonna10762</t>
  </si>
  <si>
    <t>Kolonna10763</t>
  </si>
  <si>
    <t>Kolonna10764</t>
  </si>
  <si>
    <t>Kolonna10765</t>
  </si>
  <si>
    <t>Kolonna10766</t>
  </si>
  <si>
    <t>Kolonna10767</t>
  </si>
  <si>
    <t>Kolonna10768</t>
  </si>
  <si>
    <t>Kolonna10769</t>
  </si>
  <si>
    <t>Kolonna10770</t>
  </si>
  <si>
    <t>Kolonna10771</t>
  </si>
  <si>
    <t>Kolonna10772</t>
  </si>
  <si>
    <t>Kolonna10773</t>
  </si>
  <si>
    <t>Kolonna10774</t>
  </si>
  <si>
    <t>Kolonna10775</t>
  </si>
  <si>
    <t>Kolonna10776</t>
  </si>
  <si>
    <t>Kolonna10777</t>
  </si>
  <si>
    <t>Kolonna10778</t>
  </si>
  <si>
    <t>Kolonna10779</t>
  </si>
  <si>
    <t>Kolonna10780</t>
  </si>
  <si>
    <t>Kolonna10781</t>
  </si>
  <si>
    <t>Kolonna10782</t>
  </si>
  <si>
    <t>Kolonna10783</t>
  </si>
  <si>
    <t>Kolonna10784</t>
  </si>
  <si>
    <t>Kolonna10785</t>
  </si>
  <si>
    <t>Kolonna10786</t>
  </si>
  <si>
    <t>Kolonna10787</t>
  </si>
  <si>
    <t>Kolonna10788</t>
  </si>
  <si>
    <t>Kolonna10789</t>
  </si>
  <si>
    <t>Kolonna10790</t>
  </si>
  <si>
    <t>Kolonna10791</t>
  </si>
  <si>
    <t>Kolonna10792</t>
  </si>
  <si>
    <t>Kolonna10793</t>
  </si>
  <si>
    <t>Kolonna10794</t>
  </si>
  <si>
    <t>Kolonna10795</t>
  </si>
  <si>
    <t>Kolonna10796</t>
  </si>
  <si>
    <t>Kolonna10797</t>
  </si>
  <si>
    <t>Kolonna10798</t>
  </si>
  <si>
    <t>Kolonna10799</t>
  </si>
  <si>
    <t>Kolonna10800</t>
  </si>
  <si>
    <t>Kolonna10801</t>
  </si>
  <si>
    <t>Kolonna10802</t>
  </si>
  <si>
    <t>Kolonna10803</t>
  </si>
  <si>
    <t>Kolonna10804</t>
  </si>
  <si>
    <t>Kolonna10805</t>
  </si>
  <si>
    <t>Kolonna10806</t>
  </si>
  <si>
    <t>Kolonna10807</t>
  </si>
  <si>
    <t>Kolonna10808</t>
  </si>
  <si>
    <t>Kolonna10809</t>
  </si>
  <si>
    <t>Kolonna10810</t>
  </si>
  <si>
    <t>Kolonna10811</t>
  </si>
  <si>
    <t>Kolonna10812</t>
  </si>
  <si>
    <t>Kolonna10813</t>
  </si>
  <si>
    <t>Kolonna10814</t>
  </si>
  <si>
    <t>Kolonna10815</t>
  </si>
  <si>
    <t>Kolonna10816</t>
  </si>
  <si>
    <t>Kolonna10817</t>
  </si>
  <si>
    <t>Kolonna10818</t>
  </si>
  <si>
    <t>Kolonna10819</t>
  </si>
  <si>
    <t>Kolonna10820</t>
  </si>
  <si>
    <t>Kolonna10821</t>
  </si>
  <si>
    <t>Kolonna10822</t>
  </si>
  <si>
    <t>Kolonna10823</t>
  </si>
  <si>
    <t>Kolonna10824</t>
  </si>
  <si>
    <t>Kolonna10825</t>
  </si>
  <si>
    <t>Kolonna10826</t>
  </si>
  <si>
    <t>Kolonna10827</t>
  </si>
  <si>
    <t>Kolonna10828</t>
  </si>
  <si>
    <t>Kolonna10829</t>
  </si>
  <si>
    <t>Kolonna10830</t>
  </si>
  <si>
    <t>Kolonna10831</t>
  </si>
  <si>
    <t>Kolonna10832</t>
  </si>
  <si>
    <t>Kolonna10833</t>
  </si>
  <si>
    <t>Kolonna10834</t>
  </si>
  <si>
    <t>Kolonna10835</t>
  </si>
  <si>
    <t>Kolonna10836</t>
  </si>
  <si>
    <t>Kolonna10837</t>
  </si>
  <si>
    <t>Kolonna10838</t>
  </si>
  <si>
    <t>Kolonna10839</t>
  </si>
  <si>
    <t>Kolonna10840</t>
  </si>
  <si>
    <t>Kolonna10841</t>
  </si>
  <si>
    <t>Kolonna10842</t>
  </si>
  <si>
    <t>Kolonna10843</t>
  </si>
  <si>
    <t>Kolonna10844</t>
  </si>
  <si>
    <t>Kolonna10845</t>
  </si>
  <si>
    <t>Kolonna10846</t>
  </si>
  <si>
    <t>Kolonna10847</t>
  </si>
  <si>
    <t>Kolonna10848</t>
  </si>
  <si>
    <t>Kolonna10849</t>
  </si>
  <si>
    <t>Kolonna10850</t>
  </si>
  <si>
    <t>Kolonna10851</t>
  </si>
  <si>
    <t>Kolonna10852</t>
  </si>
  <si>
    <t>Kolonna10853</t>
  </si>
  <si>
    <t>Kolonna10854</t>
  </si>
  <si>
    <t>Kolonna10855</t>
  </si>
  <si>
    <t>Kolonna10856</t>
  </si>
  <si>
    <t>Kolonna10857</t>
  </si>
  <si>
    <t>Kolonna10858</t>
  </si>
  <si>
    <t>Kolonna10859</t>
  </si>
  <si>
    <t>Kolonna10860</t>
  </si>
  <si>
    <t>Kolonna10861</t>
  </si>
  <si>
    <t>Kolonna10862</t>
  </si>
  <si>
    <t>Kolonna10863</t>
  </si>
  <si>
    <t>Kolonna10864</t>
  </si>
  <si>
    <t>Kolonna10865</t>
  </si>
  <si>
    <t>Kolonna10866</t>
  </si>
  <si>
    <t>Kolonna10867</t>
  </si>
  <si>
    <t>Kolonna10868</t>
  </si>
  <si>
    <t>Kolonna10869</t>
  </si>
  <si>
    <t>Kolonna10870</t>
  </si>
  <si>
    <t>Kolonna10871</t>
  </si>
  <si>
    <t>Kolonna10872</t>
  </si>
  <si>
    <t>Kolonna10873</t>
  </si>
  <si>
    <t>Kolonna10874</t>
  </si>
  <si>
    <t>Kolonna10875</t>
  </si>
  <si>
    <t>Kolonna10876</t>
  </si>
  <si>
    <t>Kolonna10877</t>
  </si>
  <si>
    <t>Kolonna10878</t>
  </si>
  <si>
    <t>Kolonna10879</t>
  </si>
  <si>
    <t>Kolonna10880</t>
  </si>
  <si>
    <t>Kolonna10881</t>
  </si>
  <si>
    <t>Kolonna10882</t>
  </si>
  <si>
    <t>Kolonna10883</t>
  </si>
  <si>
    <t>Kolonna10884</t>
  </si>
  <si>
    <t>Kolonna10885</t>
  </si>
  <si>
    <t>Kolonna10886</t>
  </si>
  <si>
    <t>Kolonna10887</t>
  </si>
  <si>
    <t>Kolonna10888</t>
  </si>
  <si>
    <t>Kolonna10889</t>
  </si>
  <si>
    <t>Kolonna10890</t>
  </si>
  <si>
    <t>Kolonna10891</t>
  </si>
  <si>
    <t>Kolonna10892</t>
  </si>
  <si>
    <t>Kolonna10893</t>
  </si>
  <si>
    <t>Kolonna10894</t>
  </si>
  <si>
    <t>Kolonna10895</t>
  </si>
  <si>
    <t>Kolonna10896</t>
  </si>
  <si>
    <t>Kolonna10897</t>
  </si>
  <si>
    <t>Kolonna10898</t>
  </si>
  <si>
    <t>Kolonna10899</t>
  </si>
  <si>
    <t>Kolonna10900</t>
  </si>
  <si>
    <t>Kolonna10901</t>
  </si>
  <si>
    <t>Kolonna10902</t>
  </si>
  <si>
    <t>Kolonna10903</t>
  </si>
  <si>
    <t>Kolonna10904</t>
  </si>
  <si>
    <t>Kolonna10905</t>
  </si>
  <si>
    <t>Kolonna10906</t>
  </si>
  <si>
    <t>Kolonna10907</t>
  </si>
  <si>
    <t>Kolonna10908</t>
  </si>
  <si>
    <t>Kolonna10909</t>
  </si>
  <si>
    <t>Kolonna10910</t>
  </si>
  <si>
    <t>Kolonna10911</t>
  </si>
  <si>
    <t>Kolonna10912</t>
  </si>
  <si>
    <t>Kolonna10913</t>
  </si>
  <si>
    <t>Kolonna10914</t>
  </si>
  <si>
    <t>Kolonna10915</t>
  </si>
  <si>
    <t>Kolonna10916</t>
  </si>
  <si>
    <t>Kolonna10917</t>
  </si>
  <si>
    <t>Kolonna10918</t>
  </si>
  <si>
    <t>Kolonna10919</t>
  </si>
  <si>
    <t>Kolonna10920</t>
  </si>
  <si>
    <t>Kolonna10921</t>
  </si>
  <si>
    <t>Kolonna10922</t>
  </si>
  <si>
    <t>Kolonna10923</t>
  </si>
  <si>
    <t>Kolonna10924</t>
  </si>
  <si>
    <t>Kolonna10925</t>
  </si>
  <si>
    <t>Kolonna10926</t>
  </si>
  <si>
    <t>Kolonna10927</t>
  </si>
  <si>
    <t>Kolonna10928</t>
  </si>
  <si>
    <t>Kolonna10929</t>
  </si>
  <si>
    <t>Kolonna10930</t>
  </si>
  <si>
    <t>Kolonna10931</t>
  </si>
  <si>
    <t>Kolonna10932</t>
  </si>
  <si>
    <t>Kolonna10933</t>
  </si>
  <si>
    <t>Kolonna10934</t>
  </si>
  <si>
    <t>Kolonna10935</t>
  </si>
  <si>
    <t>Kolonna10936</t>
  </si>
  <si>
    <t>Kolonna10937</t>
  </si>
  <si>
    <t>Kolonna10938</t>
  </si>
  <si>
    <t>Kolonna10939</t>
  </si>
  <si>
    <t>Kolonna10940</t>
  </si>
  <si>
    <t>Kolonna10941</t>
  </si>
  <si>
    <t>Kolonna10942</t>
  </si>
  <si>
    <t>Kolonna10943</t>
  </si>
  <si>
    <t>Kolonna10944</t>
  </si>
  <si>
    <t>Kolonna10945</t>
  </si>
  <si>
    <t>Kolonna10946</t>
  </si>
  <si>
    <t>Kolonna10947</t>
  </si>
  <si>
    <t>Kolonna10948</t>
  </si>
  <si>
    <t>Kolonna10949</t>
  </si>
  <si>
    <t>Kolonna10950</t>
  </si>
  <si>
    <t>Kolonna10951</t>
  </si>
  <si>
    <t>Kolonna10952</t>
  </si>
  <si>
    <t>Kolonna10953</t>
  </si>
  <si>
    <t>Kolonna10954</t>
  </si>
  <si>
    <t>Kolonna10955</t>
  </si>
  <si>
    <t>Kolonna10956</t>
  </si>
  <si>
    <t>Kolonna10957</t>
  </si>
  <si>
    <t>Kolonna10958</t>
  </si>
  <si>
    <t>Kolonna10959</t>
  </si>
  <si>
    <t>Kolonna10960</t>
  </si>
  <si>
    <t>Kolonna10961</t>
  </si>
  <si>
    <t>Kolonna10962</t>
  </si>
  <si>
    <t>Kolonna10963</t>
  </si>
  <si>
    <t>Kolonna10964</t>
  </si>
  <si>
    <t>Kolonna10965</t>
  </si>
  <si>
    <t>Kolonna10966</t>
  </si>
  <si>
    <t>Kolonna10967</t>
  </si>
  <si>
    <t>Kolonna10968</t>
  </si>
  <si>
    <t>Kolonna10969</t>
  </si>
  <si>
    <t>Kolonna10970</t>
  </si>
  <si>
    <t>Kolonna10971</t>
  </si>
  <si>
    <t>Kolonna10972</t>
  </si>
  <si>
    <t>Kolonna10973</t>
  </si>
  <si>
    <t>Kolonna10974</t>
  </si>
  <si>
    <t>Kolonna10975</t>
  </si>
  <si>
    <t>Kolonna10976</t>
  </si>
  <si>
    <t>Kolonna10977</t>
  </si>
  <si>
    <t>Kolonna10978</t>
  </si>
  <si>
    <t>Kolonna10979</t>
  </si>
  <si>
    <t>Kolonna10980</t>
  </si>
  <si>
    <t>Kolonna10981</t>
  </si>
  <si>
    <t>Kolonna10982</t>
  </si>
  <si>
    <t>Kolonna10983</t>
  </si>
  <si>
    <t>Kolonna10984</t>
  </si>
  <si>
    <t>Kolonna10985</t>
  </si>
  <si>
    <t>Kolonna10986</t>
  </si>
  <si>
    <t>Kolonna10987</t>
  </si>
  <si>
    <t>Kolonna10988</t>
  </si>
  <si>
    <t>Kolonna10989</t>
  </si>
  <si>
    <t>Kolonna10990</t>
  </si>
  <si>
    <t>Kolonna10991</t>
  </si>
  <si>
    <t>Kolonna10992</t>
  </si>
  <si>
    <t>Kolonna10993</t>
  </si>
  <si>
    <t>Kolonna10994</t>
  </si>
  <si>
    <t>Kolonna10995</t>
  </si>
  <si>
    <t>Kolonna10996</t>
  </si>
  <si>
    <t>Kolonna10997</t>
  </si>
  <si>
    <t>Kolonna10998</t>
  </si>
  <si>
    <t>Kolonna10999</t>
  </si>
  <si>
    <t>Kolonna11000</t>
  </si>
  <si>
    <t>Kolonna11001</t>
  </si>
  <si>
    <t>Kolonna11002</t>
  </si>
  <si>
    <t>Kolonna11003</t>
  </si>
  <si>
    <t>Kolonna11004</t>
  </si>
  <si>
    <t>Kolonna11005</t>
  </si>
  <si>
    <t>Kolonna11006</t>
  </si>
  <si>
    <t>Kolonna11007</t>
  </si>
  <si>
    <t>Kolonna11008</t>
  </si>
  <si>
    <t>Kolonna11009</t>
  </si>
  <si>
    <t>Kolonna11010</t>
  </si>
  <si>
    <t>Kolonna11011</t>
  </si>
  <si>
    <t>Kolonna11012</t>
  </si>
  <si>
    <t>Kolonna11013</t>
  </si>
  <si>
    <t>Kolonna11014</t>
  </si>
  <si>
    <t>Kolonna11015</t>
  </si>
  <si>
    <t>Kolonna11016</t>
  </si>
  <si>
    <t>Kolonna11017</t>
  </si>
  <si>
    <t>Kolonna11018</t>
  </si>
  <si>
    <t>Kolonna11019</t>
  </si>
  <si>
    <t>Kolonna11020</t>
  </si>
  <si>
    <t>Kolonna11021</t>
  </si>
  <si>
    <t>Kolonna11022</t>
  </si>
  <si>
    <t>Kolonna11023</t>
  </si>
  <si>
    <t>Kolonna11024</t>
  </si>
  <si>
    <t>Kolonna11025</t>
  </si>
  <si>
    <t>Kolonna11026</t>
  </si>
  <si>
    <t>Kolonna11027</t>
  </si>
  <si>
    <t>Kolonna11028</t>
  </si>
  <si>
    <t>Kolonna11029</t>
  </si>
  <si>
    <t>Kolonna11030</t>
  </si>
  <si>
    <t>Kolonna11031</t>
  </si>
  <si>
    <t>Kolonna11032</t>
  </si>
  <si>
    <t>Kolonna11033</t>
  </si>
  <si>
    <t>Kolonna11034</t>
  </si>
  <si>
    <t>Kolonna11035</t>
  </si>
  <si>
    <t>Kolonna11036</t>
  </si>
  <si>
    <t>Kolonna11037</t>
  </si>
  <si>
    <t>Kolonna11038</t>
  </si>
  <si>
    <t>Kolonna11039</t>
  </si>
  <si>
    <t>Kolonna11040</t>
  </si>
  <si>
    <t>Kolonna11041</t>
  </si>
  <si>
    <t>Kolonna11042</t>
  </si>
  <si>
    <t>Kolonna11043</t>
  </si>
  <si>
    <t>Kolonna11044</t>
  </si>
  <si>
    <t>Kolonna11045</t>
  </si>
  <si>
    <t>Kolonna11046</t>
  </si>
  <si>
    <t>Kolonna11047</t>
  </si>
  <si>
    <t>Kolonna11048</t>
  </si>
  <si>
    <t>Kolonna11049</t>
  </si>
  <si>
    <t>Kolonna11050</t>
  </si>
  <si>
    <t>Kolonna11051</t>
  </si>
  <si>
    <t>Kolonna11052</t>
  </si>
  <si>
    <t>Kolonna11053</t>
  </si>
  <si>
    <t>Kolonna11054</t>
  </si>
  <si>
    <t>Kolonna11055</t>
  </si>
  <si>
    <t>Kolonna11056</t>
  </si>
  <si>
    <t>Kolonna11057</t>
  </si>
  <si>
    <t>Kolonna11058</t>
  </si>
  <si>
    <t>Kolonna11059</t>
  </si>
  <si>
    <t>Kolonna11060</t>
  </si>
  <si>
    <t>Kolonna11061</t>
  </si>
  <si>
    <t>Kolonna11062</t>
  </si>
  <si>
    <t>Kolonna11063</t>
  </si>
  <si>
    <t>Kolonna11064</t>
  </si>
  <si>
    <t>Kolonna11065</t>
  </si>
  <si>
    <t>Kolonna11066</t>
  </si>
  <si>
    <t>Kolonna11067</t>
  </si>
  <si>
    <t>Kolonna11068</t>
  </si>
  <si>
    <t>Kolonna11069</t>
  </si>
  <si>
    <t>Kolonna11070</t>
  </si>
  <si>
    <t>Kolonna11071</t>
  </si>
  <si>
    <t>Kolonna11072</t>
  </si>
  <si>
    <t>Kolonna11073</t>
  </si>
  <si>
    <t>Kolonna11074</t>
  </si>
  <si>
    <t>Kolonna11075</t>
  </si>
  <si>
    <t>Kolonna11076</t>
  </si>
  <si>
    <t>Kolonna11077</t>
  </si>
  <si>
    <t>Kolonna11078</t>
  </si>
  <si>
    <t>Kolonna11079</t>
  </si>
  <si>
    <t>Kolonna11080</t>
  </si>
  <si>
    <t>Kolonna11081</t>
  </si>
  <si>
    <t>Kolonna11082</t>
  </si>
  <si>
    <t>Kolonna11083</t>
  </si>
  <si>
    <t>Kolonna11084</t>
  </si>
  <si>
    <t>Kolonna11085</t>
  </si>
  <si>
    <t>Kolonna11086</t>
  </si>
  <si>
    <t>Kolonna11087</t>
  </si>
  <si>
    <t>Kolonna11088</t>
  </si>
  <si>
    <t>Kolonna11089</t>
  </si>
  <si>
    <t>Kolonna11090</t>
  </si>
  <si>
    <t>Kolonna11091</t>
  </si>
  <si>
    <t>Kolonna11092</t>
  </si>
  <si>
    <t>Kolonna11093</t>
  </si>
  <si>
    <t>Kolonna11094</t>
  </si>
  <si>
    <t>Kolonna11095</t>
  </si>
  <si>
    <t>Kolonna11096</t>
  </si>
  <si>
    <t>Kolonna11097</t>
  </si>
  <si>
    <t>Kolonna11098</t>
  </si>
  <si>
    <t>Kolonna11099</t>
  </si>
  <si>
    <t>Kolonna11100</t>
  </si>
  <si>
    <t>Kolonna11101</t>
  </si>
  <si>
    <t>Kolonna11102</t>
  </si>
  <si>
    <t>Kolonna11103</t>
  </si>
  <si>
    <t>Kolonna11104</t>
  </si>
  <si>
    <t>Kolonna11105</t>
  </si>
  <si>
    <t>Kolonna11106</t>
  </si>
  <si>
    <t>Kolonna11107</t>
  </si>
  <si>
    <t>Kolonna11108</t>
  </si>
  <si>
    <t>Kolonna11109</t>
  </si>
  <si>
    <t>Kolonna11110</t>
  </si>
  <si>
    <t>Kolonna11111</t>
  </si>
  <si>
    <t>Kolonna11112</t>
  </si>
  <si>
    <t>Kolonna11113</t>
  </si>
  <si>
    <t>Kolonna11114</t>
  </si>
  <si>
    <t>Kolonna11115</t>
  </si>
  <si>
    <t>Kolonna11116</t>
  </si>
  <si>
    <t>Kolonna11117</t>
  </si>
  <si>
    <t>Kolonna11118</t>
  </si>
  <si>
    <t>Kolonna11119</t>
  </si>
  <si>
    <t>Kolonna11120</t>
  </si>
  <si>
    <t>Kolonna11121</t>
  </si>
  <si>
    <t>Kolonna11122</t>
  </si>
  <si>
    <t>Kolonna11123</t>
  </si>
  <si>
    <t>Kolonna11124</t>
  </si>
  <si>
    <t>Kolonna11125</t>
  </si>
  <si>
    <t>Kolonna11126</t>
  </si>
  <si>
    <t>Kolonna11127</t>
  </si>
  <si>
    <t>Kolonna11128</t>
  </si>
  <si>
    <t>Kolonna11129</t>
  </si>
  <si>
    <t>Kolonna11130</t>
  </si>
  <si>
    <t>Kolonna11131</t>
  </si>
  <si>
    <t>Kolonna11132</t>
  </si>
  <si>
    <t>Kolonna11133</t>
  </si>
  <si>
    <t>Kolonna11134</t>
  </si>
  <si>
    <t>Kolonna11135</t>
  </si>
  <si>
    <t>Kolonna11136</t>
  </si>
  <si>
    <t>Kolonna11137</t>
  </si>
  <si>
    <t>Kolonna11138</t>
  </si>
  <si>
    <t>Kolonna11139</t>
  </si>
  <si>
    <t>Kolonna11140</t>
  </si>
  <si>
    <t>Kolonna11141</t>
  </si>
  <si>
    <t>Kolonna11142</t>
  </si>
  <si>
    <t>Kolonna11143</t>
  </si>
  <si>
    <t>Kolonna11144</t>
  </si>
  <si>
    <t>Kolonna11145</t>
  </si>
  <si>
    <t>Kolonna11146</t>
  </si>
  <si>
    <t>Kolonna11147</t>
  </si>
  <si>
    <t>Kolonna11148</t>
  </si>
  <si>
    <t>Kolonna11149</t>
  </si>
  <si>
    <t>Kolonna11150</t>
  </si>
  <si>
    <t>Kolonna11151</t>
  </si>
  <si>
    <t>Kolonna11152</t>
  </si>
  <si>
    <t>Kolonna11153</t>
  </si>
  <si>
    <t>Kolonna11154</t>
  </si>
  <si>
    <t>Kolonna11155</t>
  </si>
  <si>
    <t>Kolonna11156</t>
  </si>
  <si>
    <t>Kolonna11157</t>
  </si>
  <si>
    <t>Kolonna11158</t>
  </si>
  <si>
    <t>Kolonna11159</t>
  </si>
  <si>
    <t>Kolonna11160</t>
  </si>
  <si>
    <t>Kolonna11161</t>
  </si>
  <si>
    <t>Kolonna11162</t>
  </si>
  <si>
    <t>Kolonna11163</t>
  </si>
  <si>
    <t>Kolonna11164</t>
  </si>
  <si>
    <t>Kolonna11165</t>
  </si>
  <si>
    <t>Kolonna11166</t>
  </si>
  <si>
    <t>Kolonna11167</t>
  </si>
  <si>
    <t>Kolonna11168</t>
  </si>
  <si>
    <t>Kolonna11169</t>
  </si>
  <si>
    <t>Kolonna11170</t>
  </si>
  <si>
    <t>Kolonna11171</t>
  </si>
  <si>
    <t>Kolonna11172</t>
  </si>
  <si>
    <t>Kolonna11173</t>
  </si>
  <si>
    <t>Kolonna11174</t>
  </si>
  <si>
    <t>Kolonna11175</t>
  </si>
  <si>
    <t>Kolonna11176</t>
  </si>
  <si>
    <t>Kolonna11177</t>
  </si>
  <si>
    <t>Kolonna11178</t>
  </si>
  <si>
    <t>Kolonna11179</t>
  </si>
  <si>
    <t>Kolonna11180</t>
  </si>
  <si>
    <t>Kolonna11181</t>
  </si>
  <si>
    <t>Kolonna11182</t>
  </si>
  <si>
    <t>Kolonna11183</t>
  </si>
  <si>
    <t>Kolonna11184</t>
  </si>
  <si>
    <t>Kolonna11185</t>
  </si>
  <si>
    <t>Kolonna11186</t>
  </si>
  <si>
    <t>Kolonna11187</t>
  </si>
  <si>
    <t>Kolonna11188</t>
  </si>
  <si>
    <t>Kolonna11189</t>
  </si>
  <si>
    <t>Kolonna11190</t>
  </si>
  <si>
    <t>Kolonna11191</t>
  </si>
  <si>
    <t>Kolonna11192</t>
  </si>
  <si>
    <t>Kolonna11193</t>
  </si>
  <si>
    <t>Kolonna11194</t>
  </si>
  <si>
    <t>Kolonna11195</t>
  </si>
  <si>
    <t>Kolonna11196</t>
  </si>
  <si>
    <t>Kolonna11197</t>
  </si>
  <si>
    <t>Kolonna11198</t>
  </si>
  <si>
    <t>Kolonna11199</t>
  </si>
  <si>
    <t>Kolonna11200</t>
  </si>
  <si>
    <t>Kolonna11201</t>
  </si>
  <si>
    <t>Kolonna11202</t>
  </si>
  <si>
    <t>Kolonna11203</t>
  </si>
  <si>
    <t>Kolonna11204</t>
  </si>
  <si>
    <t>Kolonna11205</t>
  </si>
  <si>
    <t>Kolonna11206</t>
  </si>
  <si>
    <t>Kolonna11207</t>
  </si>
  <si>
    <t>Kolonna11208</t>
  </si>
  <si>
    <t>Kolonna11209</t>
  </si>
  <si>
    <t>Kolonna11210</t>
  </si>
  <si>
    <t>Kolonna11211</t>
  </si>
  <si>
    <t>Kolonna11212</t>
  </si>
  <si>
    <t>Kolonna11213</t>
  </si>
  <si>
    <t>Kolonna11214</t>
  </si>
  <si>
    <t>Kolonna11215</t>
  </si>
  <si>
    <t>Kolonna11216</t>
  </si>
  <si>
    <t>Kolonna11217</t>
  </si>
  <si>
    <t>Kolonna11218</t>
  </si>
  <si>
    <t>Kolonna11219</t>
  </si>
  <si>
    <t>Kolonna11220</t>
  </si>
  <si>
    <t>Kolonna11221</t>
  </si>
  <si>
    <t>Kolonna11222</t>
  </si>
  <si>
    <t>Kolonna11223</t>
  </si>
  <si>
    <t>Kolonna11224</t>
  </si>
  <si>
    <t>Kolonna11225</t>
  </si>
  <si>
    <t>Kolonna11226</t>
  </si>
  <si>
    <t>Kolonna11227</t>
  </si>
  <si>
    <t>Kolonna11228</t>
  </si>
  <si>
    <t>Kolonna11229</t>
  </si>
  <si>
    <t>Kolonna11230</t>
  </si>
  <si>
    <t>Kolonna11231</t>
  </si>
  <si>
    <t>Kolonna11232</t>
  </si>
  <si>
    <t>Kolonna11233</t>
  </si>
  <si>
    <t>Kolonna11234</t>
  </si>
  <si>
    <t>Kolonna11235</t>
  </si>
  <si>
    <t>Kolonna11236</t>
  </si>
  <si>
    <t>Kolonna11237</t>
  </si>
  <si>
    <t>Kolonna11238</t>
  </si>
  <si>
    <t>Kolonna11239</t>
  </si>
  <si>
    <t>Kolonna11240</t>
  </si>
  <si>
    <t>Kolonna11241</t>
  </si>
  <si>
    <t>Kolonna11242</t>
  </si>
  <si>
    <t>Kolonna11243</t>
  </si>
  <si>
    <t>Kolonna11244</t>
  </si>
  <si>
    <t>Kolonna11245</t>
  </si>
  <si>
    <t>Kolonna11246</t>
  </si>
  <si>
    <t>Kolonna11247</t>
  </si>
  <si>
    <t>Kolonna11248</t>
  </si>
  <si>
    <t>Kolonna11249</t>
  </si>
  <si>
    <t>Kolonna11250</t>
  </si>
  <si>
    <t>Kolonna11251</t>
  </si>
  <si>
    <t>Kolonna11252</t>
  </si>
  <si>
    <t>Kolonna11253</t>
  </si>
  <si>
    <t>Kolonna11254</t>
  </si>
  <si>
    <t>Kolonna11255</t>
  </si>
  <si>
    <t>Kolonna11256</t>
  </si>
  <si>
    <t>Kolonna11257</t>
  </si>
  <si>
    <t>Kolonna11258</t>
  </si>
  <si>
    <t>Kolonna11259</t>
  </si>
  <si>
    <t>Kolonna11260</t>
  </si>
  <si>
    <t>Kolonna11261</t>
  </si>
  <si>
    <t>Kolonna11262</t>
  </si>
  <si>
    <t>Kolonna11263</t>
  </si>
  <si>
    <t>Kolonna11264</t>
  </si>
  <si>
    <t>Kolonna11265</t>
  </si>
  <si>
    <t>Kolonna11266</t>
  </si>
  <si>
    <t>Kolonna11267</t>
  </si>
  <si>
    <t>Kolonna11268</t>
  </si>
  <si>
    <t>Kolonna11269</t>
  </si>
  <si>
    <t>Kolonna11270</t>
  </si>
  <si>
    <t>Kolonna11271</t>
  </si>
  <si>
    <t>Kolonna11272</t>
  </si>
  <si>
    <t>Kolonna11273</t>
  </si>
  <si>
    <t>Kolonna11274</t>
  </si>
  <si>
    <t>Kolonna11275</t>
  </si>
  <si>
    <t>Kolonna11276</t>
  </si>
  <si>
    <t>Kolonna11277</t>
  </si>
  <si>
    <t>Kolonna11278</t>
  </si>
  <si>
    <t>Kolonna11279</t>
  </si>
  <si>
    <t>Kolonna11280</t>
  </si>
  <si>
    <t>Kolonna11281</t>
  </si>
  <si>
    <t>Kolonna11282</t>
  </si>
  <si>
    <t>Kolonna11283</t>
  </si>
  <si>
    <t>Kolonna11284</t>
  </si>
  <si>
    <t>Kolonna11285</t>
  </si>
  <si>
    <t>Kolonna11286</t>
  </si>
  <si>
    <t>Kolonna11287</t>
  </si>
  <si>
    <t>Kolonna11288</t>
  </si>
  <si>
    <t>Kolonna11289</t>
  </si>
  <si>
    <t>Kolonna11290</t>
  </si>
  <si>
    <t>Kolonna11291</t>
  </si>
  <si>
    <t>Kolonna11292</t>
  </si>
  <si>
    <t>Kolonna11293</t>
  </si>
  <si>
    <t>Kolonna11294</t>
  </si>
  <si>
    <t>Kolonna11295</t>
  </si>
  <si>
    <t>Kolonna11296</t>
  </si>
  <si>
    <t>Kolonna11297</t>
  </si>
  <si>
    <t>Kolonna11298</t>
  </si>
  <si>
    <t>Kolonna11299</t>
  </si>
  <si>
    <t>Kolonna11300</t>
  </si>
  <si>
    <t>Kolonna11301</t>
  </si>
  <si>
    <t>Kolonna11302</t>
  </si>
  <si>
    <t>Kolonna11303</t>
  </si>
  <si>
    <t>Kolonna11304</t>
  </si>
  <si>
    <t>Kolonna11305</t>
  </si>
  <si>
    <t>Kolonna11306</t>
  </si>
  <si>
    <t>Kolonna11307</t>
  </si>
  <si>
    <t>Kolonna11308</t>
  </si>
  <si>
    <t>Kolonna11309</t>
  </si>
  <si>
    <t>Kolonna11310</t>
  </si>
  <si>
    <t>Kolonna11311</t>
  </si>
  <si>
    <t>Kolonna11312</t>
  </si>
  <si>
    <t>Kolonna11313</t>
  </si>
  <si>
    <t>Kolonna11314</t>
  </si>
  <si>
    <t>Kolonna11315</t>
  </si>
  <si>
    <t>Kolonna11316</t>
  </si>
  <si>
    <t>Kolonna11317</t>
  </si>
  <si>
    <t>Kolonna11318</t>
  </si>
  <si>
    <t>Kolonna11319</t>
  </si>
  <si>
    <t>Kolonna11320</t>
  </si>
  <si>
    <t>Kolonna11321</t>
  </si>
  <si>
    <t>Kolonna11322</t>
  </si>
  <si>
    <t>Kolonna11323</t>
  </si>
  <si>
    <t>Kolonna11324</t>
  </si>
  <si>
    <t>Kolonna11325</t>
  </si>
  <si>
    <t>Kolonna11326</t>
  </si>
  <si>
    <t>Kolonna11327</t>
  </si>
  <si>
    <t>Kolonna11328</t>
  </si>
  <si>
    <t>Kolonna11329</t>
  </si>
  <si>
    <t>Kolonna11330</t>
  </si>
  <si>
    <t>Kolonna11331</t>
  </si>
  <si>
    <t>Kolonna11332</t>
  </si>
  <si>
    <t>Kolonna11333</t>
  </si>
  <si>
    <t>Kolonna11334</t>
  </si>
  <si>
    <t>Kolonna11335</t>
  </si>
  <si>
    <t>Kolonna11336</t>
  </si>
  <si>
    <t>Kolonna11337</t>
  </si>
  <si>
    <t>Kolonna11338</t>
  </si>
  <si>
    <t>Kolonna11339</t>
  </si>
  <si>
    <t>Kolonna11340</t>
  </si>
  <si>
    <t>Kolonna11341</t>
  </si>
  <si>
    <t>Kolonna11342</t>
  </si>
  <si>
    <t>Kolonna11343</t>
  </si>
  <si>
    <t>Kolonna11344</t>
  </si>
  <si>
    <t>Kolonna11345</t>
  </si>
  <si>
    <t>Kolonna11346</t>
  </si>
  <si>
    <t>Kolonna11347</t>
  </si>
  <si>
    <t>Kolonna11348</t>
  </si>
  <si>
    <t>Kolonna11349</t>
  </si>
  <si>
    <t>Kolonna11350</t>
  </si>
  <si>
    <t>Kolonna11351</t>
  </si>
  <si>
    <t>Kolonna11352</t>
  </si>
  <si>
    <t>Kolonna11353</t>
  </si>
  <si>
    <t>Kolonna11354</t>
  </si>
  <si>
    <t>Kolonna11355</t>
  </si>
  <si>
    <t>Kolonna11356</t>
  </si>
  <si>
    <t>Kolonna11357</t>
  </si>
  <si>
    <t>Kolonna11358</t>
  </si>
  <si>
    <t>Kolonna11359</t>
  </si>
  <si>
    <t>Kolonna11360</t>
  </si>
  <si>
    <t>Kolonna11361</t>
  </si>
  <si>
    <t>Kolonna11362</t>
  </si>
  <si>
    <t>Kolonna11363</t>
  </si>
  <si>
    <t>Kolonna11364</t>
  </si>
  <si>
    <t>Kolonna11365</t>
  </si>
  <si>
    <t>Kolonna11366</t>
  </si>
  <si>
    <t>Kolonna11367</t>
  </si>
  <si>
    <t>Kolonna11368</t>
  </si>
  <si>
    <t>Kolonna11369</t>
  </si>
  <si>
    <t>Kolonna11370</t>
  </si>
  <si>
    <t>Kolonna11371</t>
  </si>
  <si>
    <t>Kolonna11372</t>
  </si>
  <si>
    <t>Kolonna11373</t>
  </si>
  <si>
    <t>Kolonna11374</t>
  </si>
  <si>
    <t>Kolonna11375</t>
  </si>
  <si>
    <t>Kolonna11376</t>
  </si>
  <si>
    <t>Kolonna11377</t>
  </si>
  <si>
    <t>Kolonna11378</t>
  </si>
  <si>
    <t>Kolonna11379</t>
  </si>
  <si>
    <t>Kolonna11380</t>
  </si>
  <si>
    <t>Kolonna11381</t>
  </si>
  <si>
    <t>Kolonna11382</t>
  </si>
  <si>
    <t>Kolonna11383</t>
  </si>
  <si>
    <t>Kolonna11384</t>
  </si>
  <si>
    <t>Kolonna11385</t>
  </si>
  <si>
    <t>Kolonna11386</t>
  </si>
  <si>
    <t>Kolonna11387</t>
  </si>
  <si>
    <t>Kolonna11388</t>
  </si>
  <si>
    <t>Kolonna11389</t>
  </si>
  <si>
    <t>Kolonna11390</t>
  </si>
  <si>
    <t>Kolonna11391</t>
  </si>
  <si>
    <t>Kolonna11392</t>
  </si>
  <si>
    <t>Kolonna11393</t>
  </si>
  <si>
    <t>Kolonna11394</t>
  </si>
  <si>
    <t>Kolonna11395</t>
  </si>
  <si>
    <t>Kolonna11396</t>
  </si>
  <si>
    <t>Kolonna11397</t>
  </si>
  <si>
    <t>Kolonna11398</t>
  </si>
  <si>
    <t>Kolonna11399</t>
  </si>
  <si>
    <t>Kolonna11400</t>
  </si>
  <si>
    <t>Kolonna11401</t>
  </si>
  <si>
    <t>Kolonna11402</t>
  </si>
  <si>
    <t>Kolonna11403</t>
  </si>
  <si>
    <t>Kolonna11404</t>
  </si>
  <si>
    <t>Kolonna11405</t>
  </si>
  <si>
    <t>Kolonna11406</t>
  </si>
  <si>
    <t>Kolonna11407</t>
  </si>
  <si>
    <t>Kolonna11408</t>
  </si>
  <si>
    <t>Kolonna11409</t>
  </si>
  <si>
    <t>Kolonna11410</t>
  </si>
  <si>
    <t>Kolonna11411</t>
  </si>
  <si>
    <t>Kolonna11412</t>
  </si>
  <si>
    <t>Kolonna11413</t>
  </si>
  <si>
    <t>Kolonna11414</t>
  </si>
  <si>
    <t>Kolonna11415</t>
  </si>
  <si>
    <t>Kolonna11416</t>
  </si>
  <si>
    <t>Kolonna11417</t>
  </si>
  <si>
    <t>Kolonna11418</t>
  </si>
  <si>
    <t>Kolonna11419</t>
  </si>
  <si>
    <t>Kolonna11420</t>
  </si>
  <si>
    <t>Kolonna11421</t>
  </si>
  <si>
    <t>Kolonna11422</t>
  </si>
  <si>
    <t>Kolonna11423</t>
  </si>
  <si>
    <t>Kolonna11424</t>
  </si>
  <si>
    <t>Kolonna11425</t>
  </si>
  <si>
    <t>Kolonna11426</t>
  </si>
  <si>
    <t>Kolonna11427</t>
  </si>
  <si>
    <t>Kolonna11428</t>
  </si>
  <si>
    <t>Kolonna11429</t>
  </si>
  <si>
    <t>Kolonna11430</t>
  </si>
  <si>
    <t>Kolonna11431</t>
  </si>
  <si>
    <t>Kolonna11432</t>
  </si>
  <si>
    <t>Kolonna11433</t>
  </si>
  <si>
    <t>Kolonna11434</t>
  </si>
  <si>
    <t>Kolonna11435</t>
  </si>
  <si>
    <t>Kolonna11436</t>
  </si>
  <si>
    <t>Kolonna11437</t>
  </si>
  <si>
    <t>Kolonna11438</t>
  </si>
  <si>
    <t>Kolonna11439</t>
  </si>
  <si>
    <t>Kolonna11440</t>
  </si>
  <si>
    <t>Kolonna11441</t>
  </si>
  <si>
    <t>Kolonna11442</t>
  </si>
  <si>
    <t>Kolonna11443</t>
  </si>
  <si>
    <t>Kolonna11444</t>
  </si>
  <si>
    <t>Kolonna11445</t>
  </si>
  <si>
    <t>Kolonna11446</t>
  </si>
  <si>
    <t>Kolonna11447</t>
  </si>
  <si>
    <t>Kolonna11448</t>
  </si>
  <si>
    <t>Kolonna11449</t>
  </si>
  <si>
    <t>Kolonna11450</t>
  </si>
  <si>
    <t>Kolonna11451</t>
  </si>
  <si>
    <t>Kolonna11452</t>
  </si>
  <si>
    <t>Kolonna11453</t>
  </si>
  <si>
    <t>Kolonna11454</t>
  </si>
  <si>
    <t>Kolonna11455</t>
  </si>
  <si>
    <t>Kolonna11456</t>
  </si>
  <si>
    <t>Kolonna11457</t>
  </si>
  <si>
    <t>Kolonna11458</t>
  </si>
  <si>
    <t>Kolonna11459</t>
  </si>
  <si>
    <t>Kolonna11460</t>
  </si>
  <si>
    <t>Kolonna11461</t>
  </si>
  <si>
    <t>Kolonna11462</t>
  </si>
  <si>
    <t>Kolonna11463</t>
  </si>
  <si>
    <t>Kolonna11464</t>
  </si>
  <si>
    <t>Kolonna11465</t>
  </si>
  <si>
    <t>Kolonna11466</t>
  </si>
  <si>
    <t>Kolonna11467</t>
  </si>
  <si>
    <t>Kolonna11468</t>
  </si>
  <si>
    <t>Kolonna11469</t>
  </si>
  <si>
    <t>Kolonna11470</t>
  </si>
  <si>
    <t>Kolonna11471</t>
  </si>
  <si>
    <t>Kolonna11472</t>
  </si>
  <si>
    <t>Kolonna11473</t>
  </si>
  <si>
    <t>Kolonna11474</t>
  </si>
  <si>
    <t>Kolonna11475</t>
  </si>
  <si>
    <t>Kolonna11476</t>
  </si>
  <si>
    <t>Kolonna11477</t>
  </si>
  <si>
    <t>Kolonna11478</t>
  </si>
  <si>
    <t>Kolonna11479</t>
  </si>
  <si>
    <t>Kolonna11480</t>
  </si>
  <si>
    <t>Kolonna11481</t>
  </si>
  <si>
    <t>Kolonna11482</t>
  </si>
  <si>
    <t>Kolonna11483</t>
  </si>
  <si>
    <t>Kolonna11484</t>
  </si>
  <si>
    <t>Kolonna11485</t>
  </si>
  <si>
    <t>Kolonna11486</t>
  </si>
  <si>
    <t>Kolonna11487</t>
  </si>
  <si>
    <t>Kolonna11488</t>
  </si>
  <si>
    <t>Kolonna11489</t>
  </si>
  <si>
    <t>Kolonna11490</t>
  </si>
  <si>
    <t>Kolonna11491</t>
  </si>
  <si>
    <t>Kolonna11492</t>
  </si>
  <si>
    <t>Kolonna11493</t>
  </si>
  <si>
    <t>Kolonna11494</t>
  </si>
  <si>
    <t>Kolonna11495</t>
  </si>
  <si>
    <t>Kolonna11496</t>
  </si>
  <si>
    <t>Kolonna11497</t>
  </si>
  <si>
    <t>Kolonna11498</t>
  </si>
  <si>
    <t>Kolonna11499</t>
  </si>
  <si>
    <t>Kolonna11500</t>
  </si>
  <si>
    <t>Kolonna11501</t>
  </si>
  <si>
    <t>Kolonna11502</t>
  </si>
  <si>
    <t>Kolonna11503</t>
  </si>
  <si>
    <t>Kolonna11504</t>
  </si>
  <si>
    <t>Kolonna11505</t>
  </si>
  <si>
    <t>Kolonna11506</t>
  </si>
  <si>
    <t>Kolonna11507</t>
  </si>
  <si>
    <t>Kolonna11508</t>
  </si>
  <si>
    <t>Kolonna11509</t>
  </si>
  <si>
    <t>Kolonna11510</t>
  </si>
  <si>
    <t>Kolonna11511</t>
  </si>
  <si>
    <t>Kolonna11512</t>
  </si>
  <si>
    <t>Kolonna11513</t>
  </si>
  <si>
    <t>Kolonna11514</t>
  </si>
  <si>
    <t>Kolonna11515</t>
  </si>
  <si>
    <t>Kolonna11516</t>
  </si>
  <si>
    <t>Kolonna11517</t>
  </si>
  <si>
    <t>Kolonna11518</t>
  </si>
  <si>
    <t>Kolonna11519</t>
  </si>
  <si>
    <t>Kolonna11520</t>
  </si>
  <si>
    <t>Kolonna11521</t>
  </si>
  <si>
    <t>Kolonna11522</t>
  </si>
  <si>
    <t>Kolonna11523</t>
  </si>
  <si>
    <t>Kolonna11524</t>
  </si>
  <si>
    <t>Kolonna11525</t>
  </si>
  <si>
    <t>Kolonna11526</t>
  </si>
  <si>
    <t>Kolonna11527</t>
  </si>
  <si>
    <t>Kolonna11528</t>
  </si>
  <si>
    <t>Kolonna11529</t>
  </si>
  <si>
    <t>Kolonna11530</t>
  </si>
  <si>
    <t>Kolonna11531</t>
  </si>
  <si>
    <t>Kolonna11532</t>
  </si>
  <si>
    <t>Kolonna11533</t>
  </si>
  <si>
    <t>Kolonna11534</t>
  </si>
  <si>
    <t>Kolonna11535</t>
  </si>
  <si>
    <t>Kolonna11536</t>
  </si>
  <si>
    <t>Kolonna11537</t>
  </si>
  <si>
    <t>Kolonna11538</t>
  </si>
  <si>
    <t>Kolonna11539</t>
  </si>
  <si>
    <t>Kolonna11540</t>
  </si>
  <si>
    <t>Kolonna11541</t>
  </si>
  <si>
    <t>Kolonna11542</t>
  </si>
  <si>
    <t>Kolonna11543</t>
  </si>
  <si>
    <t>Kolonna11544</t>
  </si>
  <si>
    <t>Kolonna11545</t>
  </si>
  <si>
    <t>Kolonna11546</t>
  </si>
  <si>
    <t>Kolonna11547</t>
  </si>
  <si>
    <t>Kolonna11548</t>
  </si>
  <si>
    <t>Kolonna11549</t>
  </si>
  <si>
    <t>Kolonna11550</t>
  </si>
  <si>
    <t>Kolonna11551</t>
  </si>
  <si>
    <t>Kolonna11552</t>
  </si>
  <si>
    <t>Kolonna11553</t>
  </si>
  <si>
    <t>Kolonna11554</t>
  </si>
  <si>
    <t>Kolonna11555</t>
  </si>
  <si>
    <t>Kolonna11556</t>
  </si>
  <si>
    <t>Kolonna11557</t>
  </si>
  <si>
    <t>Kolonna11558</t>
  </si>
  <si>
    <t>Kolonna11559</t>
  </si>
  <si>
    <t>Kolonna11560</t>
  </si>
  <si>
    <t>Kolonna11561</t>
  </si>
  <si>
    <t>Kolonna11562</t>
  </si>
  <si>
    <t>Kolonna11563</t>
  </si>
  <si>
    <t>Kolonna11564</t>
  </si>
  <si>
    <t>Kolonna11565</t>
  </si>
  <si>
    <t>Kolonna11566</t>
  </si>
  <si>
    <t>Kolonna11567</t>
  </si>
  <si>
    <t>Kolonna11568</t>
  </si>
  <si>
    <t>Kolonna11569</t>
  </si>
  <si>
    <t>Kolonna11570</t>
  </si>
  <si>
    <t>Kolonna11571</t>
  </si>
  <si>
    <t>Kolonna11572</t>
  </si>
  <si>
    <t>Kolonna11573</t>
  </si>
  <si>
    <t>Kolonna11574</t>
  </si>
  <si>
    <t>Kolonna11575</t>
  </si>
  <si>
    <t>Kolonna11576</t>
  </si>
  <si>
    <t>Kolonna11577</t>
  </si>
  <si>
    <t>Kolonna11578</t>
  </si>
  <si>
    <t>Kolonna11579</t>
  </si>
  <si>
    <t>Kolonna11580</t>
  </si>
  <si>
    <t>Kolonna11581</t>
  </si>
  <si>
    <t>Kolonna11582</t>
  </si>
  <si>
    <t>Kolonna11583</t>
  </si>
  <si>
    <t>Kolonna11584</t>
  </si>
  <si>
    <t>Kolonna11585</t>
  </si>
  <si>
    <t>Kolonna11586</t>
  </si>
  <si>
    <t>Kolonna11587</t>
  </si>
  <si>
    <t>Kolonna11588</t>
  </si>
  <si>
    <t>Kolonna11589</t>
  </si>
  <si>
    <t>Kolonna11590</t>
  </si>
  <si>
    <t>Kolonna11591</t>
  </si>
  <si>
    <t>Kolonna11592</t>
  </si>
  <si>
    <t>Kolonna11593</t>
  </si>
  <si>
    <t>Kolonna11594</t>
  </si>
  <si>
    <t>Kolonna11595</t>
  </si>
  <si>
    <t>Kolonna11596</t>
  </si>
  <si>
    <t>Kolonna11597</t>
  </si>
  <si>
    <t>Kolonna11598</t>
  </si>
  <si>
    <t>Kolonna11599</t>
  </si>
  <si>
    <t>Kolonna11600</t>
  </si>
  <si>
    <t>Kolonna11601</t>
  </si>
  <si>
    <t>Kolonna11602</t>
  </si>
  <si>
    <t>Kolonna11603</t>
  </si>
  <si>
    <t>Kolonna11604</t>
  </si>
  <si>
    <t>Kolonna11605</t>
  </si>
  <si>
    <t>Kolonna11606</t>
  </si>
  <si>
    <t>Kolonna11607</t>
  </si>
  <si>
    <t>Kolonna11608</t>
  </si>
  <si>
    <t>Kolonna11609</t>
  </si>
  <si>
    <t>Kolonna11610</t>
  </si>
  <si>
    <t>Kolonna11611</t>
  </si>
  <si>
    <t>Kolonna11612</t>
  </si>
  <si>
    <t>Kolonna11613</t>
  </si>
  <si>
    <t>Kolonna11614</t>
  </si>
  <si>
    <t>Kolonna11615</t>
  </si>
  <si>
    <t>Kolonna11616</t>
  </si>
  <si>
    <t>Kolonna11617</t>
  </si>
  <si>
    <t>Kolonna11618</t>
  </si>
  <si>
    <t>Kolonna11619</t>
  </si>
  <si>
    <t>Kolonna11620</t>
  </si>
  <si>
    <t>Kolonna11621</t>
  </si>
  <si>
    <t>Kolonna11622</t>
  </si>
  <si>
    <t>Kolonna11623</t>
  </si>
  <si>
    <t>Kolonna11624</t>
  </si>
  <si>
    <t>Kolonna11625</t>
  </si>
  <si>
    <t>Kolonna11626</t>
  </si>
  <si>
    <t>Kolonna11627</t>
  </si>
  <si>
    <t>Kolonna11628</t>
  </si>
  <si>
    <t>Kolonna11629</t>
  </si>
  <si>
    <t>Kolonna11630</t>
  </si>
  <si>
    <t>Kolonna11631</t>
  </si>
  <si>
    <t>Kolonna11632</t>
  </si>
  <si>
    <t>Kolonna11633</t>
  </si>
  <si>
    <t>Kolonna11634</t>
  </si>
  <si>
    <t>Kolonna11635</t>
  </si>
  <si>
    <t>Kolonna11636</t>
  </si>
  <si>
    <t>Kolonna11637</t>
  </si>
  <si>
    <t>Kolonna11638</t>
  </si>
  <si>
    <t>Kolonna11639</t>
  </si>
  <si>
    <t>Kolonna11640</t>
  </si>
  <si>
    <t>Kolonna11641</t>
  </si>
  <si>
    <t>Kolonna11642</t>
  </si>
  <si>
    <t>Kolonna11643</t>
  </si>
  <si>
    <t>Kolonna11644</t>
  </si>
  <si>
    <t>Kolonna11645</t>
  </si>
  <si>
    <t>Kolonna11646</t>
  </si>
  <si>
    <t>Kolonna11647</t>
  </si>
  <si>
    <t>Kolonna11648</t>
  </si>
  <si>
    <t>Kolonna11649</t>
  </si>
  <si>
    <t>Kolonna11650</t>
  </si>
  <si>
    <t>Kolonna11651</t>
  </si>
  <si>
    <t>Kolonna11652</t>
  </si>
  <si>
    <t>Kolonna11653</t>
  </si>
  <si>
    <t>Kolonna11654</t>
  </si>
  <si>
    <t>Kolonna11655</t>
  </si>
  <si>
    <t>Kolonna11656</t>
  </si>
  <si>
    <t>Kolonna11657</t>
  </si>
  <si>
    <t>Kolonna11658</t>
  </si>
  <si>
    <t>Kolonna11659</t>
  </si>
  <si>
    <t>Kolonna11660</t>
  </si>
  <si>
    <t>Kolonna11661</t>
  </si>
  <si>
    <t>Kolonna11662</t>
  </si>
  <si>
    <t>Kolonna11663</t>
  </si>
  <si>
    <t>Kolonna11664</t>
  </si>
  <si>
    <t>Kolonna11665</t>
  </si>
  <si>
    <t>Kolonna11666</t>
  </si>
  <si>
    <t>Kolonna11667</t>
  </si>
  <si>
    <t>Kolonna11668</t>
  </si>
  <si>
    <t>Kolonna11669</t>
  </si>
  <si>
    <t>Kolonna11670</t>
  </si>
  <si>
    <t>Kolonna11671</t>
  </si>
  <si>
    <t>Kolonna11672</t>
  </si>
  <si>
    <t>Kolonna11673</t>
  </si>
  <si>
    <t>Kolonna11674</t>
  </si>
  <si>
    <t>Kolonna11675</t>
  </si>
  <si>
    <t>Kolonna11676</t>
  </si>
  <si>
    <t>Kolonna11677</t>
  </si>
  <si>
    <t>Kolonna11678</t>
  </si>
  <si>
    <t>Kolonna11679</t>
  </si>
  <si>
    <t>Kolonna11680</t>
  </si>
  <si>
    <t>Kolonna11681</t>
  </si>
  <si>
    <t>Kolonna11682</t>
  </si>
  <si>
    <t>Kolonna11683</t>
  </si>
  <si>
    <t>Kolonna11684</t>
  </si>
  <si>
    <t>Kolonna11685</t>
  </si>
  <si>
    <t>Kolonna11686</t>
  </si>
  <si>
    <t>Kolonna11687</t>
  </si>
  <si>
    <t>Kolonna11688</t>
  </si>
  <si>
    <t>Kolonna11689</t>
  </si>
  <si>
    <t>Kolonna11690</t>
  </si>
  <si>
    <t>Kolonna11691</t>
  </si>
  <si>
    <t>Kolonna11692</t>
  </si>
  <si>
    <t>Kolonna11693</t>
  </si>
  <si>
    <t>Kolonna11694</t>
  </si>
  <si>
    <t>Kolonna11695</t>
  </si>
  <si>
    <t>Kolonna11696</t>
  </si>
  <si>
    <t>Kolonna11697</t>
  </si>
  <si>
    <t>Kolonna11698</t>
  </si>
  <si>
    <t>Kolonna11699</t>
  </si>
  <si>
    <t>Kolonna11700</t>
  </si>
  <si>
    <t>Kolonna11701</t>
  </si>
  <si>
    <t>Kolonna11702</t>
  </si>
  <si>
    <t>Kolonna11703</t>
  </si>
  <si>
    <t>Kolonna11704</t>
  </si>
  <si>
    <t>Kolonna11705</t>
  </si>
  <si>
    <t>Kolonna11706</t>
  </si>
  <si>
    <t>Kolonna11707</t>
  </si>
  <si>
    <t>Kolonna11708</t>
  </si>
  <si>
    <t>Kolonna11709</t>
  </si>
  <si>
    <t>Kolonna11710</t>
  </si>
  <si>
    <t>Kolonna11711</t>
  </si>
  <si>
    <t>Kolonna11712</t>
  </si>
  <si>
    <t>Kolonna11713</t>
  </si>
  <si>
    <t>Kolonna11714</t>
  </si>
  <si>
    <t>Kolonna11715</t>
  </si>
  <si>
    <t>Kolonna11716</t>
  </si>
  <si>
    <t>Kolonna11717</t>
  </si>
  <si>
    <t>Kolonna11718</t>
  </si>
  <si>
    <t>Kolonna11719</t>
  </si>
  <si>
    <t>Kolonna11720</t>
  </si>
  <si>
    <t>Kolonna11721</t>
  </si>
  <si>
    <t>Kolonna11722</t>
  </si>
  <si>
    <t>Kolonna11723</t>
  </si>
  <si>
    <t>Kolonna11724</t>
  </si>
  <si>
    <t>Kolonna11725</t>
  </si>
  <si>
    <t>Kolonna11726</t>
  </si>
  <si>
    <t>Kolonna11727</t>
  </si>
  <si>
    <t>Kolonna11728</t>
  </si>
  <si>
    <t>Kolonna11729</t>
  </si>
  <si>
    <t>Kolonna11730</t>
  </si>
  <si>
    <t>Kolonna11731</t>
  </si>
  <si>
    <t>Kolonna11732</t>
  </si>
  <si>
    <t>Kolonna11733</t>
  </si>
  <si>
    <t>Kolonna11734</t>
  </si>
  <si>
    <t>Kolonna11735</t>
  </si>
  <si>
    <t>Kolonna11736</t>
  </si>
  <si>
    <t>Kolonna11737</t>
  </si>
  <si>
    <t>Kolonna11738</t>
  </si>
  <si>
    <t>Kolonna11739</t>
  </si>
  <si>
    <t>Kolonna11740</t>
  </si>
  <si>
    <t>Kolonna11741</t>
  </si>
  <si>
    <t>Kolonna11742</t>
  </si>
  <si>
    <t>Kolonna11743</t>
  </si>
  <si>
    <t>Kolonna11744</t>
  </si>
  <si>
    <t>Kolonna11745</t>
  </si>
  <si>
    <t>Kolonna11746</t>
  </si>
  <si>
    <t>Kolonna11747</t>
  </si>
  <si>
    <t>Kolonna11748</t>
  </si>
  <si>
    <t>Kolonna11749</t>
  </si>
  <si>
    <t>Kolonna11750</t>
  </si>
  <si>
    <t>Kolonna11751</t>
  </si>
  <si>
    <t>Kolonna11752</t>
  </si>
  <si>
    <t>Kolonna11753</t>
  </si>
  <si>
    <t>Kolonna11754</t>
  </si>
  <si>
    <t>Kolonna11755</t>
  </si>
  <si>
    <t>Kolonna11756</t>
  </si>
  <si>
    <t>Kolonna11757</t>
  </si>
  <si>
    <t>Kolonna11758</t>
  </si>
  <si>
    <t>Kolonna11759</t>
  </si>
  <si>
    <t>Kolonna11760</t>
  </si>
  <si>
    <t>Kolonna11761</t>
  </si>
  <si>
    <t>Kolonna11762</t>
  </si>
  <si>
    <t>Kolonna11763</t>
  </si>
  <si>
    <t>Kolonna11764</t>
  </si>
  <si>
    <t>Kolonna11765</t>
  </si>
  <si>
    <t>Kolonna11766</t>
  </si>
  <si>
    <t>Kolonna11767</t>
  </si>
  <si>
    <t>Kolonna11768</t>
  </si>
  <si>
    <t>Kolonna11769</t>
  </si>
  <si>
    <t>Kolonna11770</t>
  </si>
  <si>
    <t>Kolonna11771</t>
  </si>
  <si>
    <t>Kolonna11772</t>
  </si>
  <si>
    <t>Kolonna11773</t>
  </si>
  <si>
    <t>Kolonna11774</t>
  </si>
  <si>
    <t>Kolonna11775</t>
  </si>
  <si>
    <t>Kolonna11776</t>
  </si>
  <si>
    <t>Kolonna11777</t>
  </si>
  <si>
    <t>Kolonna11778</t>
  </si>
  <si>
    <t>Kolonna11779</t>
  </si>
  <si>
    <t>Kolonna11780</t>
  </si>
  <si>
    <t>Kolonna11781</t>
  </si>
  <si>
    <t>Kolonna11782</t>
  </si>
  <si>
    <t>Kolonna11783</t>
  </si>
  <si>
    <t>Kolonna11784</t>
  </si>
  <si>
    <t>Kolonna11785</t>
  </si>
  <si>
    <t>Kolonna11786</t>
  </si>
  <si>
    <t>Kolonna11787</t>
  </si>
  <si>
    <t>Kolonna11788</t>
  </si>
  <si>
    <t>Kolonna11789</t>
  </si>
  <si>
    <t>Kolonna11790</t>
  </si>
  <si>
    <t>Kolonna11791</t>
  </si>
  <si>
    <t>Kolonna11792</t>
  </si>
  <si>
    <t>Kolonna11793</t>
  </si>
  <si>
    <t>Kolonna11794</t>
  </si>
  <si>
    <t>Kolonna11795</t>
  </si>
  <si>
    <t>Kolonna11796</t>
  </si>
  <si>
    <t>Kolonna11797</t>
  </si>
  <si>
    <t>Kolonna11798</t>
  </si>
  <si>
    <t>Kolonna11799</t>
  </si>
  <si>
    <t>Kolonna11800</t>
  </si>
  <si>
    <t>Kolonna11801</t>
  </si>
  <si>
    <t>Kolonna11802</t>
  </si>
  <si>
    <t>Kolonna11803</t>
  </si>
  <si>
    <t>Kolonna11804</t>
  </si>
  <si>
    <t>Kolonna11805</t>
  </si>
  <si>
    <t>Kolonna11806</t>
  </si>
  <si>
    <t>Kolonna11807</t>
  </si>
  <si>
    <t>Kolonna11808</t>
  </si>
  <si>
    <t>Kolonna11809</t>
  </si>
  <si>
    <t>Kolonna11810</t>
  </si>
  <si>
    <t>Kolonna11811</t>
  </si>
  <si>
    <t>Kolonna11812</t>
  </si>
  <si>
    <t>Kolonna11813</t>
  </si>
  <si>
    <t>Kolonna11814</t>
  </si>
  <si>
    <t>Kolonna11815</t>
  </si>
  <si>
    <t>Kolonna11816</t>
  </si>
  <si>
    <t>Kolonna11817</t>
  </si>
  <si>
    <t>Kolonna11818</t>
  </si>
  <si>
    <t>Kolonna11819</t>
  </si>
  <si>
    <t>Kolonna11820</t>
  </si>
  <si>
    <t>Kolonna11821</t>
  </si>
  <si>
    <t>Kolonna11822</t>
  </si>
  <si>
    <t>Kolonna11823</t>
  </si>
  <si>
    <t>Kolonna11824</t>
  </si>
  <si>
    <t>Kolonna11825</t>
  </si>
  <si>
    <t>Kolonna11826</t>
  </si>
  <si>
    <t>Kolonna11827</t>
  </si>
  <si>
    <t>Kolonna11828</t>
  </si>
  <si>
    <t>Kolonna11829</t>
  </si>
  <si>
    <t>Kolonna11830</t>
  </si>
  <si>
    <t>Kolonna11831</t>
  </si>
  <si>
    <t>Kolonna11832</t>
  </si>
  <si>
    <t>Kolonna11833</t>
  </si>
  <si>
    <t>Kolonna11834</t>
  </si>
  <si>
    <t>Kolonna11835</t>
  </si>
  <si>
    <t>Kolonna11836</t>
  </si>
  <si>
    <t>Kolonna11837</t>
  </si>
  <si>
    <t>Kolonna11838</t>
  </si>
  <si>
    <t>Kolonna11839</t>
  </si>
  <si>
    <t>Kolonna11840</t>
  </si>
  <si>
    <t>Kolonna11841</t>
  </si>
  <si>
    <t>Kolonna11842</t>
  </si>
  <si>
    <t>Kolonna11843</t>
  </si>
  <si>
    <t>Kolonna11844</t>
  </si>
  <si>
    <t>Kolonna11845</t>
  </si>
  <si>
    <t>Kolonna11846</t>
  </si>
  <si>
    <t>Kolonna11847</t>
  </si>
  <si>
    <t>Kolonna11848</t>
  </si>
  <si>
    <t>Kolonna11849</t>
  </si>
  <si>
    <t>Kolonna11850</t>
  </si>
  <si>
    <t>Kolonna11851</t>
  </si>
  <si>
    <t>Kolonna11852</t>
  </si>
  <si>
    <t>Kolonna11853</t>
  </si>
  <si>
    <t>Kolonna11854</t>
  </si>
  <si>
    <t>Kolonna11855</t>
  </si>
  <si>
    <t>Kolonna11856</t>
  </si>
  <si>
    <t>Kolonna11857</t>
  </si>
  <si>
    <t>Kolonna11858</t>
  </si>
  <si>
    <t>Kolonna11859</t>
  </si>
  <si>
    <t>Kolonna11860</t>
  </si>
  <si>
    <t>Kolonna11861</t>
  </si>
  <si>
    <t>Kolonna11862</t>
  </si>
  <si>
    <t>Kolonna11863</t>
  </si>
  <si>
    <t>Kolonna11864</t>
  </si>
  <si>
    <t>Kolonna11865</t>
  </si>
  <si>
    <t>Kolonna11866</t>
  </si>
  <si>
    <t>Kolonna11867</t>
  </si>
  <si>
    <t>Kolonna11868</t>
  </si>
  <si>
    <t>Kolonna11869</t>
  </si>
  <si>
    <t>Kolonna11870</t>
  </si>
  <si>
    <t>Kolonna11871</t>
  </si>
  <si>
    <t>Kolonna11872</t>
  </si>
  <si>
    <t>Kolonna11873</t>
  </si>
  <si>
    <t>Kolonna11874</t>
  </si>
  <si>
    <t>Kolonna11875</t>
  </si>
  <si>
    <t>Kolonna11876</t>
  </si>
  <si>
    <t>Kolonna11877</t>
  </si>
  <si>
    <t>Kolonna11878</t>
  </si>
  <si>
    <t>Kolonna11879</t>
  </si>
  <si>
    <t>Kolonna11880</t>
  </si>
  <si>
    <t>Kolonna11881</t>
  </si>
  <si>
    <t>Kolonna11882</t>
  </si>
  <si>
    <t>Kolonna11883</t>
  </si>
  <si>
    <t>Kolonna11884</t>
  </si>
  <si>
    <t>Kolonna11885</t>
  </si>
  <si>
    <t>Kolonna11886</t>
  </si>
  <si>
    <t>Kolonna11887</t>
  </si>
  <si>
    <t>Kolonna11888</t>
  </si>
  <si>
    <t>Kolonna11889</t>
  </si>
  <si>
    <t>Kolonna11890</t>
  </si>
  <si>
    <t>Kolonna11891</t>
  </si>
  <si>
    <t>Kolonna11892</t>
  </si>
  <si>
    <t>Kolonna11893</t>
  </si>
  <si>
    <t>Kolonna11894</t>
  </si>
  <si>
    <t>Kolonna11895</t>
  </si>
  <si>
    <t>Kolonna11896</t>
  </si>
  <si>
    <t>Kolonna11897</t>
  </si>
  <si>
    <t>Kolonna11898</t>
  </si>
  <si>
    <t>Kolonna11899</t>
  </si>
  <si>
    <t>Kolonna11900</t>
  </si>
  <si>
    <t>Kolonna11901</t>
  </si>
  <si>
    <t>Kolonna11902</t>
  </si>
  <si>
    <t>Kolonna11903</t>
  </si>
  <si>
    <t>Kolonna11904</t>
  </si>
  <si>
    <t>Kolonna11905</t>
  </si>
  <si>
    <t>Kolonna11906</t>
  </si>
  <si>
    <t>Kolonna11907</t>
  </si>
  <si>
    <t>Kolonna11908</t>
  </si>
  <si>
    <t>Kolonna11909</t>
  </si>
  <si>
    <t>Kolonna11910</t>
  </si>
  <si>
    <t>Kolonna11911</t>
  </si>
  <si>
    <t>Kolonna11912</t>
  </si>
  <si>
    <t>Kolonna11913</t>
  </si>
  <si>
    <t>Kolonna11914</t>
  </si>
  <si>
    <t>Kolonna11915</t>
  </si>
  <si>
    <t>Kolonna11916</t>
  </si>
  <si>
    <t>Kolonna11917</t>
  </si>
  <si>
    <t>Kolonna11918</t>
  </si>
  <si>
    <t>Kolonna11919</t>
  </si>
  <si>
    <t>Kolonna11920</t>
  </si>
  <si>
    <t>Kolonna11921</t>
  </si>
  <si>
    <t>Kolonna11922</t>
  </si>
  <si>
    <t>Kolonna11923</t>
  </si>
  <si>
    <t>Kolonna11924</t>
  </si>
  <si>
    <t>Kolonna11925</t>
  </si>
  <si>
    <t>Kolonna11926</t>
  </si>
  <si>
    <t>Kolonna11927</t>
  </si>
  <si>
    <t>Kolonna11928</t>
  </si>
  <si>
    <t>Kolonna11929</t>
  </si>
  <si>
    <t>Kolonna11930</t>
  </si>
  <si>
    <t>Kolonna11931</t>
  </si>
  <si>
    <t>Kolonna11932</t>
  </si>
  <si>
    <t>Kolonna11933</t>
  </si>
  <si>
    <t>Kolonna11934</t>
  </si>
  <si>
    <t>Kolonna11935</t>
  </si>
  <si>
    <t>Kolonna11936</t>
  </si>
  <si>
    <t>Kolonna11937</t>
  </si>
  <si>
    <t>Kolonna11938</t>
  </si>
  <si>
    <t>Kolonna11939</t>
  </si>
  <si>
    <t>Kolonna11940</t>
  </si>
  <si>
    <t>Kolonna11941</t>
  </si>
  <si>
    <t>Kolonna11942</t>
  </si>
  <si>
    <t>Kolonna11943</t>
  </si>
  <si>
    <t>Kolonna11944</t>
  </si>
  <si>
    <t>Kolonna11945</t>
  </si>
  <si>
    <t>Kolonna11946</t>
  </si>
  <si>
    <t>Kolonna11947</t>
  </si>
  <si>
    <t>Kolonna11948</t>
  </si>
  <si>
    <t>Kolonna11949</t>
  </si>
  <si>
    <t>Kolonna11950</t>
  </si>
  <si>
    <t>Kolonna11951</t>
  </si>
  <si>
    <t>Kolonna11952</t>
  </si>
  <si>
    <t>Kolonna11953</t>
  </si>
  <si>
    <t>Kolonna11954</t>
  </si>
  <si>
    <t>Kolonna11955</t>
  </si>
  <si>
    <t>Kolonna11956</t>
  </si>
  <si>
    <t>Kolonna11957</t>
  </si>
  <si>
    <t>Kolonna11958</t>
  </si>
  <si>
    <t>Kolonna11959</t>
  </si>
  <si>
    <t>Kolonna11960</t>
  </si>
  <si>
    <t>Kolonna11961</t>
  </si>
  <si>
    <t>Kolonna11962</t>
  </si>
  <si>
    <t>Kolonna11963</t>
  </si>
  <si>
    <t>Kolonna11964</t>
  </si>
  <si>
    <t>Kolonna11965</t>
  </si>
  <si>
    <t>Kolonna11966</t>
  </si>
  <si>
    <t>Kolonna11967</t>
  </si>
  <si>
    <t>Kolonna11968</t>
  </si>
  <si>
    <t>Kolonna11969</t>
  </si>
  <si>
    <t>Kolonna11970</t>
  </si>
  <si>
    <t>Kolonna11971</t>
  </si>
  <si>
    <t>Kolonna11972</t>
  </si>
  <si>
    <t>Kolonna11973</t>
  </si>
  <si>
    <t>Kolonna11974</t>
  </si>
  <si>
    <t>Kolonna11975</t>
  </si>
  <si>
    <t>Kolonna11976</t>
  </si>
  <si>
    <t>Kolonna11977</t>
  </si>
  <si>
    <t>Kolonna11978</t>
  </si>
  <si>
    <t>Kolonna11979</t>
  </si>
  <si>
    <t>Kolonna11980</t>
  </si>
  <si>
    <t>Kolonna11981</t>
  </si>
  <si>
    <t>Kolonna11982</t>
  </si>
  <si>
    <t>Kolonna11983</t>
  </si>
  <si>
    <t>Kolonna11984</t>
  </si>
  <si>
    <t>Kolonna11985</t>
  </si>
  <si>
    <t>Kolonna11986</t>
  </si>
  <si>
    <t>Kolonna11987</t>
  </si>
  <si>
    <t>Kolonna11988</t>
  </si>
  <si>
    <t>Kolonna11989</t>
  </si>
  <si>
    <t>Kolonna11990</t>
  </si>
  <si>
    <t>Kolonna11991</t>
  </si>
  <si>
    <t>Kolonna11992</t>
  </si>
  <si>
    <t>Kolonna11993</t>
  </si>
  <si>
    <t>Kolonna11994</t>
  </si>
  <si>
    <t>Kolonna11995</t>
  </si>
  <si>
    <t>Kolonna11996</t>
  </si>
  <si>
    <t>Kolonna11997</t>
  </si>
  <si>
    <t>Kolonna11998</t>
  </si>
  <si>
    <t>Kolonna11999</t>
  </si>
  <si>
    <t>Kolonna12000</t>
  </si>
  <si>
    <t>Kolonna12001</t>
  </si>
  <si>
    <t>Kolonna12002</t>
  </si>
  <si>
    <t>Kolonna12003</t>
  </si>
  <si>
    <t>Kolonna12004</t>
  </si>
  <si>
    <t>Kolonna12005</t>
  </si>
  <si>
    <t>Kolonna12006</t>
  </si>
  <si>
    <t>Kolonna12007</t>
  </si>
  <si>
    <t>Kolonna12008</t>
  </si>
  <si>
    <t>Kolonna12009</t>
  </si>
  <si>
    <t>Kolonna12010</t>
  </si>
  <si>
    <t>Kolonna12011</t>
  </si>
  <si>
    <t>Kolonna12012</t>
  </si>
  <si>
    <t>Kolonna12013</t>
  </si>
  <si>
    <t>Kolonna12014</t>
  </si>
  <si>
    <t>Kolonna12015</t>
  </si>
  <si>
    <t>Kolonna12016</t>
  </si>
  <si>
    <t>Kolonna12017</t>
  </si>
  <si>
    <t>Kolonna12018</t>
  </si>
  <si>
    <t>Kolonna12019</t>
  </si>
  <si>
    <t>Kolonna12020</t>
  </si>
  <si>
    <t>Kolonna12021</t>
  </si>
  <si>
    <t>Kolonna12022</t>
  </si>
  <si>
    <t>Kolonna12023</t>
  </si>
  <si>
    <t>Kolonna12024</t>
  </si>
  <si>
    <t>Kolonna12025</t>
  </si>
  <si>
    <t>Kolonna12026</t>
  </si>
  <si>
    <t>Kolonna12027</t>
  </si>
  <si>
    <t>Kolonna12028</t>
  </si>
  <si>
    <t>Kolonna12029</t>
  </si>
  <si>
    <t>Kolonna12030</t>
  </si>
  <si>
    <t>Kolonna12031</t>
  </si>
  <si>
    <t>Kolonna12032</t>
  </si>
  <si>
    <t>Kolonna12033</t>
  </si>
  <si>
    <t>Kolonna12034</t>
  </si>
  <si>
    <t>Kolonna12035</t>
  </si>
  <si>
    <t>Kolonna12036</t>
  </si>
  <si>
    <t>Kolonna12037</t>
  </si>
  <si>
    <t>Kolonna12038</t>
  </si>
  <si>
    <t>Kolonna12039</t>
  </si>
  <si>
    <t>Kolonna12040</t>
  </si>
  <si>
    <t>Kolonna12041</t>
  </si>
  <si>
    <t>Kolonna12042</t>
  </si>
  <si>
    <t>Kolonna12043</t>
  </si>
  <si>
    <t>Kolonna12044</t>
  </si>
  <si>
    <t>Kolonna12045</t>
  </si>
  <si>
    <t>Kolonna12046</t>
  </si>
  <si>
    <t>Kolonna12047</t>
  </si>
  <si>
    <t>Kolonna12048</t>
  </si>
  <si>
    <t>Kolonna12049</t>
  </si>
  <si>
    <t>Kolonna12050</t>
  </si>
  <si>
    <t>Kolonna12051</t>
  </si>
  <si>
    <t>Kolonna12052</t>
  </si>
  <si>
    <t>Kolonna12053</t>
  </si>
  <si>
    <t>Kolonna12054</t>
  </si>
  <si>
    <t>Kolonna12055</t>
  </si>
  <si>
    <t>Kolonna12056</t>
  </si>
  <si>
    <t>Kolonna12057</t>
  </si>
  <si>
    <t>Kolonna12058</t>
  </si>
  <si>
    <t>Kolonna12059</t>
  </si>
  <si>
    <t>Kolonna12060</t>
  </si>
  <si>
    <t>Kolonna12061</t>
  </si>
  <si>
    <t>Kolonna12062</t>
  </si>
  <si>
    <t>Kolonna12063</t>
  </si>
  <si>
    <t>Kolonna12064</t>
  </si>
  <si>
    <t>Kolonna12065</t>
  </si>
  <si>
    <t>Kolonna12066</t>
  </si>
  <si>
    <t>Kolonna12067</t>
  </si>
  <si>
    <t>Kolonna12068</t>
  </si>
  <si>
    <t>Kolonna12069</t>
  </si>
  <si>
    <t>Kolonna12070</t>
  </si>
  <si>
    <t>Kolonna12071</t>
  </si>
  <si>
    <t>Kolonna12072</t>
  </si>
  <si>
    <t>Kolonna12073</t>
  </si>
  <si>
    <t>Kolonna12074</t>
  </si>
  <si>
    <t>Kolonna12075</t>
  </si>
  <si>
    <t>Kolonna12076</t>
  </si>
  <si>
    <t>Kolonna12077</t>
  </si>
  <si>
    <t>Kolonna12078</t>
  </si>
  <si>
    <t>Kolonna12079</t>
  </si>
  <si>
    <t>Kolonna12080</t>
  </si>
  <si>
    <t>Kolonna12081</t>
  </si>
  <si>
    <t>Kolonna12082</t>
  </si>
  <si>
    <t>Kolonna12083</t>
  </si>
  <si>
    <t>Kolonna12084</t>
  </si>
  <si>
    <t>Kolonna12085</t>
  </si>
  <si>
    <t>Kolonna12086</t>
  </si>
  <si>
    <t>Kolonna12087</t>
  </si>
  <si>
    <t>Kolonna12088</t>
  </si>
  <si>
    <t>Kolonna12089</t>
  </si>
  <si>
    <t>Kolonna12090</t>
  </si>
  <si>
    <t>Kolonna12091</t>
  </si>
  <si>
    <t>Kolonna12092</t>
  </si>
  <si>
    <t>Kolonna12093</t>
  </si>
  <si>
    <t>Kolonna12094</t>
  </si>
  <si>
    <t>Kolonna12095</t>
  </si>
  <si>
    <t>Kolonna12096</t>
  </si>
  <si>
    <t>Kolonna12097</t>
  </si>
  <si>
    <t>Kolonna12098</t>
  </si>
  <si>
    <t>Kolonna12099</t>
  </si>
  <si>
    <t>Kolonna12100</t>
  </si>
  <si>
    <t>Kolonna12101</t>
  </si>
  <si>
    <t>Kolonna12102</t>
  </si>
  <si>
    <t>Kolonna12103</t>
  </si>
  <si>
    <t>Kolonna12104</t>
  </si>
  <si>
    <t>Kolonna12105</t>
  </si>
  <si>
    <t>Kolonna12106</t>
  </si>
  <si>
    <t>Kolonna12107</t>
  </si>
  <si>
    <t>Kolonna12108</t>
  </si>
  <si>
    <t>Kolonna12109</t>
  </si>
  <si>
    <t>Kolonna12110</t>
  </si>
  <si>
    <t>Kolonna12111</t>
  </si>
  <si>
    <t>Kolonna12112</t>
  </si>
  <si>
    <t>Kolonna12113</t>
  </si>
  <si>
    <t>Kolonna12114</t>
  </si>
  <si>
    <t>Kolonna12115</t>
  </si>
  <si>
    <t>Kolonna12116</t>
  </si>
  <si>
    <t>Kolonna12117</t>
  </si>
  <si>
    <t>Kolonna12118</t>
  </si>
  <si>
    <t>Kolonna12119</t>
  </si>
  <si>
    <t>Kolonna12120</t>
  </si>
  <si>
    <t>Kolonna12121</t>
  </si>
  <si>
    <t>Kolonna12122</t>
  </si>
  <si>
    <t>Kolonna12123</t>
  </si>
  <si>
    <t>Kolonna12124</t>
  </si>
  <si>
    <t>Kolonna12125</t>
  </si>
  <si>
    <t>Kolonna12126</t>
  </si>
  <si>
    <t>Kolonna12127</t>
  </si>
  <si>
    <t>Kolonna12128</t>
  </si>
  <si>
    <t>Kolonna12129</t>
  </si>
  <si>
    <t>Kolonna12130</t>
  </si>
  <si>
    <t>Kolonna12131</t>
  </si>
  <si>
    <t>Kolonna12132</t>
  </si>
  <si>
    <t>Kolonna12133</t>
  </si>
  <si>
    <t>Kolonna12134</t>
  </si>
  <si>
    <t>Kolonna12135</t>
  </si>
  <si>
    <t>Kolonna12136</t>
  </si>
  <si>
    <t>Kolonna12137</t>
  </si>
  <si>
    <t>Kolonna12138</t>
  </si>
  <si>
    <t>Kolonna12139</t>
  </si>
  <si>
    <t>Kolonna12140</t>
  </si>
  <si>
    <t>Kolonna12141</t>
  </si>
  <si>
    <t>Kolonna12142</t>
  </si>
  <si>
    <t>Kolonna12143</t>
  </si>
  <si>
    <t>Kolonna12144</t>
  </si>
  <si>
    <t>Kolonna12145</t>
  </si>
  <si>
    <t>Kolonna12146</t>
  </si>
  <si>
    <t>Kolonna12147</t>
  </si>
  <si>
    <t>Kolonna12148</t>
  </si>
  <si>
    <t>Kolonna12149</t>
  </si>
  <si>
    <t>Kolonna12150</t>
  </si>
  <si>
    <t>Kolonna12151</t>
  </si>
  <si>
    <t>Kolonna12152</t>
  </si>
  <si>
    <t>Kolonna12153</t>
  </si>
  <si>
    <t>Kolonna12154</t>
  </si>
  <si>
    <t>Kolonna12155</t>
  </si>
  <si>
    <t>Kolonna12156</t>
  </si>
  <si>
    <t>Kolonna12157</t>
  </si>
  <si>
    <t>Kolonna12158</t>
  </si>
  <si>
    <t>Kolonna12159</t>
  </si>
  <si>
    <t>Kolonna12160</t>
  </si>
  <si>
    <t>Kolonna12161</t>
  </si>
  <si>
    <t>Kolonna12162</t>
  </si>
  <si>
    <t>Kolonna12163</t>
  </si>
  <si>
    <t>Kolonna12164</t>
  </si>
  <si>
    <t>Kolonna12165</t>
  </si>
  <si>
    <t>Kolonna12166</t>
  </si>
  <si>
    <t>Kolonna12167</t>
  </si>
  <si>
    <t>Kolonna12168</t>
  </si>
  <si>
    <t>Kolonna12169</t>
  </si>
  <si>
    <t>Kolonna12170</t>
  </si>
  <si>
    <t>Kolonna12171</t>
  </si>
  <si>
    <t>Kolonna12172</t>
  </si>
  <si>
    <t>Kolonna12173</t>
  </si>
  <si>
    <t>Kolonna12174</t>
  </si>
  <si>
    <t>Kolonna12175</t>
  </si>
  <si>
    <t>Kolonna12176</t>
  </si>
  <si>
    <t>Kolonna12177</t>
  </si>
  <si>
    <t>Kolonna12178</t>
  </si>
  <si>
    <t>Kolonna12179</t>
  </si>
  <si>
    <t>Kolonna12180</t>
  </si>
  <si>
    <t>Kolonna12181</t>
  </si>
  <si>
    <t>Kolonna12182</t>
  </si>
  <si>
    <t>Kolonna12183</t>
  </si>
  <si>
    <t>Kolonna12184</t>
  </si>
  <si>
    <t>Kolonna12185</t>
  </si>
  <si>
    <t>Kolonna12186</t>
  </si>
  <si>
    <t>Kolonna12187</t>
  </si>
  <si>
    <t>Kolonna12188</t>
  </si>
  <si>
    <t>Kolonna12189</t>
  </si>
  <si>
    <t>Kolonna12190</t>
  </si>
  <si>
    <t>Kolonna12191</t>
  </si>
  <si>
    <t>Kolonna12192</t>
  </si>
  <si>
    <t>Kolonna12193</t>
  </si>
  <si>
    <t>Kolonna12194</t>
  </si>
  <si>
    <t>Kolonna12195</t>
  </si>
  <si>
    <t>Kolonna12196</t>
  </si>
  <si>
    <t>Kolonna12197</t>
  </si>
  <si>
    <t>Kolonna12198</t>
  </si>
  <si>
    <t>Kolonna12199</t>
  </si>
  <si>
    <t>Kolonna12200</t>
  </si>
  <si>
    <t>Kolonna12201</t>
  </si>
  <si>
    <t>Kolonna12202</t>
  </si>
  <si>
    <t>Kolonna12203</t>
  </si>
  <si>
    <t>Kolonna12204</t>
  </si>
  <si>
    <t>Kolonna12205</t>
  </si>
  <si>
    <t>Kolonna12206</t>
  </si>
  <si>
    <t>Kolonna12207</t>
  </si>
  <si>
    <t>Kolonna12208</t>
  </si>
  <si>
    <t>Kolonna12209</t>
  </si>
  <si>
    <t>Kolonna12210</t>
  </si>
  <si>
    <t>Kolonna12211</t>
  </si>
  <si>
    <t>Kolonna12212</t>
  </si>
  <si>
    <t>Kolonna12213</t>
  </si>
  <si>
    <t>Kolonna12214</t>
  </si>
  <si>
    <t>Kolonna12215</t>
  </si>
  <si>
    <t>Kolonna12216</t>
  </si>
  <si>
    <t>Kolonna12217</t>
  </si>
  <si>
    <t>Kolonna12218</t>
  </si>
  <si>
    <t>Kolonna12219</t>
  </si>
  <si>
    <t>Kolonna12220</t>
  </si>
  <si>
    <t>Kolonna12221</t>
  </si>
  <si>
    <t>Kolonna12222</t>
  </si>
  <si>
    <t>Kolonna12223</t>
  </si>
  <si>
    <t>Kolonna12224</t>
  </si>
  <si>
    <t>Kolonna12225</t>
  </si>
  <si>
    <t>Kolonna12226</t>
  </si>
  <si>
    <t>Kolonna12227</t>
  </si>
  <si>
    <t>Kolonna12228</t>
  </si>
  <si>
    <t>Kolonna12229</t>
  </si>
  <si>
    <t>Kolonna12230</t>
  </si>
  <si>
    <t>Kolonna12231</t>
  </si>
  <si>
    <t>Kolonna12232</t>
  </si>
  <si>
    <t>Kolonna12233</t>
  </si>
  <si>
    <t>Kolonna12234</t>
  </si>
  <si>
    <t>Kolonna12235</t>
  </si>
  <si>
    <t>Kolonna12236</t>
  </si>
  <si>
    <t>Kolonna12237</t>
  </si>
  <si>
    <t>Kolonna12238</t>
  </si>
  <si>
    <t>Kolonna12239</t>
  </si>
  <si>
    <t>Kolonna12240</t>
  </si>
  <si>
    <t>Kolonna12241</t>
  </si>
  <si>
    <t>Kolonna12242</t>
  </si>
  <si>
    <t>Kolonna12243</t>
  </si>
  <si>
    <t>Kolonna12244</t>
  </si>
  <si>
    <t>Kolonna12245</t>
  </si>
  <si>
    <t>Kolonna12246</t>
  </si>
  <si>
    <t>Kolonna12247</t>
  </si>
  <si>
    <t>Kolonna12248</t>
  </si>
  <si>
    <t>Kolonna12249</t>
  </si>
  <si>
    <t>Kolonna12250</t>
  </si>
  <si>
    <t>Kolonna12251</t>
  </si>
  <si>
    <t>Kolonna12252</t>
  </si>
  <si>
    <t>Kolonna12253</t>
  </si>
  <si>
    <t>Kolonna12254</t>
  </si>
  <si>
    <t>Kolonna12255</t>
  </si>
  <si>
    <t>Kolonna12256</t>
  </si>
  <si>
    <t>Kolonna12257</t>
  </si>
  <si>
    <t>Kolonna12258</t>
  </si>
  <si>
    <t>Kolonna12259</t>
  </si>
  <si>
    <t>Kolonna12260</t>
  </si>
  <si>
    <t>Kolonna12261</t>
  </si>
  <si>
    <t>Kolonna12262</t>
  </si>
  <si>
    <t>Kolonna12263</t>
  </si>
  <si>
    <t>Kolonna12264</t>
  </si>
  <si>
    <t>Kolonna12265</t>
  </si>
  <si>
    <t>Kolonna12266</t>
  </si>
  <si>
    <t>Kolonna12267</t>
  </si>
  <si>
    <t>Kolonna12268</t>
  </si>
  <si>
    <t>Kolonna12269</t>
  </si>
  <si>
    <t>Kolonna12270</t>
  </si>
  <si>
    <t>Kolonna12271</t>
  </si>
  <si>
    <t>Kolonna12272</t>
  </si>
  <si>
    <t>Kolonna12273</t>
  </si>
  <si>
    <t>Kolonna12274</t>
  </si>
  <si>
    <t>Kolonna12275</t>
  </si>
  <si>
    <t>Kolonna12276</t>
  </si>
  <si>
    <t>Kolonna12277</t>
  </si>
  <si>
    <t>Kolonna12278</t>
  </si>
  <si>
    <t>Kolonna12279</t>
  </si>
  <si>
    <t>Kolonna12280</t>
  </si>
  <si>
    <t>Kolonna12281</t>
  </si>
  <si>
    <t>Kolonna12282</t>
  </si>
  <si>
    <t>Kolonna12283</t>
  </si>
  <si>
    <t>Kolonna12284</t>
  </si>
  <si>
    <t>Kolonna12285</t>
  </si>
  <si>
    <t>Kolonna12286</t>
  </si>
  <si>
    <t>Kolonna12287</t>
  </si>
  <si>
    <t>Kolonna12288</t>
  </si>
  <si>
    <t>Kolonna12289</t>
  </si>
  <si>
    <t>Kolonna12290</t>
  </si>
  <si>
    <t>Kolonna12291</t>
  </si>
  <si>
    <t>Kolonna12292</t>
  </si>
  <si>
    <t>Kolonna12293</t>
  </si>
  <si>
    <t>Kolonna12294</t>
  </si>
  <si>
    <t>Kolonna12295</t>
  </si>
  <si>
    <t>Kolonna12296</t>
  </si>
  <si>
    <t>Kolonna12297</t>
  </si>
  <si>
    <t>Kolonna12298</t>
  </si>
  <si>
    <t>Kolonna12299</t>
  </si>
  <si>
    <t>Kolonna12300</t>
  </si>
  <si>
    <t>Kolonna12301</t>
  </si>
  <si>
    <t>Kolonna12302</t>
  </si>
  <si>
    <t>Kolonna12303</t>
  </si>
  <si>
    <t>Kolonna12304</t>
  </si>
  <si>
    <t>Kolonna12305</t>
  </si>
  <si>
    <t>Kolonna12306</t>
  </si>
  <si>
    <t>Kolonna12307</t>
  </si>
  <si>
    <t>Kolonna12308</t>
  </si>
  <si>
    <t>Kolonna12309</t>
  </si>
  <si>
    <t>Kolonna12310</t>
  </si>
  <si>
    <t>Kolonna12311</t>
  </si>
  <si>
    <t>Kolonna12312</t>
  </si>
  <si>
    <t>Kolonna12313</t>
  </si>
  <si>
    <t>Kolonna12314</t>
  </si>
  <si>
    <t>Kolonna12315</t>
  </si>
  <si>
    <t>Kolonna12316</t>
  </si>
  <si>
    <t>Kolonna12317</t>
  </si>
  <si>
    <t>Kolonna12318</t>
  </si>
  <si>
    <t>Kolonna12319</t>
  </si>
  <si>
    <t>Kolonna12320</t>
  </si>
  <si>
    <t>Kolonna12321</t>
  </si>
  <si>
    <t>Kolonna12322</t>
  </si>
  <si>
    <t>Kolonna12323</t>
  </si>
  <si>
    <t>Kolonna12324</t>
  </si>
  <si>
    <t>Kolonna12325</t>
  </si>
  <si>
    <t>Kolonna12326</t>
  </si>
  <si>
    <t>Kolonna12327</t>
  </si>
  <si>
    <t>Kolonna12328</t>
  </si>
  <si>
    <t>Kolonna12329</t>
  </si>
  <si>
    <t>Kolonna12330</t>
  </si>
  <si>
    <t>Kolonna12331</t>
  </si>
  <si>
    <t>Kolonna12332</t>
  </si>
  <si>
    <t>Kolonna12333</t>
  </si>
  <si>
    <t>Kolonna12334</t>
  </si>
  <si>
    <t>Kolonna12335</t>
  </si>
  <si>
    <t>Kolonna12336</t>
  </si>
  <si>
    <t>Kolonna12337</t>
  </si>
  <si>
    <t>Kolonna12338</t>
  </si>
  <si>
    <t>Kolonna12339</t>
  </si>
  <si>
    <t>Kolonna12340</t>
  </si>
  <si>
    <t>Kolonna12341</t>
  </si>
  <si>
    <t>Kolonna12342</t>
  </si>
  <si>
    <t>Kolonna12343</t>
  </si>
  <si>
    <t>Kolonna12344</t>
  </si>
  <si>
    <t>Kolonna12345</t>
  </si>
  <si>
    <t>Kolonna12346</t>
  </si>
  <si>
    <t>Kolonna12347</t>
  </si>
  <si>
    <t>Kolonna12348</t>
  </si>
  <si>
    <t>Kolonna12349</t>
  </si>
  <si>
    <t>Kolonna12350</t>
  </si>
  <si>
    <t>Kolonna12351</t>
  </si>
  <si>
    <t>Kolonna12352</t>
  </si>
  <si>
    <t>Kolonna12353</t>
  </si>
  <si>
    <t>Kolonna12354</t>
  </si>
  <si>
    <t>Kolonna12355</t>
  </si>
  <si>
    <t>Kolonna12356</t>
  </si>
  <si>
    <t>Kolonna12357</t>
  </si>
  <si>
    <t>Kolonna12358</t>
  </si>
  <si>
    <t>Kolonna12359</t>
  </si>
  <si>
    <t>Kolonna12360</t>
  </si>
  <si>
    <t>Kolonna12361</t>
  </si>
  <si>
    <t>Kolonna12362</t>
  </si>
  <si>
    <t>Kolonna12363</t>
  </si>
  <si>
    <t>Kolonna12364</t>
  </si>
  <si>
    <t>Kolonna12365</t>
  </si>
  <si>
    <t>Kolonna12366</t>
  </si>
  <si>
    <t>Kolonna12367</t>
  </si>
  <si>
    <t>Kolonna12368</t>
  </si>
  <si>
    <t>Kolonna12369</t>
  </si>
  <si>
    <t>Kolonna12370</t>
  </si>
  <si>
    <t>Kolonna12371</t>
  </si>
  <si>
    <t>Kolonna12372</t>
  </si>
  <si>
    <t>Kolonna12373</t>
  </si>
  <si>
    <t>Kolonna12374</t>
  </si>
  <si>
    <t>Kolonna12375</t>
  </si>
  <si>
    <t>Kolonna12376</t>
  </si>
  <si>
    <t>Kolonna12377</t>
  </si>
  <si>
    <t>Kolonna12378</t>
  </si>
  <si>
    <t>Kolonna12379</t>
  </si>
  <si>
    <t>Kolonna12380</t>
  </si>
  <si>
    <t>Kolonna12381</t>
  </si>
  <si>
    <t>Kolonna12382</t>
  </si>
  <si>
    <t>Kolonna12383</t>
  </si>
  <si>
    <t>Kolonna12384</t>
  </si>
  <si>
    <t>Kolonna12385</t>
  </si>
  <si>
    <t>Kolonna12386</t>
  </si>
  <si>
    <t>Kolonna12387</t>
  </si>
  <si>
    <t>Kolonna12388</t>
  </si>
  <si>
    <t>Kolonna12389</t>
  </si>
  <si>
    <t>Kolonna12390</t>
  </si>
  <si>
    <t>Kolonna12391</t>
  </si>
  <si>
    <t>Kolonna12392</t>
  </si>
  <si>
    <t>Kolonna12393</t>
  </si>
  <si>
    <t>Kolonna12394</t>
  </si>
  <si>
    <t>Kolonna12395</t>
  </si>
  <si>
    <t>Kolonna12396</t>
  </si>
  <si>
    <t>Kolonna12397</t>
  </si>
  <si>
    <t>Kolonna12398</t>
  </si>
  <si>
    <t>Kolonna12399</t>
  </si>
  <si>
    <t>Kolonna12400</t>
  </si>
  <si>
    <t>Kolonna12401</t>
  </si>
  <si>
    <t>Kolonna12402</t>
  </si>
  <si>
    <t>Kolonna12403</t>
  </si>
  <si>
    <t>Kolonna12404</t>
  </si>
  <si>
    <t>Kolonna12405</t>
  </si>
  <si>
    <t>Kolonna12406</t>
  </si>
  <si>
    <t>Kolonna12407</t>
  </si>
  <si>
    <t>Kolonna12408</t>
  </si>
  <si>
    <t>Kolonna12409</t>
  </si>
  <si>
    <t>Kolonna12410</t>
  </si>
  <si>
    <t>Kolonna12411</t>
  </si>
  <si>
    <t>Kolonna12412</t>
  </si>
  <si>
    <t>Kolonna12413</t>
  </si>
  <si>
    <t>Kolonna12414</t>
  </si>
  <si>
    <t>Kolonna12415</t>
  </si>
  <si>
    <t>Kolonna12416</t>
  </si>
  <si>
    <t>Kolonna12417</t>
  </si>
  <si>
    <t>Kolonna12418</t>
  </si>
  <si>
    <t>Kolonna12419</t>
  </si>
  <si>
    <t>Kolonna12420</t>
  </si>
  <si>
    <t>Kolonna12421</t>
  </si>
  <si>
    <t>Kolonna12422</t>
  </si>
  <si>
    <t>Kolonna12423</t>
  </si>
  <si>
    <t>Kolonna12424</t>
  </si>
  <si>
    <t>Kolonna12425</t>
  </si>
  <si>
    <t>Kolonna12426</t>
  </si>
  <si>
    <t>Kolonna12427</t>
  </si>
  <si>
    <t>Kolonna12428</t>
  </si>
  <si>
    <t>Kolonna12429</t>
  </si>
  <si>
    <t>Kolonna12430</t>
  </si>
  <si>
    <t>Kolonna12431</t>
  </si>
  <si>
    <t>Kolonna12432</t>
  </si>
  <si>
    <t>Kolonna12433</t>
  </si>
  <si>
    <t>Kolonna12434</t>
  </si>
  <si>
    <t>Kolonna12435</t>
  </si>
  <si>
    <t>Kolonna12436</t>
  </si>
  <si>
    <t>Kolonna12437</t>
  </si>
  <si>
    <t>Kolonna12438</t>
  </si>
  <si>
    <t>Kolonna12439</t>
  </si>
  <si>
    <t>Kolonna12440</t>
  </si>
  <si>
    <t>Kolonna12441</t>
  </si>
  <si>
    <t>Kolonna12442</t>
  </si>
  <si>
    <t>Kolonna12443</t>
  </si>
  <si>
    <t>Kolonna12444</t>
  </si>
  <si>
    <t>Kolonna12445</t>
  </si>
  <si>
    <t>Kolonna12446</t>
  </si>
  <si>
    <t>Kolonna12447</t>
  </si>
  <si>
    <t>Kolonna12448</t>
  </si>
  <si>
    <t>Kolonna12449</t>
  </si>
  <si>
    <t>Kolonna12450</t>
  </si>
  <si>
    <t>Kolonna12451</t>
  </si>
  <si>
    <t>Kolonna12452</t>
  </si>
  <si>
    <t>Kolonna12453</t>
  </si>
  <si>
    <t>Kolonna12454</t>
  </si>
  <si>
    <t>Kolonna12455</t>
  </si>
  <si>
    <t>Kolonna12456</t>
  </si>
  <si>
    <t>Kolonna12457</t>
  </si>
  <si>
    <t>Kolonna12458</t>
  </si>
  <si>
    <t>Kolonna12459</t>
  </si>
  <si>
    <t>Kolonna12460</t>
  </si>
  <si>
    <t>Kolonna12461</t>
  </si>
  <si>
    <t>Kolonna12462</t>
  </si>
  <si>
    <t>Kolonna12463</t>
  </si>
  <si>
    <t>Kolonna12464</t>
  </si>
  <si>
    <t>Kolonna12465</t>
  </si>
  <si>
    <t>Kolonna12466</t>
  </si>
  <si>
    <t>Kolonna12467</t>
  </si>
  <si>
    <t>Kolonna12468</t>
  </si>
  <si>
    <t>Kolonna12469</t>
  </si>
  <si>
    <t>Kolonna12470</t>
  </si>
  <si>
    <t>Kolonna12471</t>
  </si>
  <si>
    <t>Kolonna12472</t>
  </si>
  <si>
    <t>Kolonna12473</t>
  </si>
  <si>
    <t>Kolonna12474</t>
  </si>
  <si>
    <t>Kolonna12475</t>
  </si>
  <si>
    <t>Kolonna12476</t>
  </si>
  <si>
    <t>Kolonna12477</t>
  </si>
  <si>
    <t>Kolonna12478</t>
  </si>
  <si>
    <t>Kolonna12479</t>
  </si>
  <si>
    <t>Kolonna12480</t>
  </si>
  <si>
    <t>Kolonna12481</t>
  </si>
  <si>
    <t>Kolonna12482</t>
  </si>
  <si>
    <t>Kolonna12483</t>
  </si>
  <si>
    <t>Kolonna12484</t>
  </si>
  <si>
    <t>Kolonna12485</t>
  </si>
  <si>
    <t>Kolonna12486</t>
  </si>
  <si>
    <t>Kolonna12487</t>
  </si>
  <si>
    <t>Kolonna12488</t>
  </si>
  <si>
    <t>Kolonna12489</t>
  </si>
  <si>
    <t>Kolonna12490</t>
  </si>
  <si>
    <t>Kolonna12491</t>
  </si>
  <si>
    <t>Kolonna12492</t>
  </si>
  <si>
    <t>Kolonna12493</t>
  </si>
  <si>
    <t>Kolonna12494</t>
  </si>
  <si>
    <t>Kolonna12495</t>
  </si>
  <si>
    <t>Kolonna12496</t>
  </si>
  <si>
    <t>Kolonna12497</t>
  </si>
  <si>
    <t>Kolonna12498</t>
  </si>
  <si>
    <t>Kolonna12499</t>
  </si>
  <si>
    <t>Kolonna12500</t>
  </si>
  <si>
    <t>Kolonna12501</t>
  </si>
  <si>
    <t>Kolonna12502</t>
  </si>
  <si>
    <t>Kolonna12503</t>
  </si>
  <si>
    <t>Kolonna12504</t>
  </si>
  <si>
    <t>Kolonna12505</t>
  </si>
  <si>
    <t>Kolonna12506</t>
  </si>
  <si>
    <t>Kolonna12507</t>
  </si>
  <si>
    <t>Kolonna12508</t>
  </si>
  <si>
    <t>Kolonna12509</t>
  </si>
  <si>
    <t>Kolonna12510</t>
  </si>
  <si>
    <t>Kolonna12511</t>
  </si>
  <si>
    <t>Kolonna12512</t>
  </si>
  <si>
    <t>Kolonna12513</t>
  </si>
  <si>
    <t>Kolonna12514</t>
  </si>
  <si>
    <t>Kolonna12515</t>
  </si>
  <si>
    <t>Kolonna12516</t>
  </si>
  <si>
    <t>Kolonna12517</t>
  </si>
  <si>
    <t>Kolonna12518</t>
  </si>
  <si>
    <t>Kolonna12519</t>
  </si>
  <si>
    <t>Kolonna12520</t>
  </si>
  <si>
    <t>Kolonna12521</t>
  </si>
  <si>
    <t>Kolonna12522</t>
  </si>
  <si>
    <t>Kolonna12523</t>
  </si>
  <si>
    <t>Kolonna12524</t>
  </si>
  <si>
    <t>Kolonna12525</t>
  </si>
  <si>
    <t>Kolonna12526</t>
  </si>
  <si>
    <t>Kolonna12527</t>
  </si>
  <si>
    <t>Kolonna12528</t>
  </si>
  <si>
    <t>Kolonna12529</t>
  </si>
  <si>
    <t>Kolonna12530</t>
  </si>
  <si>
    <t>Kolonna12531</t>
  </si>
  <si>
    <t>Kolonna12532</t>
  </si>
  <si>
    <t>Kolonna12533</t>
  </si>
  <si>
    <t>Kolonna12534</t>
  </si>
  <si>
    <t>Kolonna12535</t>
  </si>
  <si>
    <t>Kolonna12536</t>
  </si>
  <si>
    <t>Kolonna12537</t>
  </si>
  <si>
    <t>Kolonna12538</t>
  </si>
  <si>
    <t>Kolonna12539</t>
  </si>
  <si>
    <t>Kolonna12540</t>
  </si>
  <si>
    <t>Kolonna12541</t>
  </si>
  <si>
    <t>Kolonna12542</t>
  </si>
  <si>
    <t>Kolonna12543</t>
  </si>
  <si>
    <t>Kolonna12544</t>
  </si>
  <si>
    <t>Kolonna12545</t>
  </si>
  <si>
    <t>Kolonna12546</t>
  </si>
  <si>
    <t>Kolonna12547</t>
  </si>
  <si>
    <t>Kolonna12548</t>
  </si>
  <si>
    <t>Kolonna12549</t>
  </si>
  <si>
    <t>Kolonna12550</t>
  </si>
  <si>
    <t>Kolonna12551</t>
  </si>
  <si>
    <t>Kolonna12552</t>
  </si>
  <si>
    <t>Kolonna12553</t>
  </si>
  <si>
    <t>Kolonna12554</t>
  </si>
  <si>
    <t>Kolonna12555</t>
  </si>
  <si>
    <t>Kolonna12556</t>
  </si>
  <si>
    <t>Kolonna12557</t>
  </si>
  <si>
    <t>Kolonna12558</t>
  </si>
  <si>
    <t>Kolonna12559</t>
  </si>
  <si>
    <t>Kolonna12560</t>
  </si>
  <si>
    <t>Kolonna12561</t>
  </si>
  <si>
    <t>Kolonna12562</t>
  </si>
  <si>
    <t>Kolonna12563</t>
  </si>
  <si>
    <t>Kolonna12564</t>
  </si>
  <si>
    <t>Kolonna12565</t>
  </si>
  <si>
    <t>Kolonna12566</t>
  </si>
  <si>
    <t>Kolonna12567</t>
  </si>
  <si>
    <t>Kolonna12568</t>
  </si>
  <si>
    <t>Kolonna12569</t>
  </si>
  <si>
    <t>Kolonna12570</t>
  </si>
  <si>
    <t>Kolonna12571</t>
  </si>
  <si>
    <t>Kolonna12572</t>
  </si>
  <si>
    <t>Kolonna12573</t>
  </si>
  <si>
    <t>Kolonna12574</t>
  </si>
  <si>
    <t>Kolonna12575</t>
  </si>
  <si>
    <t>Kolonna12576</t>
  </si>
  <si>
    <t>Kolonna12577</t>
  </si>
  <si>
    <t>Kolonna12578</t>
  </si>
  <si>
    <t>Kolonna12579</t>
  </si>
  <si>
    <t>Kolonna12580</t>
  </si>
  <si>
    <t>Kolonna12581</t>
  </si>
  <si>
    <t>Kolonna12582</t>
  </si>
  <si>
    <t>Kolonna12583</t>
  </si>
  <si>
    <t>Kolonna12584</t>
  </si>
  <si>
    <t>Kolonna12585</t>
  </si>
  <si>
    <t>Kolonna12586</t>
  </si>
  <si>
    <t>Kolonna12587</t>
  </si>
  <si>
    <t>Kolonna12588</t>
  </si>
  <si>
    <t>Kolonna12589</t>
  </si>
  <si>
    <t>Kolonna12590</t>
  </si>
  <si>
    <t>Kolonna12591</t>
  </si>
  <si>
    <t>Kolonna12592</t>
  </si>
  <si>
    <t>Kolonna12593</t>
  </si>
  <si>
    <t>Kolonna12594</t>
  </si>
  <si>
    <t>Kolonna12595</t>
  </si>
  <si>
    <t>Kolonna12596</t>
  </si>
  <si>
    <t>Kolonna12597</t>
  </si>
  <si>
    <t>Kolonna12598</t>
  </si>
  <si>
    <t>Kolonna12599</t>
  </si>
  <si>
    <t>Kolonna12600</t>
  </si>
  <si>
    <t>Kolonna12601</t>
  </si>
  <si>
    <t>Kolonna12602</t>
  </si>
  <si>
    <t>Kolonna12603</t>
  </si>
  <si>
    <t>Kolonna12604</t>
  </si>
  <si>
    <t>Kolonna12605</t>
  </si>
  <si>
    <t>Kolonna12606</t>
  </si>
  <si>
    <t>Kolonna12607</t>
  </si>
  <si>
    <t>Kolonna12608</t>
  </si>
  <si>
    <t>Kolonna12609</t>
  </si>
  <si>
    <t>Kolonna12610</t>
  </si>
  <si>
    <t>Kolonna12611</t>
  </si>
  <si>
    <t>Kolonna12612</t>
  </si>
  <si>
    <t>Kolonna12613</t>
  </si>
  <si>
    <t>Kolonna12614</t>
  </si>
  <si>
    <t>Kolonna12615</t>
  </si>
  <si>
    <t>Kolonna12616</t>
  </si>
  <si>
    <t>Kolonna12617</t>
  </si>
  <si>
    <t>Kolonna12618</t>
  </si>
  <si>
    <t>Kolonna12619</t>
  </si>
  <si>
    <t>Kolonna12620</t>
  </si>
  <si>
    <t>Kolonna12621</t>
  </si>
  <si>
    <t>Kolonna12622</t>
  </si>
  <si>
    <t>Kolonna12623</t>
  </si>
  <si>
    <t>Kolonna12624</t>
  </si>
  <si>
    <t>Kolonna12625</t>
  </si>
  <si>
    <t>Kolonna12626</t>
  </si>
  <si>
    <t>Kolonna12627</t>
  </si>
  <si>
    <t>Kolonna12628</t>
  </si>
  <si>
    <t>Kolonna12629</t>
  </si>
  <si>
    <t>Kolonna12630</t>
  </si>
  <si>
    <t>Kolonna12631</t>
  </si>
  <si>
    <t>Kolonna12632</t>
  </si>
  <si>
    <t>Kolonna12633</t>
  </si>
  <si>
    <t>Kolonna12634</t>
  </si>
  <si>
    <t>Kolonna12635</t>
  </si>
  <si>
    <t>Kolonna12636</t>
  </si>
  <si>
    <t>Kolonna12637</t>
  </si>
  <si>
    <t>Kolonna12638</t>
  </si>
  <si>
    <t>Kolonna12639</t>
  </si>
  <si>
    <t>Kolonna12640</t>
  </si>
  <si>
    <t>Kolonna12641</t>
  </si>
  <si>
    <t>Kolonna12642</t>
  </si>
  <si>
    <t>Kolonna12643</t>
  </si>
  <si>
    <t>Kolonna12644</t>
  </si>
  <si>
    <t>Kolonna12645</t>
  </si>
  <si>
    <t>Kolonna12646</t>
  </si>
  <si>
    <t>Kolonna12647</t>
  </si>
  <si>
    <t>Kolonna12648</t>
  </si>
  <si>
    <t>Kolonna12649</t>
  </si>
  <si>
    <t>Kolonna12650</t>
  </si>
  <si>
    <t>Kolonna12651</t>
  </si>
  <si>
    <t>Kolonna12652</t>
  </si>
  <si>
    <t>Kolonna12653</t>
  </si>
  <si>
    <t>Kolonna12654</t>
  </si>
  <si>
    <t>Kolonna12655</t>
  </si>
  <si>
    <t>Kolonna12656</t>
  </si>
  <si>
    <t>Kolonna12657</t>
  </si>
  <si>
    <t>Kolonna12658</t>
  </si>
  <si>
    <t>Kolonna12659</t>
  </si>
  <si>
    <t>Kolonna12660</t>
  </si>
  <si>
    <t>Kolonna12661</t>
  </si>
  <si>
    <t>Kolonna12662</t>
  </si>
  <si>
    <t>Kolonna12663</t>
  </si>
  <si>
    <t>Kolonna12664</t>
  </si>
  <si>
    <t>Kolonna12665</t>
  </si>
  <si>
    <t>Kolonna12666</t>
  </si>
  <si>
    <t>Kolonna12667</t>
  </si>
  <si>
    <t>Kolonna12668</t>
  </si>
  <si>
    <t>Kolonna12669</t>
  </si>
  <si>
    <t>Kolonna12670</t>
  </si>
  <si>
    <t>Kolonna12671</t>
  </si>
  <si>
    <t>Kolonna12672</t>
  </si>
  <si>
    <t>Kolonna12673</t>
  </si>
  <si>
    <t>Kolonna12674</t>
  </si>
  <si>
    <t>Kolonna12675</t>
  </si>
  <si>
    <t>Kolonna12676</t>
  </si>
  <si>
    <t>Kolonna12677</t>
  </si>
  <si>
    <t>Kolonna12678</t>
  </si>
  <si>
    <t>Kolonna12679</t>
  </si>
  <si>
    <t>Kolonna12680</t>
  </si>
  <si>
    <t>Kolonna12681</t>
  </si>
  <si>
    <t>Kolonna12682</t>
  </si>
  <si>
    <t>Kolonna12683</t>
  </si>
  <si>
    <t>Kolonna12684</t>
  </si>
  <si>
    <t>Kolonna12685</t>
  </si>
  <si>
    <t>Kolonna12686</t>
  </si>
  <si>
    <t>Kolonna12687</t>
  </si>
  <si>
    <t>Kolonna12688</t>
  </si>
  <si>
    <t>Kolonna12689</t>
  </si>
  <si>
    <t>Kolonna12690</t>
  </si>
  <si>
    <t>Kolonna12691</t>
  </si>
  <si>
    <t>Kolonna12692</t>
  </si>
  <si>
    <t>Kolonna12693</t>
  </si>
  <si>
    <t>Kolonna12694</t>
  </si>
  <si>
    <t>Kolonna12695</t>
  </si>
  <si>
    <t>Kolonna12696</t>
  </si>
  <si>
    <t>Kolonna12697</t>
  </si>
  <si>
    <t>Kolonna12698</t>
  </si>
  <si>
    <t>Kolonna12699</t>
  </si>
  <si>
    <t>Kolonna12700</t>
  </si>
  <si>
    <t>Kolonna12701</t>
  </si>
  <si>
    <t>Kolonna12702</t>
  </si>
  <si>
    <t>Kolonna12703</t>
  </si>
  <si>
    <t>Kolonna12704</t>
  </si>
  <si>
    <t>Kolonna12705</t>
  </si>
  <si>
    <t>Kolonna12706</t>
  </si>
  <si>
    <t>Kolonna12707</t>
  </si>
  <si>
    <t>Kolonna12708</t>
  </si>
  <si>
    <t>Kolonna12709</t>
  </si>
  <si>
    <t>Kolonna12710</t>
  </si>
  <si>
    <t>Kolonna12711</t>
  </si>
  <si>
    <t>Kolonna12712</t>
  </si>
  <si>
    <t>Kolonna12713</t>
  </si>
  <si>
    <t>Kolonna12714</t>
  </si>
  <si>
    <t>Kolonna12715</t>
  </si>
  <si>
    <t>Kolonna12716</t>
  </si>
  <si>
    <t>Kolonna12717</t>
  </si>
  <si>
    <t>Kolonna12718</t>
  </si>
  <si>
    <t>Kolonna12719</t>
  </si>
  <si>
    <t>Kolonna12720</t>
  </si>
  <si>
    <t>Kolonna12721</t>
  </si>
  <si>
    <t>Kolonna12722</t>
  </si>
  <si>
    <t>Kolonna12723</t>
  </si>
  <si>
    <t>Kolonna12724</t>
  </si>
  <si>
    <t>Kolonna12725</t>
  </si>
  <si>
    <t>Kolonna12726</t>
  </si>
  <si>
    <t>Kolonna12727</t>
  </si>
  <si>
    <t>Kolonna12728</t>
  </si>
  <si>
    <t>Kolonna12729</t>
  </si>
  <si>
    <t>Kolonna12730</t>
  </si>
  <si>
    <t>Kolonna12731</t>
  </si>
  <si>
    <t>Kolonna12732</t>
  </si>
  <si>
    <t>Kolonna12733</t>
  </si>
  <si>
    <t>Kolonna12734</t>
  </si>
  <si>
    <t>Kolonna12735</t>
  </si>
  <si>
    <t>Kolonna12736</t>
  </si>
  <si>
    <t>Kolonna12737</t>
  </si>
  <si>
    <t>Kolonna12738</t>
  </si>
  <si>
    <t>Kolonna12739</t>
  </si>
  <si>
    <t>Kolonna12740</t>
  </si>
  <si>
    <t>Kolonna12741</t>
  </si>
  <si>
    <t>Kolonna12742</t>
  </si>
  <si>
    <t>Kolonna12743</t>
  </si>
  <si>
    <t>Kolonna12744</t>
  </si>
  <si>
    <t>Kolonna12745</t>
  </si>
  <si>
    <t>Kolonna12746</t>
  </si>
  <si>
    <t>Kolonna12747</t>
  </si>
  <si>
    <t>Kolonna12748</t>
  </si>
  <si>
    <t>Kolonna12749</t>
  </si>
  <si>
    <t>Kolonna12750</t>
  </si>
  <si>
    <t>Kolonna12751</t>
  </si>
  <si>
    <t>Kolonna12752</t>
  </si>
  <si>
    <t>Kolonna12753</t>
  </si>
  <si>
    <t>Kolonna12754</t>
  </si>
  <si>
    <t>Kolonna12755</t>
  </si>
  <si>
    <t>Kolonna12756</t>
  </si>
  <si>
    <t>Kolonna12757</t>
  </si>
  <si>
    <t>Kolonna12758</t>
  </si>
  <si>
    <t>Kolonna12759</t>
  </si>
  <si>
    <t>Kolonna12760</t>
  </si>
  <si>
    <t>Kolonna12761</t>
  </si>
  <si>
    <t>Kolonna12762</t>
  </si>
  <si>
    <t>Kolonna12763</t>
  </si>
  <si>
    <t>Kolonna12764</t>
  </si>
  <si>
    <t>Kolonna12765</t>
  </si>
  <si>
    <t>Kolonna12766</t>
  </si>
  <si>
    <t>Kolonna12767</t>
  </si>
  <si>
    <t>Kolonna12768</t>
  </si>
  <si>
    <t>Kolonna12769</t>
  </si>
  <si>
    <t>Kolonna12770</t>
  </si>
  <si>
    <t>Kolonna12771</t>
  </si>
  <si>
    <t>Kolonna12772</t>
  </si>
  <si>
    <t>Kolonna12773</t>
  </si>
  <si>
    <t>Kolonna12774</t>
  </si>
  <si>
    <t>Kolonna12775</t>
  </si>
  <si>
    <t>Kolonna12776</t>
  </si>
  <si>
    <t>Kolonna12777</t>
  </si>
  <si>
    <t>Kolonna12778</t>
  </si>
  <si>
    <t>Kolonna12779</t>
  </si>
  <si>
    <t>Kolonna12780</t>
  </si>
  <si>
    <t>Kolonna12781</t>
  </si>
  <si>
    <t>Kolonna12782</t>
  </si>
  <si>
    <t>Kolonna12783</t>
  </si>
  <si>
    <t>Kolonna12784</t>
  </si>
  <si>
    <t>Kolonna12785</t>
  </si>
  <si>
    <t>Kolonna12786</t>
  </si>
  <si>
    <t>Kolonna12787</t>
  </si>
  <si>
    <t>Kolonna12788</t>
  </si>
  <si>
    <t>Kolonna12789</t>
  </si>
  <si>
    <t>Kolonna12790</t>
  </si>
  <si>
    <t>Kolonna12791</t>
  </si>
  <si>
    <t>Kolonna12792</t>
  </si>
  <si>
    <t>Kolonna12793</t>
  </si>
  <si>
    <t>Kolonna12794</t>
  </si>
  <si>
    <t>Kolonna12795</t>
  </si>
  <si>
    <t>Kolonna12796</t>
  </si>
  <si>
    <t>Kolonna12797</t>
  </si>
  <si>
    <t>Kolonna12798</t>
  </si>
  <si>
    <t>Kolonna12799</t>
  </si>
  <si>
    <t>Kolonna12800</t>
  </si>
  <si>
    <t>Kolonna12801</t>
  </si>
  <si>
    <t>Kolonna12802</t>
  </si>
  <si>
    <t>Kolonna12803</t>
  </si>
  <si>
    <t>Kolonna12804</t>
  </si>
  <si>
    <t>Kolonna12805</t>
  </si>
  <si>
    <t>Kolonna12806</t>
  </si>
  <si>
    <t>Kolonna12807</t>
  </si>
  <si>
    <t>Kolonna12808</t>
  </si>
  <si>
    <t>Kolonna12809</t>
  </si>
  <si>
    <t>Kolonna12810</t>
  </si>
  <si>
    <t>Kolonna12811</t>
  </si>
  <si>
    <t>Kolonna12812</t>
  </si>
  <si>
    <t>Kolonna12813</t>
  </si>
  <si>
    <t>Kolonna12814</t>
  </si>
  <si>
    <t>Kolonna12815</t>
  </si>
  <si>
    <t>Kolonna12816</t>
  </si>
  <si>
    <t>Kolonna12817</t>
  </si>
  <si>
    <t>Kolonna12818</t>
  </si>
  <si>
    <t>Kolonna12819</t>
  </si>
  <si>
    <t>Kolonna12820</t>
  </si>
  <si>
    <t>Kolonna12821</t>
  </si>
  <si>
    <t>Kolonna12822</t>
  </si>
  <si>
    <t>Kolonna12823</t>
  </si>
  <si>
    <t>Kolonna12824</t>
  </si>
  <si>
    <t>Kolonna12825</t>
  </si>
  <si>
    <t>Kolonna12826</t>
  </si>
  <si>
    <t>Kolonna12827</t>
  </si>
  <si>
    <t>Kolonna12828</t>
  </si>
  <si>
    <t>Kolonna12829</t>
  </si>
  <si>
    <t>Kolonna12830</t>
  </si>
  <si>
    <t>Kolonna12831</t>
  </si>
  <si>
    <t>Kolonna12832</t>
  </si>
  <si>
    <t>Kolonna12833</t>
  </si>
  <si>
    <t>Kolonna12834</t>
  </si>
  <si>
    <t>Kolonna12835</t>
  </si>
  <si>
    <t>Kolonna12836</t>
  </si>
  <si>
    <t>Kolonna12837</t>
  </si>
  <si>
    <t>Kolonna12838</t>
  </si>
  <si>
    <t>Kolonna12839</t>
  </si>
  <si>
    <t>Kolonna12840</t>
  </si>
  <si>
    <t>Kolonna12841</t>
  </si>
  <si>
    <t>Kolonna12842</t>
  </si>
  <si>
    <t>Kolonna12843</t>
  </si>
  <si>
    <t>Kolonna12844</t>
  </si>
  <si>
    <t>Kolonna12845</t>
  </si>
  <si>
    <t>Kolonna12846</t>
  </si>
  <si>
    <t>Kolonna12847</t>
  </si>
  <si>
    <t>Kolonna12848</t>
  </si>
  <si>
    <t>Kolonna12849</t>
  </si>
  <si>
    <t>Kolonna12850</t>
  </si>
  <si>
    <t>Kolonna12851</t>
  </si>
  <si>
    <t>Kolonna12852</t>
  </si>
  <si>
    <t>Kolonna12853</t>
  </si>
  <si>
    <t>Kolonna12854</t>
  </si>
  <si>
    <t>Kolonna12855</t>
  </si>
  <si>
    <t>Kolonna12856</t>
  </si>
  <si>
    <t>Kolonna12857</t>
  </si>
  <si>
    <t>Kolonna12858</t>
  </si>
  <si>
    <t>Kolonna12859</t>
  </si>
  <si>
    <t>Kolonna12860</t>
  </si>
  <si>
    <t>Kolonna12861</t>
  </si>
  <si>
    <t>Kolonna12862</t>
  </si>
  <si>
    <t>Kolonna12863</t>
  </si>
  <si>
    <t>Kolonna12864</t>
  </si>
  <si>
    <t>Kolonna12865</t>
  </si>
  <si>
    <t>Kolonna12866</t>
  </si>
  <si>
    <t>Kolonna12867</t>
  </si>
  <si>
    <t>Kolonna12868</t>
  </si>
  <si>
    <t>Kolonna12869</t>
  </si>
  <si>
    <t>Kolonna12870</t>
  </si>
  <si>
    <t>Kolonna12871</t>
  </si>
  <si>
    <t>Kolonna12872</t>
  </si>
  <si>
    <t>Kolonna12873</t>
  </si>
  <si>
    <t>Kolonna12874</t>
  </si>
  <si>
    <t>Kolonna12875</t>
  </si>
  <si>
    <t>Kolonna12876</t>
  </si>
  <si>
    <t>Kolonna12877</t>
  </si>
  <si>
    <t>Kolonna12878</t>
  </si>
  <si>
    <t>Kolonna12879</t>
  </si>
  <si>
    <t>Kolonna12880</t>
  </si>
  <si>
    <t>Kolonna12881</t>
  </si>
  <si>
    <t>Kolonna12882</t>
  </si>
  <si>
    <t>Kolonna12883</t>
  </si>
  <si>
    <t>Kolonna12884</t>
  </si>
  <si>
    <t>Kolonna12885</t>
  </si>
  <si>
    <t>Kolonna12886</t>
  </si>
  <si>
    <t>Kolonna12887</t>
  </si>
  <si>
    <t>Kolonna12888</t>
  </si>
  <si>
    <t>Kolonna12889</t>
  </si>
  <si>
    <t>Kolonna12890</t>
  </si>
  <si>
    <t>Kolonna12891</t>
  </si>
  <si>
    <t>Kolonna12892</t>
  </si>
  <si>
    <t>Kolonna12893</t>
  </si>
  <si>
    <t>Kolonna12894</t>
  </si>
  <si>
    <t>Kolonna12895</t>
  </si>
  <si>
    <t>Kolonna12896</t>
  </si>
  <si>
    <t>Kolonna12897</t>
  </si>
  <si>
    <t>Kolonna12898</t>
  </si>
  <si>
    <t>Kolonna12899</t>
  </si>
  <si>
    <t>Kolonna12900</t>
  </si>
  <si>
    <t>Kolonna12901</t>
  </si>
  <si>
    <t>Kolonna12902</t>
  </si>
  <si>
    <t>Kolonna12903</t>
  </si>
  <si>
    <t>Kolonna12904</t>
  </si>
  <si>
    <t>Kolonna12905</t>
  </si>
  <si>
    <t>Kolonna12906</t>
  </si>
  <si>
    <t>Kolonna12907</t>
  </si>
  <si>
    <t>Kolonna12908</t>
  </si>
  <si>
    <t>Kolonna12909</t>
  </si>
  <si>
    <t>Kolonna12910</t>
  </si>
  <si>
    <t>Kolonna12911</t>
  </si>
  <si>
    <t>Kolonna12912</t>
  </si>
  <si>
    <t>Kolonna12913</t>
  </si>
  <si>
    <t>Kolonna12914</t>
  </si>
  <si>
    <t>Kolonna12915</t>
  </si>
  <si>
    <t>Kolonna12916</t>
  </si>
  <si>
    <t>Kolonna12917</t>
  </si>
  <si>
    <t>Kolonna12918</t>
  </si>
  <si>
    <t>Kolonna12919</t>
  </si>
  <si>
    <t>Kolonna12920</t>
  </si>
  <si>
    <t>Kolonna12921</t>
  </si>
  <si>
    <t>Kolonna12922</t>
  </si>
  <si>
    <t>Kolonna12923</t>
  </si>
  <si>
    <t>Kolonna12924</t>
  </si>
  <si>
    <t>Kolonna12925</t>
  </si>
  <si>
    <t>Kolonna12926</t>
  </si>
  <si>
    <t>Kolonna12927</t>
  </si>
  <si>
    <t>Kolonna12928</t>
  </si>
  <si>
    <t>Kolonna12929</t>
  </si>
  <si>
    <t>Kolonna12930</t>
  </si>
  <si>
    <t>Kolonna12931</t>
  </si>
  <si>
    <t>Kolonna12932</t>
  </si>
  <si>
    <t>Kolonna12933</t>
  </si>
  <si>
    <t>Kolonna12934</t>
  </si>
  <si>
    <t>Kolonna12935</t>
  </si>
  <si>
    <t>Kolonna12936</t>
  </si>
  <si>
    <t>Kolonna12937</t>
  </si>
  <si>
    <t>Kolonna12938</t>
  </si>
  <si>
    <t>Kolonna12939</t>
  </si>
  <si>
    <t>Kolonna12940</t>
  </si>
  <si>
    <t>Kolonna12941</t>
  </si>
  <si>
    <t>Kolonna12942</t>
  </si>
  <si>
    <t>Kolonna12943</t>
  </si>
  <si>
    <t>Kolonna12944</t>
  </si>
  <si>
    <t>Kolonna12945</t>
  </si>
  <si>
    <t>Kolonna12946</t>
  </si>
  <si>
    <t>Kolonna12947</t>
  </si>
  <si>
    <t>Kolonna12948</t>
  </si>
  <si>
    <t>Kolonna12949</t>
  </si>
  <si>
    <t>Kolonna12950</t>
  </si>
  <si>
    <t>Kolonna12951</t>
  </si>
  <si>
    <t>Kolonna12952</t>
  </si>
  <si>
    <t>Kolonna12953</t>
  </si>
  <si>
    <t>Kolonna12954</t>
  </si>
  <si>
    <t>Kolonna12955</t>
  </si>
  <si>
    <t>Kolonna12956</t>
  </si>
  <si>
    <t>Kolonna12957</t>
  </si>
  <si>
    <t>Kolonna12958</t>
  </si>
  <si>
    <t>Kolonna12959</t>
  </si>
  <si>
    <t>Kolonna12960</t>
  </si>
  <si>
    <t>Kolonna12961</t>
  </si>
  <si>
    <t>Kolonna12962</t>
  </si>
  <si>
    <t>Kolonna12963</t>
  </si>
  <si>
    <t>Kolonna12964</t>
  </si>
  <si>
    <t>Kolonna12965</t>
  </si>
  <si>
    <t>Kolonna12966</t>
  </si>
  <si>
    <t>Kolonna12967</t>
  </si>
  <si>
    <t>Kolonna12968</t>
  </si>
  <si>
    <t>Kolonna12969</t>
  </si>
  <si>
    <t>Kolonna12970</t>
  </si>
  <si>
    <t>Kolonna12971</t>
  </si>
  <si>
    <t>Kolonna12972</t>
  </si>
  <si>
    <t>Kolonna12973</t>
  </si>
  <si>
    <t>Kolonna12974</t>
  </si>
  <si>
    <t>Kolonna12975</t>
  </si>
  <si>
    <t>Kolonna12976</t>
  </si>
  <si>
    <t>Kolonna12977</t>
  </si>
  <si>
    <t>Kolonna12978</t>
  </si>
  <si>
    <t>Kolonna12979</t>
  </si>
  <si>
    <t>Kolonna12980</t>
  </si>
  <si>
    <t>Kolonna12981</t>
  </si>
  <si>
    <t>Kolonna12982</t>
  </si>
  <si>
    <t>Kolonna12983</t>
  </si>
  <si>
    <t>Kolonna12984</t>
  </si>
  <si>
    <t>Kolonna12985</t>
  </si>
  <si>
    <t>Kolonna12986</t>
  </si>
  <si>
    <t>Kolonna12987</t>
  </si>
  <si>
    <t>Kolonna12988</t>
  </si>
  <si>
    <t>Kolonna12989</t>
  </si>
  <si>
    <t>Kolonna12990</t>
  </si>
  <si>
    <t>Kolonna12991</t>
  </si>
  <si>
    <t>Kolonna12992</t>
  </si>
  <si>
    <t>Kolonna12993</t>
  </si>
  <si>
    <t>Kolonna12994</t>
  </si>
  <si>
    <t>Kolonna12995</t>
  </si>
  <si>
    <t>Kolonna12996</t>
  </si>
  <si>
    <t>Kolonna12997</t>
  </si>
  <si>
    <t>Kolonna12998</t>
  </si>
  <si>
    <t>Kolonna12999</t>
  </si>
  <si>
    <t>Kolonna13000</t>
  </si>
  <si>
    <t>Kolonna13001</t>
  </si>
  <si>
    <t>Kolonna13002</t>
  </si>
  <si>
    <t>Kolonna13003</t>
  </si>
  <si>
    <t>Kolonna13004</t>
  </si>
  <si>
    <t>Kolonna13005</t>
  </si>
  <si>
    <t>Kolonna13006</t>
  </si>
  <si>
    <t>Kolonna13007</t>
  </si>
  <si>
    <t>Kolonna13008</t>
  </si>
  <si>
    <t>Kolonna13009</t>
  </si>
  <si>
    <t>Kolonna13010</t>
  </si>
  <si>
    <t>Kolonna13011</t>
  </si>
  <si>
    <t>Kolonna13012</t>
  </si>
  <si>
    <t>Kolonna13013</t>
  </si>
  <si>
    <t>Kolonna13014</t>
  </si>
  <si>
    <t>Kolonna13015</t>
  </si>
  <si>
    <t>Kolonna13016</t>
  </si>
  <si>
    <t>Kolonna13017</t>
  </si>
  <si>
    <t>Kolonna13018</t>
  </si>
  <si>
    <t>Kolonna13019</t>
  </si>
  <si>
    <t>Kolonna13020</t>
  </si>
  <si>
    <t>Kolonna13021</t>
  </si>
  <si>
    <t>Kolonna13022</t>
  </si>
  <si>
    <t>Kolonna13023</t>
  </si>
  <si>
    <t>Kolonna13024</t>
  </si>
  <si>
    <t>Kolonna13025</t>
  </si>
  <si>
    <t>Kolonna13026</t>
  </si>
  <si>
    <t>Kolonna13027</t>
  </si>
  <si>
    <t>Kolonna13028</t>
  </si>
  <si>
    <t>Kolonna13029</t>
  </si>
  <si>
    <t>Kolonna13030</t>
  </si>
  <si>
    <t>Kolonna13031</t>
  </si>
  <si>
    <t>Kolonna13032</t>
  </si>
  <si>
    <t>Kolonna13033</t>
  </si>
  <si>
    <t>Kolonna13034</t>
  </si>
  <si>
    <t>Kolonna13035</t>
  </si>
  <si>
    <t>Kolonna13036</t>
  </si>
  <si>
    <t>Kolonna13037</t>
  </si>
  <si>
    <t>Kolonna13038</t>
  </si>
  <si>
    <t>Kolonna13039</t>
  </si>
  <si>
    <t>Kolonna13040</t>
  </si>
  <si>
    <t>Kolonna13041</t>
  </si>
  <si>
    <t>Kolonna13042</t>
  </si>
  <si>
    <t>Kolonna13043</t>
  </si>
  <si>
    <t>Kolonna13044</t>
  </si>
  <si>
    <t>Kolonna13045</t>
  </si>
  <si>
    <t>Kolonna13046</t>
  </si>
  <si>
    <t>Kolonna13047</t>
  </si>
  <si>
    <t>Kolonna13048</t>
  </si>
  <si>
    <t>Kolonna13049</t>
  </si>
  <si>
    <t>Kolonna13050</t>
  </si>
  <si>
    <t>Kolonna13051</t>
  </si>
  <si>
    <t>Kolonna13052</t>
  </si>
  <si>
    <t>Kolonna13053</t>
  </si>
  <si>
    <t>Kolonna13054</t>
  </si>
  <si>
    <t>Kolonna13055</t>
  </si>
  <si>
    <t>Kolonna13056</t>
  </si>
  <si>
    <t>Kolonna13057</t>
  </si>
  <si>
    <t>Kolonna13058</t>
  </si>
  <si>
    <t>Kolonna13059</t>
  </si>
  <si>
    <t>Kolonna13060</t>
  </si>
  <si>
    <t>Kolonna13061</t>
  </si>
  <si>
    <t>Kolonna13062</t>
  </si>
  <si>
    <t>Kolonna13063</t>
  </si>
  <si>
    <t>Kolonna13064</t>
  </si>
  <si>
    <t>Kolonna13065</t>
  </si>
  <si>
    <t>Kolonna13066</t>
  </si>
  <si>
    <t>Kolonna13067</t>
  </si>
  <si>
    <t>Kolonna13068</t>
  </si>
  <si>
    <t>Kolonna13069</t>
  </si>
  <si>
    <t>Kolonna13070</t>
  </si>
  <si>
    <t>Kolonna13071</t>
  </si>
  <si>
    <t>Kolonna13072</t>
  </si>
  <si>
    <t>Kolonna13073</t>
  </si>
  <si>
    <t>Kolonna13074</t>
  </si>
  <si>
    <t>Kolonna13075</t>
  </si>
  <si>
    <t>Kolonna13076</t>
  </si>
  <si>
    <t>Kolonna13077</t>
  </si>
  <si>
    <t>Kolonna13078</t>
  </si>
  <si>
    <t>Kolonna13079</t>
  </si>
  <si>
    <t>Kolonna13080</t>
  </si>
  <si>
    <t>Kolonna13081</t>
  </si>
  <si>
    <t>Kolonna13082</t>
  </si>
  <si>
    <t>Kolonna13083</t>
  </si>
  <si>
    <t>Kolonna13084</t>
  </si>
  <si>
    <t>Kolonna13085</t>
  </si>
  <si>
    <t>Kolonna13086</t>
  </si>
  <si>
    <t>Kolonna13087</t>
  </si>
  <si>
    <t>Kolonna13088</t>
  </si>
  <si>
    <t>Kolonna13089</t>
  </si>
  <si>
    <t>Kolonna13090</t>
  </si>
  <si>
    <t>Kolonna13091</t>
  </si>
  <si>
    <t>Kolonna13092</t>
  </si>
  <si>
    <t>Kolonna13093</t>
  </si>
  <si>
    <t>Kolonna13094</t>
  </si>
  <si>
    <t>Kolonna13095</t>
  </si>
  <si>
    <t>Kolonna13096</t>
  </si>
  <si>
    <t>Kolonna13097</t>
  </si>
  <si>
    <t>Kolonna13098</t>
  </si>
  <si>
    <t>Kolonna13099</t>
  </si>
  <si>
    <t>Kolonna13100</t>
  </si>
  <si>
    <t>Kolonna13101</t>
  </si>
  <si>
    <t>Kolonna13102</t>
  </si>
  <si>
    <t>Kolonna13103</t>
  </si>
  <si>
    <t>Kolonna13104</t>
  </si>
  <si>
    <t>Kolonna13105</t>
  </si>
  <si>
    <t>Kolonna13106</t>
  </si>
  <si>
    <t>Kolonna13107</t>
  </si>
  <si>
    <t>Kolonna13108</t>
  </si>
  <si>
    <t>Kolonna13109</t>
  </si>
  <si>
    <t>Kolonna13110</t>
  </si>
  <si>
    <t>Kolonna13111</t>
  </si>
  <si>
    <t>Kolonna13112</t>
  </si>
  <si>
    <t>Kolonna13113</t>
  </si>
  <si>
    <t>Kolonna13114</t>
  </si>
  <si>
    <t>Kolonna13115</t>
  </si>
  <si>
    <t>Kolonna13116</t>
  </si>
  <si>
    <t>Kolonna13117</t>
  </si>
  <si>
    <t>Kolonna13118</t>
  </si>
  <si>
    <t>Kolonna13119</t>
  </si>
  <si>
    <t>Kolonna13120</t>
  </si>
  <si>
    <t>Kolonna13121</t>
  </si>
  <si>
    <t>Kolonna13122</t>
  </si>
  <si>
    <t>Kolonna13123</t>
  </si>
  <si>
    <t>Kolonna13124</t>
  </si>
  <si>
    <t>Kolonna13125</t>
  </si>
  <si>
    <t>Kolonna13126</t>
  </si>
  <si>
    <t>Kolonna13127</t>
  </si>
  <si>
    <t>Kolonna13128</t>
  </si>
  <si>
    <t>Kolonna13129</t>
  </si>
  <si>
    <t>Kolonna13130</t>
  </si>
  <si>
    <t>Kolonna13131</t>
  </si>
  <si>
    <t>Kolonna13132</t>
  </si>
  <si>
    <t>Kolonna13133</t>
  </si>
  <si>
    <t>Kolonna13134</t>
  </si>
  <si>
    <t>Kolonna13135</t>
  </si>
  <si>
    <t>Kolonna13136</t>
  </si>
  <si>
    <t>Kolonna13137</t>
  </si>
  <si>
    <t>Kolonna13138</t>
  </si>
  <si>
    <t>Kolonna13139</t>
  </si>
  <si>
    <t>Kolonna13140</t>
  </si>
  <si>
    <t>Kolonna13141</t>
  </si>
  <si>
    <t>Kolonna13142</t>
  </si>
  <si>
    <t>Kolonna13143</t>
  </si>
  <si>
    <t>Kolonna13144</t>
  </si>
  <si>
    <t>Kolonna13145</t>
  </si>
  <si>
    <t>Kolonna13146</t>
  </si>
  <si>
    <t>Kolonna13147</t>
  </si>
  <si>
    <t>Kolonna13148</t>
  </si>
  <si>
    <t>Kolonna13149</t>
  </si>
  <si>
    <t>Kolonna13150</t>
  </si>
  <si>
    <t>Kolonna13151</t>
  </si>
  <si>
    <t>Kolonna13152</t>
  </si>
  <si>
    <t>Kolonna13153</t>
  </si>
  <si>
    <t>Kolonna13154</t>
  </si>
  <si>
    <t>Kolonna13155</t>
  </si>
  <si>
    <t>Kolonna13156</t>
  </si>
  <si>
    <t>Kolonna13157</t>
  </si>
  <si>
    <t>Kolonna13158</t>
  </si>
  <si>
    <t>Kolonna13159</t>
  </si>
  <si>
    <t>Kolonna13160</t>
  </si>
  <si>
    <t>Kolonna13161</t>
  </si>
  <si>
    <t>Kolonna13162</t>
  </si>
  <si>
    <t>Kolonna13163</t>
  </si>
  <si>
    <t>Kolonna13164</t>
  </si>
  <si>
    <t>Kolonna13165</t>
  </si>
  <si>
    <t>Kolonna13166</t>
  </si>
  <si>
    <t>Kolonna13167</t>
  </si>
  <si>
    <t>Kolonna13168</t>
  </si>
  <si>
    <t>Kolonna13169</t>
  </si>
  <si>
    <t>Kolonna13170</t>
  </si>
  <si>
    <t>Kolonna13171</t>
  </si>
  <si>
    <t>Kolonna13172</t>
  </si>
  <si>
    <t>Kolonna13173</t>
  </si>
  <si>
    <t>Kolonna13174</t>
  </si>
  <si>
    <t>Kolonna13175</t>
  </si>
  <si>
    <t>Kolonna13176</t>
  </si>
  <si>
    <t>Kolonna13177</t>
  </si>
  <si>
    <t>Kolonna13178</t>
  </si>
  <si>
    <t>Kolonna13179</t>
  </si>
  <si>
    <t>Kolonna13180</t>
  </si>
  <si>
    <t>Kolonna13181</t>
  </si>
  <si>
    <t>Kolonna13182</t>
  </si>
  <si>
    <t>Kolonna13183</t>
  </si>
  <si>
    <t>Kolonna13184</t>
  </si>
  <si>
    <t>Kolonna13185</t>
  </si>
  <si>
    <t>Kolonna13186</t>
  </si>
  <si>
    <t>Kolonna13187</t>
  </si>
  <si>
    <t>Kolonna13188</t>
  </si>
  <si>
    <t>Kolonna13189</t>
  </si>
  <si>
    <t>Kolonna13190</t>
  </si>
  <si>
    <t>Kolonna13191</t>
  </si>
  <si>
    <t>Kolonna13192</t>
  </si>
  <si>
    <t>Kolonna13193</t>
  </si>
  <si>
    <t>Kolonna13194</t>
  </si>
  <si>
    <t>Kolonna13195</t>
  </si>
  <si>
    <t>Kolonna13196</t>
  </si>
  <si>
    <t>Kolonna13197</t>
  </si>
  <si>
    <t>Kolonna13198</t>
  </si>
  <si>
    <t>Kolonna13199</t>
  </si>
  <si>
    <t>Kolonna13200</t>
  </si>
  <si>
    <t>Kolonna13201</t>
  </si>
  <si>
    <t>Kolonna13202</t>
  </si>
  <si>
    <t>Kolonna13203</t>
  </si>
  <si>
    <t>Kolonna13204</t>
  </si>
  <si>
    <t>Kolonna13205</t>
  </si>
  <si>
    <t>Kolonna13206</t>
  </si>
  <si>
    <t>Kolonna13207</t>
  </si>
  <si>
    <t>Kolonna13208</t>
  </si>
  <si>
    <t>Kolonna13209</t>
  </si>
  <si>
    <t>Kolonna13210</t>
  </si>
  <si>
    <t>Kolonna13211</t>
  </si>
  <si>
    <t>Kolonna13212</t>
  </si>
  <si>
    <t>Kolonna13213</t>
  </si>
  <si>
    <t>Kolonna13214</t>
  </si>
  <si>
    <t>Kolonna13215</t>
  </si>
  <si>
    <t>Kolonna13216</t>
  </si>
  <si>
    <t>Kolonna13217</t>
  </si>
  <si>
    <t>Kolonna13218</t>
  </si>
  <si>
    <t>Kolonna13219</t>
  </si>
  <si>
    <t>Kolonna13220</t>
  </si>
  <si>
    <t>Kolonna13221</t>
  </si>
  <si>
    <t>Kolonna13222</t>
  </si>
  <si>
    <t>Kolonna13223</t>
  </si>
  <si>
    <t>Kolonna13224</t>
  </si>
  <si>
    <t>Kolonna13225</t>
  </si>
  <si>
    <t>Kolonna13226</t>
  </si>
  <si>
    <t>Kolonna13227</t>
  </si>
  <si>
    <t>Kolonna13228</t>
  </si>
  <si>
    <t>Kolonna13229</t>
  </si>
  <si>
    <t>Kolonna13230</t>
  </si>
  <si>
    <t>Kolonna13231</t>
  </si>
  <si>
    <t>Kolonna13232</t>
  </si>
  <si>
    <t>Kolonna13233</t>
  </si>
  <si>
    <t>Kolonna13234</t>
  </si>
  <si>
    <t>Kolonna13235</t>
  </si>
  <si>
    <t>Kolonna13236</t>
  </si>
  <si>
    <t>Kolonna13237</t>
  </si>
  <si>
    <t>Kolonna13238</t>
  </si>
  <si>
    <t>Kolonna13239</t>
  </si>
  <si>
    <t>Kolonna13240</t>
  </si>
  <si>
    <t>Kolonna13241</t>
  </si>
  <si>
    <t>Kolonna13242</t>
  </si>
  <si>
    <t>Kolonna13243</t>
  </si>
  <si>
    <t>Kolonna13244</t>
  </si>
  <si>
    <t>Kolonna13245</t>
  </si>
  <si>
    <t>Kolonna13246</t>
  </si>
  <si>
    <t>Kolonna13247</t>
  </si>
  <si>
    <t>Kolonna13248</t>
  </si>
  <si>
    <t>Kolonna13249</t>
  </si>
  <si>
    <t>Kolonna13250</t>
  </si>
  <si>
    <t>Kolonna13251</t>
  </si>
  <si>
    <t>Kolonna13252</t>
  </si>
  <si>
    <t>Kolonna13253</t>
  </si>
  <si>
    <t>Kolonna13254</t>
  </si>
  <si>
    <t>Kolonna13255</t>
  </si>
  <si>
    <t>Kolonna13256</t>
  </si>
  <si>
    <t>Kolonna13257</t>
  </si>
  <si>
    <t>Kolonna13258</t>
  </si>
  <si>
    <t>Kolonna13259</t>
  </si>
  <si>
    <t>Kolonna13260</t>
  </si>
  <si>
    <t>Kolonna13261</t>
  </si>
  <si>
    <t>Kolonna13262</t>
  </si>
  <si>
    <t>Kolonna13263</t>
  </si>
  <si>
    <t>Kolonna13264</t>
  </si>
  <si>
    <t>Kolonna13265</t>
  </si>
  <si>
    <t>Kolonna13266</t>
  </si>
  <si>
    <t>Kolonna13267</t>
  </si>
  <si>
    <t>Kolonna13268</t>
  </si>
  <si>
    <t>Kolonna13269</t>
  </si>
  <si>
    <t>Kolonna13270</t>
  </si>
  <si>
    <t>Kolonna13271</t>
  </si>
  <si>
    <t>Kolonna13272</t>
  </si>
  <si>
    <t>Kolonna13273</t>
  </si>
  <si>
    <t>Kolonna13274</t>
  </si>
  <si>
    <t>Kolonna13275</t>
  </si>
  <si>
    <t>Kolonna13276</t>
  </si>
  <si>
    <t>Kolonna13277</t>
  </si>
  <si>
    <t>Kolonna13278</t>
  </si>
  <si>
    <t>Kolonna13279</t>
  </si>
  <si>
    <t>Kolonna13280</t>
  </si>
  <si>
    <t>Kolonna13281</t>
  </si>
  <si>
    <t>Kolonna13282</t>
  </si>
  <si>
    <t>Kolonna13283</t>
  </si>
  <si>
    <t>Kolonna13284</t>
  </si>
  <si>
    <t>Kolonna13285</t>
  </si>
  <si>
    <t>Kolonna13286</t>
  </si>
  <si>
    <t>Kolonna13287</t>
  </si>
  <si>
    <t>Kolonna13288</t>
  </si>
  <si>
    <t>Kolonna13289</t>
  </si>
  <si>
    <t>Kolonna13290</t>
  </si>
  <si>
    <t>Kolonna13291</t>
  </si>
  <si>
    <t>Kolonna13292</t>
  </si>
  <si>
    <t>Kolonna13293</t>
  </si>
  <si>
    <t>Kolonna13294</t>
  </si>
  <si>
    <t>Kolonna13295</t>
  </si>
  <si>
    <t>Kolonna13296</t>
  </si>
  <si>
    <t>Kolonna13297</t>
  </si>
  <si>
    <t>Kolonna13298</t>
  </si>
  <si>
    <t>Kolonna13299</t>
  </si>
  <si>
    <t>Kolonna13300</t>
  </si>
  <si>
    <t>Kolonna13301</t>
  </si>
  <si>
    <t>Kolonna13302</t>
  </si>
  <si>
    <t>Kolonna13303</t>
  </si>
  <si>
    <t>Kolonna13304</t>
  </si>
  <si>
    <t>Kolonna13305</t>
  </si>
  <si>
    <t>Kolonna13306</t>
  </si>
  <si>
    <t>Kolonna13307</t>
  </si>
  <si>
    <t>Kolonna13308</t>
  </si>
  <si>
    <t>Kolonna13309</t>
  </si>
  <si>
    <t>Kolonna13310</t>
  </si>
  <si>
    <t>Kolonna13311</t>
  </si>
  <si>
    <t>Kolonna13312</t>
  </si>
  <si>
    <t>Kolonna13313</t>
  </si>
  <si>
    <t>Kolonna13314</t>
  </si>
  <si>
    <t>Kolonna13315</t>
  </si>
  <si>
    <t>Kolonna13316</t>
  </si>
  <si>
    <t>Kolonna13317</t>
  </si>
  <si>
    <t>Kolonna13318</t>
  </si>
  <si>
    <t>Kolonna13319</t>
  </si>
  <si>
    <t>Kolonna13320</t>
  </si>
  <si>
    <t>Kolonna13321</t>
  </si>
  <si>
    <t>Kolonna13322</t>
  </si>
  <si>
    <t>Kolonna13323</t>
  </si>
  <si>
    <t>Kolonna13324</t>
  </si>
  <si>
    <t>Kolonna13325</t>
  </si>
  <si>
    <t>Kolonna13326</t>
  </si>
  <si>
    <t>Kolonna13327</t>
  </si>
  <si>
    <t>Kolonna13328</t>
  </si>
  <si>
    <t>Kolonna13329</t>
  </si>
  <si>
    <t>Kolonna13330</t>
  </si>
  <si>
    <t>Kolonna13331</t>
  </si>
  <si>
    <t>Kolonna13332</t>
  </si>
  <si>
    <t>Kolonna13333</t>
  </si>
  <si>
    <t>Kolonna13334</t>
  </si>
  <si>
    <t>Kolonna13335</t>
  </si>
  <si>
    <t>Kolonna13336</t>
  </si>
  <si>
    <t>Kolonna13337</t>
  </si>
  <si>
    <t>Kolonna13338</t>
  </si>
  <si>
    <t>Kolonna13339</t>
  </si>
  <si>
    <t>Kolonna13340</t>
  </si>
  <si>
    <t>Kolonna13341</t>
  </si>
  <si>
    <t>Kolonna13342</t>
  </si>
  <si>
    <t>Kolonna13343</t>
  </si>
  <si>
    <t>Kolonna13344</t>
  </si>
  <si>
    <t>Kolonna13345</t>
  </si>
  <si>
    <t>Kolonna13346</t>
  </si>
  <si>
    <t>Kolonna13347</t>
  </si>
  <si>
    <t>Kolonna13348</t>
  </si>
  <si>
    <t>Kolonna13349</t>
  </si>
  <si>
    <t>Kolonna13350</t>
  </si>
  <si>
    <t>Kolonna13351</t>
  </si>
  <si>
    <t>Kolonna13352</t>
  </si>
  <si>
    <t>Kolonna13353</t>
  </si>
  <si>
    <t>Kolonna13354</t>
  </si>
  <si>
    <t>Kolonna13355</t>
  </si>
  <si>
    <t>Kolonna13356</t>
  </si>
  <si>
    <t>Kolonna13357</t>
  </si>
  <si>
    <t>Kolonna13358</t>
  </si>
  <si>
    <t>Kolonna13359</t>
  </si>
  <si>
    <t>Kolonna13360</t>
  </si>
  <si>
    <t>Kolonna13361</t>
  </si>
  <si>
    <t>Kolonna13362</t>
  </si>
  <si>
    <t>Kolonna13363</t>
  </si>
  <si>
    <t>Kolonna13364</t>
  </si>
  <si>
    <t>Kolonna13365</t>
  </si>
  <si>
    <t>Kolonna13366</t>
  </si>
  <si>
    <t>Kolonna13367</t>
  </si>
  <si>
    <t>Kolonna13368</t>
  </si>
  <si>
    <t>Kolonna13369</t>
  </si>
  <si>
    <t>Kolonna13370</t>
  </si>
  <si>
    <t>Kolonna13371</t>
  </si>
  <si>
    <t>Kolonna13372</t>
  </si>
  <si>
    <t>Kolonna13373</t>
  </si>
  <si>
    <t>Kolonna13374</t>
  </si>
  <si>
    <t>Kolonna13375</t>
  </si>
  <si>
    <t>Kolonna13376</t>
  </si>
  <si>
    <t>Kolonna13377</t>
  </si>
  <si>
    <t>Kolonna13378</t>
  </si>
  <si>
    <t>Kolonna13379</t>
  </si>
  <si>
    <t>Kolonna13380</t>
  </si>
  <si>
    <t>Kolonna13381</t>
  </si>
  <si>
    <t>Kolonna13382</t>
  </si>
  <si>
    <t>Kolonna13383</t>
  </si>
  <si>
    <t>Kolonna13384</t>
  </si>
  <si>
    <t>Kolonna13385</t>
  </si>
  <si>
    <t>Kolonna13386</t>
  </si>
  <si>
    <t>Kolonna13387</t>
  </si>
  <si>
    <t>Kolonna13388</t>
  </si>
  <si>
    <t>Kolonna13389</t>
  </si>
  <si>
    <t>Kolonna13390</t>
  </si>
  <si>
    <t>Kolonna13391</t>
  </si>
  <si>
    <t>Kolonna13392</t>
  </si>
  <si>
    <t>Kolonna13393</t>
  </si>
  <si>
    <t>Kolonna13394</t>
  </si>
  <si>
    <t>Kolonna13395</t>
  </si>
  <si>
    <t>Kolonna13396</t>
  </si>
  <si>
    <t>Kolonna13397</t>
  </si>
  <si>
    <t>Kolonna13398</t>
  </si>
  <si>
    <t>Kolonna13399</t>
  </si>
  <si>
    <t>Kolonna13400</t>
  </si>
  <si>
    <t>Kolonna13401</t>
  </si>
  <si>
    <t>Kolonna13402</t>
  </si>
  <si>
    <t>Kolonna13403</t>
  </si>
  <si>
    <t>Kolonna13404</t>
  </si>
  <si>
    <t>Kolonna13405</t>
  </si>
  <si>
    <t>Kolonna13406</t>
  </si>
  <si>
    <t>Kolonna13407</t>
  </si>
  <si>
    <t>Kolonna13408</t>
  </si>
  <si>
    <t>Kolonna13409</t>
  </si>
  <si>
    <t>Kolonna13410</t>
  </si>
  <si>
    <t>Kolonna13411</t>
  </si>
  <si>
    <t>Kolonna13412</t>
  </si>
  <si>
    <t>Kolonna13413</t>
  </si>
  <si>
    <t>Kolonna13414</t>
  </si>
  <si>
    <t>Kolonna13415</t>
  </si>
  <si>
    <t>Kolonna13416</t>
  </si>
  <si>
    <t>Kolonna13417</t>
  </si>
  <si>
    <t>Kolonna13418</t>
  </si>
  <si>
    <t>Kolonna13419</t>
  </si>
  <si>
    <t>Kolonna13420</t>
  </si>
  <si>
    <t>Kolonna13421</t>
  </si>
  <si>
    <t>Kolonna13422</t>
  </si>
  <si>
    <t>Kolonna13423</t>
  </si>
  <si>
    <t>Kolonna13424</t>
  </si>
  <si>
    <t>Kolonna13425</t>
  </si>
  <si>
    <t>Kolonna13426</t>
  </si>
  <si>
    <t>Kolonna13427</t>
  </si>
  <si>
    <t>Kolonna13428</t>
  </si>
  <si>
    <t>Kolonna13429</t>
  </si>
  <si>
    <t>Kolonna13430</t>
  </si>
  <si>
    <t>Kolonna13431</t>
  </si>
  <si>
    <t>Kolonna13432</t>
  </si>
  <si>
    <t>Kolonna13433</t>
  </si>
  <si>
    <t>Kolonna13434</t>
  </si>
  <si>
    <t>Kolonna13435</t>
  </si>
  <si>
    <t>Kolonna13436</t>
  </si>
  <si>
    <t>Kolonna13437</t>
  </si>
  <si>
    <t>Kolonna13438</t>
  </si>
  <si>
    <t>Kolonna13439</t>
  </si>
  <si>
    <t>Kolonna13440</t>
  </si>
  <si>
    <t>Kolonna13441</t>
  </si>
  <si>
    <t>Kolonna13442</t>
  </si>
  <si>
    <t>Kolonna13443</t>
  </si>
  <si>
    <t>Kolonna13444</t>
  </si>
  <si>
    <t>Kolonna13445</t>
  </si>
  <si>
    <t>Kolonna13446</t>
  </si>
  <si>
    <t>Kolonna13447</t>
  </si>
  <si>
    <t>Kolonna13448</t>
  </si>
  <si>
    <t>Kolonna13449</t>
  </si>
  <si>
    <t>Kolonna13450</t>
  </si>
  <si>
    <t>Kolonna13451</t>
  </si>
  <si>
    <t>Kolonna13452</t>
  </si>
  <si>
    <t>Kolonna13453</t>
  </si>
  <si>
    <t>Kolonna13454</t>
  </si>
  <si>
    <t>Kolonna13455</t>
  </si>
  <si>
    <t>Kolonna13456</t>
  </si>
  <si>
    <t>Kolonna13457</t>
  </si>
  <si>
    <t>Kolonna13458</t>
  </si>
  <si>
    <t>Kolonna13459</t>
  </si>
  <si>
    <t>Kolonna13460</t>
  </si>
  <si>
    <t>Kolonna13461</t>
  </si>
  <si>
    <t>Kolonna13462</t>
  </si>
  <si>
    <t>Kolonna13463</t>
  </si>
  <si>
    <t>Kolonna13464</t>
  </si>
  <si>
    <t>Kolonna13465</t>
  </si>
  <si>
    <t>Kolonna13466</t>
  </si>
  <si>
    <t>Kolonna13467</t>
  </si>
  <si>
    <t>Kolonna13468</t>
  </si>
  <si>
    <t>Kolonna13469</t>
  </si>
  <si>
    <t>Kolonna13470</t>
  </si>
  <si>
    <t>Kolonna13471</t>
  </si>
  <si>
    <t>Kolonna13472</t>
  </si>
  <si>
    <t>Kolonna13473</t>
  </si>
  <si>
    <t>Kolonna13474</t>
  </si>
  <si>
    <t>Kolonna13475</t>
  </si>
  <si>
    <t>Kolonna13476</t>
  </si>
  <si>
    <t>Kolonna13477</t>
  </si>
  <si>
    <t>Kolonna13478</t>
  </si>
  <si>
    <t>Kolonna13479</t>
  </si>
  <si>
    <t>Kolonna13480</t>
  </si>
  <si>
    <t>Kolonna13481</t>
  </si>
  <si>
    <t>Kolonna13482</t>
  </si>
  <si>
    <t>Kolonna13483</t>
  </si>
  <si>
    <t>Kolonna13484</t>
  </si>
  <si>
    <t>Kolonna13485</t>
  </si>
  <si>
    <t>Kolonna13486</t>
  </si>
  <si>
    <t>Kolonna13487</t>
  </si>
  <si>
    <t>Kolonna13488</t>
  </si>
  <si>
    <t>Kolonna13489</t>
  </si>
  <si>
    <t>Kolonna13490</t>
  </si>
  <si>
    <t>Kolonna13491</t>
  </si>
  <si>
    <t>Kolonna13492</t>
  </si>
  <si>
    <t>Kolonna13493</t>
  </si>
  <si>
    <t>Kolonna13494</t>
  </si>
  <si>
    <t>Kolonna13495</t>
  </si>
  <si>
    <t>Kolonna13496</t>
  </si>
  <si>
    <t>Kolonna13497</t>
  </si>
  <si>
    <t>Kolonna13498</t>
  </si>
  <si>
    <t>Kolonna13499</t>
  </si>
  <si>
    <t>Kolonna13500</t>
  </si>
  <si>
    <t>Kolonna13501</t>
  </si>
  <si>
    <t>Kolonna13502</t>
  </si>
  <si>
    <t>Kolonna13503</t>
  </si>
  <si>
    <t>Kolonna13504</t>
  </si>
  <si>
    <t>Kolonna13505</t>
  </si>
  <si>
    <t>Kolonna13506</t>
  </si>
  <si>
    <t>Kolonna13507</t>
  </si>
  <si>
    <t>Kolonna13508</t>
  </si>
  <si>
    <t>Kolonna13509</t>
  </si>
  <si>
    <t>Kolonna13510</t>
  </si>
  <si>
    <t>Kolonna13511</t>
  </si>
  <si>
    <t>Kolonna13512</t>
  </si>
  <si>
    <t>Kolonna13513</t>
  </si>
  <si>
    <t>Kolonna13514</t>
  </si>
  <si>
    <t>Kolonna13515</t>
  </si>
  <si>
    <t>Kolonna13516</t>
  </si>
  <si>
    <t>Kolonna13517</t>
  </si>
  <si>
    <t>Kolonna13518</t>
  </si>
  <si>
    <t>Kolonna13519</t>
  </si>
  <si>
    <t>Kolonna13520</t>
  </si>
  <si>
    <t>Kolonna13521</t>
  </si>
  <si>
    <t>Kolonna13522</t>
  </si>
  <si>
    <t>Kolonna13523</t>
  </si>
  <si>
    <t>Kolonna13524</t>
  </si>
  <si>
    <t>Kolonna13525</t>
  </si>
  <si>
    <t>Kolonna13526</t>
  </si>
  <si>
    <t>Kolonna13527</t>
  </si>
  <si>
    <t>Kolonna13528</t>
  </si>
  <si>
    <t>Kolonna13529</t>
  </si>
  <si>
    <t>Kolonna13530</t>
  </si>
  <si>
    <t>Kolonna13531</t>
  </si>
  <si>
    <t>Kolonna13532</t>
  </si>
  <si>
    <t>Kolonna13533</t>
  </si>
  <si>
    <t>Kolonna13534</t>
  </si>
  <si>
    <t>Kolonna13535</t>
  </si>
  <si>
    <t>Kolonna13536</t>
  </si>
  <si>
    <t>Kolonna13537</t>
  </si>
  <si>
    <t>Kolonna13538</t>
  </si>
  <si>
    <t>Kolonna13539</t>
  </si>
  <si>
    <t>Kolonna13540</t>
  </si>
  <si>
    <t>Kolonna13541</t>
  </si>
  <si>
    <t>Kolonna13542</t>
  </si>
  <si>
    <t>Kolonna13543</t>
  </si>
  <si>
    <t>Kolonna13544</t>
  </si>
  <si>
    <t>Kolonna13545</t>
  </si>
  <si>
    <t>Kolonna13546</t>
  </si>
  <si>
    <t>Kolonna13547</t>
  </si>
  <si>
    <t>Kolonna13548</t>
  </si>
  <si>
    <t>Kolonna13549</t>
  </si>
  <si>
    <t>Kolonna13550</t>
  </si>
  <si>
    <t>Kolonna13551</t>
  </si>
  <si>
    <t>Kolonna13552</t>
  </si>
  <si>
    <t>Kolonna13553</t>
  </si>
  <si>
    <t>Kolonna13554</t>
  </si>
  <si>
    <t>Kolonna13555</t>
  </si>
  <si>
    <t>Kolonna13556</t>
  </si>
  <si>
    <t>Kolonna13557</t>
  </si>
  <si>
    <t>Kolonna13558</t>
  </si>
  <si>
    <t>Kolonna13559</t>
  </si>
  <si>
    <t>Kolonna13560</t>
  </si>
  <si>
    <t>Kolonna13561</t>
  </si>
  <si>
    <t>Kolonna13562</t>
  </si>
  <si>
    <t>Kolonna13563</t>
  </si>
  <si>
    <t>Kolonna13564</t>
  </si>
  <si>
    <t>Kolonna13565</t>
  </si>
  <si>
    <t>Kolonna13566</t>
  </si>
  <si>
    <t>Kolonna13567</t>
  </si>
  <si>
    <t>Kolonna13568</t>
  </si>
  <si>
    <t>Kolonna13569</t>
  </si>
  <si>
    <t>Kolonna13570</t>
  </si>
  <si>
    <t>Kolonna13571</t>
  </si>
  <si>
    <t>Kolonna13572</t>
  </si>
  <si>
    <t>Kolonna13573</t>
  </si>
  <si>
    <t>Kolonna13574</t>
  </si>
  <si>
    <t>Kolonna13575</t>
  </si>
  <si>
    <t>Kolonna13576</t>
  </si>
  <si>
    <t>Kolonna13577</t>
  </si>
  <si>
    <t>Kolonna13578</t>
  </si>
  <si>
    <t>Kolonna13579</t>
  </si>
  <si>
    <t>Kolonna13580</t>
  </si>
  <si>
    <t>Kolonna13581</t>
  </si>
  <si>
    <t>Kolonna13582</t>
  </si>
  <si>
    <t>Kolonna13583</t>
  </si>
  <si>
    <t>Kolonna13584</t>
  </si>
  <si>
    <t>Kolonna13585</t>
  </si>
  <si>
    <t>Kolonna13586</t>
  </si>
  <si>
    <t>Kolonna13587</t>
  </si>
  <si>
    <t>Kolonna13588</t>
  </si>
  <si>
    <t>Kolonna13589</t>
  </si>
  <si>
    <t>Kolonna13590</t>
  </si>
  <si>
    <t>Kolonna13591</t>
  </si>
  <si>
    <t>Kolonna13592</t>
  </si>
  <si>
    <t>Kolonna13593</t>
  </si>
  <si>
    <t>Kolonna13594</t>
  </si>
  <si>
    <t>Kolonna13595</t>
  </si>
  <si>
    <t>Kolonna13596</t>
  </si>
  <si>
    <t>Kolonna13597</t>
  </si>
  <si>
    <t>Kolonna13598</t>
  </si>
  <si>
    <t>Kolonna13599</t>
  </si>
  <si>
    <t>Kolonna13600</t>
  </si>
  <si>
    <t>Kolonna13601</t>
  </si>
  <si>
    <t>Kolonna13602</t>
  </si>
  <si>
    <t>Kolonna13603</t>
  </si>
  <si>
    <t>Kolonna13604</t>
  </si>
  <si>
    <t>Kolonna13605</t>
  </si>
  <si>
    <t>Kolonna13606</t>
  </si>
  <si>
    <t>Kolonna13607</t>
  </si>
  <si>
    <t>Kolonna13608</t>
  </si>
  <si>
    <t>Kolonna13609</t>
  </si>
  <si>
    <t>Kolonna13610</t>
  </si>
  <si>
    <t>Kolonna13611</t>
  </si>
  <si>
    <t>Kolonna13612</t>
  </si>
  <si>
    <t>Kolonna13613</t>
  </si>
  <si>
    <t>Kolonna13614</t>
  </si>
  <si>
    <t>Kolonna13615</t>
  </si>
  <si>
    <t>Kolonna13616</t>
  </si>
  <si>
    <t>Kolonna13617</t>
  </si>
  <si>
    <t>Kolonna13618</t>
  </si>
  <si>
    <t>Kolonna13619</t>
  </si>
  <si>
    <t>Kolonna13620</t>
  </si>
  <si>
    <t>Kolonna13621</t>
  </si>
  <si>
    <t>Kolonna13622</t>
  </si>
  <si>
    <t>Kolonna13623</t>
  </si>
  <si>
    <t>Kolonna13624</t>
  </si>
  <si>
    <t>Kolonna13625</t>
  </si>
  <si>
    <t>Kolonna13626</t>
  </si>
  <si>
    <t>Kolonna13627</t>
  </si>
  <si>
    <t>Kolonna13628</t>
  </si>
  <si>
    <t>Kolonna13629</t>
  </si>
  <si>
    <t>Kolonna13630</t>
  </si>
  <si>
    <t>Kolonna13631</t>
  </si>
  <si>
    <t>Kolonna13632</t>
  </si>
  <si>
    <t>Kolonna13633</t>
  </si>
  <si>
    <t>Kolonna13634</t>
  </si>
  <si>
    <t>Kolonna13635</t>
  </si>
  <si>
    <t>Kolonna13636</t>
  </si>
  <si>
    <t>Kolonna13637</t>
  </si>
  <si>
    <t>Kolonna13638</t>
  </si>
  <si>
    <t>Kolonna13639</t>
  </si>
  <si>
    <t>Kolonna13640</t>
  </si>
  <si>
    <t>Kolonna13641</t>
  </si>
  <si>
    <t>Kolonna13642</t>
  </si>
  <si>
    <t>Kolonna13643</t>
  </si>
  <si>
    <t>Kolonna13644</t>
  </si>
  <si>
    <t>Kolonna13645</t>
  </si>
  <si>
    <t>Kolonna13646</t>
  </si>
  <si>
    <t>Kolonna13647</t>
  </si>
  <si>
    <t>Kolonna13648</t>
  </si>
  <si>
    <t>Kolonna13649</t>
  </si>
  <si>
    <t>Kolonna13650</t>
  </si>
  <si>
    <t>Kolonna13651</t>
  </si>
  <si>
    <t>Kolonna13652</t>
  </si>
  <si>
    <t>Kolonna13653</t>
  </si>
  <si>
    <t>Kolonna13654</t>
  </si>
  <si>
    <t>Kolonna13655</t>
  </si>
  <si>
    <t>Kolonna13656</t>
  </si>
  <si>
    <t>Kolonna13657</t>
  </si>
  <si>
    <t>Kolonna13658</t>
  </si>
  <si>
    <t>Kolonna13659</t>
  </si>
  <si>
    <t>Kolonna13660</t>
  </si>
  <si>
    <t>Kolonna13661</t>
  </si>
  <si>
    <t>Kolonna13662</t>
  </si>
  <si>
    <t>Kolonna13663</t>
  </si>
  <si>
    <t>Kolonna13664</t>
  </si>
  <si>
    <t>Kolonna13665</t>
  </si>
  <si>
    <t>Kolonna13666</t>
  </si>
  <si>
    <t>Kolonna13667</t>
  </si>
  <si>
    <t>Kolonna13668</t>
  </si>
  <si>
    <t>Kolonna13669</t>
  </si>
  <si>
    <t>Kolonna13670</t>
  </si>
  <si>
    <t>Kolonna13671</t>
  </si>
  <si>
    <t>Kolonna13672</t>
  </si>
  <si>
    <t>Kolonna13673</t>
  </si>
  <si>
    <t>Kolonna13674</t>
  </si>
  <si>
    <t>Kolonna13675</t>
  </si>
  <si>
    <t>Kolonna13676</t>
  </si>
  <si>
    <t>Kolonna13677</t>
  </si>
  <si>
    <t>Kolonna13678</t>
  </si>
  <si>
    <t>Kolonna13679</t>
  </si>
  <si>
    <t>Kolonna13680</t>
  </si>
  <si>
    <t>Kolonna13681</t>
  </si>
  <si>
    <t>Kolonna13682</t>
  </si>
  <si>
    <t>Kolonna13683</t>
  </si>
  <si>
    <t>Kolonna13684</t>
  </si>
  <si>
    <t>Kolonna13685</t>
  </si>
  <si>
    <t>Kolonna13686</t>
  </si>
  <si>
    <t>Kolonna13687</t>
  </si>
  <si>
    <t>Kolonna13688</t>
  </si>
  <si>
    <t>Kolonna13689</t>
  </si>
  <si>
    <t>Kolonna13690</t>
  </si>
  <si>
    <t>Kolonna13691</t>
  </si>
  <si>
    <t>Kolonna13692</t>
  </si>
  <si>
    <t>Kolonna13693</t>
  </si>
  <si>
    <t>Kolonna13694</t>
  </si>
  <si>
    <t>Kolonna13695</t>
  </si>
  <si>
    <t>Kolonna13696</t>
  </si>
  <si>
    <t>Kolonna13697</t>
  </si>
  <si>
    <t>Kolonna13698</t>
  </si>
  <si>
    <t>Kolonna13699</t>
  </si>
  <si>
    <t>Kolonna13700</t>
  </si>
  <si>
    <t>Kolonna13701</t>
  </si>
  <si>
    <t>Kolonna13702</t>
  </si>
  <si>
    <t>Kolonna13703</t>
  </si>
  <si>
    <t>Kolonna13704</t>
  </si>
  <si>
    <t>Kolonna13705</t>
  </si>
  <si>
    <t>Kolonna13706</t>
  </si>
  <si>
    <t>Kolonna13707</t>
  </si>
  <si>
    <t>Kolonna13708</t>
  </si>
  <si>
    <t>Kolonna13709</t>
  </si>
  <si>
    <t>Kolonna13710</t>
  </si>
  <si>
    <t>Kolonna13711</t>
  </si>
  <si>
    <t>Kolonna13712</t>
  </si>
  <si>
    <t>Kolonna13713</t>
  </si>
  <si>
    <t>Kolonna13714</t>
  </si>
  <si>
    <t>Kolonna13715</t>
  </si>
  <si>
    <t>Kolonna13716</t>
  </si>
  <si>
    <t>Kolonna13717</t>
  </si>
  <si>
    <t>Kolonna13718</t>
  </si>
  <si>
    <t>Kolonna13719</t>
  </si>
  <si>
    <t>Kolonna13720</t>
  </si>
  <si>
    <t>Kolonna13721</t>
  </si>
  <si>
    <t>Kolonna13722</t>
  </si>
  <si>
    <t>Kolonna13723</t>
  </si>
  <si>
    <t>Kolonna13724</t>
  </si>
  <si>
    <t>Kolonna13725</t>
  </si>
  <si>
    <t>Kolonna13726</t>
  </si>
  <si>
    <t>Kolonna13727</t>
  </si>
  <si>
    <t>Kolonna13728</t>
  </si>
  <si>
    <t>Kolonna13729</t>
  </si>
  <si>
    <t>Kolonna13730</t>
  </si>
  <si>
    <t>Kolonna13731</t>
  </si>
  <si>
    <t>Kolonna13732</t>
  </si>
  <si>
    <t>Kolonna13733</t>
  </si>
  <si>
    <t>Kolonna13734</t>
  </si>
  <si>
    <t>Kolonna13735</t>
  </si>
  <si>
    <t>Kolonna13736</t>
  </si>
  <si>
    <t>Kolonna13737</t>
  </si>
  <si>
    <t>Kolonna13738</t>
  </si>
  <si>
    <t>Kolonna13739</t>
  </si>
  <si>
    <t>Kolonna13740</t>
  </si>
  <si>
    <t>Kolonna13741</t>
  </si>
  <si>
    <t>Kolonna13742</t>
  </si>
  <si>
    <t>Kolonna13743</t>
  </si>
  <si>
    <t>Kolonna13744</t>
  </si>
  <si>
    <t>Kolonna13745</t>
  </si>
  <si>
    <t>Kolonna13746</t>
  </si>
  <si>
    <t>Kolonna13747</t>
  </si>
  <si>
    <t>Kolonna13748</t>
  </si>
  <si>
    <t>Kolonna13749</t>
  </si>
  <si>
    <t>Kolonna13750</t>
  </si>
  <si>
    <t>Kolonna13751</t>
  </si>
  <si>
    <t>Kolonna13752</t>
  </si>
  <si>
    <t>Kolonna13753</t>
  </si>
  <si>
    <t>Kolonna13754</t>
  </si>
  <si>
    <t>Kolonna13755</t>
  </si>
  <si>
    <t>Kolonna13756</t>
  </si>
  <si>
    <t>Kolonna13757</t>
  </si>
  <si>
    <t>Kolonna13758</t>
  </si>
  <si>
    <t>Kolonna13759</t>
  </si>
  <si>
    <t>Kolonna13760</t>
  </si>
  <si>
    <t>Kolonna13761</t>
  </si>
  <si>
    <t>Kolonna13762</t>
  </si>
  <si>
    <t>Kolonna13763</t>
  </si>
  <si>
    <t>Kolonna13764</t>
  </si>
  <si>
    <t>Kolonna13765</t>
  </si>
  <si>
    <t>Kolonna13766</t>
  </si>
  <si>
    <t>Kolonna13767</t>
  </si>
  <si>
    <t>Kolonna13768</t>
  </si>
  <si>
    <t>Kolonna13769</t>
  </si>
  <si>
    <t>Kolonna13770</t>
  </si>
  <si>
    <t>Kolonna13771</t>
  </si>
  <si>
    <t>Kolonna13772</t>
  </si>
  <si>
    <t>Kolonna13773</t>
  </si>
  <si>
    <t>Kolonna13774</t>
  </si>
  <si>
    <t>Kolonna13775</t>
  </si>
  <si>
    <t>Kolonna13776</t>
  </si>
  <si>
    <t>Kolonna13777</t>
  </si>
  <si>
    <t>Kolonna13778</t>
  </si>
  <si>
    <t>Kolonna13779</t>
  </si>
  <si>
    <t>Kolonna13780</t>
  </si>
  <si>
    <t>Kolonna13781</t>
  </si>
  <si>
    <t>Kolonna13782</t>
  </si>
  <si>
    <t>Kolonna13783</t>
  </si>
  <si>
    <t>Kolonna13784</t>
  </si>
  <si>
    <t>Kolonna13785</t>
  </si>
  <si>
    <t>Kolonna13786</t>
  </si>
  <si>
    <t>Kolonna13787</t>
  </si>
  <si>
    <t>Kolonna13788</t>
  </si>
  <si>
    <t>Kolonna13789</t>
  </si>
  <si>
    <t>Kolonna13790</t>
  </si>
  <si>
    <t>Kolonna13791</t>
  </si>
  <si>
    <t>Kolonna13792</t>
  </si>
  <si>
    <t>Kolonna13793</t>
  </si>
  <si>
    <t>Kolonna13794</t>
  </si>
  <si>
    <t>Kolonna13795</t>
  </si>
  <si>
    <t>Kolonna13796</t>
  </si>
  <si>
    <t>Kolonna13797</t>
  </si>
  <si>
    <t>Kolonna13798</t>
  </si>
  <si>
    <t>Kolonna13799</t>
  </si>
  <si>
    <t>Kolonna13800</t>
  </si>
  <si>
    <t>Kolonna13801</t>
  </si>
  <si>
    <t>Kolonna13802</t>
  </si>
  <si>
    <t>Kolonna13803</t>
  </si>
  <si>
    <t>Kolonna13804</t>
  </si>
  <si>
    <t>Kolonna13805</t>
  </si>
  <si>
    <t>Kolonna13806</t>
  </si>
  <si>
    <t>Kolonna13807</t>
  </si>
  <si>
    <t>Kolonna13808</t>
  </si>
  <si>
    <t>Kolonna13809</t>
  </si>
  <si>
    <t>Kolonna13810</t>
  </si>
  <si>
    <t>Kolonna13811</t>
  </si>
  <si>
    <t>Kolonna13812</t>
  </si>
  <si>
    <t>Kolonna13813</t>
  </si>
  <si>
    <t>Kolonna13814</t>
  </si>
  <si>
    <t>Kolonna13815</t>
  </si>
  <si>
    <t>Kolonna13816</t>
  </si>
  <si>
    <t>Kolonna13817</t>
  </si>
  <si>
    <t>Kolonna13818</t>
  </si>
  <si>
    <t>Kolonna13819</t>
  </si>
  <si>
    <t>Kolonna13820</t>
  </si>
  <si>
    <t>Kolonna13821</t>
  </si>
  <si>
    <t>Kolonna13822</t>
  </si>
  <si>
    <t>Kolonna13823</t>
  </si>
  <si>
    <t>Kolonna13824</t>
  </si>
  <si>
    <t>Kolonna13825</t>
  </si>
  <si>
    <t>Kolonna13826</t>
  </si>
  <si>
    <t>Kolonna13827</t>
  </si>
  <si>
    <t>Kolonna13828</t>
  </si>
  <si>
    <t>Kolonna13829</t>
  </si>
  <si>
    <t>Kolonna13830</t>
  </si>
  <si>
    <t>Kolonna13831</t>
  </si>
  <si>
    <t>Kolonna13832</t>
  </si>
  <si>
    <t>Kolonna13833</t>
  </si>
  <si>
    <t>Kolonna13834</t>
  </si>
  <si>
    <t>Kolonna13835</t>
  </si>
  <si>
    <t>Kolonna13836</t>
  </si>
  <si>
    <t>Kolonna13837</t>
  </si>
  <si>
    <t>Kolonna13838</t>
  </si>
  <si>
    <t>Kolonna13839</t>
  </si>
  <si>
    <t>Kolonna13840</t>
  </si>
  <si>
    <t>Kolonna13841</t>
  </si>
  <si>
    <t>Kolonna13842</t>
  </si>
  <si>
    <t>Kolonna13843</t>
  </si>
  <si>
    <t>Kolonna13844</t>
  </si>
  <si>
    <t>Kolonna13845</t>
  </si>
  <si>
    <t>Kolonna13846</t>
  </si>
  <si>
    <t>Kolonna13847</t>
  </si>
  <si>
    <t>Kolonna13848</t>
  </si>
  <si>
    <t>Kolonna13849</t>
  </si>
  <si>
    <t>Kolonna13850</t>
  </si>
  <si>
    <t>Kolonna13851</t>
  </si>
  <si>
    <t>Kolonna13852</t>
  </si>
  <si>
    <t>Kolonna13853</t>
  </si>
  <si>
    <t>Kolonna13854</t>
  </si>
  <si>
    <t>Kolonna13855</t>
  </si>
  <si>
    <t>Kolonna13856</t>
  </si>
  <si>
    <t>Kolonna13857</t>
  </si>
  <si>
    <t>Kolonna13858</t>
  </si>
  <si>
    <t>Kolonna13859</t>
  </si>
  <si>
    <t>Kolonna13860</t>
  </si>
  <si>
    <t>Kolonna13861</t>
  </si>
  <si>
    <t>Kolonna13862</t>
  </si>
  <si>
    <t>Kolonna13863</t>
  </si>
  <si>
    <t>Kolonna13864</t>
  </si>
  <si>
    <t>Kolonna13865</t>
  </si>
  <si>
    <t>Kolonna13866</t>
  </si>
  <si>
    <t>Kolonna13867</t>
  </si>
  <si>
    <t>Kolonna13868</t>
  </si>
  <si>
    <t>Kolonna13869</t>
  </si>
  <si>
    <t>Kolonna13870</t>
  </si>
  <si>
    <t>Kolonna13871</t>
  </si>
  <si>
    <t>Kolonna13872</t>
  </si>
  <si>
    <t>Kolonna13873</t>
  </si>
  <si>
    <t>Kolonna13874</t>
  </si>
  <si>
    <t>Kolonna13875</t>
  </si>
  <si>
    <t>Kolonna13876</t>
  </si>
  <si>
    <t>Kolonna13877</t>
  </si>
  <si>
    <t>Kolonna13878</t>
  </si>
  <si>
    <t>Kolonna13879</t>
  </si>
  <si>
    <t>Kolonna13880</t>
  </si>
  <si>
    <t>Kolonna13881</t>
  </si>
  <si>
    <t>Kolonna13882</t>
  </si>
  <si>
    <t>Kolonna13883</t>
  </si>
  <si>
    <t>Kolonna13884</t>
  </si>
  <si>
    <t>Kolonna13885</t>
  </si>
  <si>
    <t>Kolonna13886</t>
  </si>
  <si>
    <t>Kolonna13887</t>
  </si>
  <si>
    <t>Kolonna13888</t>
  </si>
  <si>
    <t>Kolonna13889</t>
  </si>
  <si>
    <t>Kolonna13890</t>
  </si>
  <si>
    <t>Kolonna13891</t>
  </si>
  <si>
    <t>Kolonna13892</t>
  </si>
  <si>
    <t>Kolonna13893</t>
  </si>
  <si>
    <t>Kolonna13894</t>
  </si>
  <si>
    <t>Kolonna13895</t>
  </si>
  <si>
    <t>Kolonna13896</t>
  </si>
  <si>
    <t>Kolonna13897</t>
  </si>
  <si>
    <t>Kolonna13898</t>
  </si>
  <si>
    <t>Kolonna13899</t>
  </si>
  <si>
    <t>Kolonna13900</t>
  </si>
  <si>
    <t>Kolonna13901</t>
  </si>
  <si>
    <t>Kolonna13902</t>
  </si>
  <si>
    <t>Kolonna13903</t>
  </si>
  <si>
    <t>Kolonna13904</t>
  </si>
  <si>
    <t>Kolonna13905</t>
  </si>
  <si>
    <t>Kolonna13906</t>
  </si>
  <si>
    <t>Kolonna13907</t>
  </si>
  <si>
    <t>Kolonna13908</t>
  </si>
  <si>
    <t>Kolonna13909</t>
  </si>
  <si>
    <t>Kolonna13910</t>
  </si>
  <si>
    <t>Kolonna13911</t>
  </si>
  <si>
    <t>Kolonna13912</t>
  </si>
  <si>
    <t>Kolonna13913</t>
  </si>
  <si>
    <t>Kolonna13914</t>
  </si>
  <si>
    <t>Kolonna13915</t>
  </si>
  <si>
    <t>Kolonna13916</t>
  </si>
  <si>
    <t>Kolonna13917</t>
  </si>
  <si>
    <t>Kolonna13918</t>
  </si>
  <si>
    <t>Kolonna13919</t>
  </si>
  <si>
    <t>Kolonna13920</t>
  </si>
  <si>
    <t>Kolonna13921</t>
  </si>
  <si>
    <t>Kolonna13922</t>
  </si>
  <si>
    <t>Kolonna13923</t>
  </si>
  <si>
    <t>Kolonna13924</t>
  </si>
  <si>
    <t>Kolonna13925</t>
  </si>
  <si>
    <t>Kolonna13926</t>
  </si>
  <si>
    <t>Kolonna13927</t>
  </si>
  <si>
    <t>Kolonna13928</t>
  </si>
  <si>
    <t>Kolonna13929</t>
  </si>
  <si>
    <t>Kolonna13930</t>
  </si>
  <si>
    <t>Kolonna13931</t>
  </si>
  <si>
    <t>Kolonna13932</t>
  </si>
  <si>
    <t>Kolonna13933</t>
  </si>
  <si>
    <t>Kolonna13934</t>
  </si>
  <si>
    <t>Kolonna13935</t>
  </si>
  <si>
    <t>Kolonna13936</t>
  </si>
  <si>
    <t>Kolonna13937</t>
  </si>
  <si>
    <t>Kolonna13938</t>
  </si>
  <si>
    <t>Kolonna13939</t>
  </si>
  <si>
    <t>Kolonna13940</t>
  </si>
  <si>
    <t>Kolonna13941</t>
  </si>
  <si>
    <t>Kolonna13942</t>
  </si>
  <si>
    <t>Kolonna13943</t>
  </si>
  <si>
    <t>Kolonna13944</t>
  </si>
  <si>
    <t>Kolonna13945</t>
  </si>
  <si>
    <t>Kolonna13946</t>
  </si>
  <si>
    <t>Kolonna13947</t>
  </si>
  <si>
    <t>Kolonna13948</t>
  </si>
  <si>
    <t>Kolonna13949</t>
  </si>
  <si>
    <t>Kolonna13950</t>
  </si>
  <si>
    <t>Kolonna13951</t>
  </si>
  <si>
    <t>Kolonna13952</t>
  </si>
  <si>
    <t>Kolonna13953</t>
  </si>
  <si>
    <t>Kolonna13954</t>
  </si>
  <si>
    <t>Kolonna13955</t>
  </si>
  <si>
    <t>Kolonna13956</t>
  </si>
  <si>
    <t>Kolonna13957</t>
  </si>
  <si>
    <t>Kolonna13958</t>
  </si>
  <si>
    <t>Kolonna13959</t>
  </si>
  <si>
    <t>Kolonna13960</t>
  </si>
  <si>
    <t>Kolonna13961</t>
  </si>
  <si>
    <t>Kolonna13962</t>
  </si>
  <si>
    <t>Kolonna13963</t>
  </si>
  <si>
    <t>Kolonna13964</t>
  </si>
  <si>
    <t>Kolonna13965</t>
  </si>
  <si>
    <t>Kolonna13966</t>
  </si>
  <si>
    <t>Kolonna13967</t>
  </si>
  <si>
    <t>Kolonna13968</t>
  </si>
  <si>
    <t>Kolonna13969</t>
  </si>
  <si>
    <t>Kolonna13970</t>
  </si>
  <si>
    <t>Kolonna13971</t>
  </si>
  <si>
    <t>Kolonna13972</t>
  </si>
  <si>
    <t>Kolonna13973</t>
  </si>
  <si>
    <t>Kolonna13974</t>
  </si>
  <si>
    <t>Kolonna13975</t>
  </si>
  <si>
    <t>Kolonna13976</t>
  </si>
  <si>
    <t>Kolonna13977</t>
  </si>
  <si>
    <t>Kolonna13978</t>
  </si>
  <si>
    <t>Kolonna13979</t>
  </si>
  <si>
    <t>Kolonna13980</t>
  </si>
  <si>
    <t>Kolonna13981</t>
  </si>
  <si>
    <t>Kolonna13982</t>
  </si>
  <si>
    <t>Kolonna13983</t>
  </si>
  <si>
    <t>Kolonna13984</t>
  </si>
  <si>
    <t>Kolonna13985</t>
  </si>
  <si>
    <t>Kolonna13986</t>
  </si>
  <si>
    <t>Kolonna13987</t>
  </si>
  <si>
    <t>Kolonna13988</t>
  </si>
  <si>
    <t>Kolonna13989</t>
  </si>
  <si>
    <t>Kolonna13990</t>
  </si>
  <si>
    <t>Kolonna13991</t>
  </si>
  <si>
    <t>Kolonna13992</t>
  </si>
  <si>
    <t>Kolonna13993</t>
  </si>
  <si>
    <t>Kolonna13994</t>
  </si>
  <si>
    <t>Kolonna13995</t>
  </si>
  <si>
    <t>Kolonna13996</t>
  </si>
  <si>
    <t>Kolonna13997</t>
  </si>
  <si>
    <t>Kolonna13998</t>
  </si>
  <si>
    <t>Kolonna13999</t>
  </si>
  <si>
    <t>Kolonna14000</t>
  </si>
  <si>
    <t>Kolonna14001</t>
  </si>
  <si>
    <t>Kolonna14002</t>
  </si>
  <si>
    <t>Kolonna14003</t>
  </si>
  <si>
    <t>Kolonna14004</t>
  </si>
  <si>
    <t>Kolonna14005</t>
  </si>
  <si>
    <t>Kolonna14006</t>
  </si>
  <si>
    <t>Kolonna14007</t>
  </si>
  <si>
    <t>Kolonna14008</t>
  </si>
  <si>
    <t>Kolonna14009</t>
  </si>
  <si>
    <t>Kolonna14010</t>
  </si>
  <si>
    <t>Kolonna14011</t>
  </si>
  <si>
    <t>Kolonna14012</t>
  </si>
  <si>
    <t>Kolonna14013</t>
  </si>
  <si>
    <t>Kolonna14014</t>
  </si>
  <si>
    <t>Kolonna14015</t>
  </si>
  <si>
    <t>Kolonna14016</t>
  </si>
  <si>
    <t>Kolonna14017</t>
  </si>
  <si>
    <t>Kolonna14018</t>
  </si>
  <si>
    <t>Kolonna14019</t>
  </si>
  <si>
    <t>Kolonna14020</t>
  </si>
  <si>
    <t>Kolonna14021</t>
  </si>
  <si>
    <t>Kolonna14022</t>
  </si>
  <si>
    <t>Kolonna14023</t>
  </si>
  <si>
    <t>Kolonna14024</t>
  </si>
  <si>
    <t>Kolonna14025</t>
  </si>
  <si>
    <t>Kolonna14026</t>
  </si>
  <si>
    <t>Kolonna14027</t>
  </si>
  <si>
    <t>Kolonna14028</t>
  </si>
  <si>
    <t>Kolonna14029</t>
  </si>
  <si>
    <t>Kolonna14030</t>
  </si>
  <si>
    <t>Kolonna14031</t>
  </si>
  <si>
    <t>Kolonna14032</t>
  </si>
  <si>
    <t>Kolonna14033</t>
  </si>
  <si>
    <t>Kolonna14034</t>
  </si>
  <si>
    <t>Kolonna14035</t>
  </si>
  <si>
    <t>Kolonna14036</t>
  </si>
  <si>
    <t>Kolonna14037</t>
  </si>
  <si>
    <t>Kolonna14038</t>
  </si>
  <si>
    <t>Kolonna14039</t>
  </si>
  <si>
    <t>Kolonna14040</t>
  </si>
  <si>
    <t>Kolonna14041</t>
  </si>
  <si>
    <t>Kolonna14042</t>
  </si>
  <si>
    <t>Kolonna14043</t>
  </si>
  <si>
    <t>Kolonna14044</t>
  </si>
  <si>
    <t>Kolonna14045</t>
  </si>
  <si>
    <t>Kolonna14046</t>
  </si>
  <si>
    <t>Kolonna14047</t>
  </si>
  <si>
    <t>Kolonna14048</t>
  </si>
  <si>
    <t>Kolonna14049</t>
  </si>
  <si>
    <t>Kolonna14050</t>
  </si>
  <si>
    <t>Kolonna14051</t>
  </si>
  <si>
    <t>Kolonna14052</t>
  </si>
  <si>
    <t>Kolonna14053</t>
  </si>
  <si>
    <t>Kolonna14054</t>
  </si>
  <si>
    <t>Kolonna14055</t>
  </si>
  <si>
    <t>Kolonna14056</t>
  </si>
  <si>
    <t>Kolonna14057</t>
  </si>
  <si>
    <t>Kolonna14058</t>
  </si>
  <si>
    <t>Kolonna14059</t>
  </si>
  <si>
    <t>Kolonna14060</t>
  </si>
  <si>
    <t>Kolonna14061</t>
  </si>
  <si>
    <t>Kolonna14062</t>
  </si>
  <si>
    <t>Kolonna14063</t>
  </si>
  <si>
    <t>Kolonna14064</t>
  </si>
  <si>
    <t>Kolonna14065</t>
  </si>
  <si>
    <t>Kolonna14066</t>
  </si>
  <si>
    <t>Kolonna14067</t>
  </si>
  <si>
    <t>Kolonna14068</t>
  </si>
  <si>
    <t>Kolonna14069</t>
  </si>
  <si>
    <t>Kolonna14070</t>
  </si>
  <si>
    <t>Kolonna14071</t>
  </si>
  <si>
    <t>Kolonna14072</t>
  </si>
  <si>
    <t>Kolonna14073</t>
  </si>
  <si>
    <t>Kolonna14074</t>
  </si>
  <si>
    <t>Kolonna14075</t>
  </si>
  <si>
    <t>Kolonna14076</t>
  </si>
  <si>
    <t>Kolonna14077</t>
  </si>
  <si>
    <t>Kolonna14078</t>
  </si>
  <si>
    <t>Kolonna14079</t>
  </si>
  <si>
    <t>Kolonna14080</t>
  </si>
  <si>
    <t>Kolonna14081</t>
  </si>
  <si>
    <t>Kolonna14082</t>
  </si>
  <si>
    <t>Kolonna14083</t>
  </si>
  <si>
    <t>Kolonna14084</t>
  </si>
  <si>
    <t>Kolonna14085</t>
  </si>
  <si>
    <t>Kolonna14086</t>
  </si>
  <si>
    <t>Kolonna14087</t>
  </si>
  <si>
    <t>Kolonna14088</t>
  </si>
  <si>
    <t>Kolonna14089</t>
  </si>
  <si>
    <t>Kolonna14090</t>
  </si>
  <si>
    <t>Kolonna14091</t>
  </si>
  <si>
    <t>Kolonna14092</t>
  </si>
  <si>
    <t>Kolonna14093</t>
  </si>
  <si>
    <t>Kolonna14094</t>
  </si>
  <si>
    <t>Kolonna14095</t>
  </si>
  <si>
    <t>Kolonna14096</t>
  </si>
  <si>
    <t>Kolonna14097</t>
  </si>
  <si>
    <t>Kolonna14098</t>
  </si>
  <si>
    <t>Kolonna14099</t>
  </si>
  <si>
    <t>Kolonna14100</t>
  </si>
  <si>
    <t>Kolonna14101</t>
  </si>
  <si>
    <t>Kolonna14102</t>
  </si>
  <si>
    <t>Kolonna14103</t>
  </si>
  <si>
    <t>Kolonna14104</t>
  </si>
  <si>
    <t>Kolonna14105</t>
  </si>
  <si>
    <t>Kolonna14106</t>
  </si>
  <si>
    <t>Kolonna14107</t>
  </si>
  <si>
    <t>Kolonna14108</t>
  </si>
  <si>
    <t>Kolonna14109</t>
  </si>
  <si>
    <t>Kolonna14110</t>
  </si>
  <si>
    <t>Kolonna14111</t>
  </si>
  <si>
    <t>Kolonna14112</t>
  </si>
  <si>
    <t>Kolonna14113</t>
  </si>
  <si>
    <t>Kolonna14114</t>
  </si>
  <si>
    <t>Kolonna14115</t>
  </si>
  <si>
    <t>Kolonna14116</t>
  </si>
  <si>
    <t>Kolonna14117</t>
  </si>
  <si>
    <t>Kolonna14118</t>
  </si>
  <si>
    <t>Kolonna14119</t>
  </si>
  <si>
    <t>Kolonna14120</t>
  </si>
  <si>
    <t>Kolonna14121</t>
  </si>
  <si>
    <t>Kolonna14122</t>
  </si>
  <si>
    <t>Kolonna14123</t>
  </si>
  <si>
    <t>Kolonna14124</t>
  </si>
  <si>
    <t>Kolonna14125</t>
  </si>
  <si>
    <t>Kolonna14126</t>
  </si>
  <si>
    <t>Kolonna14127</t>
  </si>
  <si>
    <t>Kolonna14128</t>
  </si>
  <si>
    <t>Kolonna14129</t>
  </si>
  <si>
    <t>Kolonna14130</t>
  </si>
  <si>
    <t>Kolonna14131</t>
  </si>
  <si>
    <t>Kolonna14132</t>
  </si>
  <si>
    <t>Kolonna14133</t>
  </si>
  <si>
    <t>Kolonna14134</t>
  </si>
  <si>
    <t>Kolonna14135</t>
  </si>
  <si>
    <t>Kolonna14136</t>
  </si>
  <si>
    <t>Kolonna14137</t>
  </si>
  <si>
    <t>Kolonna14138</t>
  </si>
  <si>
    <t>Kolonna14139</t>
  </si>
  <si>
    <t>Kolonna14140</t>
  </si>
  <si>
    <t>Kolonna14141</t>
  </si>
  <si>
    <t>Kolonna14142</t>
  </si>
  <si>
    <t>Kolonna14143</t>
  </si>
  <si>
    <t>Kolonna14144</t>
  </si>
  <si>
    <t>Kolonna14145</t>
  </si>
  <si>
    <t>Kolonna14146</t>
  </si>
  <si>
    <t>Kolonna14147</t>
  </si>
  <si>
    <t>Kolonna14148</t>
  </si>
  <si>
    <t>Kolonna14149</t>
  </si>
  <si>
    <t>Kolonna14150</t>
  </si>
  <si>
    <t>Kolonna14151</t>
  </si>
  <si>
    <t>Kolonna14152</t>
  </si>
  <si>
    <t>Kolonna14153</t>
  </si>
  <si>
    <t>Kolonna14154</t>
  </si>
  <si>
    <t>Kolonna14155</t>
  </si>
  <si>
    <t>Kolonna14156</t>
  </si>
  <si>
    <t>Kolonna14157</t>
  </si>
  <si>
    <t>Kolonna14158</t>
  </si>
  <si>
    <t>Kolonna14159</t>
  </si>
  <si>
    <t>Kolonna14160</t>
  </si>
  <si>
    <t>Kolonna14161</t>
  </si>
  <si>
    <t>Kolonna14162</t>
  </si>
  <si>
    <t>Kolonna14163</t>
  </si>
  <si>
    <t>Kolonna14164</t>
  </si>
  <si>
    <t>Kolonna14165</t>
  </si>
  <si>
    <t>Kolonna14166</t>
  </si>
  <si>
    <t>Kolonna14167</t>
  </si>
  <si>
    <t>Kolonna14168</t>
  </si>
  <si>
    <t>Kolonna14169</t>
  </si>
  <si>
    <t>Kolonna14170</t>
  </si>
  <si>
    <t>Kolonna14171</t>
  </si>
  <si>
    <t>Kolonna14172</t>
  </si>
  <si>
    <t>Kolonna14173</t>
  </si>
  <si>
    <t>Kolonna14174</t>
  </si>
  <si>
    <t>Kolonna14175</t>
  </si>
  <si>
    <t>Kolonna14176</t>
  </si>
  <si>
    <t>Kolonna14177</t>
  </si>
  <si>
    <t>Kolonna14178</t>
  </si>
  <si>
    <t>Kolonna14179</t>
  </si>
  <si>
    <t>Kolonna14180</t>
  </si>
  <si>
    <t>Kolonna14181</t>
  </si>
  <si>
    <t>Kolonna14182</t>
  </si>
  <si>
    <t>Kolonna14183</t>
  </si>
  <si>
    <t>Kolonna14184</t>
  </si>
  <si>
    <t>Kolonna14185</t>
  </si>
  <si>
    <t>Kolonna14186</t>
  </si>
  <si>
    <t>Kolonna14187</t>
  </si>
  <si>
    <t>Kolonna14188</t>
  </si>
  <si>
    <t>Kolonna14189</t>
  </si>
  <si>
    <t>Kolonna14190</t>
  </si>
  <si>
    <t>Kolonna14191</t>
  </si>
  <si>
    <t>Kolonna14192</t>
  </si>
  <si>
    <t>Kolonna14193</t>
  </si>
  <si>
    <t>Kolonna14194</t>
  </si>
  <si>
    <t>Kolonna14195</t>
  </si>
  <si>
    <t>Kolonna14196</t>
  </si>
  <si>
    <t>Kolonna14197</t>
  </si>
  <si>
    <t>Kolonna14198</t>
  </si>
  <si>
    <t>Kolonna14199</t>
  </si>
  <si>
    <t>Kolonna14200</t>
  </si>
  <si>
    <t>Kolonna14201</t>
  </si>
  <si>
    <t>Kolonna14202</t>
  </si>
  <si>
    <t>Kolonna14203</t>
  </si>
  <si>
    <t>Kolonna14204</t>
  </si>
  <si>
    <t>Kolonna14205</t>
  </si>
  <si>
    <t>Kolonna14206</t>
  </si>
  <si>
    <t>Kolonna14207</t>
  </si>
  <si>
    <t>Kolonna14208</t>
  </si>
  <si>
    <t>Kolonna14209</t>
  </si>
  <si>
    <t>Kolonna14210</t>
  </si>
  <si>
    <t>Kolonna14211</t>
  </si>
  <si>
    <t>Kolonna14212</t>
  </si>
  <si>
    <t>Kolonna14213</t>
  </si>
  <si>
    <t>Kolonna14214</t>
  </si>
  <si>
    <t>Kolonna14215</t>
  </si>
  <si>
    <t>Kolonna14216</t>
  </si>
  <si>
    <t>Kolonna14217</t>
  </si>
  <si>
    <t>Kolonna14218</t>
  </si>
  <si>
    <t>Kolonna14219</t>
  </si>
  <si>
    <t>Kolonna14220</t>
  </si>
  <si>
    <t>Kolonna14221</t>
  </si>
  <si>
    <t>Kolonna14222</t>
  </si>
  <si>
    <t>Kolonna14223</t>
  </si>
  <si>
    <t>Kolonna14224</t>
  </si>
  <si>
    <t>Kolonna14225</t>
  </si>
  <si>
    <t>Kolonna14226</t>
  </si>
  <si>
    <t>Kolonna14227</t>
  </si>
  <si>
    <t>Kolonna14228</t>
  </si>
  <si>
    <t>Kolonna14229</t>
  </si>
  <si>
    <t>Kolonna14230</t>
  </si>
  <si>
    <t>Kolonna14231</t>
  </si>
  <si>
    <t>Kolonna14232</t>
  </si>
  <si>
    <t>Kolonna14233</t>
  </si>
  <si>
    <t>Kolonna14234</t>
  </si>
  <si>
    <t>Kolonna14235</t>
  </si>
  <si>
    <t>Kolonna14236</t>
  </si>
  <si>
    <t>Kolonna14237</t>
  </si>
  <si>
    <t>Kolonna14238</t>
  </si>
  <si>
    <t>Kolonna14239</t>
  </si>
  <si>
    <t>Kolonna14240</t>
  </si>
  <si>
    <t>Kolonna14241</t>
  </si>
  <si>
    <t>Kolonna14242</t>
  </si>
  <si>
    <t>Kolonna14243</t>
  </si>
  <si>
    <t>Kolonna14244</t>
  </si>
  <si>
    <t>Kolonna14245</t>
  </si>
  <si>
    <t>Kolonna14246</t>
  </si>
  <si>
    <t>Kolonna14247</t>
  </si>
  <si>
    <t>Kolonna14248</t>
  </si>
  <si>
    <t>Kolonna14249</t>
  </si>
  <si>
    <t>Kolonna14250</t>
  </si>
  <si>
    <t>Kolonna14251</t>
  </si>
  <si>
    <t>Kolonna14252</t>
  </si>
  <si>
    <t>Kolonna14253</t>
  </si>
  <si>
    <t>Kolonna14254</t>
  </si>
  <si>
    <t>Kolonna14255</t>
  </si>
  <si>
    <t>Kolonna14256</t>
  </si>
  <si>
    <t>Kolonna14257</t>
  </si>
  <si>
    <t>Kolonna14258</t>
  </si>
  <si>
    <t>Kolonna14259</t>
  </si>
  <si>
    <t>Kolonna14260</t>
  </si>
  <si>
    <t>Kolonna14261</t>
  </si>
  <si>
    <t>Kolonna14262</t>
  </si>
  <si>
    <t>Kolonna14263</t>
  </si>
  <si>
    <t>Kolonna14264</t>
  </si>
  <si>
    <t>Kolonna14265</t>
  </si>
  <si>
    <t>Kolonna14266</t>
  </si>
  <si>
    <t>Kolonna14267</t>
  </si>
  <si>
    <t>Kolonna14268</t>
  </si>
  <si>
    <t>Kolonna14269</t>
  </si>
  <si>
    <t>Kolonna14270</t>
  </si>
  <si>
    <t>Kolonna14271</t>
  </si>
  <si>
    <t>Kolonna14272</t>
  </si>
  <si>
    <t>Kolonna14273</t>
  </si>
  <si>
    <t>Kolonna14274</t>
  </si>
  <si>
    <t>Kolonna14275</t>
  </si>
  <si>
    <t>Kolonna14276</t>
  </si>
  <si>
    <t>Kolonna14277</t>
  </si>
  <si>
    <t>Kolonna14278</t>
  </si>
  <si>
    <t>Kolonna14279</t>
  </si>
  <si>
    <t>Kolonna14280</t>
  </si>
  <si>
    <t>Kolonna14281</t>
  </si>
  <si>
    <t>Kolonna14282</t>
  </si>
  <si>
    <t>Kolonna14283</t>
  </si>
  <si>
    <t>Kolonna14284</t>
  </si>
  <si>
    <t>Kolonna14285</t>
  </si>
  <si>
    <t>Kolonna14286</t>
  </si>
  <si>
    <t>Kolonna14287</t>
  </si>
  <si>
    <t>Kolonna14288</t>
  </si>
  <si>
    <t>Kolonna14289</t>
  </si>
  <si>
    <t>Kolonna14290</t>
  </si>
  <si>
    <t>Kolonna14291</t>
  </si>
  <si>
    <t>Kolonna14292</t>
  </si>
  <si>
    <t>Kolonna14293</t>
  </si>
  <si>
    <t>Kolonna14294</t>
  </si>
  <si>
    <t>Kolonna14295</t>
  </si>
  <si>
    <t>Kolonna14296</t>
  </si>
  <si>
    <t>Kolonna14297</t>
  </si>
  <si>
    <t>Kolonna14298</t>
  </si>
  <si>
    <t>Kolonna14299</t>
  </si>
  <si>
    <t>Kolonna14300</t>
  </si>
  <si>
    <t>Kolonna14301</t>
  </si>
  <si>
    <t>Kolonna14302</t>
  </si>
  <si>
    <t>Kolonna14303</t>
  </si>
  <si>
    <t>Kolonna14304</t>
  </si>
  <si>
    <t>Kolonna14305</t>
  </si>
  <si>
    <t>Kolonna14306</t>
  </si>
  <si>
    <t>Kolonna14307</t>
  </si>
  <si>
    <t>Kolonna14308</t>
  </si>
  <si>
    <t>Kolonna14309</t>
  </si>
  <si>
    <t>Kolonna14310</t>
  </si>
  <si>
    <t>Kolonna14311</t>
  </si>
  <si>
    <t>Kolonna14312</t>
  </si>
  <si>
    <t>Kolonna14313</t>
  </si>
  <si>
    <t>Kolonna14314</t>
  </si>
  <si>
    <t>Kolonna14315</t>
  </si>
  <si>
    <t>Kolonna14316</t>
  </si>
  <si>
    <t>Kolonna14317</t>
  </si>
  <si>
    <t>Kolonna14318</t>
  </si>
  <si>
    <t>Kolonna14319</t>
  </si>
  <si>
    <t>Kolonna14320</t>
  </si>
  <si>
    <t>Kolonna14321</t>
  </si>
  <si>
    <t>Kolonna14322</t>
  </si>
  <si>
    <t>Kolonna14323</t>
  </si>
  <si>
    <t>Kolonna14324</t>
  </si>
  <si>
    <t>Kolonna14325</t>
  </si>
  <si>
    <t>Kolonna14326</t>
  </si>
  <si>
    <t>Kolonna14327</t>
  </si>
  <si>
    <t>Kolonna14328</t>
  </si>
  <si>
    <t>Kolonna14329</t>
  </si>
  <si>
    <t>Kolonna14330</t>
  </si>
  <si>
    <t>Kolonna14331</t>
  </si>
  <si>
    <t>Kolonna14332</t>
  </si>
  <si>
    <t>Kolonna14333</t>
  </si>
  <si>
    <t>Kolonna14334</t>
  </si>
  <si>
    <t>Kolonna14335</t>
  </si>
  <si>
    <t>Kolonna14336</t>
  </si>
  <si>
    <t>Kolonna14337</t>
  </si>
  <si>
    <t>Kolonna14338</t>
  </si>
  <si>
    <t>Kolonna14339</t>
  </si>
  <si>
    <t>Kolonna14340</t>
  </si>
  <si>
    <t>Kolonna14341</t>
  </si>
  <si>
    <t>Kolonna14342</t>
  </si>
  <si>
    <t>Kolonna14343</t>
  </si>
  <si>
    <t>Kolonna14344</t>
  </si>
  <si>
    <t>Kolonna14345</t>
  </si>
  <si>
    <t>Kolonna14346</t>
  </si>
  <si>
    <t>Kolonna14347</t>
  </si>
  <si>
    <t>Kolonna14348</t>
  </si>
  <si>
    <t>Kolonna14349</t>
  </si>
  <si>
    <t>Kolonna14350</t>
  </si>
  <si>
    <t>Kolonna14351</t>
  </si>
  <si>
    <t>Kolonna14352</t>
  </si>
  <si>
    <t>Kolonna14353</t>
  </si>
  <si>
    <t>Kolonna14354</t>
  </si>
  <si>
    <t>Kolonna14355</t>
  </si>
  <si>
    <t>Kolonna14356</t>
  </si>
  <si>
    <t>Kolonna14357</t>
  </si>
  <si>
    <t>Kolonna14358</t>
  </si>
  <si>
    <t>Kolonna14359</t>
  </si>
  <si>
    <t>Kolonna14360</t>
  </si>
  <si>
    <t>Kolonna14361</t>
  </si>
  <si>
    <t>Kolonna14362</t>
  </si>
  <si>
    <t>Kolonna14363</t>
  </si>
  <si>
    <t>Kolonna14364</t>
  </si>
  <si>
    <t>Kolonna14365</t>
  </si>
  <si>
    <t>Kolonna14366</t>
  </si>
  <si>
    <t>Kolonna14367</t>
  </si>
  <si>
    <t>Kolonna14368</t>
  </si>
  <si>
    <t>Kolonna14369</t>
  </si>
  <si>
    <t>Kolonna14370</t>
  </si>
  <si>
    <t>Kolonna14371</t>
  </si>
  <si>
    <t>Kolonna14372</t>
  </si>
  <si>
    <t>Kolonna14373</t>
  </si>
  <si>
    <t>Kolonna14374</t>
  </si>
  <si>
    <t>Kolonna14375</t>
  </si>
  <si>
    <t>Kolonna14376</t>
  </si>
  <si>
    <t>Kolonna14377</t>
  </si>
  <si>
    <t>Kolonna14378</t>
  </si>
  <si>
    <t>Kolonna14379</t>
  </si>
  <si>
    <t>Kolonna14380</t>
  </si>
  <si>
    <t>Kolonna14381</t>
  </si>
  <si>
    <t>Kolonna14382</t>
  </si>
  <si>
    <t>Kolonna14383</t>
  </si>
  <si>
    <t>Kolonna14384</t>
  </si>
  <si>
    <t>Kolonna14385</t>
  </si>
  <si>
    <t>Kolonna14386</t>
  </si>
  <si>
    <t>Kolonna14387</t>
  </si>
  <si>
    <t>Kolonna14388</t>
  </si>
  <si>
    <t>Kolonna14389</t>
  </si>
  <si>
    <t>Kolonna14390</t>
  </si>
  <si>
    <t>Kolonna14391</t>
  </si>
  <si>
    <t>Kolonna14392</t>
  </si>
  <si>
    <t>Kolonna14393</t>
  </si>
  <si>
    <t>Kolonna14394</t>
  </si>
  <si>
    <t>Kolonna14395</t>
  </si>
  <si>
    <t>Kolonna14396</t>
  </si>
  <si>
    <t>Kolonna14397</t>
  </si>
  <si>
    <t>Kolonna14398</t>
  </si>
  <si>
    <t>Kolonna14399</t>
  </si>
  <si>
    <t>Kolonna14400</t>
  </si>
  <si>
    <t>Kolonna14401</t>
  </si>
  <si>
    <t>Kolonna14402</t>
  </si>
  <si>
    <t>Kolonna14403</t>
  </si>
  <si>
    <t>Kolonna14404</t>
  </si>
  <si>
    <t>Kolonna14405</t>
  </si>
  <si>
    <t>Kolonna14406</t>
  </si>
  <si>
    <t>Kolonna14407</t>
  </si>
  <si>
    <t>Kolonna14408</t>
  </si>
  <si>
    <t>Kolonna14409</t>
  </si>
  <si>
    <t>Kolonna14410</t>
  </si>
  <si>
    <t>Kolonna14411</t>
  </si>
  <si>
    <t>Kolonna14412</t>
  </si>
  <si>
    <t>Kolonna14413</t>
  </si>
  <si>
    <t>Kolonna14414</t>
  </si>
  <si>
    <t>Kolonna14415</t>
  </si>
  <si>
    <t>Kolonna14416</t>
  </si>
  <si>
    <t>Kolonna14417</t>
  </si>
  <si>
    <t>Kolonna14418</t>
  </si>
  <si>
    <t>Kolonna14419</t>
  </si>
  <si>
    <t>Kolonna14420</t>
  </si>
  <si>
    <t>Kolonna14421</t>
  </si>
  <si>
    <t>Kolonna14422</t>
  </si>
  <si>
    <t>Kolonna14423</t>
  </si>
  <si>
    <t>Kolonna14424</t>
  </si>
  <si>
    <t>Kolonna14425</t>
  </si>
  <si>
    <t>Kolonna14426</t>
  </si>
  <si>
    <t>Kolonna14427</t>
  </si>
  <si>
    <t>Kolonna14428</t>
  </si>
  <si>
    <t>Kolonna14429</t>
  </si>
  <si>
    <t>Kolonna14430</t>
  </si>
  <si>
    <t>Kolonna14431</t>
  </si>
  <si>
    <t>Kolonna14432</t>
  </si>
  <si>
    <t>Kolonna14433</t>
  </si>
  <si>
    <t>Kolonna14434</t>
  </si>
  <si>
    <t>Kolonna14435</t>
  </si>
  <si>
    <t>Kolonna14436</t>
  </si>
  <si>
    <t>Kolonna14437</t>
  </si>
  <si>
    <t>Kolonna14438</t>
  </si>
  <si>
    <t>Kolonna14439</t>
  </si>
  <si>
    <t>Kolonna14440</t>
  </si>
  <si>
    <t>Kolonna14441</t>
  </si>
  <si>
    <t>Kolonna14442</t>
  </si>
  <si>
    <t>Kolonna14443</t>
  </si>
  <si>
    <t>Kolonna14444</t>
  </si>
  <si>
    <t>Kolonna14445</t>
  </si>
  <si>
    <t>Kolonna14446</t>
  </si>
  <si>
    <t>Kolonna14447</t>
  </si>
  <si>
    <t>Kolonna14448</t>
  </si>
  <si>
    <t>Kolonna14449</t>
  </si>
  <si>
    <t>Kolonna14450</t>
  </si>
  <si>
    <t>Kolonna14451</t>
  </si>
  <si>
    <t>Kolonna14452</t>
  </si>
  <si>
    <t>Kolonna14453</t>
  </si>
  <si>
    <t>Kolonna14454</t>
  </si>
  <si>
    <t>Kolonna14455</t>
  </si>
  <si>
    <t>Kolonna14456</t>
  </si>
  <si>
    <t>Kolonna14457</t>
  </si>
  <si>
    <t>Kolonna14458</t>
  </si>
  <si>
    <t>Kolonna14459</t>
  </si>
  <si>
    <t>Kolonna14460</t>
  </si>
  <si>
    <t>Kolonna14461</t>
  </si>
  <si>
    <t>Kolonna14462</t>
  </si>
  <si>
    <t>Kolonna14463</t>
  </si>
  <si>
    <t>Kolonna14464</t>
  </si>
  <si>
    <t>Kolonna14465</t>
  </si>
  <si>
    <t>Kolonna14466</t>
  </si>
  <si>
    <t>Kolonna14467</t>
  </si>
  <si>
    <t>Kolonna14468</t>
  </si>
  <si>
    <t>Kolonna14469</t>
  </si>
  <si>
    <t>Kolonna14470</t>
  </si>
  <si>
    <t>Kolonna14471</t>
  </si>
  <si>
    <t>Kolonna14472</t>
  </si>
  <si>
    <t>Kolonna14473</t>
  </si>
  <si>
    <t>Kolonna14474</t>
  </si>
  <si>
    <t>Kolonna14475</t>
  </si>
  <si>
    <t>Kolonna14476</t>
  </si>
  <si>
    <t>Kolonna14477</t>
  </si>
  <si>
    <t>Kolonna14478</t>
  </si>
  <si>
    <t>Kolonna14479</t>
  </si>
  <si>
    <t>Kolonna14480</t>
  </si>
  <si>
    <t>Kolonna14481</t>
  </si>
  <si>
    <t>Kolonna14482</t>
  </si>
  <si>
    <t>Kolonna14483</t>
  </si>
  <si>
    <t>Kolonna14484</t>
  </si>
  <si>
    <t>Kolonna14485</t>
  </si>
  <si>
    <t>Kolonna14486</t>
  </si>
  <si>
    <t>Kolonna14487</t>
  </si>
  <si>
    <t>Kolonna14488</t>
  </si>
  <si>
    <t>Kolonna14489</t>
  </si>
  <si>
    <t>Kolonna14490</t>
  </si>
  <si>
    <t>Kolonna14491</t>
  </si>
  <si>
    <t>Kolonna14492</t>
  </si>
  <si>
    <t>Kolonna14493</t>
  </si>
  <si>
    <t>Kolonna14494</t>
  </si>
  <si>
    <t>Kolonna14495</t>
  </si>
  <si>
    <t>Kolonna14496</t>
  </si>
  <si>
    <t>Kolonna14497</t>
  </si>
  <si>
    <t>Kolonna14498</t>
  </si>
  <si>
    <t>Kolonna14499</t>
  </si>
  <si>
    <t>Kolonna14500</t>
  </si>
  <si>
    <t>Kolonna14501</t>
  </si>
  <si>
    <t>Kolonna14502</t>
  </si>
  <si>
    <t>Kolonna14503</t>
  </si>
  <si>
    <t>Kolonna14504</t>
  </si>
  <si>
    <t>Kolonna14505</t>
  </si>
  <si>
    <t>Kolonna14506</t>
  </si>
  <si>
    <t>Kolonna14507</t>
  </si>
  <si>
    <t>Kolonna14508</t>
  </si>
  <si>
    <t>Kolonna14509</t>
  </si>
  <si>
    <t>Kolonna14510</t>
  </si>
  <si>
    <t>Kolonna14511</t>
  </si>
  <si>
    <t>Kolonna14512</t>
  </si>
  <si>
    <t>Kolonna14513</t>
  </si>
  <si>
    <t>Kolonna14514</t>
  </si>
  <si>
    <t>Kolonna14515</t>
  </si>
  <si>
    <t>Kolonna14516</t>
  </si>
  <si>
    <t>Kolonna14517</t>
  </si>
  <si>
    <t>Kolonna14518</t>
  </si>
  <si>
    <t>Kolonna14519</t>
  </si>
  <si>
    <t>Kolonna14520</t>
  </si>
  <si>
    <t>Kolonna14521</t>
  </si>
  <si>
    <t>Kolonna14522</t>
  </si>
  <si>
    <t>Kolonna14523</t>
  </si>
  <si>
    <t>Kolonna14524</t>
  </si>
  <si>
    <t>Kolonna14525</t>
  </si>
  <si>
    <t>Kolonna14526</t>
  </si>
  <si>
    <t>Kolonna14527</t>
  </si>
  <si>
    <t>Kolonna14528</t>
  </si>
  <si>
    <t>Kolonna14529</t>
  </si>
  <si>
    <t>Kolonna14530</t>
  </si>
  <si>
    <t>Kolonna14531</t>
  </si>
  <si>
    <t>Kolonna14532</t>
  </si>
  <si>
    <t>Kolonna14533</t>
  </si>
  <si>
    <t>Kolonna14534</t>
  </si>
  <si>
    <t>Kolonna14535</t>
  </si>
  <si>
    <t>Kolonna14536</t>
  </si>
  <si>
    <t>Kolonna14537</t>
  </si>
  <si>
    <t>Kolonna14538</t>
  </si>
  <si>
    <t>Kolonna14539</t>
  </si>
  <si>
    <t>Kolonna14540</t>
  </si>
  <si>
    <t>Kolonna14541</t>
  </si>
  <si>
    <t>Kolonna14542</t>
  </si>
  <si>
    <t>Kolonna14543</t>
  </si>
  <si>
    <t>Kolonna14544</t>
  </si>
  <si>
    <t>Kolonna14545</t>
  </si>
  <si>
    <t>Kolonna14546</t>
  </si>
  <si>
    <t>Kolonna14547</t>
  </si>
  <si>
    <t>Kolonna14548</t>
  </si>
  <si>
    <t>Kolonna14549</t>
  </si>
  <si>
    <t>Kolonna14550</t>
  </si>
  <si>
    <t>Kolonna14551</t>
  </si>
  <si>
    <t>Kolonna14552</t>
  </si>
  <si>
    <t>Kolonna14553</t>
  </si>
  <si>
    <t>Kolonna14554</t>
  </si>
  <si>
    <t>Kolonna14555</t>
  </si>
  <si>
    <t>Kolonna14556</t>
  </si>
  <si>
    <t>Kolonna14557</t>
  </si>
  <si>
    <t>Kolonna14558</t>
  </si>
  <si>
    <t>Kolonna14559</t>
  </si>
  <si>
    <t>Kolonna14560</t>
  </si>
  <si>
    <t>Kolonna14561</t>
  </si>
  <si>
    <t>Kolonna14562</t>
  </si>
  <si>
    <t>Kolonna14563</t>
  </si>
  <si>
    <t>Kolonna14564</t>
  </si>
  <si>
    <t>Kolonna14565</t>
  </si>
  <si>
    <t>Kolonna14566</t>
  </si>
  <si>
    <t>Kolonna14567</t>
  </si>
  <si>
    <t>Kolonna14568</t>
  </si>
  <si>
    <t>Kolonna14569</t>
  </si>
  <si>
    <t>Kolonna14570</t>
  </si>
  <si>
    <t>Kolonna14571</t>
  </si>
  <si>
    <t>Kolonna14572</t>
  </si>
  <si>
    <t>Kolonna14573</t>
  </si>
  <si>
    <t>Kolonna14574</t>
  </si>
  <si>
    <t>Kolonna14575</t>
  </si>
  <si>
    <t>Kolonna14576</t>
  </si>
  <si>
    <t>Kolonna14577</t>
  </si>
  <si>
    <t>Kolonna14578</t>
  </si>
  <si>
    <t>Kolonna14579</t>
  </si>
  <si>
    <t>Kolonna14580</t>
  </si>
  <si>
    <t>Kolonna14581</t>
  </si>
  <si>
    <t>Kolonna14582</t>
  </si>
  <si>
    <t>Kolonna14583</t>
  </si>
  <si>
    <t>Kolonna14584</t>
  </si>
  <si>
    <t>Kolonna14585</t>
  </si>
  <si>
    <t>Kolonna14586</t>
  </si>
  <si>
    <t>Kolonna14587</t>
  </si>
  <si>
    <t>Kolonna14588</t>
  </si>
  <si>
    <t>Kolonna14589</t>
  </si>
  <si>
    <t>Kolonna14590</t>
  </si>
  <si>
    <t>Kolonna14591</t>
  </si>
  <si>
    <t>Kolonna14592</t>
  </si>
  <si>
    <t>Kolonna14593</t>
  </si>
  <si>
    <t>Kolonna14594</t>
  </si>
  <si>
    <t>Kolonna14595</t>
  </si>
  <si>
    <t>Kolonna14596</t>
  </si>
  <si>
    <t>Kolonna14597</t>
  </si>
  <si>
    <t>Kolonna14598</t>
  </si>
  <si>
    <t>Kolonna14599</t>
  </si>
  <si>
    <t>Kolonna14600</t>
  </si>
  <si>
    <t>Kolonna14601</t>
  </si>
  <si>
    <t>Kolonna14602</t>
  </si>
  <si>
    <t>Kolonna14603</t>
  </si>
  <si>
    <t>Kolonna14604</t>
  </si>
  <si>
    <t>Kolonna14605</t>
  </si>
  <si>
    <t>Kolonna14606</t>
  </si>
  <si>
    <t>Kolonna14607</t>
  </si>
  <si>
    <t>Kolonna14608</t>
  </si>
  <si>
    <t>Kolonna14609</t>
  </si>
  <si>
    <t>Kolonna14610</t>
  </si>
  <si>
    <t>Kolonna14611</t>
  </si>
  <si>
    <t>Kolonna14612</t>
  </si>
  <si>
    <t>Kolonna14613</t>
  </si>
  <si>
    <t>Kolonna14614</t>
  </si>
  <si>
    <t>Kolonna14615</t>
  </si>
  <si>
    <t>Kolonna14616</t>
  </si>
  <si>
    <t>Kolonna14617</t>
  </si>
  <si>
    <t>Kolonna14618</t>
  </si>
  <si>
    <t>Kolonna14619</t>
  </si>
  <si>
    <t>Kolonna14620</t>
  </si>
  <si>
    <t>Kolonna14621</t>
  </si>
  <si>
    <t>Kolonna14622</t>
  </si>
  <si>
    <t>Kolonna14623</t>
  </si>
  <si>
    <t>Kolonna14624</t>
  </si>
  <si>
    <t>Kolonna14625</t>
  </si>
  <si>
    <t>Kolonna14626</t>
  </si>
  <si>
    <t>Kolonna14627</t>
  </si>
  <si>
    <t>Kolonna14628</t>
  </si>
  <si>
    <t>Kolonna14629</t>
  </si>
  <si>
    <t>Kolonna14630</t>
  </si>
  <si>
    <t>Kolonna14631</t>
  </si>
  <si>
    <t>Kolonna14632</t>
  </si>
  <si>
    <t>Kolonna14633</t>
  </si>
  <si>
    <t>Kolonna14634</t>
  </si>
  <si>
    <t>Kolonna14635</t>
  </si>
  <si>
    <t>Kolonna14636</t>
  </si>
  <si>
    <t>Kolonna14637</t>
  </si>
  <si>
    <t>Kolonna14638</t>
  </si>
  <si>
    <t>Kolonna14639</t>
  </si>
  <si>
    <t>Kolonna14640</t>
  </si>
  <si>
    <t>Kolonna14641</t>
  </si>
  <si>
    <t>Kolonna14642</t>
  </si>
  <si>
    <t>Kolonna14643</t>
  </si>
  <si>
    <t>Kolonna14644</t>
  </si>
  <si>
    <t>Kolonna14645</t>
  </si>
  <si>
    <t>Kolonna14646</t>
  </si>
  <si>
    <t>Kolonna14647</t>
  </si>
  <si>
    <t>Kolonna14648</t>
  </si>
  <si>
    <t>Kolonna14649</t>
  </si>
  <si>
    <t>Kolonna14650</t>
  </si>
  <si>
    <t>Kolonna14651</t>
  </si>
  <si>
    <t>Kolonna14652</t>
  </si>
  <si>
    <t>Kolonna14653</t>
  </si>
  <si>
    <t>Kolonna14654</t>
  </si>
  <si>
    <t>Kolonna14655</t>
  </si>
  <si>
    <t>Kolonna14656</t>
  </si>
  <si>
    <t>Kolonna14657</t>
  </si>
  <si>
    <t>Kolonna14658</t>
  </si>
  <si>
    <t>Kolonna14659</t>
  </si>
  <si>
    <t>Kolonna14660</t>
  </si>
  <si>
    <t>Kolonna14661</t>
  </si>
  <si>
    <t>Kolonna14662</t>
  </si>
  <si>
    <t>Kolonna14663</t>
  </si>
  <si>
    <t>Kolonna14664</t>
  </si>
  <si>
    <t>Kolonna14665</t>
  </si>
  <si>
    <t>Kolonna14666</t>
  </si>
  <si>
    <t>Kolonna14667</t>
  </si>
  <si>
    <t>Kolonna14668</t>
  </si>
  <si>
    <t>Kolonna14669</t>
  </si>
  <si>
    <t>Kolonna14670</t>
  </si>
  <si>
    <t>Kolonna14671</t>
  </si>
  <si>
    <t>Kolonna14672</t>
  </si>
  <si>
    <t>Kolonna14673</t>
  </si>
  <si>
    <t>Kolonna14674</t>
  </si>
  <si>
    <t>Kolonna14675</t>
  </si>
  <si>
    <t>Kolonna14676</t>
  </si>
  <si>
    <t>Kolonna14677</t>
  </si>
  <si>
    <t>Kolonna14678</t>
  </si>
  <si>
    <t>Kolonna14679</t>
  </si>
  <si>
    <t>Kolonna14680</t>
  </si>
  <si>
    <t>Kolonna14681</t>
  </si>
  <si>
    <t>Kolonna14682</t>
  </si>
  <si>
    <t>Kolonna14683</t>
  </si>
  <si>
    <t>Kolonna14684</t>
  </si>
  <si>
    <t>Kolonna14685</t>
  </si>
  <si>
    <t>Kolonna14686</t>
  </si>
  <si>
    <t>Kolonna14687</t>
  </si>
  <si>
    <t>Kolonna14688</t>
  </si>
  <si>
    <t>Kolonna14689</t>
  </si>
  <si>
    <t>Kolonna14690</t>
  </si>
  <si>
    <t>Kolonna14691</t>
  </si>
  <si>
    <t>Kolonna14692</t>
  </si>
  <si>
    <t>Kolonna14693</t>
  </si>
  <si>
    <t>Kolonna14694</t>
  </si>
  <si>
    <t>Kolonna14695</t>
  </si>
  <si>
    <t>Kolonna14696</t>
  </si>
  <si>
    <t>Kolonna14697</t>
  </si>
  <si>
    <t>Kolonna14698</t>
  </si>
  <si>
    <t>Kolonna14699</t>
  </si>
  <si>
    <t>Kolonna14700</t>
  </si>
  <si>
    <t>Kolonna14701</t>
  </si>
  <si>
    <t>Kolonna14702</t>
  </si>
  <si>
    <t>Kolonna14703</t>
  </si>
  <si>
    <t>Kolonna14704</t>
  </si>
  <si>
    <t>Kolonna14705</t>
  </si>
  <si>
    <t>Kolonna14706</t>
  </si>
  <si>
    <t>Kolonna14707</t>
  </si>
  <si>
    <t>Kolonna14708</t>
  </si>
  <si>
    <t>Kolonna14709</t>
  </si>
  <si>
    <t>Kolonna14710</t>
  </si>
  <si>
    <t>Kolonna14711</t>
  </si>
  <si>
    <t>Kolonna14712</t>
  </si>
  <si>
    <t>Kolonna14713</t>
  </si>
  <si>
    <t>Kolonna14714</t>
  </si>
  <si>
    <t>Kolonna14715</t>
  </si>
  <si>
    <t>Kolonna14716</t>
  </si>
  <si>
    <t>Kolonna14717</t>
  </si>
  <si>
    <t>Kolonna14718</t>
  </si>
  <si>
    <t>Kolonna14719</t>
  </si>
  <si>
    <t>Kolonna14720</t>
  </si>
  <si>
    <t>Kolonna14721</t>
  </si>
  <si>
    <t>Kolonna14722</t>
  </si>
  <si>
    <t>Kolonna14723</t>
  </si>
  <si>
    <t>Kolonna14724</t>
  </si>
  <si>
    <t>Kolonna14725</t>
  </si>
  <si>
    <t>Kolonna14726</t>
  </si>
  <si>
    <t>Kolonna14727</t>
  </si>
  <si>
    <t>Kolonna14728</t>
  </si>
  <si>
    <t>Kolonna14729</t>
  </si>
  <si>
    <t>Kolonna14730</t>
  </si>
  <si>
    <t>Kolonna14731</t>
  </si>
  <si>
    <t>Kolonna14732</t>
  </si>
  <si>
    <t>Kolonna14733</t>
  </si>
  <si>
    <t>Kolonna14734</t>
  </si>
  <si>
    <t>Kolonna14735</t>
  </si>
  <si>
    <t>Kolonna14736</t>
  </si>
  <si>
    <t>Kolonna14737</t>
  </si>
  <si>
    <t>Kolonna14738</t>
  </si>
  <si>
    <t>Kolonna14739</t>
  </si>
  <si>
    <t>Kolonna14740</t>
  </si>
  <si>
    <t>Kolonna14741</t>
  </si>
  <si>
    <t>Kolonna14742</t>
  </si>
  <si>
    <t>Kolonna14743</t>
  </si>
  <si>
    <t>Kolonna14744</t>
  </si>
  <si>
    <t>Kolonna14745</t>
  </si>
  <si>
    <t>Kolonna14746</t>
  </si>
  <si>
    <t>Kolonna14747</t>
  </si>
  <si>
    <t>Kolonna14748</t>
  </si>
  <si>
    <t>Kolonna14749</t>
  </si>
  <si>
    <t>Kolonna14750</t>
  </si>
  <si>
    <t>Kolonna14751</t>
  </si>
  <si>
    <t>Kolonna14752</t>
  </si>
  <si>
    <t>Kolonna14753</t>
  </si>
  <si>
    <t>Kolonna14754</t>
  </si>
  <si>
    <t>Kolonna14755</t>
  </si>
  <si>
    <t>Kolonna14756</t>
  </si>
  <si>
    <t>Kolonna14757</t>
  </si>
  <si>
    <t>Kolonna14758</t>
  </si>
  <si>
    <t>Kolonna14759</t>
  </si>
  <si>
    <t>Kolonna14760</t>
  </si>
  <si>
    <t>Kolonna14761</t>
  </si>
  <si>
    <t>Kolonna14762</t>
  </si>
  <si>
    <t>Kolonna14763</t>
  </si>
  <si>
    <t>Kolonna14764</t>
  </si>
  <si>
    <t>Kolonna14765</t>
  </si>
  <si>
    <t>Kolonna14766</t>
  </si>
  <si>
    <t>Kolonna14767</t>
  </si>
  <si>
    <t>Kolonna14768</t>
  </si>
  <si>
    <t>Kolonna14769</t>
  </si>
  <si>
    <t>Kolonna14770</t>
  </si>
  <si>
    <t>Kolonna14771</t>
  </si>
  <si>
    <t>Kolonna14772</t>
  </si>
  <si>
    <t>Kolonna14773</t>
  </si>
  <si>
    <t>Kolonna14774</t>
  </si>
  <si>
    <t>Kolonna14775</t>
  </si>
  <si>
    <t>Kolonna14776</t>
  </si>
  <si>
    <t>Kolonna14777</t>
  </si>
  <si>
    <t>Kolonna14778</t>
  </si>
  <si>
    <t>Kolonna14779</t>
  </si>
  <si>
    <t>Kolonna14780</t>
  </si>
  <si>
    <t>Kolonna14781</t>
  </si>
  <si>
    <t>Kolonna14782</t>
  </si>
  <si>
    <t>Kolonna14783</t>
  </si>
  <si>
    <t>Kolonna14784</t>
  </si>
  <si>
    <t>Kolonna14785</t>
  </si>
  <si>
    <t>Kolonna14786</t>
  </si>
  <si>
    <t>Kolonna14787</t>
  </si>
  <si>
    <t>Kolonna14788</t>
  </si>
  <si>
    <t>Kolonna14789</t>
  </si>
  <si>
    <t>Kolonna14790</t>
  </si>
  <si>
    <t>Kolonna14791</t>
  </si>
  <si>
    <t>Kolonna14792</t>
  </si>
  <si>
    <t>Kolonna14793</t>
  </si>
  <si>
    <t>Kolonna14794</t>
  </si>
  <si>
    <t>Kolonna14795</t>
  </si>
  <si>
    <t>Kolonna14796</t>
  </si>
  <si>
    <t>Kolonna14797</t>
  </si>
  <si>
    <t>Kolonna14798</t>
  </si>
  <si>
    <t>Kolonna14799</t>
  </si>
  <si>
    <t>Kolonna14800</t>
  </si>
  <si>
    <t>Kolonna14801</t>
  </si>
  <si>
    <t>Kolonna14802</t>
  </si>
  <si>
    <t>Kolonna14803</t>
  </si>
  <si>
    <t>Kolonna14804</t>
  </si>
  <si>
    <t>Kolonna14805</t>
  </si>
  <si>
    <t>Kolonna14806</t>
  </si>
  <si>
    <t>Kolonna14807</t>
  </si>
  <si>
    <t>Kolonna14808</t>
  </si>
  <si>
    <t>Kolonna14809</t>
  </si>
  <si>
    <t>Kolonna14810</t>
  </si>
  <si>
    <t>Kolonna14811</t>
  </si>
  <si>
    <t>Kolonna14812</t>
  </si>
  <si>
    <t>Kolonna14813</t>
  </si>
  <si>
    <t>Kolonna14814</t>
  </si>
  <si>
    <t>Kolonna14815</t>
  </si>
  <si>
    <t>Kolonna14816</t>
  </si>
  <si>
    <t>Kolonna14817</t>
  </si>
  <si>
    <t>Kolonna14818</t>
  </si>
  <si>
    <t>Kolonna14819</t>
  </si>
  <si>
    <t>Kolonna14820</t>
  </si>
  <si>
    <t>Kolonna14821</t>
  </si>
  <si>
    <t>Kolonna14822</t>
  </si>
  <si>
    <t>Kolonna14823</t>
  </si>
  <si>
    <t>Kolonna14824</t>
  </si>
  <si>
    <t>Kolonna14825</t>
  </si>
  <si>
    <t>Kolonna14826</t>
  </si>
  <si>
    <t>Kolonna14827</t>
  </si>
  <si>
    <t>Kolonna14828</t>
  </si>
  <si>
    <t>Kolonna14829</t>
  </si>
  <si>
    <t>Kolonna14830</t>
  </si>
  <si>
    <t>Kolonna14831</t>
  </si>
  <si>
    <t>Kolonna14832</t>
  </si>
  <si>
    <t>Kolonna14833</t>
  </si>
  <si>
    <t>Kolonna14834</t>
  </si>
  <si>
    <t>Kolonna14835</t>
  </si>
  <si>
    <t>Kolonna14836</t>
  </si>
  <si>
    <t>Kolonna14837</t>
  </si>
  <si>
    <t>Kolonna14838</t>
  </si>
  <si>
    <t>Kolonna14839</t>
  </si>
  <si>
    <t>Kolonna14840</t>
  </si>
  <si>
    <t>Kolonna14841</t>
  </si>
  <si>
    <t>Kolonna14842</t>
  </si>
  <si>
    <t>Kolonna14843</t>
  </si>
  <si>
    <t>Kolonna14844</t>
  </si>
  <si>
    <t>Kolonna14845</t>
  </si>
  <si>
    <t>Kolonna14846</t>
  </si>
  <si>
    <t>Kolonna14847</t>
  </si>
  <si>
    <t>Kolonna14848</t>
  </si>
  <si>
    <t>Kolonna14849</t>
  </si>
  <si>
    <t>Kolonna14850</t>
  </si>
  <si>
    <t>Kolonna14851</t>
  </si>
  <si>
    <t>Kolonna14852</t>
  </si>
  <si>
    <t>Kolonna14853</t>
  </si>
  <si>
    <t>Kolonna14854</t>
  </si>
  <si>
    <t>Kolonna14855</t>
  </si>
  <si>
    <t>Kolonna14856</t>
  </si>
  <si>
    <t>Kolonna14857</t>
  </si>
  <si>
    <t>Kolonna14858</t>
  </si>
  <si>
    <t>Kolonna14859</t>
  </si>
  <si>
    <t>Kolonna14860</t>
  </si>
  <si>
    <t>Kolonna14861</t>
  </si>
  <si>
    <t>Kolonna14862</t>
  </si>
  <si>
    <t>Kolonna14863</t>
  </si>
  <si>
    <t>Kolonna14864</t>
  </si>
  <si>
    <t>Kolonna14865</t>
  </si>
  <si>
    <t>Kolonna14866</t>
  </si>
  <si>
    <t>Kolonna14867</t>
  </si>
  <si>
    <t>Kolonna14868</t>
  </si>
  <si>
    <t>Kolonna14869</t>
  </si>
  <si>
    <t>Kolonna14870</t>
  </si>
  <si>
    <t>Kolonna14871</t>
  </si>
  <si>
    <t>Kolonna14872</t>
  </si>
  <si>
    <t>Kolonna14873</t>
  </si>
  <si>
    <t>Kolonna14874</t>
  </si>
  <si>
    <t>Kolonna14875</t>
  </si>
  <si>
    <t>Kolonna14876</t>
  </si>
  <si>
    <t>Kolonna14877</t>
  </si>
  <si>
    <t>Kolonna14878</t>
  </si>
  <si>
    <t>Kolonna14879</t>
  </si>
  <si>
    <t>Kolonna14880</t>
  </si>
  <si>
    <t>Kolonna14881</t>
  </si>
  <si>
    <t>Kolonna14882</t>
  </si>
  <si>
    <t>Kolonna14883</t>
  </si>
  <si>
    <t>Kolonna14884</t>
  </si>
  <si>
    <t>Kolonna14885</t>
  </si>
  <si>
    <t>Kolonna14886</t>
  </si>
  <si>
    <t>Kolonna14887</t>
  </si>
  <si>
    <t>Kolonna14888</t>
  </si>
  <si>
    <t>Kolonna14889</t>
  </si>
  <si>
    <t>Kolonna14890</t>
  </si>
  <si>
    <t>Kolonna14891</t>
  </si>
  <si>
    <t>Kolonna14892</t>
  </si>
  <si>
    <t>Kolonna14893</t>
  </si>
  <si>
    <t>Kolonna14894</t>
  </si>
  <si>
    <t>Kolonna14895</t>
  </si>
  <si>
    <t>Kolonna14896</t>
  </si>
  <si>
    <t>Kolonna14897</t>
  </si>
  <si>
    <t>Kolonna14898</t>
  </si>
  <si>
    <t>Kolonna14899</t>
  </si>
  <si>
    <t>Kolonna14900</t>
  </si>
  <si>
    <t>Kolonna14901</t>
  </si>
  <si>
    <t>Kolonna14902</t>
  </si>
  <si>
    <t>Kolonna14903</t>
  </si>
  <si>
    <t>Kolonna14904</t>
  </si>
  <si>
    <t>Kolonna14905</t>
  </si>
  <si>
    <t>Kolonna14906</t>
  </si>
  <si>
    <t>Kolonna14907</t>
  </si>
  <si>
    <t>Kolonna14908</t>
  </si>
  <si>
    <t>Kolonna14909</t>
  </si>
  <si>
    <t>Kolonna14910</t>
  </si>
  <si>
    <t>Kolonna14911</t>
  </si>
  <si>
    <t>Kolonna14912</t>
  </si>
  <si>
    <t>Kolonna14913</t>
  </si>
  <si>
    <t>Kolonna14914</t>
  </si>
  <si>
    <t>Kolonna14915</t>
  </si>
  <si>
    <t>Kolonna14916</t>
  </si>
  <si>
    <t>Kolonna14917</t>
  </si>
  <si>
    <t>Kolonna14918</t>
  </si>
  <si>
    <t>Kolonna14919</t>
  </si>
  <si>
    <t>Kolonna14920</t>
  </si>
  <si>
    <t>Kolonna14921</t>
  </si>
  <si>
    <t>Kolonna14922</t>
  </si>
  <si>
    <t>Kolonna14923</t>
  </si>
  <si>
    <t>Kolonna14924</t>
  </si>
  <si>
    <t>Kolonna14925</t>
  </si>
  <si>
    <t>Kolonna14926</t>
  </si>
  <si>
    <t>Kolonna14927</t>
  </si>
  <si>
    <t>Kolonna14928</t>
  </si>
  <si>
    <t>Kolonna14929</t>
  </si>
  <si>
    <t>Kolonna14930</t>
  </si>
  <si>
    <t>Kolonna14931</t>
  </si>
  <si>
    <t>Kolonna14932</t>
  </si>
  <si>
    <t>Kolonna14933</t>
  </si>
  <si>
    <t>Kolonna14934</t>
  </si>
  <si>
    <t>Kolonna14935</t>
  </si>
  <si>
    <t>Kolonna14936</t>
  </si>
  <si>
    <t>Kolonna14937</t>
  </si>
  <si>
    <t>Kolonna14938</t>
  </si>
  <si>
    <t>Kolonna14939</t>
  </si>
  <si>
    <t>Kolonna14940</t>
  </si>
  <si>
    <t>Kolonna14941</t>
  </si>
  <si>
    <t>Kolonna14942</t>
  </si>
  <si>
    <t>Kolonna14943</t>
  </si>
  <si>
    <t>Kolonna14944</t>
  </si>
  <si>
    <t>Kolonna14945</t>
  </si>
  <si>
    <t>Kolonna14946</t>
  </si>
  <si>
    <t>Kolonna14947</t>
  </si>
  <si>
    <t>Kolonna14948</t>
  </si>
  <si>
    <t>Kolonna14949</t>
  </si>
  <si>
    <t>Kolonna14950</t>
  </si>
  <si>
    <t>Kolonna14951</t>
  </si>
  <si>
    <t>Kolonna14952</t>
  </si>
  <si>
    <t>Kolonna14953</t>
  </si>
  <si>
    <t>Kolonna14954</t>
  </si>
  <si>
    <t>Kolonna14955</t>
  </si>
  <si>
    <t>Kolonna14956</t>
  </si>
  <si>
    <t>Kolonna14957</t>
  </si>
  <si>
    <t>Kolonna14958</t>
  </si>
  <si>
    <t>Kolonna14959</t>
  </si>
  <si>
    <t>Kolonna14960</t>
  </si>
  <si>
    <t>Kolonna14961</t>
  </si>
  <si>
    <t>Kolonna14962</t>
  </si>
  <si>
    <t>Kolonna14963</t>
  </si>
  <si>
    <t>Kolonna14964</t>
  </si>
  <si>
    <t>Kolonna14965</t>
  </si>
  <si>
    <t>Kolonna14966</t>
  </si>
  <si>
    <t>Kolonna14967</t>
  </si>
  <si>
    <t>Kolonna14968</t>
  </si>
  <si>
    <t>Kolonna14969</t>
  </si>
  <si>
    <t>Kolonna14970</t>
  </si>
  <si>
    <t>Kolonna14971</t>
  </si>
  <si>
    <t>Kolonna14972</t>
  </si>
  <si>
    <t>Kolonna14973</t>
  </si>
  <si>
    <t>Kolonna14974</t>
  </si>
  <si>
    <t>Kolonna14975</t>
  </si>
  <si>
    <t>Kolonna14976</t>
  </si>
  <si>
    <t>Kolonna14977</t>
  </si>
  <si>
    <t>Kolonna14978</t>
  </si>
  <si>
    <t>Kolonna14979</t>
  </si>
  <si>
    <t>Kolonna14980</t>
  </si>
  <si>
    <t>Kolonna14981</t>
  </si>
  <si>
    <t>Kolonna14982</t>
  </si>
  <si>
    <t>Kolonna14983</t>
  </si>
  <si>
    <t>Kolonna14984</t>
  </si>
  <si>
    <t>Kolonna14985</t>
  </si>
  <si>
    <t>Kolonna14986</t>
  </si>
  <si>
    <t>Kolonna14987</t>
  </si>
  <si>
    <t>Kolonna14988</t>
  </si>
  <si>
    <t>Kolonna14989</t>
  </si>
  <si>
    <t>Kolonna14990</t>
  </si>
  <si>
    <t>Kolonna14991</t>
  </si>
  <si>
    <t>Kolonna14992</t>
  </si>
  <si>
    <t>Kolonna14993</t>
  </si>
  <si>
    <t>Kolonna14994</t>
  </si>
  <si>
    <t>Kolonna14995</t>
  </si>
  <si>
    <t>Kolonna14996</t>
  </si>
  <si>
    <t>Kolonna14997</t>
  </si>
  <si>
    <t>Kolonna14998</t>
  </si>
  <si>
    <t>Kolonna14999</t>
  </si>
  <si>
    <t>Kolonna15000</t>
  </si>
  <si>
    <t>Kolonna15001</t>
  </si>
  <si>
    <t>Kolonna15002</t>
  </si>
  <si>
    <t>Kolonna15003</t>
  </si>
  <si>
    <t>Kolonna15004</t>
  </si>
  <si>
    <t>Kolonna15005</t>
  </si>
  <si>
    <t>Kolonna15006</t>
  </si>
  <si>
    <t>Kolonna15007</t>
  </si>
  <si>
    <t>Kolonna15008</t>
  </si>
  <si>
    <t>Kolonna15009</t>
  </si>
  <si>
    <t>Kolonna15010</t>
  </si>
  <si>
    <t>Kolonna15011</t>
  </si>
  <si>
    <t>Kolonna15012</t>
  </si>
  <si>
    <t>Kolonna15013</t>
  </si>
  <si>
    <t>Kolonna15014</t>
  </si>
  <si>
    <t>Kolonna15015</t>
  </si>
  <si>
    <t>Kolonna15016</t>
  </si>
  <si>
    <t>Kolonna15017</t>
  </si>
  <si>
    <t>Kolonna15018</t>
  </si>
  <si>
    <t>Kolonna15019</t>
  </si>
  <si>
    <t>Kolonna15020</t>
  </si>
  <si>
    <t>Kolonna15021</t>
  </si>
  <si>
    <t>Kolonna15022</t>
  </si>
  <si>
    <t>Kolonna15023</t>
  </si>
  <si>
    <t>Kolonna15024</t>
  </si>
  <si>
    <t>Kolonna15025</t>
  </si>
  <si>
    <t>Kolonna15026</t>
  </si>
  <si>
    <t>Kolonna15027</t>
  </si>
  <si>
    <t>Kolonna15028</t>
  </si>
  <si>
    <t>Kolonna15029</t>
  </si>
  <si>
    <t>Kolonna15030</t>
  </si>
  <si>
    <t>Kolonna15031</t>
  </si>
  <si>
    <t>Kolonna15032</t>
  </si>
  <si>
    <t>Kolonna15033</t>
  </si>
  <si>
    <t>Kolonna15034</t>
  </si>
  <si>
    <t>Kolonna15035</t>
  </si>
  <si>
    <t>Kolonna15036</t>
  </si>
  <si>
    <t>Kolonna15037</t>
  </si>
  <si>
    <t>Kolonna15038</t>
  </si>
  <si>
    <t>Kolonna15039</t>
  </si>
  <si>
    <t>Kolonna15040</t>
  </si>
  <si>
    <t>Kolonna15041</t>
  </si>
  <si>
    <t>Kolonna15042</t>
  </si>
  <si>
    <t>Kolonna15043</t>
  </si>
  <si>
    <t>Kolonna15044</t>
  </si>
  <si>
    <t>Kolonna15045</t>
  </si>
  <si>
    <t>Kolonna15046</t>
  </si>
  <si>
    <t>Kolonna15047</t>
  </si>
  <si>
    <t>Kolonna15048</t>
  </si>
  <si>
    <t>Kolonna15049</t>
  </si>
  <si>
    <t>Kolonna15050</t>
  </si>
  <si>
    <t>Kolonna15051</t>
  </si>
  <si>
    <t>Kolonna15052</t>
  </si>
  <si>
    <t>Kolonna15053</t>
  </si>
  <si>
    <t>Kolonna15054</t>
  </si>
  <si>
    <t>Kolonna15055</t>
  </si>
  <si>
    <t>Kolonna15056</t>
  </si>
  <si>
    <t>Kolonna15057</t>
  </si>
  <si>
    <t>Kolonna15058</t>
  </si>
  <si>
    <t>Kolonna15059</t>
  </si>
  <si>
    <t>Kolonna15060</t>
  </si>
  <si>
    <t>Kolonna15061</t>
  </si>
  <si>
    <t>Kolonna15062</t>
  </si>
  <si>
    <t>Kolonna15063</t>
  </si>
  <si>
    <t>Kolonna15064</t>
  </si>
  <si>
    <t>Kolonna15065</t>
  </si>
  <si>
    <t>Kolonna15066</t>
  </si>
  <si>
    <t>Kolonna15067</t>
  </si>
  <si>
    <t>Kolonna15068</t>
  </si>
  <si>
    <t>Kolonna15069</t>
  </si>
  <si>
    <t>Kolonna15070</t>
  </si>
  <si>
    <t>Kolonna15071</t>
  </si>
  <si>
    <t>Kolonna15072</t>
  </si>
  <si>
    <t>Kolonna15073</t>
  </si>
  <si>
    <t>Kolonna15074</t>
  </si>
  <si>
    <t>Kolonna15075</t>
  </si>
  <si>
    <t>Kolonna15076</t>
  </si>
  <si>
    <t>Kolonna15077</t>
  </si>
  <si>
    <t>Kolonna15078</t>
  </si>
  <si>
    <t>Kolonna15079</t>
  </si>
  <si>
    <t>Kolonna15080</t>
  </si>
  <si>
    <t>Kolonna15081</t>
  </si>
  <si>
    <t>Kolonna15082</t>
  </si>
  <si>
    <t>Kolonna15083</t>
  </si>
  <si>
    <t>Kolonna15084</t>
  </si>
  <si>
    <t>Kolonna15085</t>
  </si>
  <si>
    <t>Kolonna15086</t>
  </si>
  <si>
    <t>Kolonna15087</t>
  </si>
  <si>
    <t>Kolonna15088</t>
  </si>
  <si>
    <t>Kolonna15089</t>
  </si>
  <si>
    <t>Kolonna15090</t>
  </si>
  <si>
    <t>Kolonna15091</t>
  </si>
  <si>
    <t>Kolonna15092</t>
  </si>
  <si>
    <t>Kolonna15093</t>
  </si>
  <si>
    <t>Kolonna15094</t>
  </si>
  <si>
    <t>Kolonna15095</t>
  </si>
  <si>
    <t>Kolonna15096</t>
  </si>
  <si>
    <t>Kolonna15097</t>
  </si>
  <si>
    <t>Kolonna15098</t>
  </si>
  <si>
    <t>Kolonna15099</t>
  </si>
  <si>
    <t>Kolonna15100</t>
  </si>
  <si>
    <t>Kolonna15101</t>
  </si>
  <si>
    <t>Kolonna15102</t>
  </si>
  <si>
    <t>Kolonna15103</t>
  </si>
  <si>
    <t>Kolonna15104</t>
  </si>
  <si>
    <t>Kolonna15105</t>
  </si>
  <si>
    <t>Kolonna15106</t>
  </si>
  <si>
    <t>Kolonna15107</t>
  </si>
  <si>
    <t>Kolonna15108</t>
  </si>
  <si>
    <t>Kolonna15109</t>
  </si>
  <si>
    <t>Kolonna15110</t>
  </si>
  <si>
    <t>Kolonna15111</t>
  </si>
  <si>
    <t>Kolonna15112</t>
  </si>
  <si>
    <t>Kolonna15113</t>
  </si>
  <si>
    <t>Kolonna15114</t>
  </si>
  <si>
    <t>Kolonna15115</t>
  </si>
  <si>
    <t>Kolonna15116</t>
  </si>
  <si>
    <t>Kolonna15117</t>
  </si>
  <si>
    <t>Kolonna15118</t>
  </si>
  <si>
    <t>Kolonna15119</t>
  </si>
  <si>
    <t>Kolonna15120</t>
  </si>
  <si>
    <t>Kolonna15121</t>
  </si>
  <si>
    <t>Kolonna15122</t>
  </si>
  <si>
    <t>Kolonna15123</t>
  </si>
  <si>
    <t>Kolonna15124</t>
  </si>
  <si>
    <t>Kolonna15125</t>
  </si>
  <si>
    <t>Kolonna15126</t>
  </si>
  <si>
    <t>Kolonna15127</t>
  </si>
  <si>
    <t>Kolonna15128</t>
  </si>
  <si>
    <t>Kolonna15129</t>
  </si>
  <si>
    <t>Kolonna15130</t>
  </si>
  <si>
    <t>Kolonna15131</t>
  </si>
  <si>
    <t>Kolonna15132</t>
  </si>
  <si>
    <t>Kolonna15133</t>
  </si>
  <si>
    <t>Kolonna15134</t>
  </si>
  <si>
    <t>Kolonna15135</t>
  </si>
  <si>
    <t>Kolonna15136</t>
  </si>
  <si>
    <t>Kolonna15137</t>
  </si>
  <si>
    <t>Kolonna15138</t>
  </si>
  <si>
    <t>Kolonna15139</t>
  </si>
  <si>
    <t>Kolonna15140</t>
  </si>
  <si>
    <t>Kolonna15141</t>
  </si>
  <si>
    <t>Kolonna15142</t>
  </si>
  <si>
    <t>Kolonna15143</t>
  </si>
  <si>
    <t>Kolonna15144</t>
  </si>
  <si>
    <t>Kolonna15145</t>
  </si>
  <si>
    <t>Kolonna15146</t>
  </si>
  <si>
    <t>Kolonna15147</t>
  </si>
  <si>
    <t>Kolonna15148</t>
  </si>
  <si>
    <t>Kolonna15149</t>
  </si>
  <si>
    <t>Kolonna15150</t>
  </si>
  <si>
    <t>Kolonna15151</t>
  </si>
  <si>
    <t>Kolonna15152</t>
  </si>
  <si>
    <t>Kolonna15153</t>
  </si>
  <si>
    <t>Kolonna15154</t>
  </si>
  <si>
    <t>Kolonna15155</t>
  </si>
  <si>
    <t>Kolonna15156</t>
  </si>
  <si>
    <t>Kolonna15157</t>
  </si>
  <si>
    <t>Kolonna15158</t>
  </si>
  <si>
    <t>Kolonna15159</t>
  </si>
  <si>
    <t>Kolonna15160</t>
  </si>
  <si>
    <t>Kolonna15161</t>
  </si>
  <si>
    <t>Kolonna15162</t>
  </si>
  <si>
    <t>Kolonna15163</t>
  </si>
  <si>
    <t>Kolonna15164</t>
  </si>
  <si>
    <t>Kolonna15165</t>
  </si>
  <si>
    <t>Kolonna15166</t>
  </si>
  <si>
    <t>Kolonna15167</t>
  </si>
  <si>
    <t>Kolonna15168</t>
  </si>
  <si>
    <t>Kolonna15169</t>
  </si>
  <si>
    <t>Kolonna15170</t>
  </si>
  <si>
    <t>Kolonna15171</t>
  </si>
  <si>
    <t>Kolonna15172</t>
  </si>
  <si>
    <t>Kolonna15173</t>
  </si>
  <si>
    <t>Kolonna15174</t>
  </si>
  <si>
    <t>Kolonna15175</t>
  </si>
  <si>
    <t>Kolonna15176</t>
  </si>
  <si>
    <t>Kolonna15177</t>
  </si>
  <si>
    <t>Kolonna15178</t>
  </si>
  <si>
    <t>Kolonna15179</t>
  </si>
  <si>
    <t>Kolonna15180</t>
  </si>
  <si>
    <t>Kolonna15181</t>
  </si>
  <si>
    <t>Kolonna15182</t>
  </si>
  <si>
    <t>Kolonna15183</t>
  </si>
  <si>
    <t>Kolonna15184</t>
  </si>
  <si>
    <t>Kolonna15185</t>
  </si>
  <si>
    <t>Kolonna15186</t>
  </si>
  <si>
    <t>Kolonna15187</t>
  </si>
  <si>
    <t>Kolonna15188</t>
  </si>
  <si>
    <t>Kolonna15189</t>
  </si>
  <si>
    <t>Kolonna15190</t>
  </si>
  <si>
    <t>Kolonna15191</t>
  </si>
  <si>
    <t>Kolonna15192</t>
  </si>
  <si>
    <t>Kolonna15193</t>
  </si>
  <si>
    <t>Kolonna15194</t>
  </si>
  <si>
    <t>Kolonna15195</t>
  </si>
  <si>
    <t>Kolonna15196</t>
  </si>
  <si>
    <t>Kolonna15197</t>
  </si>
  <si>
    <t>Kolonna15198</t>
  </si>
  <si>
    <t>Kolonna15199</t>
  </si>
  <si>
    <t>Kolonna15200</t>
  </si>
  <si>
    <t>Kolonna15201</t>
  </si>
  <si>
    <t>Kolonna15202</t>
  </si>
  <si>
    <t>Kolonna15203</t>
  </si>
  <si>
    <t>Kolonna15204</t>
  </si>
  <si>
    <t>Kolonna15205</t>
  </si>
  <si>
    <t>Kolonna15206</t>
  </si>
  <si>
    <t>Kolonna15207</t>
  </si>
  <si>
    <t>Kolonna15208</t>
  </si>
  <si>
    <t>Kolonna15209</t>
  </si>
  <si>
    <t>Kolonna15210</t>
  </si>
  <si>
    <t>Kolonna15211</t>
  </si>
  <si>
    <t>Kolonna15212</t>
  </si>
  <si>
    <t>Kolonna15213</t>
  </si>
  <si>
    <t>Kolonna15214</t>
  </si>
  <si>
    <t>Kolonna15215</t>
  </si>
  <si>
    <t>Kolonna15216</t>
  </si>
  <si>
    <t>Kolonna15217</t>
  </si>
  <si>
    <t>Kolonna15218</t>
  </si>
  <si>
    <t>Kolonna15219</t>
  </si>
  <si>
    <t>Kolonna15220</t>
  </si>
  <si>
    <t>Kolonna15221</t>
  </si>
  <si>
    <t>Kolonna15222</t>
  </si>
  <si>
    <t>Kolonna15223</t>
  </si>
  <si>
    <t>Kolonna15224</t>
  </si>
  <si>
    <t>Kolonna15225</t>
  </si>
  <si>
    <t>Kolonna15226</t>
  </si>
  <si>
    <t>Kolonna15227</t>
  </si>
  <si>
    <t>Kolonna15228</t>
  </si>
  <si>
    <t>Kolonna15229</t>
  </si>
  <si>
    <t>Kolonna15230</t>
  </si>
  <si>
    <t>Kolonna15231</t>
  </si>
  <si>
    <t>Kolonna15232</t>
  </si>
  <si>
    <t>Kolonna15233</t>
  </si>
  <si>
    <t>Kolonna15234</t>
  </si>
  <si>
    <t>Kolonna15235</t>
  </si>
  <si>
    <t>Kolonna15236</t>
  </si>
  <si>
    <t>Kolonna15237</t>
  </si>
  <si>
    <t>Kolonna15238</t>
  </si>
  <si>
    <t>Kolonna15239</t>
  </si>
  <si>
    <t>Kolonna15240</t>
  </si>
  <si>
    <t>Kolonna15241</t>
  </si>
  <si>
    <t>Kolonna15242</t>
  </si>
  <si>
    <t>Kolonna15243</t>
  </si>
  <si>
    <t>Kolonna15244</t>
  </si>
  <si>
    <t>Kolonna15245</t>
  </si>
  <si>
    <t>Kolonna15246</t>
  </si>
  <si>
    <t>Kolonna15247</t>
  </si>
  <si>
    <t>Kolonna15248</t>
  </si>
  <si>
    <t>Kolonna15249</t>
  </si>
  <si>
    <t>Kolonna15250</t>
  </si>
  <si>
    <t>Kolonna15251</t>
  </si>
  <si>
    <t>Kolonna15252</t>
  </si>
  <si>
    <t>Kolonna15253</t>
  </si>
  <si>
    <t>Kolonna15254</t>
  </si>
  <si>
    <t>Kolonna15255</t>
  </si>
  <si>
    <t>Kolonna15256</t>
  </si>
  <si>
    <t>Kolonna15257</t>
  </si>
  <si>
    <t>Kolonna15258</t>
  </si>
  <si>
    <t>Kolonna15259</t>
  </si>
  <si>
    <t>Kolonna15260</t>
  </si>
  <si>
    <t>Kolonna15261</t>
  </si>
  <si>
    <t>Kolonna15262</t>
  </si>
  <si>
    <t>Kolonna15263</t>
  </si>
  <si>
    <t>Kolonna15264</t>
  </si>
  <si>
    <t>Kolonna15265</t>
  </si>
  <si>
    <t>Kolonna15266</t>
  </si>
  <si>
    <t>Kolonna15267</t>
  </si>
  <si>
    <t>Kolonna15268</t>
  </si>
  <si>
    <t>Kolonna15269</t>
  </si>
  <si>
    <t>Kolonna15270</t>
  </si>
  <si>
    <t>Kolonna15271</t>
  </si>
  <si>
    <t>Kolonna15272</t>
  </si>
  <si>
    <t>Kolonna15273</t>
  </si>
  <si>
    <t>Kolonna15274</t>
  </si>
  <si>
    <t>Kolonna15275</t>
  </si>
  <si>
    <t>Kolonna15276</t>
  </si>
  <si>
    <t>Kolonna15277</t>
  </si>
  <si>
    <t>Kolonna15278</t>
  </si>
  <si>
    <t>Kolonna15279</t>
  </si>
  <si>
    <t>Kolonna15280</t>
  </si>
  <si>
    <t>Kolonna15281</t>
  </si>
  <si>
    <t>Kolonna15282</t>
  </si>
  <si>
    <t>Kolonna15283</t>
  </si>
  <si>
    <t>Kolonna15284</t>
  </si>
  <si>
    <t>Kolonna15285</t>
  </si>
  <si>
    <t>Kolonna15286</t>
  </si>
  <si>
    <t>Kolonna15287</t>
  </si>
  <si>
    <t>Kolonna15288</t>
  </si>
  <si>
    <t>Kolonna15289</t>
  </si>
  <si>
    <t>Kolonna15290</t>
  </si>
  <si>
    <t>Kolonna15291</t>
  </si>
  <si>
    <t>Kolonna15292</t>
  </si>
  <si>
    <t>Kolonna15293</t>
  </si>
  <si>
    <t>Kolonna15294</t>
  </si>
  <si>
    <t>Kolonna15295</t>
  </si>
  <si>
    <t>Kolonna15296</t>
  </si>
  <si>
    <t>Kolonna15297</t>
  </si>
  <si>
    <t>Kolonna15298</t>
  </si>
  <si>
    <t>Kolonna15299</t>
  </si>
  <si>
    <t>Kolonna15300</t>
  </si>
  <si>
    <t>Kolonna15301</t>
  </si>
  <si>
    <t>Kolonna15302</t>
  </si>
  <si>
    <t>Kolonna15303</t>
  </si>
  <si>
    <t>Kolonna15304</t>
  </si>
  <si>
    <t>Kolonna15305</t>
  </si>
  <si>
    <t>Kolonna15306</t>
  </si>
  <si>
    <t>Kolonna15307</t>
  </si>
  <si>
    <t>Kolonna15308</t>
  </si>
  <si>
    <t>Kolonna15309</t>
  </si>
  <si>
    <t>Kolonna15310</t>
  </si>
  <si>
    <t>Kolonna15311</t>
  </si>
  <si>
    <t>Kolonna15312</t>
  </si>
  <si>
    <t>Kolonna15313</t>
  </si>
  <si>
    <t>Kolonna15314</t>
  </si>
  <si>
    <t>Kolonna15315</t>
  </si>
  <si>
    <t>Kolonna15316</t>
  </si>
  <si>
    <t>Kolonna15317</t>
  </si>
  <si>
    <t>Kolonna15318</t>
  </si>
  <si>
    <t>Kolonna15319</t>
  </si>
  <si>
    <t>Kolonna15320</t>
  </si>
  <si>
    <t>Kolonna15321</t>
  </si>
  <si>
    <t>Kolonna15322</t>
  </si>
  <si>
    <t>Kolonna15323</t>
  </si>
  <si>
    <t>Kolonna15324</t>
  </si>
  <si>
    <t>Kolonna15325</t>
  </si>
  <si>
    <t>Kolonna15326</t>
  </si>
  <si>
    <t>Kolonna15327</t>
  </si>
  <si>
    <t>Kolonna15328</t>
  </si>
  <si>
    <t>Kolonna15329</t>
  </si>
  <si>
    <t>Kolonna15330</t>
  </si>
  <si>
    <t>Kolonna15331</t>
  </si>
  <si>
    <t>Kolonna15332</t>
  </si>
  <si>
    <t>Kolonna15333</t>
  </si>
  <si>
    <t>Kolonna15334</t>
  </si>
  <si>
    <t>Kolonna15335</t>
  </si>
  <si>
    <t>Kolonna15336</t>
  </si>
  <si>
    <t>Kolonna15337</t>
  </si>
  <si>
    <t>Kolonna15338</t>
  </si>
  <si>
    <t>Kolonna15339</t>
  </si>
  <si>
    <t>Kolonna15340</t>
  </si>
  <si>
    <t>Kolonna15341</t>
  </si>
  <si>
    <t>Kolonna15342</t>
  </si>
  <si>
    <t>Kolonna15343</t>
  </si>
  <si>
    <t>Kolonna15344</t>
  </si>
  <si>
    <t>Kolonna15345</t>
  </si>
  <si>
    <t>Kolonna15346</t>
  </si>
  <si>
    <t>Kolonna15347</t>
  </si>
  <si>
    <t>Kolonna15348</t>
  </si>
  <si>
    <t>Kolonna15349</t>
  </si>
  <si>
    <t>Kolonna15350</t>
  </si>
  <si>
    <t>Kolonna15351</t>
  </si>
  <si>
    <t>Kolonna15352</t>
  </si>
  <si>
    <t>Kolonna15353</t>
  </si>
  <si>
    <t>Kolonna15354</t>
  </si>
  <si>
    <t>Kolonna15355</t>
  </si>
  <si>
    <t>Kolonna15356</t>
  </si>
  <si>
    <t>Kolonna15357</t>
  </si>
  <si>
    <t>Kolonna15358</t>
  </si>
  <si>
    <t>Kolonna15359</t>
  </si>
  <si>
    <t>Kolonna15360</t>
  </si>
  <si>
    <t>Kolonna15361</t>
  </si>
  <si>
    <t>Kolonna15362</t>
  </si>
  <si>
    <t>Kolonna15363</t>
  </si>
  <si>
    <t>Kolonna15364</t>
  </si>
  <si>
    <t>Kolonna15365</t>
  </si>
  <si>
    <t>Kolonna15366</t>
  </si>
  <si>
    <t>Kolonna15367</t>
  </si>
  <si>
    <t>Kolonna15368</t>
  </si>
  <si>
    <t>Kolonna15369</t>
  </si>
  <si>
    <t>Kolonna15370</t>
  </si>
  <si>
    <t>Kolonna15371</t>
  </si>
  <si>
    <t>Kolonna15372</t>
  </si>
  <si>
    <t>Kolonna15373</t>
  </si>
  <si>
    <t>Kolonna15374</t>
  </si>
  <si>
    <t>Kolonna15375</t>
  </si>
  <si>
    <t>Kolonna15376</t>
  </si>
  <si>
    <t>Kolonna15377</t>
  </si>
  <si>
    <t>Kolonna15378</t>
  </si>
  <si>
    <t>Kolonna15379</t>
  </si>
  <si>
    <t>Kolonna15380</t>
  </si>
  <si>
    <t>Kolonna15381</t>
  </si>
  <si>
    <t>Kolonna15382</t>
  </si>
  <si>
    <t>Kolonna15383</t>
  </si>
  <si>
    <t>Kolonna15384</t>
  </si>
  <si>
    <t>Kolonna15385</t>
  </si>
  <si>
    <t>Kolonna15386</t>
  </si>
  <si>
    <t>Kolonna15387</t>
  </si>
  <si>
    <t>Kolonna15388</t>
  </si>
  <si>
    <t>Kolonna15389</t>
  </si>
  <si>
    <t>Kolonna15390</t>
  </si>
  <si>
    <t>Kolonna15391</t>
  </si>
  <si>
    <t>Kolonna15392</t>
  </si>
  <si>
    <t>Kolonna15393</t>
  </si>
  <si>
    <t>Kolonna15394</t>
  </si>
  <si>
    <t>Kolonna15395</t>
  </si>
  <si>
    <t>Kolonna15396</t>
  </si>
  <si>
    <t>Kolonna15397</t>
  </si>
  <si>
    <t>Kolonna15398</t>
  </si>
  <si>
    <t>Kolonna15399</t>
  </si>
  <si>
    <t>Kolonna15400</t>
  </si>
  <si>
    <t>Kolonna15401</t>
  </si>
  <si>
    <t>Kolonna15402</t>
  </si>
  <si>
    <t>Kolonna15403</t>
  </si>
  <si>
    <t>Kolonna15404</t>
  </si>
  <si>
    <t>Kolonna15405</t>
  </si>
  <si>
    <t>Kolonna15406</t>
  </si>
  <si>
    <t>Kolonna15407</t>
  </si>
  <si>
    <t>Kolonna15408</t>
  </si>
  <si>
    <t>Kolonna15409</t>
  </si>
  <si>
    <t>Kolonna15410</t>
  </si>
  <si>
    <t>Kolonna15411</t>
  </si>
  <si>
    <t>Kolonna15412</t>
  </si>
  <si>
    <t>Kolonna15413</t>
  </si>
  <si>
    <t>Kolonna15414</t>
  </si>
  <si>
    <t>Kolonna15415</t>
  </si>
  <si>
    <t>Kolonna15416</t>
  </si>
  <si>
    <t>Kolonna15417</t>
  </si>
  <si>
    <t>Kolonna15418</t>
  </si>
  <si>
    <t>Kolonna15419</t>
  </si>
  <si>
    <t>Kolonna15420</t>
  </si>
  <si>
    <t>Kolonna15421</t>
  </si>
  <si>
    <t>Kolonna15422</t>
  </si>
  <si>
    <t>Kolonna15423</t>
  </si>
  <si>
    <t>Kolonna15424</t>
  </si>
  <si>
    <t>Kolonna15425</t>
  </si>
  <si>
    <t>Kolonna15426</t>
  </si>
  <si>
    <t>Kolonna15427</t>
  </si>
  <si>
    <t>Kolonna15428</t>
  </si>
  <si>
    <t>Kolonna15429</t>
  </si>
  <si>
    <t>Kolonna15430</t>
  </si>
  <si>
    <t>Kolonna15431</t>
  </si>
  <si>
    <t>Kolonna15432</t>
  </si>
  <si>
    <t>Kolonna15433</t>
  </si>
  <si>
    <t>Kolonna15434</t>
  </si>
  <si>
    <t>Kolonna15435</t>
  </si>
  <si>
    <t>Kolonna15436</t>
  </si>
  <si>
    <t>Kolonna15437</t>
  </si>
  <si>
    <t>Kolonna15438</t>
  </si>
  <si>
    <t>Kolonna15439</t>
  </si>
  <si>
    <t>Kolonna15440</t>
  </si>
  <si>
    <t>Kolonna15441</t>
  </si>
  <si>
    <t>Kolonna15442</t>
  </si>
  <si>
    <t>Kolonna15443</t>
  </si>
  <si>
    <t>Kolonna15444</t>
  </si>
  <si>
    <t>Kolonna15445</t>
  </si>
  <si>
    <t>Kolonna15446</t>
  </si>
  <si>
    <t>Kolonna15447</t>
  </si>
  <si>
    <t>Kolonna15448</t>
  </si>
  <si>
    <t>Kolonna15449</t>
  </si>
  <si>
    <t>Kolonna15450</t>
  </si>
  <si>
    <t>Kolonna15451</t>
  </si>
  <si>
    <t>Kolonna15452</t>
  </si>
  <si>
    <t>Kolonna15453</t>
  </si>
  <si>
    <t>Kolonna15454</t>
  </si>
  <si>
    <t>Kolonna15455</t>
  </si>
  <si>
    <t>Kolonna15456</t>
  </si>
  <si>
    <t>Kolonna15457</t>
  </si>
  <si>
    <t>Kolonna15458</t>
  </si>
  <si>
    <t>Kolonna15459</t>
  </si>
  <si>
    <t>Kolonna15460</t>
  </si>
  <si>
    <t>Kolonna15461</t>
  </si>
  <si>
    <t>Kolonna15462</t>
  </si>
  <si>
    <t>Kolonna15463</t>
  </si>
  <si>
    <t>Kolonna15464</t>
  </si>
  <si>
    <t>Kolonna15465</t>
  </si>
  <si>
    <t>Kolonna15466</t>
  </si>
  <si>
    <t>Kolonna15467</t>
  </si>
  <si>
    <t>Kolonna15468</t>
  </si>
  <si>
    <t>Kolonna15469</t>
  </si>
  <si>
    <t>Kolonna15470</t>
  </si>
  <si>
    <t>Kolonna15471</t>
  </si>
  <si>
    <t>Kolonna15472</t>
  </si>
  <si>
    <t>Kolonna15473</t>
  </si>
  <si>
    <t>Kolonna15474</t>
  </si>
  <si>
    <t>Kolonna15475</t>
  </si>
  <si>
    <t>Kolonna15476</t>
  </si>
  <si>
    <t>Kolonna15477</t>
  </si>
  <si>
    <t>Kolonna15478</t>
  </si>
  <si>
    <t>Kolonna15479</t>
  </si>
  <si>
    <t>Kolonna15480</t>
  </si>
  <si>
    <t>Kolonna15481</t>
  </si>
  <si>
    <t>Kolonna15482</t>
  </si>
  <si>
    <t>Kolonna15483</t>
  </si>
  <si>
    <t>Kolonna15484</t>
  </si>
  <si>
    <t>Kolonna15485</t>
  </si>
  <si>
    <t>Kolonna15486</t>
  </si>
  <si>
    <t>Kolonna15487</t>
  </si>
  <si>
    <t>Kolonna15488</t>
  </si>
  <si>
    <t>Kolonna15489</t>
  </si>
  <si>
    <t>Kolonna15490</t>
  </si>
  <si>
    <t>Kolonna15491</t>
  </si>
  <si>
    <t>Kolonna15492</t>
  </si>
  <si>
    <t>Kolonna15493</t>
  </si>
  <si>
    <t>Kolonna15494</t>
  </si>
  <si>
    <t>Kolonna15495</t>
  </si>
  <si>
    <t>Kolonna15496</t>
  </si>
  <si>
    <t>Kolonna15497</t>
  </si>
  <si>
    <t>Kolonna15498</t>
  </si>
  <si>
    <t>Kolonna15499</t>
  </si>
  <si>
    <t>Kolonna15500</t>
  </si>
  <si>
    <t>Kolonna15501</t>
  </si>
  <si>
    <t>Kolonna15502</t>
  </si>
  <si>
    <t>Kolonna15503</t>
  </si>
  <si>
    <t>Kolonna15504</t>
  </si>
  <si>
    <t>Kolonna15505</t>
  </si>
  <si>
    <t>Kolonna15506</t>
  </si>
  <si>
    <t>Kolonna15507</t>
  </si>
  <si>
    <t>Kolonna15508</t>
  </si>
  <si>
    <t>Kolonna15509</t>
  </si>
  <si>
    <t>Kolonna15510</t>
  </si>
  <si>
    <t>Kolonna15511</t>
  </si>
  <si>
    <t>Kolonna15512</t>
  </si>
  <si>
    <t>Kolonna15513</t>
  </si>
  <si>
    <t>Kolonna15514</t>
  </si>
  <si>
    <t>Kolonna15515</t>
  </si>
  <si>
    <t>Kolonna15516</t>
  </si>
  <si>
    <t>Kolonna15517</t>
  </si>
  <si>
    <t>Kolonna15518</t>
  </si>
  <si>
    <t>Kolonna15519</t>
  </si>
  <si>
    <t>Kolonna15520</t>
  </si>
  <si>
    <t>Kolonna15521</t>
  </si>
  <si>
    <t>Kolonna15522</t>
  </si>
  <si>
    <t>Kolonna15523</t>
  </si>
  <si>
    <t>Kolonna15524</t>
  </si>
  <si>
    <t>Kolonna15525</t>
  </si>
  <si>
    <t>Kolonna15526</t>
  </si>
  <si>
    <t>Kolonna15527</t>
  </si>
  <si>
    <t>Kolonna15528</t>
  </si>
  <si>
    <t>Kolonna15529</t>
  </si>
  <si>
    <t>Kolonna15530</t>
  </si>
  <si>
    <t>Kolonna15531</t>
  </si>
  <si>
    <t>Kolonna15532</t>
  </si>
  <si>
    <t>Kolonna15533</t>
  </si>
  <si>
    <t>Kolonna15534</t>
  </si>
  <si>
    <t>Kolonna15535</t>
  </si>
  <si>
    <t>Kolonna15536</t>
  </si>
  <si>
    <t>Kolonna15537</t>
  </si>
  <si>
    <t>Kolonna15538</t>
  </si>
  <si>
    <t>Kolonna15539</t>
  </si>
  <si>
    <t>Kolonna15540</t>
  </si>
  <si>
    <t>Kolonna15541</t>
  </si>
  <si>
    <t>Kolonna15542</t>
  </si>
  <si>
    <t>Kolonna15543</t>
  </si>
  <si>
    <t>Kolonna15544</t>
  </si>
  <si>
    <t>Kolonna15545</t>
  </si>
  <si>
    <t>Kolonna15546</t>
  </si>
  <si>
    <t>Kolonna15547</t>
  </si>
  <si>
    <t>Kolonna15548</t>
  </si>
  <si>
    <t>Kolonna15549</t>
  </si>
  <si>
    <t>Kolonna15550</t>
  </si>
  <si>
    <t>Kolonna15551</t>
  </si>
  <si>
    <t>Kolonna15552</t>
  </si>
  <si>
    <t>Kolonna15553</t>
  </si>
  <si>
    <t>Kolonna15554</t>
  </si>
  <si>
    <t>Kolonna15555</t>
  </si>
  <si>
    <t>Kolonna15556</t>
  </si>
  <si>
    <t>Kolonna15557</t>
  </si>
  <si>
    <t>Kolonna15558</t>
  </si>
  <si>
    <t>Kolonna15559</t>
  </si>
  <si>
    <t>Kolonna15560</t>
  </si>
  <si>
    <t>Kolonna15561</t>
  </si>
  <si>
    <t>Kolonna15562</t>
  </si>
  <si>
    <t>Kolonna15563</t>
  </si>
  <si>
    <t>Kolonna15564</t>
  </si>
  <si>
    <t>Kolonna15565</t>
  </si>
  <si>
    <t>Kolonna15566</t>
  </si>
  <si>
    <t>Kolonna15567</t>
  </si>
  <si>
    <t>Kolonna15568</t>
  </si>
  <si>
    <t>Kolonna15569</t>
  </si>
  <si>
    <t>Kolonna15570</t>
  </si>
  <si>
    <t>Kolonna15571</t>
  </si>
  <si>
    <t>Kolonna15572</t>
  </si>
  <si>
    <t>Kolonna15573</t>
  </si>
  <si>
    <t>Kolonna15574</t>
  </si>
  <si>
    <t>Kolonna15575</t>
  </si>
  <si>
    <t>Kolonna15576</t>
  </si>
  <si>
    <t>Kolonna15577</t>
  </si>
  <si>
    <t>Kolonna15578</t>
  </si>
  <si>
    <t>Kolonna15579</t>
  </si>
  <si>
    <t>Kolonna15580</t>
  </si>
  <si>
    <t>Kolonna15581</t>
  </si>
  <si>
    <t>Kolonna15582</t>
  </si>
  <si>
    <t>Kolonna15583</t>
  </si>
  <si>
    <t>Kolonna15584</t>
  </si>
  <si>
    <t>Kolonna15585</t>
  </si>
  <si>
    <t>Kolonna15586</t>
  </si>
  <si>
    <t>Kolonna15587</t>
  </si>
  <si>
    <t>Kolonna15588</t>
  </si>
  <si>
    <t>Kolonna15589</t>
  </si>
  <si>
    <t>Kolonna15590</t>
  </si>
  <si>
    <t>Kolonna15591</t>
  </si>
  <si>
    <t>Kolonna15592</t>
  </si>
  <si>
    <t>Kolonna15593</t>
  </si>
  <si>
    <t>Kolonna15594</t>
  </si>
  <si>
    <t>Kolonna15595</t>
  </si>
  <si>
    <t>Kolonna15596</t>
  </si>
  <si>
    <t>Kolonna15597</t>
  </si>
  <si>
    <t>Kolonna15598</t>
  </si>
  <si>
    <t>Kolonna15599</t>
  </si>
  <si>
    <t>Kolonna15600</t>
  </si>
  <si>
    <t>Kolonna15601</t>
  </si>
  <si>
    <t>Kolonna15602</t>
  </si>
  <si>
    <t>Kolonna15603</t>
  </si>
  <si>
    <t>Kolonna15604</t>
  </si>
  <si>
    <t>Kolonna15605</t>
  </si>
  <si>
    <t>Kolonna15606</t>
  </si>
  <si>
    <t>Kolonna15607</t>
  </si>
  <si>
    <t>Kolonna15608</t>
  </si>
  <si>
    <t>Kolonna15609</t>
  </si>
  <si>
    <t>Kolonna15610</t>
  </si>
  <si>
    <t>Kolonna15611</t>
  </si>
  <si>
    <t>Kolonna15612</t>
  </si>
  <si>
    <t>Kolonna15613</t>
  </si>
  <si>
    <t>Kolonna15614</t>
  </si>
  <si>
    <t>Kolonna15615</t>
  </si>
  <si>
    <t>Kolonna15616</t>
  </si>
  <si>
    <t>Kolonna15617</t>
  </si>
  <si>
    <t>Kolonna15618</t>
  </si>
  <si>
    <t>Kolonna15619</t>
  </si>
  <si>
    <t>Kolonna15620</t>
  </si>
  <si>
    <t>Kolonna15621</t>
  </si>
  <si>
    <t>Kolonna15622</t>
  </si>
  <si>
    <t>Kolonna15623</t>
  </si>
  <si>
    <t>Kolonna15624</t>
  </si>
  <si>
    <t>Kolonna15625</t>
  </si>
  <si>
    <t>Kolonna15626</t>
  </si>
  <si>
    <t>Kolonna15627</t>
  </si>
  <si>
    <t>Kolonna15628</t>
  </si>
  <si>
    <t>Kolonna15629</t>
  </si>
  <si>
    <t>Kolonna15630</t>
  </si>
  <si>
    <t>Kolonna15631</t>
  </si>
  <si>
    <t>Kolonna15632</t>
  </si>
  <si>
    <t>Kolonna15633</t>
  </si>
  <si>
    <t>Kolonna15634</t>
  </si>
  <si>
    <t>Kolonna15635</t>
  </si>
  <si>
    <t>Kolonna15636</t>
  </si>
  <si>
    <t>Kolonna15637</t>
  </si>
  <si>
    <t>Kolonna15638</t>
  </si>
  <si>
    <t>Kolonna15639</t>
  </si>
  <si>
    <t>Kolonna15640</t>
  </si>
  <si>
    <t>Kolonna15641</t>
  </si>
  <si>
    <t>Kolonna15642</t>
  </si>
  <si>
    <t>Kolonna15643</t>
  </si>
  <si>
    <t>Kolonna15644</t>
  </si>
  <si>
    <t>Kolonna15645</t>
  </si>
  <si>
    <t>Kolonna15646</t>
  </si>
  <si>
    <t>Kolonna15647</t>
  </si>
  <si>
    <t>Kolonna15648</t>
  </si>
  <si>
    <t>Kolonna15649</t>
  </si>
  <si>
    <t>Kolonna15650</t>
  </si>
  <si>
    <t>Kolonna15651</t>
  </si>
  <si>
    <t>Kolonna15652</t>
  </si>
  <si>
    <t>Kolonna15653</t>
  </si>
  <si>
    <t>Kolonna15654</t>
  </si>
  <si>
    <t>Kolonna15655</t>
  </si>
  <si>
    <t>Kolonna15656</t>
  </si>
  <si>
    <t>Kolonna15657</t>
  </si>
  <si>
    <t>Kolonna15658</t>
  </si>
  <si>
    <t>Kolonna15659</t>
  </si>
  <si>
    <t>Kolonna15660</t>
  </si>
  <si>
    <t>Kolonna15661</t>
  </si>
  <si>
    <t>Kolonna15662</t>
  </si>
  <si>
    <t>Kolonna15663</t>
  </si>
  <si>
    <t>Kolonna15664</t>
  </si>
  <si>
    <t>Kolonna15665</t>
  </si>
  <si>
    <t>Kolonna15666</t>
  </si>
  <si>
    <t>Kolonna15667</t>
  </si>
  <si>
    <t>Kolonna15668</t>
  </si>
  <si>
    <t>Kolonna15669</t>
  </si>
  <si>
    <t>Kolonna15670</t>
  </si>
  <si>
    <t>Kolonna15671</t>
  </si>
  <si>
    <t>Kolonna15672</t>
  </si>
  <si>
    <t>Kolonna15673</t>
  </si>
  <si>
    <t>Kolonna15674</t>
  </si>
  <si>
    <t>Kolonna15675</t>
  </si>
  <si>
    <t>Kolonna15676</t>
  </si>
  <si>
    <t>Kolonna15677</t>
  </si>
  <si>
    <t>Kolonna15678</t>
  </si>
  <si>
    <t>Kolonna15679</t>
  </si>
  <si>
    <t>Kolonna15680</t>
  </si>
  <si>
    <t>Kolonna15681</t>
  </si>
  <si>
    <t>Kolonna15682</t>
  </si>
  <si>
    <t>Kolonna15683</t>
  </si>
  <si>
    <t>Kolonna15684</t>
  </si>
  <si>
    <t>Kolonna15685</t>
  </si>
  <si>
    <t>Kolonna15686</t>
  </si>
  <si>
    <t>Kolonna15687</t>
  </si>
  <si>
    <t>Kolonna15688</t>
  </si>
  <si>
    <t>Kolonna15689</t>
  </si>
  <si>
    <t>Kolonna15690</t>
  </si>
  <si>
    <t>Kolonna15691</t>
  </si>
  <si>
    <t>Kolonna15692</t>
  </si>
  <si>
    <t>Kolonna15693</t>
  </si>
  <si>
    <t>Kolonna15694</t>
  </si>
  <si>
    <t>Kolonna15695</t>
  </si>
  <si>
    <t>Kolonna15696</t>
  </si>
  <si>
    <t>Kolonna15697</t>
  </si>
  <si>
    <t>Kolonna15698</t>
  </si>
  <si>
    <t>Kolonna15699</t>
  </si>
  <si>
    <t>Kolonna15700</t>
  </si>
  <si>
    <t>Kolonna15701</t>
  </si>
  <si>
    <t>Kolonna15702</t>
  </si>
  <si>
    <t>Kolonna15703</t>
  </si>
  <si>
    <t>Kolonna15704</t>
  </si>
  <si>
    <t>Kolonna15705</t>
  </si>
  <si>
    <t>Kolonna15706</t>
  </si>
  <si>
    <t>Kolonna15707</t>
  </si>
  <si>
    <t>Kolonna15708</t>
  </si>
  <si>
    <t>Kolonna15709</t>
  </si>
  <si>
    <t>Kolonna15710</t>
  </si>
  <si>
    <t>Kolonna15711</t>
  </si>
  <si>
    <t>Kolonna15712</t>
  </si>
  <si>
    <t>Kolonna15713</t>
  </si>
  <si>
    <t>Kolonna15714</t>
  </si>
  <si>
    <t>Kolonna15715</t>
  </si>
  <si>
    <t>Kolonna15716</t>
  </si>
  <si>
    <t>Kolonna15717</t>
  </si>
  <si>
    <t>Kolonna15718</t>
  </si>
  <si>
    <t>Kolonna15719</t>
  </si>
  <si>
    <t>Kolonna15720</t>
  </si>
  <si>
    <t>Kolonna15721</t>
  </si>
  <si>
    <t>Kolonna15722</t>
  </si>
  <si>
    <t>Kolonna15723</t>
  </si>
  <si>
    <t>Kolonna15724</t>
  </si>
  <si>
    <t>Kolonna15725</t>
  </si>
  <si>
    <t>Kolonna15726</t>
  </si>
  <si>
    <t>Kolonna15727</t>
  </si>
  <si>
    <t>Kolonna15728</t>
  </si>
  <si>
    <t>Kolonna15729</t>
  </si>
  <si>
    <t>Kolonna15730</t>
  </si>
  <si>
    <t>Kolonna15731</t>
  </si>
  <si>
    <t>Kolonna15732</t>
  </si>
  <si>
    <t>Kolonna15733</t>
  </si>
  <si>
    <t>Kolonna15734</t>
  </si>
  <si>
    <t>Kolonna15735</t>
  </si>
  <si>
    <t>Kolonna15736</t>
  </si>
  <si>
    <t>Kolonna15737</t>
  </si>
  <si>
    <t>Kolonna15738</t>
  </si>
  <si>
    <t>Kolonna15739</t>
  </si>
  <si>
    <t>Kolonna15740</t>
  </si>
  <si>
    <t>Kolonna15741</t>
  </si>
  <si>
    <t>Kolonna15742</t>
  </si>
  <si>
    <t>Kolonna15743</t>
  </si>
  <si>
    <t>Kolonna15744</t>
  </si>
  <si>
    <t>Kolonna15745</t>
  </si>
  <si>
    <t>Kolonna15746</t>
  </si>
  <si>
    <t>Kolonna15747</t>
  </si>
  <si>
    <t>Kolonna15748</t>
  </si>
  <si>
    <t>Kolonna15749</t>
  </si>
  <si>
    <t>Kolonna15750</t>
  </si>
  <si>
    <t>Kolonna15751</t>
  </si>
  <si>
    <t>Kolonna15752</t>
  </si>
  <si>
    <t>Kolonna15753</t>
  </si>
  <si>
    <t>Kolonna15754</t>
  </si>
  <si>
    <t>Kolonna15755</t>
  </si>
  <si>
    <t>Kolonna15756</t>
  </si>
  <si>
    <t>Kolonna15757</t>
  </si>
  <si>
    <t>Kolonna15758</t>
  </si>
  <si>
    <t>Kolonna15759</t>
  </si>
  <si>
    <t>Kolonna15760</t>
  </si>
  <si>
    <t>Kolonna15761</t>
  </si>
  <si>
    <t>Kolonna15762</t>
  </si>
  <si>
    <t>Kolonna15763</t>
  </si>
  <si>
    <t>Kolonna15764</t>
  </si>
  <si>
    <t>Kolonna15765</t>
  </si>
  <si>
    <t>Kolonna15766</t>
  </si>
  <si>
    <t>Kolonna15767</t>
  </si>
  <si>
    <t>Kolonna15768</t>
  </si>
  <si>
    <t>Kolonna15769</t>
  </si>
  <si>
    <t>Kolonna15770</t>
  </si>
  <si>
    <t>Kolonna15771</t>
  </si>
  <si>
    <t>Kolonna15772</t>
  </si>
  <si>
    <t>Kolonna15773</t>
  </si>
  <si>
    <t>Kolonna15774</t>
  </si>
  <si>
    <t>Kolonna15775</t>
  </si>
  <si>
    <t>Kolonna15776</t>
  </si>
  <si>
    <t>Kolonna15777</t>
  </si>
  <si>
    <t>Kolonna15778</t>
  </si>
  <si>
    <t>Kolonna15779</t>
  </si>
  <si>
    <t>Kolonna15780</t>
  </si>
  <si>
    <t>Kolonna15781</t>
  </si>
  <si>
    <t>Kolonna15782</t>
  </si>
  <si>
    <t>Kolonna15783</t>
  </si>
  <si>
    <t>Kolonna15784</t>
  </si>
  <si>
    <t>Kolonna15785</t>
  </si>
  <si>
    <t>Kolonna15786</t>
  </si>
  <si>
    <t>Kolonna15787</t>
  </si>
  <si>
    <t>Kolonna15788</t>
  </si>
  <si>
    <t>Kolonna15789</t>
  </si>
  <si>
    <t>Kolonna15790</t>
  </si>
  <si>
    <t>Kolonna15791</t>
  </si>
  <si>
    <t>Kolonna15792</t>
  </si>
  <si>
    <t>Kolonna15793</t>
  </si>
  <si>
    <t>Kolonna15794</t>
  </si>
  <si>
    <t>Kolonna15795</t>
  </si>
  <si>
    <t>Kolonna15796</t>
  </si>
  <si>
    <t>Kolonna15797</t>
  </si>
  <si>
    <t>Kolonna15798</t>
  </si>
  <si>
    <t>Kolonna15799</t>
  </si>
  <si>
    <t>Kolonna15800</t>
  </si>
  <si>
    <t>Kolonna15801</t>
  </si>
  <si>
    <t>Kolonna15802</t>
  </si>
  <si>
    <t>Kolonna15803</t>
  </si>
  <si>
    <t>Kolonna15804</t>
  </si>
  <si>
    <t>Kolonna15805</t>
  </si>
  <si>
    <t>Kolonna15806</t>
  </si>
  <si>
    <t>Kolonna15807</t>
  </si>
  <si>
    <t>Kolonna15808</t>
  </si>
  <si>
    <t>Kolonna15809</t>
  </si>
  <si>
    <t>Kolonna15810</t>
  </si>
  <si>
    <t>Kolonna15811</t>
  </si>
  <si>
    <t>Kolonna15812</t>
  </si>
  <si>
    <t>Kolonna15813</t>
  </si>
  <si>
    <t>Kolonna15814</t>
  </si>
  <si>
    <t>Kolonna15815</t>
  </si>
  <si>
    <t>Kolonna15816</t>
  </si>
  <si>
    <t>Kolonna15817</t>
  </si>
  <si>
    <t>Kolonna15818</t>
  </si>
  <si>
    <t>Kolonna15819</t>
  </si>
  <si>
    <t>Kolonna15820</t>
  </si>
  <si>
    <t>Kolonna15821</t>
  </si>
  <si>
    <t>Kolonna15822</t>
  </si>
  <si>
    <t>Kolonna15823</t>
  </si>
  <si>
    <t>Kolonna15824</t>
  </si>
  <si>
    <t>Kolonna15825</t>
  </si>
  <si>
    <t>Kolonna15826</t>
  </si>
  <si>
    <t>Kolonna15827</t>
  </si>
  <si>
    <t>Kolonna15828</t>
  </si>
  <si>
    <t>Kolonna15829</t>
  </si>
  <si>
    <t>Kolonna15830</t>
  </si>
  <si>
    <t>Kolonna15831</t>
  </si>
  <si>
    <t>Kolonna15832</t>
  </si>
  <si>
    <t>Kolonna15833</t>
  </si>
  <si>
    <t>Kolonna15834</t>
  </si>
  <si>
    <t>Kolonna15835</t>
  </si>
  <si>
    <t>Kolonna15836</t>
  </si>
  <si>
    <t>Kolonna15837</t>
  </si>
  <si>
    <t>Kolonna15838</t>
  </si>
  <si>
    <t>Kolonna15839</t>
  </si>
  <si>
    <t>Kolonna15840</t>
  </si>
  <si>
    <t>Kolonna15841</t>
  </si>
  <si>
    <t>Kolonna15842</t>
  </si>
  <si>
    <t>Kolonna15843</t>
  </si>
  <si>
    <t>Kolonna15844</t>
  </si>
  <si>
    <t>Kolonna15845</t>
  </si>
  <si>
    <t>Kolonna15846</t>
  </si>
  <si>
    <t>Kolonna15847</t>
  </si>
  <si>
    <t>Kolonna15848</t>
  </si>
  <si>
    <t>Kolonna15849</t>
  </si>
  <si>
    <t>Kolonna15850</t>
  </si>
  <si>
    <t>Kolonna15851</t>
  </si>
  <si>
    <t>Kolonna15852</t>
  </si>
  <si>
    <t>Kolonna15853</t>
  </si>
  <si>
    <t>Kolonna15854</t>
  </si>
  <si>
    <t>Kolonna15855</t>
  </si>
  <si>
    <t>Kolonna15856</t>
  </si>
  <si>
    <t>Kolonna15857</t>
  </si>
  <si>
    <t>Kolonna15858</t>
  </si>
  <si>
    <t>Kolonna15859</t>
  </si>
  <si>
    <t>Kolonna15860</t>
  </si>
  <si>
    <t>Kolonna15861</t>
  </si>
  <si>
    <t>Kolonna15862</t>
  </si>
  <si>
    <t>Kolonna15863</t>
  </si>
  <si>
    <t>Kolonna15864</t>
  </si>
  <si>
    <t>Kolonna15865</t>
  </si>
  <si>
    <t>Kolonna15866</t>
  </si>
  <si>
    <t>Kolonna15867</t>
  </si>
  <si>
    <t>Kolonna15868</t>
  </si>
  <si>
    <t>Kolonna15869</t>
  </si>
  <si>
    <t>Kolonna15870</t>
  </si>
  <si>
    <t>Kolonna15871</t>
  </si>
  <si>
    <t>Kolonna15872</t>
  </si>
  <si>
    <t>Kolonna15873</t>
  </si>
  <si>
    <t>Kolonna15874</t>
  </si>
  <si>
    <t>Kolonna15875</t>
  </si>
  <si>
    <t>Kolonna15876</t>
  </si>
  <si>
    <t>Kolonna15877</t>
  </si>
  <si>
    <t>Kolonna15878</t>
  </si>
  <si>
    <t>Kolonna15879</t>
  </si>
  <si>
    <t>Kolonna15880</t>
  </si>
  <si>
    <t>Kolonna15881</t>
  </si>
  <si>
    <t>Kolonna15882</t>
  </si>
  <si>
    <t>Kolonna15883</t>
  </si>
  <si>
    <t>Kolonna15884</t>
  </si>
  <si>
    <t>Kolonna15885</t>
  </si>
  <si>
    <t>Kolonna15886</t>
  </si>
  <si>
    <t>Kolonna15887</t>
  </si>
  <si>
    <t>Kolonna15888</t>
  </si>
  <si>
    <t>Kolonna15889</t>
  </si>
  <si>
    <t>Kolonna15890</t>
  </si>
  <si>
    <t>Kolonna15891</t>
  </si>
  <si>
    <t>Kolonna15892</t>
  </si>
  <si>
    <t>Kolonna15893</t>
  </si>
  <si>
    <t>Kolonna15894</t>
  </si>
  <si>
    <t>Kolonna15895</t>
  </si>
  <si>
    <t>Kolonna15896</t>
  </si>
  <si>
    <t>Kolonna15897</t>
  </si>
  <si>
    <t>Kolonna15898</t>
  </si>
  <si>
    <t>Kolonna15899</t>
  </si>
  <si>
    <t>Kolonna15900</t>
  </si>
  <si>
    <t>Kolonna15901</t>
  </si>
  <si>
    <t>Kolonna15902</t>
  </si>
  <si>
    <t>Kolonna15903</t>
  </si>
  <si>
    <t>Kolonna15904</t>
  </si>
  <si>
    <t>Kolonna15905</t>
  </si>
  <si>
    <t>Kolonna15906</t>
  </si>
  <si>
    <t>Kolonna15907</t>
  </si>
  <si>
    <t>Kolonna15908</t>
  </si>
  <si>
    <t>Kolonna15909</t>
  </si>
  <si>
    <t>Kolonna15910</t>
  </si>
  <si>
    <t>Kolonna15911</t>
  </si>
  <si>
    <t>Kolonna15912</t>
  </si>
  <si>
    <t>Kolonna15913</t>
  </si>
  <si>
    <t>Kolonna15914</t>
  </si>
  <si>
    <t>Kolonna15915</t>
  </si>
  <si>
    <t>Kolonna15916</t>
  </si>
  <si>
    <t>Kolonna15917</t>
  </si>
  <si>
    <t>Kolonna15918</t>
  </si>
  <si>
    <t>Kolonna15919</t>
  </si>
  <si>
    <t>Kolonna15920</t>
  </si>
  <si>
    <t>Kolonna15921</t>
  </si>
  <si>
    <t>Kolonna15922</t>
  </si>
  <si>
    <t>Kolonna15923</t>
  </si>
  <si>
    <t>Kolonna15924</t>
  </si>
  <si>
    <t>Kolonna15925</t>
  </si>
  <si>
    <t>Kolonna15926</t>
  </si>
  <si>
    <t>Kolonna15927</t>
  </si>
  <si>
    <t>Kolonna15928</t>
  </si>
  <si>
    <t>Kolonna15929</t>
  </si>
  <si>
    <t>Kolonna15930</t>
  </si>
  <si>
    <t>Kolonna15931</t>
  </si>
  <si>
    <t>Kolonna15932</t>
  </si>
  <si>
    <t>Kolonna15933</t>
  </si>
  <si>
    <t>Kolonna15934</t>
  </si>
  <si>
    <t>Kolonna15935</t>
  </si>
  <si>
    <t>Kolonna15936</t>
  </si>
  <si>
    <t>Kolonna15937</t>
  </si>
  <si>
    <t>Kolonna15938</t>
  </si>
  <si>
    <t>Kolonna15939</t>
  </si>
  <si>
    <t>Kolonna15940</t>
  </si>
  <si>
    <t>Kolonna15941</t>
  </si>
  <si>
    <t>Kolonna15942</t>
  </si>
  <si>
    <t>Kolonna15943</t>
  </si>
  <si>
    <t>Kolonna15944</t>
  </si>
  <si>
    <t>Kolonna15945</t>
  </si>
  <si>
    <t>Kolonna15946</t>
  </si>
  <si>
    <t>Kolonna15947</t>
  </si>
  <si>
    <t>Kolonna15948</t>
  </si>
  <si>
    <t>Kolonna15949</t>
  </si>
  <si>
    <t>Kolonna15950</t>
  </si>
  <si>
    <t>Kolonna15951</t>
  </si>
  <si>
    <t>Kolonna15952</t>
  </si>
  <si>
    <t>Kolonna15953</t>
  </si>
  <si>
    <t>Kolonna15954</t>
  </si>
  <si>
    <t>Kolonna15955</t>
  </si>
  <si>
    <t>Kolonna15956</t>
  </si>
  <si>
    <t>Kolonna15957</t>
  </si>
  <si>
    <t>Kolonna15958</t>
  </si>
  <si>
    <t>Kolonna15959</t>
  </si>
  <si>
    <t>Kolonna15960</t>
  </si>
  <si>
    <t>Kolonna15961</t>
  </si>
  <si>
    <t>Kolonna15962</t>
  </si>
  <si>
    <t>Kolonna15963</t>
  </si>
  <si>
    <t>Kolonna15964</t>
  </si>
  <si>
    <t>Kolonna15965</t>
  </si>
  <si>
    <t>Kolonna15966</t>
  </si>
  <si>
    <t>Kolonna15967</t>
  </si>
  <si>
    <t>Kolonna15968</t>
  </si>
  <si>
    <t>Kolonna15969</t>
  </si>
  <si>
    <t>Kolonna15970</t>
  </si>
  <si>
    <t>Kolonna15971</t>
  </si>
  <si>
    <t>Kolonna15972</t>
  </si>
  <si>
    <t>Kolonna15973</t>
  </si>
  <si>
    <t>Kolonna15974</t>
  </si>
  <si>
    <t>Kolonna15975</t>
  </si>
  <si>
    <t>Kolonna15976</t>
  </si>
  <si>
    <t>Kolonna15977</t>
  </si>
  <si>
    <t>Kolonna15978</t>
  </si>
  <si>
    <t>Kolonna15979</t>
  </si>
  <si>
    <t>Kolonna15980</t>
  </si>
  <si>
    <t>Kolonna15981</t>
  </si>
  <si>
    <t>Kolonna15982</t>
  </si>
  <si>
    <t>Kolonna15983</t>
  </si>
  <si>
    <t>Kolonna15984</t>
  </si>
  <si>
    <t>Kolonna15985</t>
  </si>
  <si>
    <t>Kolonna15986</t>
  </si>
  <si>
    <t>Kolonna15987</t>
  </si>
  <si>
    <t>Kolonna15988</t>
  </si>
  <si>
    <t>Kolonna15989</t>
  </si>
  <si>
    <t>Kolonna15990</t>
  </si>
  <si>
    <t>Kolonna15991</t>
  </si>
  <si>
    <t>Kolonna15992</t>
  </si>
  <si>
    <t>Kolonna15993</t>
  </si>
  <si>
    <t>Kolonna15994</t>
  </si>
  <si>
    <t>Kolonna15995</t>
  </si>
  <si>
    <t>Kolonna15996</t>
  </si>
  <si>
    <t>Kolonna15997</t>
  </si>
  <si>
    <t>Kolonna15998</t>
  </si>
  <si>
    <t>Kolonna15999</t>
  </si>
  <si>
    <t>Kolonna16000</t>
  </si>
  <si>
    <t>Kolonna16001</t>
  </si>
  <si>
    <t>Kolonna16002</t>
  </si>
  <si>
    <t>Kolonna16003</t>
  </si>
  <si>
    <t>Kolonna16004</t>
  </si>
  <si>
    <t>Kolonna16005</t>
  </si>
  <si>
    <t>Kolonna16006</t>
  </si>
  <si>
    <t>Kolonna16007</t>
  </si>
  <si>
    <t>Kolonna16008</t>
  </si>
  <si>
    <t>Kolonna16009</t>
  </si>
  <si>
    <t>Kolonna16010</t>
  </si>
  <si>
    <t>Kolonna16011</t>
  </si>
  <si>
    <t>Kolonna16012</t>
  </si>
  <si>
    <t>Kolonna16013</t>
  </si>
  <si>
    <t>Kolonna16014</t>
  </si>
  <si>
    <t>Kolonna16015</t>
  </si>
  <si>
    <t>Kolonna16016</t>
  </si>
  <si>
    <t>Kolonna16017</t>
  </si>
  <si>
    <t>Kolonna16018</t>
  </si>
  <si>
    <t>Kolonna16019</t>
  </si>
  <si>
    <t>Kolonna16020</t>
  </si>
  <si>
    <t>Kolonna16021</t>
  </si>
  <si>
    <t>Kolonna16022</t>
  </si>
  <si>
    <t>Kolonna16023</t>
  </si>
  <si>
    <t>Kolonna16024</t>
  </si>
  <si>
    <t>Kolonna16025</t>
  </si>
  <si>
    <t>Kolonna16026</t>
  </si>
  <si>
    <t>Kolonna16027</t>
  </si>
  <si>
    <t>Kolonna16028</t>
  </si>
  <si>
    <t>Kolonna16029</t>
  </si>
  <si>
    <t>Kolonna16030</t>
  </si>
  <si>
    <t>Kolonna16031</t>
  </si>
  <si>
    <t>Kolonna16032</t>
  </si>
  <si>
    <t>Kolonna16033</t>
  </si>
  <si>
    <t>Kolonna16034</t>
  </si>
  <si>
    <t>Kolonna16035</t>
  </si>
  <si>
    <t>Kolonna16036</t>
  </si>
  <si>
    <t>Kolonna16037</t>
  </si>
  <si>
    <t>Kolonna16038</t>
  </si>
  <si>
    <t>Kolonna16039</t>
  </si>
  <si>
    <t>Kolonna16040</t>
  </si>
  <si>
    <t>Kolonna16041</t>
  </si>
  <si>
    <t>Kolonna16042</t>
  </si>
  <si>
    <t>Kolonna16043</t>
  </si>
  <si>
    <t>Kolonna16044</t>
  </si>
  <si>
    <t>Kolonna16045</t>
  </si>
  <si>
    <t>Kolonna16046</t>
  </si>
  <si>
    <t>Gender:</t>
  </si>
  <si>
    <t>Male:</t>
  </si>
  <si>
    <t>Female:</t>
  </si>
  <si>
    <t xml:space="preserve">Other: </t>
  </si>
  <si>
    <t>Orthodox:</t>
  </si>
  <si>
    <t>Atheist:</t>
  </si>
  <si>
    <t>Catholic:</t>
  </si>
  <si>
    <t>Protestan:</t>
  </si>
  <si>
    <t>Old believer:</t>
  </si>
  <si>
    <t>Muslim:</t>
  </si>
  <si>
    <t>Jewish:</t>
  </si>
  <si>
    <t>Other:</t>
  </si>
  <si>
    <r>
      <rPr>
        <b/>
        <sz val="10"/>
        <rFont val="Arial"/>
        <family val="2"/>
      </rPr>
      <t xml:space="preserve">Ortho. plus Old Believer: </t>
    </r>
    <r>
      <rPr>
        <sz val="10"/>
        <rFont val="Arial"/>
        <family val="2"/>
      </rPr>
      <t>111</t>
    </r>
  </si>
  <si>
    <r>
      <t xml:space="preserve">Protestant plus other: </t>
    </r>
    <r>
      <rPr>
        <sz val="10"/>
        <rFont val="Arial"/>
        <family val="2"/>
      </rPr>
      <t>28</t>
    </r>
  </si>
  <si>
    <t>Ukrainian</t>
  </si>
  <si>
    <t>1 (German)</t>
  </si>
  <si>
    <t>1 (Estonian)</t>
  </si>
  <si>
    <t>1 (also Latgalian)</t>
  </si>
  <si>
    <t>2023-09-15 08:29:31</t>
  </si>
  <si>
    <t>Manuprāt, populisms ir tad, kad kāda persona cenšas pielīst pēc iespējas vairāk cilvēkiem ar jebkādām metodēm.</t>
  </si>
  <si>
    <t>Vienīgās valodas ko protu ir latviešu, vācu un angļu. Veikalos bieži sanāk kad kasieris tikai runā krieviski un es vispār nespēju komunicēt. Angļu valodu tik reti sanāk ar tūristiem izmantot.</t>
  </si>
  <si>
    <t>2023-09-15 08:34:22</t>
  </si>
  <si>
    <t>цель навязать обществу те или иные "понятия" которые в других странах считаються нормальными, тот же пример с лгбт сообществом где людям навязали что однополые браки это нормально</t>
  </si>
  <si>
    <t>подрался с латышом на улице потому что ему не понравился язык на котором я говорю</t>
  </si>
  <si>
    <t>2023-09-18 08:06:07</t>
  </si>
  <si>
    <t>2023-09-18 08:40:12</t>
  </si>
  <si>
    <t>Miami</t>
  </si>
  <si>
    <t>Jā, personisku iemeslu dēļ.</t>
  </si>
  <si>
    <t xml:space="preserve">Startlanguage: </t>
  </si>
  <si>
    <t xml:space="preserve">LV: </t>
  </si>
  <si>
    <t>RU:</t>
  </si>
  <si>
    <t>EN:</t>
  </si>
  <si>
    <t>Region of origins:</t>
  </si>
  <si>
    <t>Rīgā/Rīgas rajonā:</t>
  </si>
  <si>
    <t xml:space="preserve">Kurzemē: </t>
  </si>
  <si>
    <t>Latgalē:</t>
  </si>
  <si>
    <t>Vidzemē:</t>
  </si>
  <si>
    <t>Zemgalē:</t>
  </si>
  <si>
    <t>Abroad:</t>
  </si>
  <si>
    <t>Studied abroad:</t>
  </si>
  <si>
    <t>Only in primary school:</t>
  </si>
  <si>
    <t>Only in high school:</t>
  </si>
  <si>
    <t>Vocation school:</t>
  </si>
  <si>
    <t>Both primary and high school:</t>
  </si>
  <si>
    <t>Both in primary and vocation school:</t>
  </si>
  <si>
    <t>Both in high school and vocation school:</t>
  </si>
  <si>
    <t>All school types</t>
  </si>
  <si>
    <t>Negative:</t>
  </si>
  <si>
    <t>Mothertongue</t>
  </si>
  <si>
    <t>Latvian:</t>
  </si>
  <si>
    <t>Russian:</t>
  </si>
  <si>
    <t>Bilingual:</t>
  </si>
  <si>
    <t xml:space="preserve">Latvian, Russian and English: </t>
  </si>
  <si>
    <t xml:space="preserve">Latvian, Russian and Ukrainian: </t>
  </si>
  <si>
    <t>Latvian, Russian and Polish:</t>
  </si>
  <si>
    <t>Latvian and other:</t>
  </si>
  <si>
    <t>Latvian and English:</t>
  </si>
  <si>
    <r>
      <t xml:space="preserve">Russian and other: </t>
    </r>
    <r>
      <rPr>
        <sz val="10"/>
        <rFont val="Arial"/>
        <family val="2"/>
      </rPr>
      <t>1</t>
    </r>
    <r>
      <rPr>
        <b/>
        <sz val="10"/>
        <rFont val="Arial"/>
        <family val="2"/>
      </rPr>
      <t xml:space="preserve"> </t>
    </r>
    <r>
      <rPr>
        <sz val="10"/>
        <rFont val="Arial"/>
        <family val="2"/>
      </rPr>
      <t>(German)</t>
    </r>
  </si>
  <si>
    <t>Russian and English:</t>
  </si>
  <si>
    <t>Polish (only):</t>
  </si>
  <si>
    <t xml:space="preserve">Ukrainian (only): </t>
  </si>
  <si>
    <t xml:space="preserve">English (only): </t>
  </si>
  <si>
    <t>Old believer</t>
  </si>
  <si>
    <t>Rindu etiķetes</t>
  </si>
  <si>
    <t>Gala summa</t>
  </si>
  <si>
    <t>Skaits no Dzimtā valoda(s): [Latviešu]</t>
  </si>
  <si>
    <t>Skaits no Dzimtā valoda(s): [Krievu  ]</t>
  </si>
  <si>
    <t>Skaits no Dzimtā valoda(s): [Ukraiņu ]</t>
  </si>
  <si>
    <t>Skaits no Dzimtā valoda(s): [Angļu]</t>
  </si>
  <si>
    <t>Skaits no Dzimtā valoda(s): [Poļu]</t>
  </si>
  <si>
    <t>Skaits no Dzimtā valoda(s): [Cita atbilde]</t>
  </si>
  <si>
    <t>High and Voc.</t>
  </si>
  <si>
    <t>Pri. and Voc.</t>
  </si>
  <si>
    <t>Primary school</t>
  </si>
  <si>
    <t>High school</t>
  </si>
  <si>
    <t>Latvian</t>
  </si>
  <si>
    <t>Russian</t>
  </si>
  <si>
    <t>Both</t>
  </si>
  <si>
    <t>English</t>
  </si>
  <si>
    <t>Haven't attented high school</t>
  </si>
  <si>
    <t>Family</t>
  </si>
  <si>
    <t>School</t>
  </si>
  <si>
    <t>Work</t>
  </si>
  <si>
    <t>With friends</t>
  </si>
  <si>
    <t>Sport</t>
  </si>
  <si>
    <t>Hobbies</t>
  </si>
  <si>
    <t>On the street</t>
  </si>
  <si>
    <t>Every day</t>
  </si>
  <si>
    <t>A few times a week</t>
  </si>
  <si>
    <t>Once a week</t>
  </si>
  <si>
    <t>A few times a month</t>
  </si>
  <si>
    <t>Never</t>
  </si>
  <si>
    <t>Family life</t>
  </si>
  <si>
    <t>Work/employment</t>
  </si>
  <si>
    <t>Education</t>
  </si>
  <si>
    <t>Culture</t>
  </si>
  <si>
    <t>Politic</t>
  </si>
  <si>
    <t>Equal</t>
  </si>
  <si>
    <t>Mainly equal</t>
  </si>
  <si>
    <t>Unequal</t>
  </si>
  <si>
    <t>Mainly unequal</t>
  </si>
  <si>
    <t>Male</t>
  </si>
  <si>
    <t>Female</t>
  </si>
  <si>
    <t>Don't Know</t>
  </si>
  <si>
    <t>Don't know</t>
  </si>
  <si>
    <t xml:space="preserve"> </t>
  </si>
  <si>
    <t>Male LV</t>
  </si>
  <si>
    <t>Male RU</t>
  </si>
  <si>
    <t>Female LV</t>
  </si>
  <si>
    <t>Female RU</t>
  </si>
  <si>
    <t>Citviet:</t>
  </si>
  <si>
    <t>Harkiv; Don't know (2 answers)</t>
  </si>
  <si>
    <t>vidussskolā neesmu gājis</t>
  </si>
  <si>
    <t>Finished education level:</t>
  </si>
  <si>
    <t xml:space="preserve">Primary – </t>
  </si>
  <si>
    <t xml:space="preserve">Seconday – </t>
  </si>
  <si>
    <t xml:space="preserve">Vocation – </t>
  </si>
  <si>
    <t xml:space="preserve">Bacchelors – </t>
  </si>
  <si>
    <t>Masters –</t>
  </si>
  <si>
    <t>leg1populist</t>
  </si>
  <si>
    <t>leg2</t>
  </si>
  <si>
    <t>leg3</t>
  </si>
  <si>
    <t>leg4popul.</t>
  </si>
  <si>
    <t>leg5popul.</t>
  </si>
  <si>
    <t>leg6</t>
  </si>
  <si>
    <t>Nezina</t>
  </si>
  <si>
    <t>leg1popul.</t>
  </si>
  <si>
    <t>startlang = lv</t>
  </si>
  <si>
    <t>startlang = ru</t>
  </si>
  <si>
    <t>14 % (Don't know)</t>
  </si>
  <si>
    <t>Bi (LV)</t>
  </si>
  <si>
    <t>BI (RU)</t>
  </si>
  <si>
    <t>Don't know:</t>
  </si>
  <si>
    <t>Bi (Ru)</t>
  </si>
  <si>
    <t>Ru</t>
  </si>
  <si>
    <t>Ekoloģija</t>
  </si>
  <si>
    <t>LGBTQ rights</t>
  </si>
  <si>
    <t>Women's rights</t>
  </si>
  <si>
    <t>Democr. processes</t>
  </si>
  <si>
    <t>Mediji</t>
  </si>
  <si>
    <t>Latvian Radio</t>
  </si>
  <si>
    <t>LTV</t>
  </si>
  <si>
    <t>Other TV/Radio</t>
  </si>
  <si>
    <t>LSM(LV)</t>
  </si>
  <si>
    <t>LSM(RU)</t>
  </si>
  <si>
    <t>Delfi/TVNET etc. LV</t>
  </si>
  <si>
    <t>Delfi/TVNET etc. RU</t>
  </si>
  <si>
    <t>Tik Tok</t>
  </si>
  <si>
    <t>Instagram</t>
  </si>
  <si>
    <t>Facebook</t>
  </si>
  <si>
    <t>Society</t>
  </si>
  <si>
    <t>History</t>
  </si>
  <si>
    <t>Politics</t>
  </si>
  <si>
    <t>LV(AT HOME)</t>
  </si>
  <si>
    <t>RU(AT HOME)</t>
  </si>
  <si>
    <t>LV(AT SCHOOL)</t>
  </si>
  <si>
    <t>BI(AT SCHOOL)</t>
  </si>
  <si>
    <t>RU(AT SCHOOL)</t>
  </si>
  <si>
    <t xml:space="preserve">City plus language influence: </t>
  </si>
  <si>
    <t>Education language plus language influence:</t>
  </si>
  <si>
    <t>Experiences of discrimination influence:</t>
  </si>
  <si>
    <t>Association with Latvian society influence:</t>
  </si>
  <si>
    <t>Watching Russian media influence:</t>
  </si>
  <si>
    <t>RUDA</t>
  </si>
  <si>
    <t>RURI</t>
  </si>
  <si>
    <t>RULI</t>
  </si>
  <si>
    <t>LVDA</t>
  </si>
  <si>
    <t>LVRI</t>
  </si>
  <si>
    <t>LVLI</t>
  </si>
  <si>
    <t>LEG5POPUL.</t>
  </si>
  <si>
    <t>LEG6</t>
  </si>
  <si>
    <t>BIDA(ru)</t>
  </si>
  <si>
    <t>BIRI(ru)</t>
  </si>
  <si>
    <t>BILI(ru)</t>
  </si>
  <si>
    <t>BIDA(lv)</t>
  </si>
  <si>
    <t>BIRI(lv)</t>
  </si>
  <si>
    <t>BILI(lv)</t>
  </si>
  <si>
    <t>nlv=169; nru=127</t>
  </si>
  <si>
    <t>PrimRU(ru)</t>
  </si>
  <si>
    <t>PrimLV(ru)</t>
  </si>
  <si>
    <t>PrimEQ(ru)</t>
  </si>
  <si>
    <t>PrimOTHER(ru)</t>
  </si>
  <si>
    <t>PrimRU(lv)</t>
  </si>
  <si>
    <t>PrimLV(lv)</t>
  </si>
  <si>
    <t>PrimEQ(lv)</t>
  </si>
  <si>
    <t>PrimOTHER(lv)</t>
  </si>
  <si>
    <t>HighRU(ru)</t>
  </si>
  <si>
    <t>HighLV(ru)</t>
  </si>
  <si>
    <t>HighEQ(ru)</t>
  </si>
  <si>
    <t>HighOTHER(ru)</t>
  </si>
  <si>
    <t>Noschool(ru)</t>
  </si>
  <si>
    <t>HighRU(lv)</t>
  </si>
  <si>
    <t>HighLV(lv)</t>
  </si>
  <si>
    <t>HighEQ(lv)</t>
  </si>
  <si>
    <t>HighOTHER(lv)</t>
  </si>
  <si>
    <t>Noschool(lv)</t>
  </si>
  <si>
    <t>ADITIONAL INFO:</t>
  </si>
  <si>
    <t>Latvian studying in Russian</t>
  </si>
  <si>
    <t>Almost never</t>
  </si>
  <si>
    <t>Rarely</t>
  </si>
  <si>
    <t>Sometimes</t>
  </si>
  <si>
    <t>Often</t>
  </si>
  <si>
    <t>Bi</t>
  </si>
  <si>
    <t>Together</t>
  </si>
  <si>
    <t>NTV</t>
  </si>
  <si>
    <t>Dožd</t>
  </si>
  <si>
    <t>First Baltic Channel</t>
  </si>
  <si>
    <t>Rossia 1</t>
  </si>
  <si>
    <t>Pervij Kanal</t>
  </si>
  <si>
    <t>TNT</t>
  </si>
  <si>
    <t>Novaja Gazeta</t>
  </si>
  <si>
    <t>Ria Novosti</t>
  </si>
  <si>
    <t>Chayka/Grani</t>
  </si>
  <si>
    <t>Vkontakte</t>
  </si>
  <si>
    <t>Odnoklasniki</t>
  </si>
  <si>
    <t>Rutube</t>
  </si>
  <si>
    <t>Amounts of Russian speakers watching TNT:</t>
  </si>
  <si>
    <t>Amounts of Russian speakers watching Pervij Baltiskij:</t>
  </si>
  <si>
    <t>Total</t>
  </si>
  <si>
    <t>TotalLEG5</t>
  </si>
  <si>
    <t>TotalLEG6</t>
  </si>
  <si>
    <t>Ru(Russians as LV society 1–50)</t>
  </si>
  <si>
    <t>LV(Russians as LV society 1–50)</t>
  </si>
  <si>
    <t>Ru(Russians as foreign group 51–100)</t>
  </si>
  <si>
    <t>LV(Russians as foreign group 51–100)</t>
  </si>
  <si>
    <t>Ru (Association with Latvians 51-100)</t>
  </si>
  <si>
    <t>Lv (Association with Latvians 51-100)</t>
  </si>
  <si>
    <t>Ru (Association with Latvians 1–50)</t>
  </si>
  <si>
    <t>LV(Associations with LV society 1–50)</t>
  </si>
  <si>
    <t>Ru (Ass. with LV Russians 51-100)</t>
  </si>
  <si>
    <t>Ru (Ass. with LV Russians 1-50)</t>
  </si>
  <si>
    <t>Ru (Ass. with RU Russians 51-100)</t>
  </si>
  <si>
    <t>Ru (Ass. with RU Russians 1-50)</t>
  </si>
  <si>
    <t>Language knowledge plus language influence (high knowledge in all categories and low knowledge in all categories):</t>
  </si>
  <si>
    <t>Discussing politics, society and history in worplace in the last 7 days:</t>
  </si>
  <si>
    <t>Ranking of democratic categories:</t>
  </si>
  <si>
    <t>RuGoodLV</t>
  </si>
  <si>
    <t>RuBadLV</t>
  </si>
  <si>
    <t>LVGoodRU</t>
  </si>
  <si>
    <t>LvBadRU</t>
  </si>
  <si>
    <t>Equal acces to education, healthcare and social security</t>
  </si>
  <si>
    <t>Civil rights</t>
  </si>
  <si>
    <t>Free voting and pluralism</t>
  </si>
  <si>
    <t>Equal rights to minorities and vulnerable social groups</t>
  </si>
  <si>
    <t>Balance of power between the parliaments, president and the courts</t>
  </si>
  <si>
    <t>Lv</t>
  </si>
  <si>
    <t>BiRu</t>
  </si>
  <si>
    <t>BiLv</t>
  </si>
  <si>
    <t>Family(pol)</t>
  </si>
  <si>
    <t>Family(soc)</t>
  </si>
  <si>
    <t>Edu(pol)</t>
  </si>
  <si>
    <t>Edu(soc)</t>
  </si>
  <si>
    <t>BI(RU)</t>
  </si>
  <si>
    <t>BI(LV)</t>
  </si>
  <si>
    <t>Zusammen</t>
  </si>
  <si>
    <t>Total5</t>
  </si>
  <si>
    <t>Total6</t>
  </si>
  <si>
    <t>Amounts of Russian speakers (including bi) watching First Baltic channel:</t>
  </si>
  <si>
    <t>5(bi)</t>
  </si>
  <si>
    <t>6(ru)</t>
  </si>
  <si>
    <t>61 (in total)</t>
  </si>
  <si>
    <t>11 (in total)</t>
  </si>
  <si>
    <t>Faith:</t>
  </si>
  <si>
    <t>Ru (atheist)</t>
  </si>
  <si>
    <t>Bi (atheist)</t>
  </si>
  <si>
    <t>Lv (atheist)</t>
  </si>
  <si>
    <t>Interest in democratic processes:</t>
  </si>
  <si>
    <t>Belonging to certain sociog. region:</t>
  </si>
  <si>
    <t>North-Europe</t>
  </si>
  <si>
    <t>Western-Europe</t>
  </si>
  <si>
    <t>Eastern-Europe</t>
  </si>
  <si>
    <t>Baltic Countries</t>
  </si>
  <si>
    <t>Post-social</t>
  </si>
  <si>
    <t>old</t>
  </si>
  <si>
    <t>Ru (orth)</t>
  </si>
  <si>
    <t>Bi (orth)</t>
  </si>
  <si>
    <t>Lv (prot)</t>
  </si>
  <si>
    <t>Bi (prot)</t>
  </si>
  <si>
    <t>cathol</t>
  </si>
  <si>
    <t>Ru (interested)</t>
  </si>
  <si>
    <t>Ru (bi/interested)</t>
  </si>
  <si>
    <t>Lv (interested)</t>
  </si>
  <si>
    <t>Lv(bi/interested)</t>
  </si>
  <si>
    <t>Ru (not-interested)</t>
  </si>
  <si>
    <t>Ru (bi/ not-interested)</t>
  </si>
  <si>
    <t>Lv (not-interested)</t>
  </si>
  <si>
    <t>Lv(bi/ not-interested)</t>
  </si>
  <si>
    <r>
      <rPr>
        <sz val="11"/>
        <color rgb="FF00B050"/>
        <rFont val="Calibri"/>
        <family val="2"/>
        <scheme val="minor"/>
      </rPr>
      <t>больше на русском чем на латышском (70/30</t>
    </r>
    <r>
      <rPr>
        <sz val="11"/>
        <color theme="1"/>
        <rFont val="Calibri"/>
        <family val="2"/>
        <scheme val="minor"/>
      </rPr>
      <t>)</t>
    </r>
  </si>
  <si>
    <t>Employment</t>
  </si>
  <si>
    <t>Valsts iestāde</t>
  </si>
  <si>
    <t>Nevalstiska</t>
  </si>
  <si>
    <t>Privāta</t>
  </si>
  <si>
    <t>LVMEN</t>
  </si>
  <si>
    <t>LVWOMEN</t>
  </si>
  <si>
    <t>RUWOMEN</t>
  </si>
  <si>
    <t>Kopā</t>
  </si>
  <si>
    <t>Knapi/gandrīz necik</t>
  </si>
  <si>
    <t>Bi (lv)</t>
  </si>
  <si>
    <t>Bi (ru)</t>
  </si>
  <si>
    <t>LV virs 50</t>
  </si>
  <si>
    <t>LV zem 50</t>
  </si>
  <si>
    <t>RU virs 50</t>
  </si>
  <si>
    <t>RU zem 50</t>
  </si>
  <si>
    <t>BI (LV) zem 50</t>
  </si>
  <si>
    <t>BI (LV) virs 50</t>
  </si>
  <si>
    <t>BI (RU) virs 50</t>
  </si>
  <si>
    <t>BI (RU) zem 50</t>
  </si>
  <si>
    <t>Total bilinguals (RU)</t>
  </si>
  <si>
    <t>Virs 50</t>
  </si>
  <si>
    <t>Zem 50</t>
  </si>
  <si>
    <t>Krievi Daugavpilī</t>
  </si>
  <si>
    <t>Krievi Liepājā</t>
  </si>
  <si>
    <t>Krievi Rīgā</t>
  </si>
  <si>
    <t>Latvieši Daugavpilī</t>
  </si>
  <si>
    <t>Latvieši Liepājā</t>
  </si>
  <si>
    <t>Latviešu Rīgā</t>
  </si>
  <si>
    <t>Austrumeiropa</t>
  </si>
  <si>
    <t>Post-soc</t>
  </si>
  <si>
    <t>Rietumeiropa</t>
  </si>
  <si>
    <t>Ziemeļeiropas valstīm</t>
  </si>
  <si>
    <t>Baltijas valstīm</t>
  </si>
  <si>
    <t>Eiropas Savienībai</t>
  </si>
  <si>
    <t>Latvians</t>
  </si>
  <si>
    <t>Russians</t>
  </si>
  <si>
    <t>School/university environment</t>
  </si>
  <si>
    <t>Often perceived discrimination on the street, seeing high interethnic tensions</t>
  </si>
  <si>
    <t>Often perceived discrimination on the street, seeing rather high interethnic tensions</t>
  </si>
  <si>
    <t>Rarely perceived discrimination on the street, seeing rather high interethnic tensions</t>
  </si>
  <si>
    <t>Rarely perceived discrimination on the street, seeing high interethnic tensions</t>
  </si>
  <si>
    <t>(Almost) never perceived discrimination on the street, seeing rather high interethnic tensions</t>
  </si>
  <si>
    <t>(Almost) never perceived discrimination on the street, seeing high interethnic tensions</t>
  </si>
  <si>
    <t>Sometimes perceived discrimination on the street, seeing high interethnic tensions</t>
  </si>
  <si>
    <t>Sometimes perceived discrimination on the street, seeing rather high interethnic tensions</t>
  </si>
  <si>
    <t>ARD/ZDF</t>
  </si>
  <si>
    <t>Dozd TV</t>
  </si>
  <si>
    <t>Latvijas Radio</t>
  </si>
  <si>
    <t>HTB</t>
  </si>
  <si>
    <t>8TV</t>
  </si>
  <si>
    <t>PBK</t>
  </si>
  <si>
    <t>Baltcom</t>
  </si>
  <si>
    <t>Skonto</t>
  </si>
  <si>
    <t>Rossija 1</t>
  </si>
  <si>
    <t>Staumēšana</t>
  </si>
  <si>
    <t>TV3 etc.</t>
  </si>
  <si>
    <t>BBC/CNN</t>
  </si>
  <si>
    <t>BBC</t>
  </si>
  <si>
    <t>CNN</t>
  </si>
  <si>
    <t>lsm.lv (lv)</t>
  </si>
  <si>
    <t>Latvijskije vesti</t>
  </si>
  <si>
    <t>lsm.lv (ru)</t>
  </si>
  <si>
    <t>MK Latvija</t>
  </si>
  <si>
    <t>Novaya Gazeta</t>
  </si>
  <si>
    <t>Kas Jauns</t>
  </si>
  <si>
    <t>Ir</t>
  </si>
  <si>
    <t>Latvijas Avīze</t>
  </si>
  <si>
    <t>Diena</t>
  </si>
  <si>
    <t>Neatkarīgā Rīta Avīze</t>
  </si>
  <si>
    <t>Delfi etc. (LV)</t>
  </si>
  <si>
    <t>Delfi etc. (RU)</t>
  </si>
  <si>
    <t>Vesti.ru</t>
  </si>
  <si>
    <t>Chayka/grani</t>
  </si>
  <si>
    <t>Orange only for the september groups</t>
  </si>
  <si>
    <t>None</t>
  </si>
  <si>
    <t>M (Ru)</t>
  </si>
  <si>
    <t>M Bi (Ru)</t>
  </si>
  <si>
    <t>F (Ru)</t>
  </si>
  <si>
    <t>F (Lv)</t>
  </si>
  <si>
    <t>M Bi (Lv)</t>
  </si>
  <si>
    <t>Ru (Russians as foreign group 51-100)</t>
  </si>
  <si>
    <t>Lv (Russians as foreign group 51-100)</t>
  </si>
  <si>
    <t>Ru (Russians as foreign group 1–50)</t>
  </si>
  <si>
    <t>LV (Russians as foreign group 1–50)</t>
  </si>
  <si>
    <t>“We will increase funding for research that develops climate-neutral
 and highly valuable products or technologies for industries and businesses.”</t>
  </si>
  <si>
    <t>BI sorting waste</t>
  </si>
  <si>
    <t>Yes,all</t>
  </si>
  <si>
    <t>Yes, most</t>
  </si>
  <si>
    <t>Yes, part</t>
  </si>
  <si>
    <t>No</t>
  </si>
  <si>
    <t>BI(AT HOME)</t>
  </si>
  <si>
    <t>(Visi)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</si>
</sst>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0"/>
      <color rgb="FFFF0000"/>
      <name val="Arial"/>
      <family val="2"/>
      <charset val="1"/>
    </font>
    <font>
      <sz val="10"/>
      <color theme="1"/>
      <name val="Arial"/>
      <family val="2"/>
      <charset val="1"/>
    </font>
    <font>
      <sz val="10"/>
      <color theme="1"/>
      <name val="Arial"/>
      <family val="2"/>
    </font>
    <font>
      <b/>
      <sz val="9"/>
      <color indexed="81"/>
      <name val="Tahoma"/>
      <family val="2"/>
    </font>
    <font>
      <sz val="9"/>
      <color indexed="81"/>
      <name val="Tahoma"/>
      <family val="2"/>
    </font>
    <font>
      <sz val="10"/>
      <color rgb="FFFFFF00"/>
      <name val="Arial"/>
      <family val="2"/>
    </font>
    <font>
      <sz val="10"/>
      <color rgb="FF00B050"/>
      <name val="Arial"/>
      <family val="2"/>
      <charset val="1"/>
    </font>
    <font>
      <i/>
      <sz val="10"/>
      <name val="Arial"/>
      <family val="2"/>
    </font>
    <font>
      <b/>
      <sz val="10"/>
      <name val="Arial"/>
      <family val="2"/>
    </font>
    <font>
      <sz val="11"/>
      <color rgb="FF9C6500"/>
      <name val="Calibri"/>
      <family val="2"/>
    </font>
    <font>
      <sz val="11"/>
      <color rgb="FF000000"/>
      <name val="Calibri"/>
      <family val="2"/>
    </font>
    <font>
      <sz val="11"/>
      <color rgb="FF9C0006"/>
      <name val="Calibri"/>
      <family val="2"/>
    </font>
    <font>
      <sz val="11"/>
      <color rgb="FF006100"/>
      <name val="Calibri"/>
      <family val="2"/>
    </font>
    <font>
      <sz val="11"/>
      <color rgb="FF3F3F76"/>
      <name val="Calibri"/>
      <family val="2"/>
    </font>
    <font>
      <sz val="11"/>
      <color rgb="FFFFFFFF"/>
      <name val="Calibri"/>
      <family val="2"/>
    </font>
    <font>
      <b/>
      <sz val="11"/>
      <color rgb="FFFFFFFF"/>
      <name val="Calibri"/>
      <family val="2"/>
    </font>
    <font>
      <sz val="10"/>
      <name val="Arial"/>
      <family val="2"/>
      <charset val="1"/>
    </font>
    <font>
      <sz val="10"/>
      <name val="Arial"/>
      <family val="2"/>
    </font>
    <font>
      <sz val="10"/>
      <color rgb="FFFFC000"/>
      <name val="Arial"/>
      <family val="2"/>
      <charset val="1"/>
    </font>
    <font>
      <i/>
      <sz val="11"/>
      <color theme="1"/>
      <name val="Calibri"/>
      <family val="2"/>
      <scheme val="minor"/>
    </font>
    <font>
      <b/>
      <sz val="11"/>
      <color theme="1"/>
      <name val="Calibri"/>
      <family val="2"/>
      <scheme val="minor"/>
    </font>
    <font>
      <u/>
      <sz val="10"/>
      <name val="Arial"/>
      <family val="2"/>
    </font>
    <font>
      <u/>
      <sz val="10"/>
      <color theme="1"/>
      <name val="Arial"/>
      <family val="2"/>
    </font>
    <font>
      <u/>
      <sz val="10"/>
      <name val="Arial"/>
      <family val="2"/>
      <charset val="1"/>
    </font>
    <font>
      <sz val="11"/>
      <color rgb="FF4D5156"/>
      <name val="Calibri"/>
      <family val="2"/>
      <scheme val="minor"/>
    </font>
    <font>
      <sz val="11"/>
      <color theme="1"/>
      <name val="Calibri"/>
      <family val="2"/>
    </font>
    <font>
      <sz val="11"/>
      <color rgb="FF00B050"/>
      <name val="Calibri"/>
      <family val="2"/>
      <scheme val="minor"/>
    </font>
    <font>
      <i/>
      <sz val="11"/>
      <color rgb="FF00B050"/>
      <name val="Calibri"/>
      <family val="2"/>
      <scheme val="minor"/>
    </font>
    <font>
      <sz val="8"/>
      <color rgb="FF4D5156"/>
      <name val="Arial"/>
      <family val="2"/>
    </font>
    <font>
      <b/>
      <sz val="11"/>
      <color rgb="FF000000"/>
      <name val="Calibri"/>
      <family val="2"/>
    </font>
  </fonts>
  <fills count="38">
    <fill>
      <patternFill patternType="none"/>
    </fill>
    <fill>
      <patternFill patternType="gray125"/>
    </fill>
    <fill>
      <patternFill patternType="solid">
        <fgColor rgb="FF7030A0"/>
        <bgColor indexed="64"/>
      </patternFill>
    </fill>
    <fill>
      <patternFill patternType="solid">
        <fgColor rgb="FFFFE699"/>
        <bgColor indexed="64"/>
      </patternFill>
    </fill>
    <fill>
      <patternFill patternType="solid">
        <fgColor theme="7" tint="0.59999389629810485"/>
        <bgColor indexed="64"/>
      </patternFill>
    </fill>
    <fill>
      <patternFill patternType="solid">
        <fgColor rgb="FFFFC7CE"/>
        <bgColor indexed="64"/>
      </patternFill>
    </fill>
    <fill>
      <patternFill patternType="solid">
        <fgColor rgb="FFC6EFCE"/>
        <bgColor indexed="64"/>
      </patternFill>
    </fill>
    <fill>
      <patternFill patternType="solid">
        <fgColor rgb="FF00B050"/>
        <bgColor indexed="64"/>
      </patternFill>
    </fill>
    <fill>
      <patternFill patternType="solid">
        <fgColor rgb="FFFFCC99"/>
        <bgColor indexed="64"/>
      </patternFill>
    </fill>
    <fill>
      <patternFill patternType="solid">
        <fgColor rgb="FFC2D59A"/>
        <bgColor indexed="64"/>
      </patternFill>
    </fill>
    <fill>
      <patternFill patternType="solid">
        <fgColor rgb="FFCBC0D9"/>
        <bgColor indexed="64"/>
      </patternFill>
    </fill>
    <fill>
      <patternFill patternType="solid">
        <fgColor rgb="FFF9BE8E"/>
        <bgColor indexed="64"/>
      </patternFill>
    </fill>
    <fill>
      <patternFill patternType="solid">
        <fgColor rgb="FFFFFFFF"/>
        <bgColor indexed="64"/>
      </patternFill>
    </fill>
    <fill>
      <patternFill patternType="solid">
        <fgColor rgb="FFB2B2B2"/>
        <bgColor indexed="64"/>
      </patternFill>
    </fill>
    <fill>
      <patternFill patternType="solid">
        <fgColor rgb="FF4BACC6"/>
        <bgColor indexed="64"/>
      </patternFill>
    </fill>
    <fill>
      <patternFill patternType="solid">
        <fgColor rgb="FF92D050"/>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996633"/>
        <bgColor indexed="64"/>
      </patternFill>
    </fill>
    <fill>
      <patternFill patternType="solid">
        <fgColor rgb="FFFFEB9C"/>
        <bgColor rgb="FF000000"/>
      </patternFill>
    </fill>
    <fill>
      <patternFill patternType="solid">
        <fgColor rgb="FFFFC7CE"/>
        <bgColor rgb="FF000000"/>
      </patternFill>
    </fill>
    <fill>
      <patternFill patternType="solid">
        <fgColor rgb="FFC6EFCE"/>
        <bgColor rgb="FF000000"/>
      </patternFill>
    </fill>
    <fill>
      <patternFill patternType="solid">
        <fgColor rgb="FFFFCC99"/>
        <bgColor rgb="FF000000"/>
      </patternFill>
    </fill>
    <fill>
      <patternFill patternType="solid">
        <fgColor rgb="FFC2D59A"/>
        <bgColor rgb="FF000000"/>
      </patternFill>
    </fill>
    <fill>
      <patternFill patternType="solid">
        <fgColor rgb="FFCBC0D9"/>
        <bgColor rgb="FF000000"/>
      </patternFill>
    </fill>
    <fill>
      <patternFill patternType="solid">
        <fgColor rgb="FFF9BE8E"/>
        <bgColor rgb="FF000000"/>
      </patternFill>
    </fill>
    <fill>
      <patternFill patternType="solid">
        <fgColor rgb="FFA5A5A5"/>
        <bgColor rgb="FF000000"/>
      </patternFill>
    </fill>
    <fill>
      <patternFill patternType="solid">
        <fgColor rgb="FF4BACC6"/>
        <bgColor rgb="FF000000"/>
      </patternFill>
    </fill>
    <fill>
      <patternFill patternType="solid">
        <fgColor rgb="FF00B050"/>
        <bgColor rgb="FF000000"/>
      </patternFill>
    </fill>
    <fill>
      <patternFill patternType="solid">
        <fgColor rgb="FF8EA9DB"/>
        <bgColor rgb="FF000000"/>
      </patternFill>
    </fill>
    <fill>
      <patternFill patternType="solid">
        <fgColor rgb="FFF8CBAD"/>
        <bgColor rgb="FF000000"/>
      </patternFill>
    </fill>
    <fill>
      <patternFill patternType="solid">
        <fgColor rgb="FFD0CECE"/>
        <bgColor rgb="FF000000"/>
      </patternFill>
    </fill>
    <fill>
      <patternFill patternType="solid">
        <fgColor rgb="FFC65911"/>
        <bgColor rgb="FF000000"/>
      </patternFill>
    </fill>
    <fill>
      <patternFill patternType="solid">
        <fgColor rgb="FFFFC000"/>
        <bgColor indexed="64"/>
      </patternFill>
    </fill>
    <fill>
      <patternFill patternType="solid">
        <fgColor theme="4" tint="0.79998168889431442"/>
        <bgColor theme="4" tint="0.79998168889431442"/>
      </patternFill>
    </fill>
  </fills>
  <borders count="26">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7F7F7F"/>
      </left>
      <right style="thin">
        <color indexed="64"/>
      </right>
      <top style="medium">
        <color rgb="FF7F7F7F"/>
      </top>
      <bottom style="thin">
        <color indexed="64"/>
      </bottom>
      <diagonal/>
    </border>
    <border>
      <left/>
      <right style="medium">
        <color rgb="FF7F7F7F"/>
      </right>
      <top style="medium">
        <color rgb="FF7F7F7F"/>
      </top>
      <bottom style="thin">
        <color indexed="64"/>
      </bottom>
      <diagonal/>
    </border>
    <border>
      <left style="medium">
        <color rgb="FF7F7F7F"/>
      </left>
      <right/>
      <top/>
      <bottom style="thin">
        <color indexed="64"/>
      </bottom>
      <diagonal/>
    </border>
    <border>
      <left/>
      <right/>
      <top/>
      <bottom style="thin">
        <color indexed="64"/>
      </bottom>
      <diagonal/>
    </border>
    <border>
      <left/>
      <right style="thin">
        <color indexed="64"/>
      </right>
      <top style="medium">
        <color rgb="FF7F7F7F"/>
      </top>
      <bottom style="thin">
        <color indexed="64"/>
      </bottom>
      <diagonal/>
    </border>
    <border>
      <left/>
      <right/>
      <top style="medium">
        <color rgb="FF7F7F7F"/>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rgb="FF3F3F3F"/>
      </bottom>
      <diagonal/>
    </border>
    <border>
      <left/>
      <right style="double">
        <color rgb="FF3F3F3F"/>
      </right>
      <top style="thin">
        <color indexed="64"/>
      </top>
      <bottom style="double">
        <color rgb="FF3F3F3F"/>
      </bottom>
      <diagonal/>
    </border>
    <border>
      <left style="thin">
        <color indexed="64"/>
      </left>
      <right style="thin">
        <color indexed="64"/>
      </right>
      <top style="double">
        <color rgb="FF3F3F3F"/>
      </top>
      <bottom style="thin">
        <color indexed="64"/>
      </bottom>
      <diagonal/>
    </border>
    <border>
      <left/>
      <right/>
      <top style="double">
        <color rgb="FF3F3F3F"/>
      </top>
      <bottom style="thin">
        <color indexed="64"/>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182">
    <xf numFmtId="0" fontId="0" fillId="0" borderId="0" xfId="0"/>
    <xf numFmtId="0" fontId="0" fillId="2" borderId="0" xfId="0" applyFill="1"/>
    <xf numFmtId="0" fontId="0" fillId="3" borderId="0" xfId="0" applyFill="1"/>
    <xf numFmtId="0" fontId="0" fillId="4" borderId="0" xfId="0" applyFill="1"/>
    <xf numFmtId="0" fontId="1" fillId="4" borderId="0" xfId="0" applyFont="1" applyFill="1"/>
    <xf numFmtId="0" fontId="2" fillId="4" borderId="0" xfId="0" applyFont="1" applyFill="1"/>
    <xf numFmtId="0" fontId="3" fillId="4" borderId="0" xfId="0" applyFont="1" applyFill="1"/>
    <xf numFmtId="0" fontId="0" fillId="5" borderId="0" xfId="0" applyFill="1"/>
    <xf numFmtId="0" fontId="0" fillId="6" borderId="0" xfId="0" applyFill="1"/>
    <xf numFmtId="0" fontId="0" fillId="7" borderId="0" xfId="0" applyFill="1"/>
    <xf numFmtId="0" fontId="2" fillId="6" borderId="0" xfId="0" applyFont="1" applyFill="1"/>
    <xf numFmtId="0" fontId="2" fillId="7" borderId="0" xfId="0" applyFont="1" applyFill="1"/>
    <xf numFmtId="0" fontId="1" fillId="6" borderId="0" xfId="0" applyFont="1" applyFill="1"/>
    <xf numFmtId="0" fontId="2" fillId="8" borderId="0" xfId="0" applyFont="1" applyFill="1"/>
    <xf numFmtId="0" fontId="0" fillId="8" borderId="0" xfId="0" applyFill="1"/>
    <xf numFmtId="0" fontId="1" fillId="8" borderId="0" xfId="0" applyFont="1" applyFill="1"/>
    <xf numFmtId="0" fontId="0" fillId="9" borderId="0" xfId="0" applyFill="1"/>
    <xf numFmtId="0" fontId="0" fillId="10" borderId="0" xfId="0" applyFill="1"/>
    <xf numFmtId="0" fontId="1" fillId="10" borderId="0" xfId="0" applyFont="1" applyFill="1"/>
    <xf numFmtId="0" fontId="0" fillId="11" borderId="0" xfId="0" applyFill="1"/>
    <xf numFmtId="0" fontId="0" fillId="12" borderId="0" xfId="0" applyFill="1"/>
    <xf numFmtId="0" fontId="1" fillId="0" borderId="0" xfId="0" applyFont="1"/>
    <xf numFmtId="0" fontId="0" fillId="13" borderId="0" xfId="0" applyFill="1"/>
    <xf numFmtId="0" fontId="1" fillId="13" borderId="0" xfId="0" applyFont="1" applyFill="1"/>
    <xf numFmtId="0" fontId="2" fillId="13" borderId="0" xfId="0" applyFont="1" applyFill="1"/>
    <xf numFmtId="0" fontId="0" fillId="14" borderId="0" xfId="0" applyFill="1"/>
    <xf numFmtId="0" fontId="2" fillId="15" borderId="1" xfId="0" applyFont="1" applyFill="1" applyBorder="1"/>
    <xf numFmtId="0" fontId="2" fillId="15" borderId="2" xfId="0" applyFont="1" applyFill="1" applyBorder="1"/>
    <xf numFmtId="0" fontId="1" fillId="15" borderId="2" xfId="0" applyFont="1" applyFill="1" applyBorder="1"/>
    <xf numFmtId="0" fontId="6" fillId="15" borderId="2" xfId="0" applyFont="1" applyFill="1" applyBorder="1"/>
    <xf numFmtId="0" fontId="2" fillId="16" borderId="1" xfId="0" applyFont="1" applyFill="1" applyBorder="1"/>
    <xf numFmtId="0" fontId="2" fillId="17" borderId="2" xfId="0" applyFont="1" applyFill="1" applyBorder="1"/>
    <xf numFmtId="0" fontId="6" fillId="17" borderId="2" xfId="0" applyFont="1" applyFill="1" applyBorder="1"/>
    <xf numFmtId="0" fontId="7" fillId="17" borderId="2" xfId="0" applyFont="1" applyFill="1" applyBorder="1"/>
    <xf numFmtId="0" fontId="2" fillId="18" borderId="2" xfId="0" applyFont="1" applyFill="1" applyBorder="1"/>
    <xf numFmtId="0" fontId="1" fillId="17" borderId="2" xfId="0" applyFont="1" applyFill="1" applyBorder="1"/>
    <xf numFmtId="0" fontId="2" fillId="19" borderId="1" xfId="0" applyFont="1" applyFill="1" applyBorder="1"/>
    <xf numFmtId="0" fontId="2" fillId="19" borderId="2" xfId="0" applyFont="1" applyFill="1" applyBorder="1"/>
    <xf numFmtId="0" fontId="7" fillId="19" borderId="2" xfId="0" applyFont="1" applyFill="1" applyBorder="1"/>
    <xf numFmtId="0" fontId="1" fillId="19" borderId="2" xfId="0" applyFont="1" applyFill="1" applyBorder="1"/>
    <xf numFmtId="0" fontId="2" fillId="20" borderId="1" xfId="0" applyFont="1" applyFill="1" applyBorder="1"/>
    <xf numFmtId="0" fontId="2" fillId="20" borderId="2" xfId="0" applyFont="1" applyFill="1" applyBorder="1"/>
    <xf numFmtId="0" fontId="2" fillId="21" borderId="1" xfId="0" applyFont="1" applyFill="1" applyBorder="1"/>
    <xf numFmtId="0" fontId="2" fillId="21" borderId="2" xfId="0" applyFont="1" applyFill="1" applyBorder="1"/>
    <xf numFmtId="0" fontId="8" fillId="0" borderId="0" xfId="0" applyFont="1"/>
    <xf numFmtId="0" fontId="9" fillId="0" borderId="4" xfId="0" applyFont="1" applyBorder="1"/>
    <xf numFmtId="0" fontId="9" fillId="0" borderId="5" xfId="0" applyFont="1" applyBorder="1"/>
    <xf numFmtId="0" fontId="11" fillId="0" borderId="4" xfId="0" applyFont="1" applyBorder="1"/>
    <xf numFmtId="0" fontId="11" fillId="0" borderId="4" xfId="0" applyFont="1" applyBorder="1" applyAlignment="1">
      <alignment vertical="center" wrapText="1"/>
    </xf>
    <xf numFmtId="0" fontId="9" fillId="0" borderId="0" xfId="0" applyFont="1"/>
    <xf numFmtId="0" fontId="17" fillId="0" borderId="0" xfId="0" applyFont="1"/>
    <xf numFmtId="0" fontId="17" fillId="0" borderId="3" xfId="0" applyFont="1" applyBorder="1"/>
    <xf numFmtId="0" fontId="17" fillId="0" borderId="4" xfId="0" applyFont="1" applyBorder="1"/>
    <xf numFmtId="0" fontId="10" fillId="22" borderId="4" xfId="0" applyFont="1" applyFill="1" applyBorder="1"/>
    <xf numFmtId="0" fontId="12" fillId="23" borderId="4" xfId="0" applyFont="1" applyFill="1" applyBorder="1"/>
    <xf numFmtId="0" fontId="13" fillId="24" borderId="4" xfId="0" applyFont="1" applyFill="1" applyBorder="1"/>
    <xf numFmtId="0" fontId="14" fillId="25" borderId="4" xfId="0" applyFont="1" applyFill="1" applyBorder="1"/>
    <xf numFmtId="0" fontId="15" fillId="26" borderId="4" xfId="0" applyFont="1" applyFill="1" applyBorder="1"/>
    <xf numFmtId="0" fontId="11" fillId="27" borderId="4" xfId="0" applyFont="1" applyFill="1" applyBorder="1"/>
    <xf numFmtId="0" fontId="15" fillId="28" borderId="4" xfId="0" applyFont="1" applyFill="1" applyBorder="1"/>
    <xf numFmtId="0" fontId="16" fillId="29" borderId="4" xfId="0" applyFont="1" applyFill="1" applyBorder="1"/>
    <xf numFmtId="0" fontId="15" fillId="30" borderId="4" xfId="0" applyFont="1" applyFill="1" applyBorder="1"/>
    <xf numFmtId="0" fontId="9" fillId="0" borderId="7" xfId="0" applyFont="1" applyBorder="1"/>
    <xf numFmtId="0" fontId="8" fillId="0" borderId="4" xfId="0" applyFont="1" applyBorder="1"/>
    <xf numFmtId="0" fontId="8" fillId="0" borderId="5" xfId="0" applyFont="1" applyBorder="1"/>
    <xf numFmtId="0" fontId="8" fillId="0" borderId="9" xfId="0" applyFont="1" applyBorder="1"/>
    <xf numFmtId="0" fontId="11" fillId="0" borderId="8" xfId="0" applyFont="1" applyBorder="1"/>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14" xfId="0" applyFont="1" applyBorder="1"/>
    <xf numFmtId="0" fontId="11" fillId="0" borderId="15" xfId="0" applyFont="1" applyBorder="1" applyAlignment="1">
      <alignment vertical="center" wrapText="1"/>
    </xf>
    <xf numFmtId="0" fontId="11" fillId="0" borderId="15" xfId="0" applyFont="1" applyBorder="1"/>
    <xf numFmtId="0" fontId="11" fillId="0" borderId="18" xfId="0" applyFont="1" applyBorder="1"/>
    <xf numFmtId="0" fontId="11" fillId="0" borderId="0" xfId="0" applyFont="1"/>
    <xf numFmtId="0" fontId="15" fillId="0" borderId="0" xfId="0" applyFont="1"/>
    <xf numFmtId="0" fontId="16" fillId="0" borderId="0" xfId="0" applyFont="1"/>
    <xf numFmtId="0" fontId="18" fillId="0" borderId="0" xfId="0" applyFont="1"/>
    <xf numFmtId="0" fontId="17" fillId="0" borderId="6" xfId="0" applyFont="1" applyBorder="1"/>
    <xf numFmtId="0" fontId="17" fillId="0" borderId="7" xfId="0" applyFont="1" applyBorder="1"/>
    <xf numFmtId="0" fontId="17" fillId="0" borderId="8" xfId="0" applyFont="1" applyBorder="1"/>
    <xf numFmtId="0" fontId="11" fillId="31" borderId="7" xfId="0" applyFont="1" applyFill="1" applyBorder="1"/>
    <xf numFmtId="0" fontId="17" fillId="0" borderId="10" xfId="0" applyFont="1" applyBorder="1"/>
    <xf numFmtId="0" fontId="17" fillId="0" borderId="5" xfId="0" applyFont="1" applyBorder="1"/>
    <xf numFmtId="0" fontId="17" fillId="0" borderId="9" xfId="0" applyFont="1" applyBorder="1"/>
    <xf numFmtId="0" fontId="11" fillId="32" borderId="0" xfId="0" applyFont="1" applyFill="1"/>
    <xf numFmtId="0" fontId="11" fillId="33" borderId="7" xfId="0" applyFont="1" applyFill="1" applyBorder="1"/>
    <xf numFmtId="0" fontId="11" fillId="33" borderId="8" xfId="0" applyFont="1" applyFill="1" applyBorder="1"/>
    <xf numFmtId="0" fontId="17" fillId="0" borderId="11" xfId="0" applyFont="1" applyBorder="1"/>
    <xf numFmtId="0" fontId="14" fillId="34" borderId="12" xfId="0" applyFont="1" applyFill="1" applyBorder="1"/>
    <xf numFmtId="0" fontId="14" fillId="34" borderId="13" xfId="0" applyFont="1" applyFill="1" applyBorder="1"/>
    <xf numFmtId="0" fontId="11" fillId="35" borderId="16" xfId="0" applyFont="1" applyFill="1" applyBorder="1"/>
    <xf numFmtId="0" fontId="11" fillId="35" borderId="17" xfId="0" applyFont="1" applyFill="1" applyBorder="1"/>
    <xf numFmtId="0" fontId="11" fillId="31" borderId="4" xfId="0" applyFont="1" applyFill="1" applyBorder="1"/>
    <xf numFmtId="0" fontId="11" fillId="32" borderId="4" xfId="0" applyFont="1" applyFill="1" applyBorder="1"/>
    <xf numFmtId="0" fontId="11" fillId="33" borderId="4" xfId="0" applyFont="1" applyFill="1" applyBorder="1"/>
    <xf numFmtId="0" fontId="14" fillId="34" borderId="4" xfId="0" applyFont="1" applyFill="1" applyBorder="1"/>
    <xf numFmtId="0" fontId="11" fillId="35" borderId="4" xfId="0" applyFont="1" applyFill="1" applyBorder="1"/>
    <xf numFmtId="0" fontId="11" fillId="0" borderId="6" xfId="0" applyFont="1" applyBorder="1"/>
    <xf numFmtId="0" fontId="10" fillId="22" borderId="7" xfId="0" applyFont="1" applyFill="1" applyBorder="1"/>
    <xf numFmtId="0" fontId="12" fillId="23" borderId="7" xfId="0" applyFont="1" applyFill="1" applyBorder="1"/>
    <xf numFmtId="0" fontId="13" fillId="24" borderId="7" xfId="0" applyFont="1" applyFill="1" applyBorder="1"/>
    <xf numFmtId="0" fontId="13" fillId="24" borderId="8" xfId="0" applyFont="1" applyFill="1" applyBorder="1"/>
    <xf numFmtId="0" fontId="17" fillId="0" borderId="15" xfId="0" applyFont="1" applyBorder="1"/>
    <xf numFmtId="0" fontId="14" fillId="25" borderId="12" xfId="0" applyFont="1" applyFill="1" applyBorder="1"/>
    <xf numFmtId="0" fontId="14" fillId="25" borderId="13" xfId="0" applyFont="1" applyFill="1" applyBorder="1"/>
    <xf numFmtId="0" fontId="15" fillId="26" borderId="16" xfId="0" applyFont="1" applyFill="1" applyBorder="1"/>
    <xf numFmtId="0" fontId="15" fillId="26" borderId="17" xfId="0" applyFont="1" applyFill="1" applyBorder="1"/>
    <xf numFmtId="0" fontId="11" fillId="27" borderId="11" xfId="0" applyFont="1" applyFill="1" applyBorder="1"/>
    <xf numFmtId="0" fontId="11" fillId="27" borderId="15" xfId="0" applyFont="1" applyFill="1" applyBorder="1"/>
    <xf numFmtId="0" fontId="15" fillId="28" borderId="7" xfId="0" applyFont="1" applyFill="1" applyBorder="1"/>
    <xf numFmtId="0" fontId="15" fillId="28" borderId="8" xfId="0" applyFont="1" applyFill="1" applyBorder="1"/>
    <xf numFmtId="0" fontId="17" fillId="0" borderId="19" xfId="0" applyFont="1" applyBorder="1"/>
    <xf numFmtId="0" fontId="17" fillId="0" borderId="20" xfId="0" applyFont="1" applyBorder="1"/>
    <xf numFmtId="0" fontId="17" fillId="0" borderId="18" xfId="0" applyFont="1" applyBorder="1"/>
    <xf numFmtId="0" fontId="16" fillId="29" borderId="21" xfId="0" applyFont="1" applyFill="1" applyBorder="1"/>
    <xf numFmtId="0" fontId="16" fillId="29" borderId="22" xfId="0" applyFont="1" applyFill="1" applyBorder="1"/>
    <xf numFmtId="0" fontId="15" fillId="30" borderId="23" xfId="0" applyFont="1" applyFill="1" applyBorder="1"/>
    <xf numFmtId="0" fontId="15" fillId="30" borderId="24" xfId="0" applyFont="1" applyFill="1" applyBorder="1"/>
    <xf numFmtId="0" fontId="0" fillId="36" borderId="0" xfId="0" applyFill="1"/>
    <xf numFmtId="0" fontId="19" fillId="20" borderId="2" xfId="0" applyFont="1" applyFill="1" applyBorder="1"/>
    <xf numFmtId="0" fontId="20" fillId="0" borderId="0" xfId="0" applyFont="1"/>
    <xf numFmtId="0" fontId="21" fillId="0" borderId="0" xfId="0" applyFont="1"/>
    <xf numFmtId="0" fontId="0" fillId="0" borderId="0" xfId="0" applyFont="1"/>
    <xf numFmtId="0" fontId="0" fillId="0" borderId="0" xfId="0" pivotButton="1"/>
    <xf numFmtId="0" fontId="0" fillId="0" borderId="0" xfId="0" applyAlignment="1">
      <alignment horizontal="left"/>
    </xf>
    <xf numFmtId="0" fontId="0" fillId="0" borderId="0" xfId="0" applyNumberFormat="1"/>
    <xf numFmtId="0" fontId="24" fillId="0" borderId="0" xfId="0" applyFont="1"/>
    <xf numFmtId="0" fontId="3" fillId="15" borderId="2" xfId="0" applyFont="1" applyFill="1" applyBorder="1"/>
    <xf numFmtId="0" fontId="0" fillId="37" borderId="1" xfId="0" applyFont="1" applyFill="1" applyBorder="1"/>
    <xf numFmtId="0" fontId="0" fillId="37" borderId="2" xfId="0" applyFont="1" applyFill="1" applyBorder="1"/>
    <xf numFmtId="0" fontId="0" fillId="0" borderId="2" xfId="0" applyFont="1" applyBorder="1"/>
    <xf numFmtId="0" fontId="0" fillId="0" borderId="1" xfId="0" applyFont="1" applyBorder="1"/>
    <xf numFmtId="0" fontId="9" fillId="0" borderId="1" xfId="0" applyFont="1" applyBorder="1"/>
    <xf numFmtId="0" fontId="9" fillId="37" borderId="1" xfId="0" applyFont="1" applyFill="1" applyBorder="1"/>
    <xf numFmtId="0" fontId="8" fillId="37" borderId="2" xfId="0" applyFont="1" applyFill="1" applyBorder="1"/>
    <xf numFmtId="0" fontId="9" fillId="0" borderId="2" xfId="0" applyFont="1" applyBorder="1"/>
    <xf numFmtId="0" fontId="7" fillId="0" borderId="2" xfId="0" applyFont="1" applyBorder="1"/>
    <xf numFmtId="0" fontId="9" fillId="37" borderId="2" xfId="0" applyFont="1" applyFill="1" applyBorder="1"/>
    <xf numFmtId="0" fontId="7" fillId="37" borderId="2" xfId="0" applyFont="1" applyFill="1" applyBorder="1"/>
    <xf numFmtId="0" fontId="18" fillId="0" borderId="2" xfId="0" applyFont="1" applyBorder="1"/>
    <xf numFmtId="0" fontId="20" fillId="37" borderId="2" xfId="0" applyFont="1" applyFill="1" applyBorder="1"/>
    <xf numFmtId="0" fontId="8" fillId="0" borderId="2" xfId="0" applyFont="1" applyBorder="1"/>
    <xf numFmtId="0" fontId="21" fillId="0" borderId="2" xfId="0" applyFont="1" applyBorder="1"/>
    <xf numFmtId="0" fontId="21" fillId="37" borderId="2" xfId="0" applyFont="1" applyFill="1" applyBorder="1"/>
    <xf numFmtId="0" fontId="22" fillId="37" borderId="2" xfId="0" applyFont="1" applyFill="1" applyBorder="1"/>
    <xf numFmtId="0" fontId="23" fillId="0" borderId="2" xfId="0" applyFont="1" applyBorder="1"/>
    <xf numFmtId="0" fontId="23" fillId="37" borderId="2" xfId="0" applyFont="1" applyFill="1" applyBorder="1"/>
    <xf numFmtId="0" fontId="21" fillId="37" borderId="1" xfId="0" applyFont="1" applyFill="1" applyBorder="1"/>
    <xf numFmtId="0" fontId="22" fillId="0" borderId="2" xfId="0" applyFont="1" applyBorder="1"/>
    <xf numFmtId="0" fontId="25" fillId="0" borderId="0" xfId="0" applyFont="1"/>
    <xf numFmtId="9" fontId="0" fillId="0" borderId="0" xfId="0" applyNumberFormat="1"/>
    <xf numFmtId="0" fontId="26" fillId="0" borderId="0" xfId="0" applyFont="1"/>
    <xf numFmtId="9" fontId="0" fillId="0" borderId="0" xfId="0" applyNumberFormat="1" applyFont="1"/>
    <xf numFmtId="9" fontId="0" fillId="7" borderId="0" xfId="0" applyNumberFormat="1" applyFont="1" applyFill="1"/>
    <xf numFmtId="9" fontId="0" fillId="18" borderId="0" xfId="0" applyNumberFormat="1" applyFont="1" applyFill="1"/>
    <xf numFmtId="0" fontId="27" fillId="0" borderId="0" xfId="0" applyFont="1"/>
    <xf numFmtId="0" fontId="28" fillId="0" borderId="0" xfId="0" applyFont="1"/>
    <xf numFmtId="0" fontId="29" fillId="0" borderId="0" xfId="0" applyFont="1"/>
    <xf numFmtId="0" fontId="27" fillId="4" borderId="0" xfId="0" applyFont="1" applyFill="1"/>
    <xf numFmtId="0" fontId="27" fillId="5" borderId="0" xfId="0" applyFont="1" applyFill="1"/>
    <xf numFmtId="0" fontId="27" fillId="6" borderId="0" xfId="0" applyFont="1" applyFill="1"/>
    <xf numFmtId="0" fontId="27" fillId="8" borderId="0" xfId="0" applyFont="1" applyFill="1"/>
    <xf numFmtId="0" fontId="27" fillId="9" borderId="0" xfId="0" applyFont="1" applyFill="1"/>
    <xf numFmtId="0" fontId="27" fillId="10" borderId="0" xfId="0" applyFont="1" applyFill="1"/>
    <xf numFmtId="0" fontId="27" fillId="11" borderId="0" xfId="0" applyFont="1" applyFill="1"/>
    <xf numFmtId="0" fontId="0" fillId="12" borderId="0" xfId="0" applyFont="1" applyFill="1"/>
    <xf numFmtId="0" fontId="0" fillId="7" borderId="0" xfId="0" applyFont="1" applyFill="1"/>
    <xf numFmtId="0" fontId="27" fillId="13" borderId="0" xfId="0" applyFont="1" applyFill="1"/>
    <xf numFmtId="0" fontId="7" fillId="13" borderId="0" xfId="0" applyFont="1" applyFill="1"/>
    <xf numFmtId="0" fontId="27" fillId="14" borderId="0" xfId="0" applyFont="1" applyFill="1"/>
    <xf numFmtId="0" fontId="7" fillId="15" borderId="2" xfId="0" applyFont="1" applyFill="1" applyBorder="1"/>
    <xf numFmtId="0" fontId="7" fillId="20" borderId="2" xfId="0" applyFont="1" applyFill="1" applyBorder="1"/>
    <xf numFmtId="0" fontId="7" fillId="21" borderId="2" xfId="0" applyFont="1" applyFill="1" applyBorder="1"/>
    <xf numFmtId="0" fontId="27" fillId="36" borderId="0" xfId="0" applyFont="1" applyFill="1"/>
    <xf numFmtId="0" fontId="0" fillId="5" borderId="1" xfId="0" applyFont="1" applyFill="1" applyBorder="1"/>
    <xf numFmtId="0" fontId="0" fillId="5" borderId="2" xfId="0" applyFont="1" applyFill="1" applyBorder="1"/>
    <xf numFmtId="0" fontId="1" fillId="5" borderId="2" xfId="0" applyFont="1" applyFill="1" applyBorder="1"/>
    <xf numFmtId="0" fontId="0" fillId="37" borderId="25" xfId="0" applyFont="1" applyFill="1" applyBorder="1"/>
    <xf numFmtId="0" fontId="30" fillId="0" borderId="0" xfId="0" applyFont="1"/>
    <xf numFmtId="0" fontId="26" fillId="7" borderId="0" xfId="0" applyFont="1" applyFill="1"/>
    <xf numFmtId="0" fontId="26" fillId="36" borderId="0" xfId="0" applyFont="1" applyFill="1"/>
    <xf numFmtId="0" fontId="0" fillId="0" borderId="0" xfId="0" applyAlignment="1">
      <alignment wrapText="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sz="1400" b="0" i="0" baseline="0">
                <a:effectLst/>
              </a:rPr>
              <a:t>Reflection Populist Language: Work Order</a:t>
            </a:r>
            <a:br>
              <a:rPr lang="lv-LV" sz="1400" b="0" i="0" baseline="0">
                <a:effectLst/>
              </a:rPr>
            </a:br>
            <a:r>
              <a:rPr lang="lv-LV" sz="1400" b="0" i="0" baseline="0">
                <a:solidFill>
                  <a:schemeClr val="bg2">
                    <a:lumMod val="75000"/>
                  </a:schemeClr>
                </a:solidFill>
                <a:effectLst/>
              </a:rPr>
              <a:t>Considered a Populist Statement</a:t>
            </a:r>
            <a:endParaRPr lang="de-DE" sz="1400" baseline="0">
              <a:solidFill>
                <a:schemeClr val="bg2">
                  <a:lumMod val="75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'For presentation'!$Q$10</c:f>
              <c:strCache>
                <c:ptCount val="1"/>
                <c:pt idx="0">
                  <c:v>startlang = lv</c:v>
                </c:pt>
              </c:strCache>
            </c:strRef>
          </c:tx>
          <c:spPr>
            <a:blipFill>
              <a:blip xmlns:r="http://schemas.openxmlformats.org/officeDocument/2006/relationships" r:embed="rId3"/>
              <a:stretch>
                <a:fillRect/>
              </a:stretch>
            </a:blipFill>
            <a:ln w="12700">
              <a:solidFill>
                <a:schemeClr val="tx1"/>
              </a:solidFill>
            </a:ln>
            <a:effectLst/>
          </c:spPr>
          <c:invertIfNegative val="0"/>
          <c:cat>
            <c:strRef>
              <c:f>'For presentation'!$R$9:$W$9</c:f>
              <c:strCache>
                <c:ptCount val="6"/>
                <c:pt idx="0">
                  <c:v>leg1popul.</c:v>
                </c:pt>
                <c:pt idx="1">
                  <c:v>leg2</c:v>
                </c:pt>
                <c:pt idx="2">
                  <c:v>leg3</c:v>
                </c:pt>
                <c:pt idx="3">
                  <c:v>leg4popul.</c:v>
                </c:pt>
                <c:pt idx="4">
                  <c:v>leg5popul.</c:v>
                </c:pt>
                <c:pt idx="5">
                  <c:v>leg6</c:v>
                </c:pt>
              </c:strCache>
            </c:strRef>
          </c:cat>
          <c:val>
            <c:numRef>
              <c:f>'For presentation'!$R$10:$W$10</c:f>
              <c:numCache>
                <c:formatCode>0%</c:formatCode>
                <c:ptCount val="6"/>
                <c:pt idx="0">
                  <c:v>0.49</c:v>
                </c:pt>
                <c:pt idx="1">
                  <c:v>0.42</c:v>
                </c:pt>
                <c:pt idx="2">
                  <c:v>0.4</c:v>
                </c:pt>
                <c:pt idx="3">
                  <c:v>0.36</c:v>
                </c:pt>
                <c:pt idx="4">
                  <c:v>0.3</c:v>
                </c:pt>
                <c:pt idx="5">
                  <c:v>0.23</c:v>
                </c:pt>
              </c:numCache>
            </c:numRef>
          </c:val>
          <c:extLst>
            <c:ext xmlns:c16="http://schemas.microsoft.com/office/drawing/2014/chart" uri="{C3380CC4-5D6E-409C-BE32-E72D297353CC}">
              <c16:uniqueId val="{00000000-629D-4443-A59A-67FA2D444694}"/>
            </c:ext>
          </c:extLst>
        </c:ser>
        <c:ser>
          <c:idx val="1"/>
          <c:order val="1"/>
          <c:tx>
            <c:strRef>
              <c:f>'For presentation'!$Q$11</c:f>
              <c:strCache>
                <c:ptCount val="1"/>
                <c:pt idx="0">
                  <c:v>startlang = ru</c:v>
                </c:pt>
              </c:strCache>
            </c:strRef>
          </c:tx>
          <c:spPr>
            <a:solidFill>
              <a:srgbClr val="FF0000"/>
            </a:solidFill>
            <a:ln>
              <a:noFill/>
            </a:ln>
            <a:effectLst/>
          </c:spPr>
          <c:invertIfNegative val="0"/>
          <c:cat>
            <c:strRef>
              <c:f>'For presentation'!$R$9:$W$9</c:f>
              <c:strCache>
                <c:ptCount val="6"/>
                <c:pt idx="0">
                  <c:v>leg1popul.</c:v>
                </c:pt>
                <c:pt idx="1">
                  <c:v>leg2</c:v>
                </c:pt>
                <c:pt idx="2">
                  <c:v>leg3</c:v>
                </c:pt>
                <c:pt idx="3">
                  <c:v>leg4popul.</c:v>
                </c:pt>
                <c:pt idx="4">
                  <c:v>leg5popul.</c:v>
                </c:pt>
                <c:pt idx="5">
                  <c:v>leg6</c:v>
                </c:pt>
              </c:strCache>
            </c:strRef>
          </c:cat>
          <c:val>
            <c:numRef>
              <c:f>'For presentation'!$R$11:$W$11</c:f>
              <c:numCache>
                <c:formatCode>0%</c:formatCode>
                <c:ptCount val="6"/>
                <c:pt idx="0">
                  <c:v>0.42</c:v>
                </c:pt>
                <c:pt idx="1">
                  <c:v>0.39</c:v>
                </c:pt>
                <c:pt idx="2">
                  <c:v>0.4</c:v>
                </c:pt>
                <c:pt idx="3">
                  <c:v>0.39</c:v>
                </c:pt>
                <c:pt idx="4">
                  <c:v>0.39</c:v>
                </c:pt>
                <c:pt idx="5">
                  <c:v>0.31</c:v>
                </c:pt>
              </c:numCache>
            </c:numRef>
          </c:val>
          <c:extLst>
            <c:ext xmlns:c16="http://schemas.microsoft.com/office/drawing/2014/chart" uri="{C3380CC4-5D6E-409C-BE32-E72D297353CC}">
              <c16:uniqueId val="{00000001-629D-4443-A59A-67FA2D444694}"/>
            </c:ext>
          </c:extLst>
        </c:ser>
        <c:dLbls>
          <c:showLegendKey val="0"/>
          <c:showVal val="0"/>
          <c:showCatName val="0"/>
          <c:showSerName val="0"/>
          <c:showPercent val="0"/>
          <c:showBubbleSize val="0"/>
        </c:dLbls>
        <c:gapWidth val="219"/>
        <c:overlap val="-27"/>
        <c:axId val="1125252608"/>
        <c:axId val="1125252192"/>
      </c:barChart>
      <c:catAx>
        <c:axId val="112525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25252192"/>
        <c:crosses val="autoZero"/>
        <c:auto val="1"/>
        <c:lblAlgn val="ctr"/>
        <c:lblOffset val="100"/>
        <c:noMultiLvlLbl val="0"/>
      </c:catAx>
      <c:valAx>
        <c:axId val="1125252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2525260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Lack of interest</a:t>
            </a:r>
            <a:endParaRPr lang="de-DE"/>
          </a:p>
        </c:rich>
      </c:tx>
      <c:layout>
        <c:manualLayout>
          <c:xMode val="edge"/>
          <c:yMode val="edge"/>
          <c:x val="0.37156233595800525"/>
          <c:y val="0.1574074074074074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'For presentation'!$C$44:$G$44</c:f>
              <c:strCache>
                <c:ptCount val="4"/>
                <c:pt idx="0">
                  <c:v>Ekoloģija</c:v>
                </c:pt>
                <c:pt idx="1">
                  <c:v>LGBTQ rights</c:v>
                </c:pt>
                <c:pt idx="2">
                  <c:v>Democr. processes</c:v>
                </c:pt>
                <c:pt idx="3">
                  <c:v>Women's rights</c:v>
                </c:pt>
              </c:strCache>
            </c:strRef>
          </c:cat>
          <c:val>
            <c:numRef>
              <c:f>'For presentation'!$C$45:$G$45</c:f>
              <c:numCache>
                <c:formatCode>0%</c:formatCode>
                <c:ptCount val="5"/>
                <c:pt idx="0">
                  <c:v>0.16</c:v>
                </c:pt>
                <c:pt idx="1">
                  <c:v>0.49</c:v>
                </c:pt>
                <c:pt idx="2">
                  <c:v>0.15</c:v>
                </c:pt>
                <c:pt idx="3">
                  <c:v>0.17</c:v>
                </c:pt>
              </c:numCache>
            </c:numRef>
          </c:val>
          <c:extLst>
            <c:ext xmlns:c16="http://schemas.microsoft.com/office/drawing/2014/chart" uri="{C3380CC4-5D6E-409C-BE32-E72D297353CC}">
              <c16:uniqueId val="{00000000-AFB1-4AA7-8570-9374B3D51C10}"/>
            </c:ext>
          </c:extLst>
        </c:ser>
        <c:dLbls>
          <c:showLegendKey val="0"/>
          <c:showVal val="0"/>
          <c:showCatName val="0"/>
          <c:showSerName val="0"/>
          <c:showPercent val="0"/>
          <c:showBubbleSize val="0"/>
        </c:dLbls>
        <c:gapWidth val="219"/>
        <c:overlap val="-27"/>
        <c:axId val="1412806112"/>
        <c:axId val="1412805696"/>
      </c:barChart>
      <c:catAx>
        <c:axId val="141280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12805696"/>
        <c:crosses val="autoZero"/>
        <c:auto val="1"/>
        <c:lblAlgn val="ctr"/>
        <c:lblOffset val="100"/>
        <c:noMultiLvlLbl val="0"/>
      </c:catAx>
      <c:valAx>
        <c:axId val="141280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1280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Not</a:t>
            </a:r>
            <a:r>
              <a:rPr lang="lv-LV" baseline="0"/>
              <a:t> viewing respective channels</a:t>
            </a:r>
            <a:endParaRPr lang="de-DE"/>
          </a:p>
        </c:rich>
      </c:tx>
      <c:layout>
        <c:manualLayout>
          <c:xMode val="edge"/>
          <c:yMode val="edge"/>
          <c:x val="0.24306933508311462"/>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'For presentation'!$R$34:$Y$34</c:f>
              <c:strCache>
                <c:ptCount val="8"/>
                <c:pt idx="0">
                  <c:v>Latvian Radio</c:v>
                </c:pt>
                <c:pt idx="1">
                  <c:v>LTV</c:v>
                </c:pt>
                <c:pt idx="2">
                  <c:v>Other TV/Radio</c:v>
                </c:pt>
                <c:pt idx="3">
                  <c:v>LSM(LV)</c:v>
                </c:pt>
                <c:pt idx="4">
                  <c:v>LSM(RU)</c:v>
                </c:pt>
                <c:pt idx="5">
                  <c:v>Delfi/TVNET etc. LV</c:v>
                </c:pt>
                <c:pt idx="6">
                  <c:v>Delfi/TVNET etc. RU</c:v>
                </c:pt>
                <c:pt idx="7">
                  <c:v>Other</c:v>
                </c:pt>
              </c:strCache>
            </c:strRef>
          </c:cat>
          <c:val>
            <c:numRef>
              <c:f>'For presentation'!$R$35:$Y$35</c:f>
              <c:numCache>
                <c:formatCode>0%</c:formatCode>
                <c:ptCount val="8"/>
                <c:pt idx="0">
                  <c:v>0.84</c:v>
                </c:pt>
                <c:pt idx="1">
                  <c:v>0.73</c:v>
                </c:pt>
                <c:pt idx="2">
                  <c:v>0.91</c:v>
                </c:pt>
                <c:pt idx="3">
                  <c:v>0.89</c:v>
                </c:pt>
                <c:pt idx="4">
                  <c:v>0.98</c:v>
                </c:pt>
                <c:pt idx="5">
                  <c:v>0.86</c:v>
                </c:pt>
                <c:pt idx="6">
                  <c:v>0.67</c:v>
                </c:pt>
                <c:pt idx="7">
                  <c:v>0.94</c:v>
                </c:pt>
              </c:numCache>
            </c:numRef>
          </c:val>
          <c:extLst>
            <c:ext xmlns:c16="http://schemas.microsoft.com/office/drawing/2014/chart" uri="{C3380CC4-5D6E-409C-BE32-E72D297353CC}">
              <c16:uniqueId val="{00000000-6F73-442A-99B7-E5A7BAF5F704}"/>
            </c:ext>
          </c:extLst>
        </c:ser>
        <c:dLbls>
          <c:showLegendKey val="0"/>
          <c:showVal val="0"/>
          <c:showCatName val="0"/>
          <c:showSerName val="0"/>
          <c:showPercent val="0"/>
          <c:showBubbleSize val="0"/>
        </c:dLbls>
        <c:gapWidth val="219"/>
        <c:overlap val="-27"/>
        <c:axId val="1261308336"/>
        <c:axId val="1266432944"/>
      </c:barChart>
      <c:catAx>
        <c:axId val="126130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66432944"/>
        <c:crosses val="autoZero"/>
        <c:auto val="1"/>
        <c:lblAlgn val="ctr"/>
        <c:lblOffset val="100"/>
        <c:noMultiLvlLbl val="0"/>
      </c:catAx>
      <c:valAx>
        <c:axId val="126643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6130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Use of Social</a:t>
            </a:r>
            <a:r>
              <a:rPr lang="lv-LV" baseline="0"/>
              <a:t> Media</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'For presentation'!$G$51:$J$51</c:f>
              <c:strCache>
                <c:ptCount val="4"/>
                <c:pt idx="0">
                  <c:v>Tik Tok</c:v>
                </c:pt>
                <c:pt idx="1">
                  <c:v>Instagram</c:v>
                </c:pt>
                <c:pt idx="2">
                  <c:v>Facebook</c:v>
                </c:pt>
                <c:pt idx="3">
                  <c:v>YouTube</c:v>
                </c:pt>
              </c:strCache>
            </c:strRef>
          </c:cat>
          <c:val>
            <c:numRef>
              <c:f>'For presentation'!$G$52:$J$52</c:f>
              <c:numCache>
                <c:formatCode>0%</c:formatCode>
                <c:ptCount val="4"/>
                <c:pt idx="0">
                  <c:v>0.71</c:v>
                </c:pt>
                <c:pt idx="1">
                  <c:v>0.28999999999999998</c:v>
                </c:pt>
                <c:pt idx="2">
                  <c:v>0.67</c:v>
                </c:pt>
                <c:pt idx="3">
                  <c:v>0.34</c:v>
                </c:pt>
              </c:numCache>
            </c:numRef>
          </c:val>
          <c:extLst>
            <c:ext xmlns:c16="http://schemas.microsoft.com/office/drawing/2014/chart" uri="{C3380CC4-5D6E-409C-BE32-E72D297353CC}">
              <c16:uniqueId val="{00000000-82E8-4E30-B780-F4C3CCA43522}"/>
            </c:ext>
          </c:extLst>
        </c:ser>
        <c:dLbls>
          <c:showLegendKey val="0"/>
          <c:showVal val="0"/>
          <c:showCatName val="0"/>
          <c:showSerName val="0"/>
          <c:showPercent val="0"/>
          <c:showBubbleSize val="0"/>
        </c:dLbls>
        <c:gapWidth val="219"/>
        <c:overlap val="-27"/>
        <c:axId val="1264479264"/>
        <c:axId val="1264480096"/>
      </c:barChart>
      <c:catAx>
        <c:axId val="126447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64480096"/>
        <c:crosses val="autoZero"/>
        <c:auto val="1"/>
        <c:lblAlgn val="ctr"/>
        <c:lblOffset val="100"/>
        <c:noMultiLvlLbl val="0"/>
      </c:catAx>
      <c:valAx>
        <c:axId val="1264480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6447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'Spoken about politics'!$B$12</c:f>
              <c:strCache>
                <c:ptCount val="1"/>
                <c:pt idx="0">
                  <c:v>LV(AT HOME)</c:v>
                </c:pt>
              </c:strCache>
            </c:strRef>
          </c:tx>
          <c:spPr>
            <a:solidFill>
              <a:schemeClr val="accent1"/>
            </a:solidFill>
            <a:ln>
              <a:noFill/>
            </a:ln>
            <a:effectLst/>
          </c:spPr>
          <c:invertIfNegative val="0"/>
          <c:cat>
            <c:strRef>
              <c:f>'Spoken about politics'!$A$13:$A$15</c:f>
              <c:strCache>
                <c:ptCount val="3"/>
                <c:pt idx="0">
                  <c:v>Society</c:v>
                </c:pt>
                <c:pt idx="1">
                  <c:v>History</c:v>
                </c:pt>
                <c:pt idx="2">
                  <c:v>Politics</c:v>
                </c:pt>
              </c:strCache>
            </c:strRef>
          </c:cat>
          <c:val>
            <c:numRef>
              <c:f>'Spoken about politics'!$B$13:$B$15</c:f>
              <c:numCache>
                <c:formatCode>0%</c:formatCode>
                <c:ptCount val="3"/>
                <c:pt idx="0">
                  <c:v>0.37</c:v>
                </c:pt>
                <c:pt idx="1">
                  <c:v>0.26</c:v>
                </c:pt>
                <c:pt idx="2">
                  <c:v>0.32</c:v>
                </c:pt>
              </c:numCache>
            </c:numRef>
          </c:val>
          <c:extLst>
            <c:ext xmlns:c16="http://schemas.microsoft.com/office/drawing/2014/chart" uri="{C3380CC4-5D6E-409C-BE32-E72D297353CC}">
              <c16:uniqueId val="{00000000-4B84-4F9E-A722-406D4267A434}"/>
            </c:ext>
          </c:extLst>
        </c:ser>
        <c:ser>
          <c:idx val="2"/>
          <c:order val="2"/>
          <c:tx>
            <c:strRef>
              <c:f>'Spoken about politics'!$D$12</c:f>
              <c:strCache>
                <c:ptCount val="1"/>
              </c:strCache>
            </c:strRef>
          </c:tx>
          <c:spPr>
            <a:solidFill>
              <a:schemeClr val="accent3"/>
            </a:solidFill>
            <a:ln>
              <a:noFill/>
            </a:ln>
            <a:effectLst/>
          </c:spPr>
          <c:invertIfNegative val="0"/>
          <c:cat>
            <c:strRef>
              <c:f>'Spoken about politics'!$A$13:$A$15</c:f>
              <c:strCache>
                <c:ptCount val="3"/>
                <c:pt idx="0">
                  <c:v>Society</c:v>
                </c:pt>
                <c:pt idx="1">
                  <c:v>History</c:v>
                </c:pt>
                <c:pt idx="2">
                  <c:v>Politics</c:v>
                </c:pt>
              </c:strCache>
            </c:strRef>
          </c:cat>
          <c:val>
            <c:numRef>
              <c:f>'Spoken about politics'!$D$13:$D$15</c:f>
              <c:numCache>
                <c:formatCode>General</c:formatCode>
                <c:ptCount val="3"/>
                <c:pt idx="0">
                  <c:v>0</c:v>
                </c:pt>
                <c:pt idx="1">
                  <c:v>0</c:v>
                </c:pt>
                <c:pt idx="2">
                  <c:v>0</c:v>
                </c:pt>
              </c:numCache>
            </c:numRef>
          </c:val>
          <c:extLst>
            <c:ext xmlns:c16="http://schemas.microsoft.com/office/drawing/2014/chart" uri="{C3380CC4-5D6E-409C-BE32-E72D297353CC}">
              <c16:uniqueId val="{00000002-4B84-4F9E-A722-406D4267A434}"/>
            </c:ext>
          </c:extLst>
        </c:ser>
        <c:ser>
          <c:idx val="3"/>
          <c:order val="3"/>
          <c:tx>
            <c:strRef>
              <c:f>'Spoken about politics'!$E$12</c:f>
              <c:strCache>
                <c:ptCount val="1"/>
                <c:pt idx="0">
                  <c:v>LV(AT SCHOOL)</c:v>
                </c:pt>
              </c:strCache>
            </c:strRef>
          </c:tx>
          <c:spPr>
            <a:solidFill>
              <a:schemeClr val="accent4"/>
            </a:solidFill>
            <a:ln>
              <a:noFill/>
            </a:ln>
            <a:effectLst/>
          </c:spPr>
          <c:invertIfNegative val="0"/>
          <c:cat>
            <c:strRef>
              <c:f>'Spoken about politics'!$A$13:$A$15</c:f>
              <c:strCache>
                <c:ptCount val="3"/>
                <c:pt idx="0">
                  <c:v>Society</c:v>
                </c:pt>
                <c:pt idx="1">
                  <c:v>History</c:v>
                </c:pt>
                <c:pt idx="2">
                  <c:v>Politics</c:v>
                </c:pt>
              </c:strCache>
            </c:strRef>
          </c:cat>
          <c:val>
            <c:numRef>
              <c:f>'Spoken about politics'!$E$13:$E$15</c:f>
              <c:numCache>
                <c:formatCode>0%</c:formatCode>
                <c:ptCount val="3"/>
                <c:pt idx="0">
                  <c:v>0.51</c:v>
                </c:pt>
                <c:pt idx="1">
                  <c:v>0.28000000000000003</c:v>
                </c:pt>
                <c:pt idx="2">
                  <c:v>0.4</c:v>
                </c:pt>
              </c:numCache>
            </c:numRef>
          </c:val>
          <c:extLst>
            <c:ext xmlns:c16="http://schemas.microsoft.com/office/drawing/2014/chart" uri="{C3380CC4-5D6E-409C-BE32-E72D297353CC}">
              <c16:uniqueId val="{00000003-4B84-4F9E-A722-406D4267A434}"/>
            </c:ext>
          </c:extLst>
        </c:ser>
        <c:dLbls>
          <c:showLegendKey val="0"/>
          <c:showVal val="0"/>
          <c:showCatName val="0"/>
          <c:showSerName val="0"/>
          <c:showPercent val="0"/>
          <c:showBubbleSize val="0"/>
        </c:dLbls>
        <c:gapWidth val="219"/>
        <c:overlap val="-27"/>
        <c:axId val="1752196511"/>
        <c:axId val="1752198175"/>
        <c:extLst>
          <c:ext xmlns:c15="http://schemas.microsoft.com/office/drawing/2012/chart" uri="{02D57815-91ED-43cb-92C2-25804820EDAC}">
            <c15:filteredBarSeries>
              <c15:ser>
                <c:idx val="1"/>
                <c:order val="1"/>
                <c:tx>
                  <c:strRef>
                    <c:extLst>
                      <c:ext uri="{02D57815-91ED-43cb-92C2-25804820EDAC}">
                        <c15:formulaRef>
                          <c15:sqref>'Spoken about politics'!$C$12</c15:sqref>
                        </c15:formulaRef>
                      </c:ext>
                    </c:extLst>
                    <c:strCache>
                      <c:ptCount val="1"/>
                    </c:strCache>
                  </c:strRef>
                </c:tx>
                <c:spPr>
                  <a:solidFill>
                    <a:schemeClr val="accent2"/>
                  </a:solidFill>
                  <a:ln>
                    <a:noFill/>
                  </a:ln>
                  <a:effectLst/>
                </c:spPr>
                <c:invertIfNegative val="0"/>
                <c:cat>
                  <c:strRef>
                    <c:extLst>
                      <c:ext uri="{02D57815-91ED-43cb-92C2-25804820EDAC}">
                        <c15:formulaRef>
                          <c15:sqref>'Spoken about politics'!$A$13:$A$15</c15:sqref>
                        </c15:formulaRef>
                      </c:ext>
                    </c:extLst>
                    <c:strCache>
                      <c:ptCount val="3"/>
                      <c:pt idx="0">
                        <c:v>Society</c:v>
                      </c:pt>
                      <c:pt idx="1">
                        <c:v>History</c:v>
                      </c:pt>
                      <c:pt idx="2">
                        <c:v>Politics</c:v>
                      </c:pt>
                    </c:strCache>
                  </c:strRef>
                </c:cat>
                <c:val>
                  <c:numRef>
                    <c:extLst>
                      <c:ext uri="{02D57815-91ED-43cb-92C2-25804820EDAC}">
                        <c15:formulaRef>
                          <c15:sqref>'Spoken about politics'!$C$13:$C$15</c15:sqref>
                        </c15:formulaRef>
                      </c:ext>
                    </c:extLst>
                    <c:numCache>
                      <c:formatCode>General</c:formatCode>
                      <c:ptCount val="3"/>
                    </c:numCache>
                  </c:numRef>
                </c:val>
                <c:extLst>
                  <c:ext xmlns:c16="http://schemas.microsoft.com/office/drawing/2014/chart" uri="{C3380CC4-5D6E-409C-BE32-E72D297353CC}">
                    <c16:uniqueId val="{00000001-4B84-4F9E-A722-406D4267A43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'Spoken about politics'!$F$12</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'Spoken about politics'!$A$13:$A$15</c15:sqref>
                        </c15:formulaRef>
                      </c:ext>
                    </c:extLst>
                    <c:strCache>
                      <c:ptCount val="3"/>
                      <c:pt idx="0">
                        <c:v>Society</c:v>
                      </c:pt>
                      <c:pt idx="1">
                        <c:v>History</c:v>
                      </c:pt>
                      <c:pt idx="2">
                        <c:v>Politics</c:v>
                      </c:pt>
                    </c:strCache>
                  </c:strRef>
                </c:cat>
                <c:val>
                  <c:numRef>
                    <c:extLst xmlns:c15="http://schemas.microsoft.com/office/drawing/2012/chart">
                      <c:ext xmlns:c15="http://schemas.microsoft.com/office/drawing/2012/chart" uri="{02D57815-91ED-43cb-92C2-25804820EDAC}">
                        <c15:formulaRef>
                          <c15:sqref>'Spoken about politics'!$F$13:$F$15</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4B84-4F9E-A722-406D4267A434}"/>
                  </c:ext>
                </c:extLst>
              </c15:ser>
            </c15:filteredBarSeries>
          </c:ext>
        </c:extLst>
      </c:barChart>
      <c:catAx>
        <c:axId val="175219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52198175"/>
        <c:crosses val="autoZero"/>
        <c:auto val="1"/>
        <c:lblAlgn val="ctr"/>
        <c:lblOffset val="100"/>
        <c:noMultiLvlLbl val="0"/>
      </c:catAx>
      <c:valAx>
        <c:axId val="17521981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5219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'Spoken about politics'!$B$17</c:f>
              <c:strCache>
                <c:ptCount val="1"/>
                <c:pt idx="0">
                  <c:v>RU(AT HOME)</c:v>
                </c:pt>
              </c:strCache>
            </c:strRef>
          </c:tx>
          <c:spPr>
            <a:solidFill>
              <a:schemeClr val="accent1"/>
            </a:solidFill>
            <a:ln>
              <a:noFill/>
            </a:ln>
            <a:effectLst/>
          </c:spPr>
          <c:invertIfNegative val="0"/>
          <c:cat>
            <c:strRef>
              <c:f>'Spoken about politics'!$A$18:$A$20</c:f>
              <c:strCache>
                <c:ptCount val="3"/>
                <c:pt idx="0">
                  <c:v>Society</c:v>
                </c:pt>
                <c:pt idx="1">
                  <c:v>History</c:v>
                </c:pt>
                <c:pt idx="2">
                  <c:v>Politics</c:v>
                </c:pt>
              </c:strCache>
            </c:strRef>
          </c:cat>
          <c:val>
            <c:numRef>
              <c:f>'Spoken about politics'!$B$18:$B$20</c:f>
              <c:numCache>
                <c:formatCode>0%</c:formatCode>
                <c:ptCount val="3"/>
                <c:pt idx="0">
                  <c:v>0.3</c:v>
                </c:pt>
                <c:pt idx="1">
                  <c:v>0.09</c:v>
                </c:pt>
                <c:pt idx="2">
                  <c:v>0.25</c:v>
                </c:pt>
              </c:numCache>
            </c:numRef>
          </c:val>
          <c:extLst>
            <c:ext xmlns:c16="http://schemas.microsoft.com/office/drawing/2014/chart" uri="{C3380CC4-5D6E-409C-BE32-E72D297353CC}">
              <c16:uniqueId val="{00000000-D86B-4290-9E32-0B2307CA1AEF}"/>
            </c:ext>
          </c:extLst>
        </c:ser>
        <c:ser>
          <c:idx val="2"/>
          <c:order val="2"/>
          <c:tx>
            <c:strRef>
              <c:f>'Spoken about politics'!$D$17</c:f>
              <c:strCache>
                <c:ptCount val="1"/>
              </c:strCache>
            </c:strRef>
          </c:tx>
          <c:spPr>
            <a:solidFill>
              <a:schemeClr val="accent3"/>
            </a:solidFill>
            <a:ln>
              <a:noFill/>
            </a:ln>
            <a:effectLst/>
          </c:spPr>
          <c:invertIfNegative val="0"/>
          <c:cat>
            <c:strRef>
              <c:f>'Spoken about politics'!$A$18:$A$20</c:f>
              <c:strCache>
                <c:ptCount val="3"/>
                <c:pt idx="0">
                  <c:v>Society</c:v>
                </c:pt>
                <c:pt idx="1">
                  <c:v>History</c:v>
                </c:pt>
                <c:pt idx="2">
                  <c:v>Politics</c:v>
                </c:pt>
              </c:strCache>
            </c:strRef>
          </c:cat>
          <c:val>
            <c:numRef>
              <c:f>'Spoken about politics'!$D$18:$D$20</c:f>
              <c:numCache>
                <c:formatCode>General</c:formatCode>
                <c:ptCount val="3"/>
                <c:pt idx="0">
                  <c:v>0</c:v>
                </c:pt>
                <c:pt idx="1">
                  <c:v>0</c:v>
                </c:pt>
                <c:pt idx="2">
                  <c:v>0</c:v>
                </c:pt>
              </c:numCache>
            </c:numRef>
          </c:val>
          <c:extLst>
            <c:ext xmlns:c16="http://schemas.microsoft.com/office/drawing/2014/chart" uri="{C3380CC4-5D6E-409C-BE32-E72D297353CC}">
              <c16:uniqueId val="{00000002-D86B-4290-9E32-0B2307CA1AEF}"/>
            </c:ext>
          </c:extLst>
        </c:ser>
        <c:ser>
          <c:idx val="3"/>
          <c:order val="3"/>
          <c:tx>
            <c:strRef>
              <c:f>'Spoken about politics'!$E$17</c:f>
              <c:strCache>
                <c:ptCount val="1"/>
                <c:pt idx="0">
                  <c:v>RU(AT SCHOOL)</c:v>
                </c:pt>
              </c:strCache>
            </c:strRef>
          </c:tx>
          <c:spPr>
            <a:solidFill>
              <a:schemeClr val="accent4"/>
            </a:solidFill>
            <a:ln>
              <a:noFill/>
            </a:ln>
            <a:effectLst/>
          </c:spPr>
          <c:invertIfNegative val="0"/>
          <c:cat>
            <c:strRef>
              <c:f>'Spoken about politics'!$A$18:$A$20</c:f>
              <c:strCache>
                <c:ptCount val="3"/>
                <c:pt idx="0">
                  <c:v>Society</c:v>
                </c:pt>
                <c:pt idx="1">
                  <c:v>History</c:v>
                </c:pt>
                <c:pt idx="2">
                  <c:v>Politics</c:v>
                </c:pt>
              </c:strCache>
            </c:strRef>
          </c:cat>
          <c:val>
            <c:numRef>
              <c:f>'Spoken about politics'!$E$18:$E$20</c:f>
              <c:numCache>
                <c:formatCode>0%</c:formatCode>
                <c:ptCount val="3"/>
                <c:pt idx="0">
                  <c:v>0.32</c:v>
                </c:pt>
                <c:pt idx="1">
                  <c:v>0.26</c:v>
                </c:pt>
                <c:pt idx="2">
                  <c:v>0.23</c:v>
                </c:pt>
              </c:numCache>
            </c:numRef>
          </c:val>
          <c:extLst>
            <c:ext xmlns:c16="http://schemas.microsoft.com/office/drawing/2014/chart" uri="{C3380CC4-5D6E-409C-BE32-E72D297353CC}">
              <c16:uniqueId val="{00000003-D86B-4290-9E32-0B2307CA1AEF}"/>
            </c:ext>
          </c:extLst>
        </c:ser>
        <c:dLbls>
          <c:showLegendKey val="0"/>
          <c:showVal val="0"/>
          <c:showCatName val="0"/>
          <c:showSerName val="0"/>
          <c:showPercent val="0"/>
          <c:showBubbleSize val="0"/>
        </c:dLbls>
        <c:gapWidth val="219"/>
        <c:overlap val="-27"/>
        <c:axId val="61992623"/>
        <c:axId val="61991375"/>
        <c:extLst>
          <c:ext xmlns:c15="http://schemas.microsoft.com/office/drawing/2012/chart" uri="{02D57815-91ED-43cb-92C2-25804820EDAC}">
            <c15:filteredBarSeries>
              <c15:ser>
                <c:idx val="1"/>
                <c:order val="1"/>
                <c:tx>
                  <c:strRef>
                    <c:extLst>
                      <c:ext uri="{02D57815-91ED-43cb-92C2-25804820EDAC}">
                        <c15:formulaRef>
                          <c15:sqref>'Spoken about politics'!$C$17</c15:sqref>
                        </c15:formulaRef>
                      </c:ext>
                    </c:extLst>
                    <c:strCache>
                      <c:ptCount val="1"/>
                    </c:strCache>
                  </c:strRef>
                </c:tx>
                <c:spPr>
                  <a:solidFill>
                    <a:schemeClr val="accent2"/>
                  </a:solidFill>
                  <a:ln>
                    <a:noFill/>
                  </a:ln>
                  <a:effectLst/>
                </c:spPr>
                <c:invertIfNegative val="0"/>
                <c:cat>
                  <c:strRef>
                    <c:extLst>
                      <c:ext uri="{02D57815-91ED-43cb-92C2-25804820EDAC}">
                        <c15:formulaRef>
                          <c15:sqref>'Spoken about politics'!$A$18:$A$20</c15:sqref>
                        </c15:formulaRef>
                      </c:ext>
                    </c:extLst>
                    <c:strCache>
                      <c:ptCount val="3"/>
                      <c:pt idx="0">
                        <c:v>Society</c:v>
                      </c:pt>
                      <c:pt idx="1">
                        <c:v>History</c:v>
                      </c:pt>
                      <c:pt idx="2">
                        <c:v>Politics</c:v>
                      </c:pt>
                    </c:strCache>
                  </c:strRef>
                </c:cat>
                <c:val>
                  <c:numRef>
                    <c:extLst>
                      <c:ext uri="{02D57815-91ED-43cb-92C2-25804820EDAC}">
                        <c15:formulaRef>
                          <c15:sqref>'Spoken about politics'!$C$18:$C$20</c15:sqref>
                        </c15:formulaRef>
                      </c:ext>
                    </c:extLst>
                    <c:numCache>
                      <c:formatCode>General</c:formatCode>
                      <c:ptCount val="3"/>
                    </c:numCache>
                  </c:numRef>
                </c:val>
                <c:extLst>
                  <c:ext xmlns:c16="http://schemas.microsoft.com/office/drawing/2014/chart" uri="{C3380CC4-5D6E-409C-BE32-E72D297353CC}">
                    <c16:uniqueId val="{00000001-D86B-4290-9E32-0B2307CA1AE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'Spoken about politics'!$F$17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'Spoken about politics'!$A$18:$A$20</c15:sqref>
                        </c15:formulaRef>
                      </c:ext>
                    </c:extLst>
                    <c:strCache>
                      <c:ptCount val="3"/>
                      <c:pt idx="0">
                        <c:v>Society</c:v>
                      </c:pt>
                      <c:pt idx="1">
                        <c:v>History</c:v>
                      </c:pt>
                      <c:pt idx="2">
                        <c:v>Politics</c:v>
                      </c:pt>
                    </c:strCache>
                  </c:strRef>
                </c:cat>
                <c:val>
                  <c:numRef>
                    <c:extLst xmlns:c15="http://schemas.microsoft.com/office/drawing/2012/chart">
                      <c:ext xmlns:c15="http://schemas.microsoft.com/office/drawing/2012/chart" uri="{02D57815-91ED-43cb-92C2-25804820EDAC}">
                        <c15:formulaRef>
                          <c15:sqref>'Spoken about politics'!$F$18:$F$20</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D86B-4290-9E32-0B2307CA1AEF}"/>
                  </c:ext>
                </c:extLst>
              </c15:ser>
            </c15:filteredBarSeries>
          </c:ext>
        </c:extLst>
      </c:barChart>
      <c:catAx>
        <c:axId val="6199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991375"/>
        <c:crosses val="autoZero"/>
        <c:auto val="1"/>
        <c:lblAlgn val="ctr"/>
        <c:lblOffset val="100"/>
        <c:noMultiLvlLbl val="0"/>
      </c:catAx>
      <c:valAx>
        <c:axId val="619913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99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17</xdr:col>
      <xdr:colOff>441960</xdr:colOff>
      <xdr:row>11</xdr:row>
      <xdr:rowOff>179070</xdr:rowOff>
    </xdr:from>
    <xdr:to>
      <xdr:col>26</xdr:col>
      <xdr:colOff>453390</xdr:colOff>
      <xdr:row>30</xdr:row>
      <xdr:rowOff>68580</xdr:rowOff>
    </xdr:to>
    <xdr:graphicFrame macro="">
      <xdr:nvGraphicFramePr>
        <xdr:cNvPr id="4" name="Diagramma 3">
          <a:extLst>
            <a:ext uri="{FF2B5EF4-FFF2-40B4-BE49-F238E27FC236}">
              <a16:creationId xmlns:a16="http://schemas.microsoft.com/office/drawing/2014/main" id="{516CEEAB-1157-49C7-87C4-D537C07E0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407670</xdr:colOff>
      <xdr:row>19</xdr:row>
      <xdr:rowOff>41910</xdr:rowOff>
    </xdr:from>
    <xdr:to>
      <xdr:col>21</xdr:col>
      <xdr:colOff>0</xdr:colOff>
      <xdr:row>21</xdr:row>
      <xdr:rowOff>49530</xdr:rowOff>
    </xdr:to>
    <xdr:sp macro="" textlink="">
      <xdr:nvSpPr>
        <xdr:cNvPr id="5" name="Kreisā figūriekava 4">
          <a:extLst>
            <a:ext uri="{FF2B5EF4-FFF2-40B4-BE49-F238E27FC236}">
              <a16:creationId xmlns:a16="http://schemas.microsoft.com/office/drawing/2014/main" id="{2B958406-9953-4E23-8A39-F597ABBF9DC0}"/>
            </a:ext>
          </a:extLst>
        </xdr:cNvPr>
        <xdr:cNvSpPr/>
      </xdr:nvSpPr>
      <xdr:spPr>
        <a:xfrm rot="5400000">
          <a:off x="11904345" y="2992755"/>
          <a:ext cx="373380" cy="1421130"/>
        </a:xfrm>
        <a:prstGeom prst="lef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21</xdr:col>
      <xdr:colOff>152400</xdr:colOff>
      <xdr:row>19</xdr:row>
      <xdr:rowOff>45720</xdr:rowOff>
    </xdr:from>
    <xdr:to>
      <xdr:col>23</xdr:col>
      <xdr:colOff>354330</xdr:colOff>
      <xdr:row>21</xdr:row>
      <xdr:rowOff>53340</xdr:rowOff>
    </xdr:to>
    <xdr:sp macro="" textlink="">
      <xdr:nvSpPr>
        <xdr:cNvPr id="6" name="Kreisā figūriekava 5">
          <a:extLst>
            <a:ext uri="{FF2B5EF4-FFF2-40B4-BE49-F238E27FC236}">
              <a16:creationId xmlns:a16="http://schemas.microsoft.com/office/drawing/2014/main" id="{FD1D02C0-492F-4E05-BECD-28F0B4CDC11A}"/>
            </a:ext>
          </a:extLst>
        </xdr:cNvPr>
        <xdr:cNvSpPr/>
      </xdr:nvSpPr>
      <xdr:spPr>
        <a:xfrm rot="5400000">
          <a:off x="13477875" y="2996565"/>
          <a:ext cx="373380" cy="1421130"/>
        </a:xfrm>
        <a:prstGeom prst="lef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23</xdr:col>
      <xdr:colOff>586740</xdr:colOff>
      <xdr:row>19</xdr:row>
      <xdr:rowOff>68580</xdr:rowOff>
    </xdr:from>
    <xdr:to>
      <xdr:col>26</xdr:col>
      <xdr:colOff>179070</xdr:colOff>
      <xdr:row>21</xdr:row>
      <xdr:rowOff>76200</xdr:rowOff>
    </xdr:to>
    <xdr:sp macro="" textlink="">
      <xdr:nvSpPr>
        <xdr:cNvPr id="7" name="Kreisā figūriekava 6">
          <a:extLst>
            <a:ext uri="{FF2B5EF4-FFF2-40B4-BE49-F238E27FC236}">
              <a16:creationId xmlns:a16="http://schemas.microsoft.com/office/drawing/2014/main" id="{A4607E0E-75F7-459E-8E67-F496200FC254}"/>
            </a:ext>
          </a:extLst>
        </xdr:cNvPr>
        <xdr:cNvSpPr/>
      </xdr:nvSpPr>
      <xdr:spPr>
        <a:xfrm rot="5400000">
          <a:off x="15131415" y="3019425"/>
          <a:ext cx="373380" cy="1421130"/>
        </a:xfrm>
        <a:prstGeom prst="lef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8</xdr:col>
      <xdr:colOff>99060</xdr:colOff>
      <xdr:row>41</xdr:row>
      <xdr:rowOff>3810</xdr:rowOff>
    </xdr:from>
    <xdr:to>
      <xdr:col>15</xdr:col>
      <xdr:colOff>403860</xdr:colOff>
      <xdr:row>56</xdr:row>
      <xdr:rowOff>3810</xdr:rowOff>
    </xdr:to>
    <xdr:graphicFrame macro="">
      <xdr:nvGraphicFramePr>
        <xdr:cNvPr id="2" name="Diagramma 1">
          <a:extLst>
            <a:ext uri="{FF2B5EF4-FFF2-40B4-BE49-F238E27FC236}">
              <a16:creationId xmlns:a16="http://schemas.microsoft.com/office/drawing/2014/main" id="{03054A18-C037-4C0D-B0D5-66FA72F04B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518160</xdr:colOff>
      <xdr:row>40</xdr:row>
      <xdr:rowOff>57150</xdr:rowOff>
    </xdr:from>
    <xdr:to>
      <xdr:col>30</xdr:col>
      <xdr:colOff>213360</xdr:colOff>
      <xdr:row>55</xdr:row>
      <xdr:rowOff>57150</xdr:rowOff>
    </xdr:to>
    <xdr:graphicFrame macro="">
      <xdr:nvGraphicFramePr>
        <xdr:cNvPr id="3" name="Diagramma 2">
          <a:extLst>
            <a:ext uri="{FF2B5EF4-FFF2-40B4-BE49-F238E27FC236}">
              <a16:creationId xmlns:a16="http://schemas.microsoft.com/office/drawing/2014/main" id="{38F0E872-B8B2-4157-AC58-D61887BD2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167640</xdr:colOff>
      <xdr:row>49</xdr:row>
      <xdr:rowOff>156210</xdr:rowOff>
    </xdr:from>
    <xdr:to>
      <xdr:col>19</xdr:col>
      <xdr:colOff>472440</xdr:colOff>
      <xdr:row>64</xdr:row>
      <xdr:rowOff>156210</xdr:rowOff>
    </xdr:to>
    <xdr:graphicFrame macro="">
      <xdr:nvGraphicFramePr>
        <xdr:cNvPr id="8" name="Diagramma 7">
          <a:extLst>
            <a:ext uri="{FF2B5EF4-FFF2-40B4-BE49-F238E27FC236}">
              <a16:creationId xmlns:a16="http://schemas.microsoft.com/office/drawing/2014/main" id="{EA535ED0-02CC-407B-B5C2-22B21F7D98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342900</xdr:colOff>
      <xdr:row>13</xdr:row>
      <xdr:rowOff>3810</xdr:rowOff>
    </xdr:from>
    <xdr:to>
      <xdr:col>25</xdr:col>
      <xdr:colOff>441960</xdr:colOff>
      <xdr:row>28</xdr:row>
      <xdr:rowOff>91440</xdr:rowOff>
    </xdr:to>
    <xdr:graphicFrame macro="">
      <xdr:nvGraphicFramePr>
        <xdr:cNvPr id="2" name="Diagramma 1">
          <a:extLst>
            <a:ext uri="{FF2B5EF4-FFF2-40B4-BE49-F238E27FC236}">
              <a16:creationId xmlns:a16="http://schemas.microsoft.com/office/drawing/2014/main" id="{863A5E49-CE18-4061-8186-96B2FAD056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xdr:colOff>
      <xdr:row>21</xdr:row>
      <xdr:rowOff>34290</xdr:rowOff>
    </xdr:from>
    <xdr:to>
      <xdr:col>14</xdr:col>
      <xdr:colOff>350520</xdr:colOff>
      <xdr:row>36</xdr:row>
      <xdr:rowOff>34290</xdr:rowOff>
    </xdr:to>
    <xdr:graphicFrame macro="">
      <xdr:nvGraphicFramePr>
        <xdr:cNvPr id="3" name="Diagramma 2">
          <a:extLst>
            <a:ext uri="{FF2B5EF4-FFF2-40B4-BE49-F238E27FC236}">
              <a16:creationId xmlns:a16="http://schemas.microsoft.com/office/drawing/2014/main" id="{A7368B70-2095-4551-B01E-FF3BE71C6A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ni-Benutzer" refreshedDate="45320.592053356479" createdVersion="7" refreshedVersion="7" minRefreshableVersion="3" recordCount="340" xr:uid="{9964320C-A990-4933-90D4-65AD19557E9B}">
  <cacheSource type="worksheet">
    <worksheetSource ref="A1:JF1" sheet="Kopējie"/>
  </cacheSource>
  <cacheFields count="266">
    <cacheField name="City" numFmtId="0">
      <sharedItems count="3">
        <s v="Rīga"/>
        <s v="Liepāja"/>
        <s v="Daugavpils"/>
      </sharedItems>
    </cacheField>
    <cacheField name="Atbildes ID" numFmtId="0">
      <sharedItems containsSemiMixedTypes="0" containsString="0" containsNumber="1" containsInteger="1" minValue="53" maxValue="334"/>
    </cacheField>
    <cacheField name="Nosūtīšanas datums" numFmtId="0">
      <sharedItems containsBlank="1"/>
    </cacheField>
    <cacheField name="Pēdēja lapa" numFmtId="0">
      <sharedItems containsSemiMixedTypes="0" containsString="0" containsNumber="1" containsInteger="1" minValue="7" maxValue="14"/>
    </cacheField>
    <cacheField name="Sākuma valoda" numFmtId="0">
      <sharedItems/>
    </cacheField>
    <cacheField name="Sākotnējā vērtība" numFmtId="0">
      <sharedItems containsSemiMixedTypes="0" containsString="0" containsNumber="1" containsInteger="1" minValue="7240719" maxValue="2138568127"/>
    </cacheField>
    <cacheField name="Sākuma datums" numFmtId="0">
      <sharedItems/>
    </cacheField>
    <cacheField name="Pēdējās darbības datums" numFmtId="0">
      <sharedItems/>
    </cacheField>
    <cacheField name="Vispārēja datu aizsardzības regula un cita informācija. Lai piedalītos aptaujā, lūdzu, ievadiet kodu:" numFmtId="0">
      <sharedItems/>
    </cacheField>
    <cacheField name="Vecums (gados):" numFmtId="0">
      <sharedItems containsSemiMixedTypes="0" containsString="0" containsNumber="1" containsInteger="1" minValue="15" maxValue="44"/>
    </cacheField>
    <cacheField name="Dzimums (dzimumidentitāte):" numFmtId="0">
      <sharedItems/>
    </cacheField>
    <cacheField name="Dzimums (dzimumidentitāte): [Cita atbilde]" numFmtId="0">
      <sharedItems containsBlank="1"/>
    </cacheField>
    <cacheField name="Dzimtā valoda(s): [Latviešu]" numFmtId="0">
      <sharedItems count="2">
        <s v="Nē"/>
        <s v="Jā"/>
      </sharedItems>
    </cacheField>
    <cacheField name="Dzimtā valoda(s): [Krievu  ]" numFmtId="0">
      <sharedItems count="2">
        <s v="Jā"/>
        <s v="Nē"/>
      </sharedItems>
    </cacheField>
    <cacheField name="Dzimtā valoda(s): [Ukraiņu ]" numFmtId="0">
      <sharedItems count="2">
        <s v="Nē"/>
        <s v="Jā"/>
      </sharedItems>
    </cacheField>
    <cacheField name="Dzimtā valoda(s): [Angļu]" numFmtId="0">
      <sharedItems count="2">
        <s v="Nē"/>
        <s v="Jā"/>
      </sharedItems>
    </cacheField>
    <cacheField name="Dzimtā valoda(s): [Poļu]" numFmtId="0">
      <sharedItems count="2">
        <s v="Nē"/>
        <s v="Jā"/>
      </sharedItems>
    </cacheField>
    <cacheField name="Dzimtā valoda(s): [Cita atbilde]" numFmtId="0">
      <sharedItems containsBlank="1" count="5">
        <m/>
        <s v="итальянский"/>
        <s v="Немецкий"/>
        <s v="igaunija"/>
        <s v="Латгальский"/>
      </sharedItems>
    </cacheField>
    <cacheField name="Lielāko dzīves daļu esmu pavadījis šajā reģionā:" numFmtId="0">
      <sharedItems/>
    </cacheField>
    <cacheField name="Lielāko dzīves daļu esmu pavadījis šajā reģionā: [Cita atbilde]" numFmtId="0">
      <sharedItems containsBlank="1"/>
    </cacheField>
    <cacheField name="Reliģiskās ticības ziņā sevi uzskatu par:" numFmtId="0">
      <sharedItems/>
    </cacheField>
    <cacheField name="Reliģiskās ticības ziņā sevi uzskatu par: [Cita atbilde]" numFmtId="0">
      <sharedItems containsBlank="1"/>
    </cacheField>
    <cacheField name="Politiķis, uzrunādams publiku: &quot;Mēs... [... esam sabiedrība, kas sastāv no dažādiem, taču vienlīdzīgiem indivīdiem.&quot;]" numFmtId="0">
      <sharedItems/>
    </cacheField>
    <cacheField name="Politiķis, uzrunādams publiku: &quot;Mēs... [... esam gatavi sadarboties sabiedrības labumam.&quot;]" numFmtId="0">
      <sharedItems/>
    </cacheField>
    <cacheField name="Politiķis, uzrunādams publiku: &quot;Mēs... [... esam neiznīcināma nācija, ko nospiež svešzemju ietekmes.&quot;]" numFmtId="0">
      <sharedItems/>
    </cacheField>
    <cacheField name="Politiķis, uzrunādams publiku: &quot;Mēs... [... esam spēcīga nācija, kura piemēro ārzemju likumdošanu.&quot;]" numFmtId="0">
      <sharedItems/>
    </cacheField>
    <cacheField name="Politiķis, uzrunādams publiku: &quot;Mēs... [... esam tuvu tam, lai zaudētu savu identitāti, savu dzīvesveidu.&quot;]" numFmtId="0">
      <sharedItems/>
    </cacheField>
    <cacheField name="Politiķis, uzrunādams publiku: &quot;Mēs... [... piedzīvojam identitātes pārmaiņas.&quot;]" numFmtId="0">
      <sharedItems/>
    </cacheField>
    <cacheField name="Politiķis, uzrunādams publiku: &quot;Mēs... [es nezinu]" numFmtId="0">
      <sharedItems/>
    </cacheField>
    <cacheField name="Politiķis, runādams par pašreizējo valdību: &quot;Pašreizējā valdība... [... pastāvīgi aizmirst par vienkāršajiem ļaudīm.&quot;]" numFmtId="0">
      <sharedItems/>
    </cacheField>
    <cacheField name="Politiķis, runādams par pašreizējo valdību: &quot;Pašreizējā valdība... [... ne vienmēr ņem vērā visas sabiedrības daļas.&quot;]" numFmtId="0">
      <sharedItems/>
    </cacheField>
    <cacheField name="Politiķis, runādams par pašreizējo valdību: &quot;Pašreizējā valdība... [... ir uzpirkusi un kontrolē valsts medijus.&quot;]" numFmtId="0">
      <sharedItems/>
    </cacheField>
    <cacheField name="Politiķis, runādams par pašreizējo valdību: &quot;Pašreizējā valdība... [... ir pelnījusi cieņu, par spīti mūsu politiskajām domstarpībām.&quot;]" numFmtId="0">
      <sharedItems/>
    </cacheField>
    <cacheField name="Politiķis, runādams par pašreizējo valdību: &quot;Pašreizējā valdība... [... saskārusies ar krīzi, rīkojās pilnīgi bezatbildīgi.&quot;]" numFmtId="0">
      <sharedItems/>
    </cacheField>
    <cacheField name="Politiķis, runādams par pašreizējo valdību: &quot;Pašreizējā valdība... [... ir veikusi pieņemamu darbu, taču mēs to varam uzlabot.&quot;]" numFmtId="0">
      <sharedItems/>
    </cacheField>
    <cacheField name="Politiķis, runādams par pašreizējo valdību: &quot;Pašreizējā valdība... [es nezinu]" numFmtId="0">
      <sharedItems/>
    </cacheField>
    <cacheField name="Politiķis, runādams par sabiedrību: &quot;Mūsu valstī... [... jāstrādā ar to daudzveidību, kāda mums ir.&quot;]" numFmtId="0">
      <sharedItems/>
    </cacheField>
    <cacheField name="Politiķis, runādams par sabiedrību: &quot;Mūsu valstī... [... ir pienākums atbalstīt un aizsargāt īstās ģimenes.&quot;]" numFmtId="0">
      <sharedItems/>
    </cacheField>
    <cacheField name="Politiķis, runādams par sabiedrību: &quot;Mūsu valstī... [... pastāv iekļaujoša, demokrātiska pilsoniskā sabiedrībā.&quot;]" numFmtId="0">
      <sharedItems/>
    </cacheField>
    <cacheField name="Politiķis, runādams par sabiedrību: &quot;Mūsu valstī... [... vienmēr bijusi multietniska sabiedrība.&quot;]" numFmtId="0">
      <sharedItems/>
    </cacheField>
    <cacheField name="Politiķis, runādams par sabiedrību: &quot;Mūsu valstī... [... nav pienākums piekāpties katras minoritātes katrai prasībai.&quot;]" numFmtId="0">
      <sharedItems/>
    </cacheField>
    <cacheField name="Politiķis, runādams par sabiedrību: &quot;Mūsu valstī... [... nevar izpildīt visu minoritāšu vēlmes.&quot;]" numFmtId="0">
      <sharedItems/>
    </cacheField>
    <cacheField name="Politiķis, runādams par sabiedrību: &quot;Mūsu valstī... [es nezinu]" numFmtId="0">
      <sharedItems/>
    </cacheField>
    <cacheField name="Politiķis, runādams par politisku vai ar likumdošanu saistītu rīcību: &quot;Ja nobalsosit par mums... [..., mēs izdarīsim tā, lai katra Jūsu balss tiktu sadzirdēta parlamentā.&quot;]" numFmtId="0">
      <sharedItems/>
    </cacheField>
    <cacheField name="Politiķis, runādams par politisku vai ar likumdošanu saistītu rīcību: &quot;Ja nobalsosit par mums... [..., mēs pārstāvēsim Jūsu intereses parlamentā.&quot;]" numFmtId="0">
      <sharedItems/>
    </cacheField>
    <cacheField name="Politiķis, runādams par politisku vai ar likumdošanu saistītu rīcību: &quot;Ja nobalsosit par mums... [..., mēs sāksim risināt pašas nozīmīgākās problēmas.&quot;]" numFmtId="0">
      <sharedItems/>
    </cacheField>
    <cacheField name="Politiķis, runādams par politisku vai ar likumdošanu saistītu rīcību: &quot;Ja nobalsosit par mums... [..., pašas nozīmīgākās problēmas tiks atrisinātas nekavējoties.&quot;]" numFmtId="0">
      <sharedItems/>
    </cacheField>
    <cacheField name="Politiķis, runādams par politisku vai ar likumdošanu saistītu rīcību: &quot;Ja nobalsosit par mums... [..., mēs pieņemsim likumus īstās Latvijas nākotnes nodrošināšanai.&quot;]" numFmtId="0">
      <sharedItems/>
    </cacheField>
    <cacheField name="Politiķis, runādams par politisku vai ar likumdošanu saistītu rīcību: &quot;Ja nobalsosit par mums... [..., mēs rūpīgi pārskatīsim un pilnveidosim likumdošanu.&quot;]" numFmtId="0">
      <sharedItems/>
    </cacheField>
    <cacheField name="Politiķis, runādams par politisku vai ar likumdošanu saistītu rīcību: &quot;Ja nobalsosit par mums... [es nezinu]" numFmtId="0">
      <sharedItems/>
    </cacheField>
    <cacheField name="Kuri vārdi, ja tos izmantotu politiķi, varētu novest pie tā, ka viņus nodēvē par populistiem? [a) progresīvists | b) progresīvs]" numFmtId="0">
      <sharedItems containsBlank="1"/>
    </cacheField>
    <cacheField name="Kuri vārdi, ja tos izmantotu politiķi, varētu novest pie tā, ka viņus nodēvē par populistiem? [a) likumdošanas izmaiņas | b) radikāla reforma]" numFmtId="0">
      <sharedItems containsBlank="1"/>
    </cacheField>
    <cacheField name="Kuri vārdi, ja tos izmantotu politiķi, varētu novest pie tā, ka viņus nodēvē par populistiem? [a) globālā sasilšana | b) klimata pārmaiņas]" numFmtId="0">
      <sharedItems containsBlank="1"/>
    </cacheField>
    <cacheField name="Kuri vārdi, ja tos izmantotu politiķi, varētu novest pie tā, ka viņus nodēvē par populistiem? [a) tradicionāla ģimene | b) moderna ģimene]" numFmtId="0">
      <sharedItems containsBlank="1"/>
    </cacheField>
    <cacheField name="Kuri vārdi, ja tos izmantotu politiķi, varētu novest pie tā, ka viņus nodēvē par populistiem? [a) piespiedu vakcinācija | b) vakcināciju brīvība]" numFmtId="0">
      <sharedItems containsBlank="1"/>
    </cacheField>
    <cacheField name="Kuri vārdi, ja tos izmantotu politiķi, varētu novest pie tā, ka viņus nodēvē par populistiem? [a) krīze | b) grūts uzdevums]" numFmtId="0">
      <sharedItems containsBlank="1"/>
    </cacheField>
    <cacheField name="Cik, Jūsuprāt, sievietes un vīrieši ir vienlīdzīgi katrā no šīm sfērām? [Ģimenes dzīvē]" numFmtId="0">
      <sharedItems/>
    </cacheField>
    <cacheField name="Cik, Jūsuprāt, sievietes un vīrieši ir vienlīdzīgi katrā no šīm sfērām? [Darbā / nodarbinātībā]" numFmtId="0">
      <sharedItems/>
    </cacheField>
    <cacheField name="Cik, Jūsuprāt, sievietes un vīrieši ir vienlīdzīgi katrā no šīm sfērām? [Izglītībā]" numFmtId="0">
      <sharedItems/>
    </cacheField>
    <cacheField name="Cik, Jūsuprāt, sievietes un vīrieši ir vienlīdzīgi katrā no šīm sfērām? [Kultūrā]" numFmtId="0">
      <sharedItems/>
    </cacheField>
    <cacheField name="Cik, Jūsuprāt, sievietes un vīrieši ir vienlīdzīgi katrā no šīm sfērām? [Politikā]" numFmtId="0">
      <sharedItems/>
    </cacheField>
    <cacheField name="Kura no šīm politiskajām partijām būt varējusi veiktu kuru apgalvojumu par viendzimuma laulību?(katrai partijai viens apgalvojums) [&quot;Valsts ir veidota uz šādiem pamatiem: indivīds – stipra ģimene – neatkarīga uzņēmējdarbība – spēcīgi reģioni – spēcīga val" numFmtId="0">
      <sharedItems/>
    </cacheField>
    <cacheField name="Kura no šīm politiskajām partijām būt varējusi veiktu kuru apgalvojumu par viendzimuma laulību?(katrai partijai viens apgalvojums) [ &quot;Ja runa ir par LGBTQ tiesībām, tad mums jāseko ES rekomendācijām un standartiem.&quot;]" numFmtId="0">
      <sharedItems/>
    </cacheField>
    <cacheField name="Kura no šīm politiskajām partijām būt varējusi veiktu kuru apgalvojumu par viendzimuma laulību?(katrai partijai viens apgalvojums) [&quot;Par dabisku ģimeni! Tas ir vienīgais ceļš!&quot;]" numFmtId="0">
      <sharedItems/>
    </cacheField>
    <cacheField name="Kura no šīm politiskajām partijām būt varējusi veiktu kuru apgalvojumu par viendzimuma laulību?(katrai partijai viens apgalvojums) [&quot;Ir jāaptur Rietumu LGBT propaganda, it sevišķi skolās!&quot;]" numFmtId="0">
      <sharedItems/>
    </cacheField>
    <cacheField name="Kura no šīm politiskajām partijām būt varējusi veiktu kuru apgalvojumu par viendzimuma laulību?(katrai partijai viens apgalvojums) [&quot;Godīgie ļaudi reģionos, kurus mēs pārstāvam, nekad neatbalstītu viendzimuma laulības.&quot;]" numFmtId="0">
      <sharedItems/>
    </cacheField>
    <cacheField name="Kura no šīm politiskajām partijām būt varējusi veiktu kuru apgalvojumu par viendzimuma laulību?(katrai partijai viens apgalvojums) [ &quot;Homoseksuāliem pāriem un transpersonām jābūt tādām pašām juridiskām laulību tiesībām kā heteroseksuāliem pāriem.&quot;]" numFmtId="0">
      <sharedItems/>
    </cacheField>
    <cacheField name="Kura no šīm politiskajām partijām būt varējusi veiktu kuru apgalvojumu par viendzimuma laulību?(katrai partijai viens apgalvojums) [&quot;Geju praids ir līdzvērtīgs komunistu maršam, komunistu teroram.&quot;]" numFmtId="0">
      <sharedItems/>
    </cacheField>
    <cacheField name="Kurš no sekojošajiem apgalvojumiem vislabāk apraksta Jūsu skatpunktu par klimata pārmaiņām?" numFmtId="0">
      <sharedItems/>
    </cacheField>
    <cacheField name="Vai Jūs šķirojat?" numFmtId="0">
      <sharedItems/>
    </cacheField>
    <cacheField name="Kura no šīm politiskajām partijām būt varējusi veiktu kuru apgalvojumu par &quot;zaļo&quot; politiku un ekoloģiju (katrai partijai viens apgalvojums)? [&quot;Ekonomiku ir nepieciešams modernizēt tam, lai līdz ANO noteiktajam termiņam – 2050. gadam – sasniegtu klimata ne" numFmtId="0">
      <sharedItems/>
    </cacheField>
    <cacheField name="Kura no šīm politiskajām partijām būt varējusi veiktu kuru apgalvojumu par &quot;zaļo&quot; politiku un ekoloģiju (katrai partijai viens apgalvojums)? [ &quot;Mēs palielināsim finansējumu pētījumiem, kas izstrādā un rada klimata neitrālus produktus vai tehnoloģijas noza" numFmtId="0">
      <sharedItems/>
    </cacheField>
    <cacheField name="Kura no šīm politiskajām partijām būt varējusi veiktu kuru apgalvojumu par &quot;zaļo&quot; politiku un ekoloģiju (katrai partijai viens apgalvojums)? [&quot;Latvijai pēc iespējas ātrāk un plašāk nepieciešams pāriet uz klimatneitrālām tehnoloģijām – vēja ģeneratoriem, s" numFmtId="0">
      <sharedItems/>
    </cacheField>
    <cacheField name="Kura no šīm politiskajām partijām būt varējusi veiktu kuru apgalvojumu par &quot;zaļo&quot; politiku un ekoloģiju (katrai partijai viens apgalvojums)? [&quot;ES ambiciozajām klimata normām jābūt, pirmkārt, piemērotām Latvijai un mūsu dzīves reālijām.&quot;]" numFmtId="0">
      <sharedItems/>
    </cacheField>
    <cacheField name="Kura no šīm politiskajām partijām būt varējusi veiktu kuru apgalvojumu par &quot;zaļo&quot; politiku un ekoloģiju (katrai partijai viens apgalvojums)? [&quot;Šobrīd Latvijā pašas asākās problēmas ir saistītas nevis ar ekoloģiju, bet gan sociālo un etnisko sadalījumu.&quot;]" numFmtId="0">
      <sharedItems/>
    </cacheField>
    <cacheField name="Kura no šīm politiskajām partijām būt varējusi veiktu kuru apgalvojumu par &quot;zaļo&quot; politiku un ekoloģiju (katrai partijai viens apgalvojums)? [&quot;Mēs nodrošināsim sabalansētu, videi draudzīgas lauksaimniecības, mežsaimniecības un zivsaimniecības nozaru attīs" numFmtId="0">
      <sharedItems/>
    </cacheField>
    <cacheField name="Kura no šīm politiskajām partijām būt varējusi veiktu kuru apgalvojumu par &quot;zaļo&quot; politiku un ekoloģiju (katrai partijai viens apgalvojums)? [&quot;Latvijai nepieciešams koncentrēties uz gāzes, elektronenerģijas un degvielu cenu samazināšanu valstī. Sankcijas " numFmtId="0">
      <sharedItems/>
    </cacheField>
    <cacheField name="Kura no šīm vadošajām politiskajām partijām būt varējusi veiktu kuru apgalvojumu par demokrātijas un valstiskuma nākotni (katrai partijai viens apgalvojums)? [&quot;Mēs atbalstām vienotu un iekļaujošu politisku nāciju, kas balstīta Eiropas vērtībās un Latvijas" numFmtId="0">
      <sharedItems/>
    </cacheField>
    <cacheField name="Kura no šīm vadošajām politiskajām partijām būt varējusi veiktu kuru apgalvojumu par demokrātijas un valstiskuma nākotni (katrai partijai viens apgalvojums)? [&quot;Latviju jāpārveido pēc iekļaujoša, inovatīva socioekonomiskā modeļa, kāds tas ir Ziemeļvalstīs." numFmtId="0">
      <sharedItems/>
    </cacheField>
    <cacheField name="Kura no šīm vadošajām politiskajām partijām būt varējusi veiktu kuru apgalvojumu par demokrātijas un valstiskuma nākotni (katrai partijai viens apgalvojums)? [&quot;Trauksmainos laikos ir svarīgi pieturēties pie fundamentālām vērtībām: valodas, kultūras, ģimen" numFmtId="0">
      <sharedItems/>
    </cacheField>
    <cacheField name="Kura no šīm vadošajām politiskajām partijām būt varējusi veiktu kuru apgalvojumu par demokrātijas un valstiskuma nākotni (katrai partijai viens apgalvojums)? [&quot;Vadošajai partijai jāsastāv no pieredzējušiem krīzes menedžeriem un uzņēmējiem, kuri prot veikt" numFmtId="0">
      <sharedItems/>
    </cacheField>
    <cacheField name="Kura no šīm vadošajām politiskajām partijām būt varējusi veiktu kuru apgalvojumu par demokrātijas un valstiskuma nākotni (katrai partijai viens apgalvojums)? [&quot;Mēs pārstāvēsim simtiem tūkstošu ignorētu mūsu pilsoņu balsis, mēs Latvijā izveidosim pavisam j" numFmtId="0">
      <sharedItems/>
    </cacheField>
    <cacheField name="Kura no šīm vadošajām politiskajām partijām būt varējusi veiktu kuru apgalvojumu par demokrātijas un valstiskuma nākotni (katrai partijai viens apgalvojums)? [&quot;Pie valdības galda jābūt spēcīgam, pieredzējušam, neatkarīgam, tautas mīlētam līderim, kurš ir " numFmtId="0">
      <sharedItems/>
    </cacheField>
    <cacheField name="Kura no šīm vadošajām politiskajām partijām būt varējusi veiktu kuru apgalvojumu par demokrātijas un valstiskuma nākotni (katrai partijai viens apgalvojums)? [&quot;Latvijai jākļūst par Eiropas &quot;Silikona ieleju&quot; un &quot;Ziemeļu Dubaiju&quot;. Mūsu kinoindustrijai jākļū" numFmtId="0">
      <sharedItems/>
    </cacheField>
    <cacheField name="Cik ļoti Jūs interesē sekojošie politiskie jautājumi Latvijas sakarā? [ekoloģiskā politika (atjaunojamie energoresursi, kūdrāji...)]" numFmtId="0">
      <sharedItems/>
    </cacheField>
    <cacheField name="Cik ļoti Jūs interesē sekojošie politiskie jautājumi Latvijas sakarā? [LGBTIQ* tiesības]" numFmtId="0">
      <sharedItems/>
    </cacheField>
    <cacheField name="Cik ļoti Jūs interesē sekojošie politiskie jautājumi Latvijas sakarā? [demokrātijas sistēma / procesi]" numFmtId="0">
      <sharedItems/>
    </cacheField>
    <cacheField name="Cik ļoti Jūs interesē sekojošie politiskie jautājumi Latvijas sakarā? [sieviešu tiesības]" numFmtId="0">
      <sharedItems containsBlank="1"/>
    </cacheField>
    <cacheField name="Kas Jums ienāk prātā, kad dzirdat vārdu &quot;populisms&quot;? Kā Jūs to aprakstītu? (piemēram, var minēt politiķi; ideoloģiju; notikumu; incidentu utt.)Atbilde &quot;nezinu&quot; arī ir pieļaujama." numFmtId="0">
      <sharedItems containsBlank="1" longText="1"/>
    </cacheField>
    <cacheField name="Jūsuprat, kuram no šiem reģioniem vai institūcijām Latvija ir piederīgāka? [Ziemeļeiropas valstīm]" numFmtId="0">
      <sharedItems/>
    </cacheField>
    <cacheField name="Jūsuprat, kuram no šiem reģioniem vai institūcijām Latvija ir piederīgāka? [Rietumeiropai]" numFmtId="0">
      <sharedItems/>
    </cacheField>
    <cacheField name="Jūsuprat, kuram no šiem reģioniem vai institūcijām Latvija ir piederīgāka? [Austrumeiropai]" numFmtId="0">
      <sharedItems/>
    </cacheField>
    <cacheField name="Jūsuprat, kuram no šiem reģioniem vai institūcijām Latvija ir piederīgāka? [Eiropas Savienībai]" numFmtId="0">
      <sharedItems/>
    </cacheField>
    <cacheField name="Jūsuprat, kuram no šiem reģioniem vai institūcijām Latvija ir piederīgāka? [Baltijas valstīm]" numFmtId="0">
      <sharedItems/>
    </cacheField>
    <cacheField name="Jūsuprat, kuram no šiem reģioniem vai institūcijām Latvija ir piederīgāka? [Latvija ir daļa no plašākas postsociālisma sfēras]" numFmtId="0">
      <sharedItems/>
    </cacheField>
    <cacheField name="{(if(is_empty(randnumber),rand(1,2),randnumber.NAOK))}." numFmtId="0">
      <sharedItems containsBlank="1" longText="1"/>
    </cacheField>
    <cacheField name="{if((tongueLAT_SQ001.NAOK==&quot;Y&quot; &amp;amp;&amp;amp; tongueLAT_SQ002.NAOK==&quot;Y&quot;), if(randnumber.NAOK=='1', 'Manuprāt, krievvalodīgie Latvijā ir...', 'Kā krievvalodīgais/ā Latvijā es jūtos kā...'), if(tongueLAT_SQ001.NAOK==&quot;Y&quot;, 'Manuprāt, krievvalodīgie Latvijā ir...'" numFmtId="0">
      <sharedItems containsString="0" containsBlank="1" containsNumber="1" containsInteger="1" minValue="1" maxValue="100"/>
    </cacheField>
    <cacheField name="Skatoties pēc {if(tongueLAT_SQ002.NAOK==&quot;Y&quot;, 'šīs skalas', 'šīm skalām')}, cik spēcīgi jūs izjūtat piederību kādai no šīm {if(tongueLAT_SQ002.NAOK==&quot;Y&quot;, 'grupa', 'grupām')}:     [latviešiem:| it nemaz | pilnībā]" numFmtId="0">
      <sharedItems containsString="0" containsBlank="1" containsNumber="1" containsInteger="1" minValue="1" maxValue="100"/>
    </cacheField>
    <cacheField name="Skatoties pēc {if(tongueLAT_SQ002.NAOK==&quot;Y&quot;, 'šīs skalas', 'šīm skalām')}, cik spēcīgi jūs izjūtat piederību kādai no šīm {if(tongueLAT_SQ002.NAOK==&quot;Y&quot;, 'grupa', 'grupām')}:     [Latvijas krieviem:| it nemaz | pilnībā]" numFmtId="0">
      <sharedItems containsString="0" containsBlank="1" containsNumber="1" containsInteger="1" minValue="1" maxValue="100"/>
    </cacheField>
    <cacheField name="Skatoties pēc {if(tongueLAT_SQ002.NAOK==&quot;Y&quot;, 'šīs skalas', 'šīm skalām')}, cik spēcīgi jūs izjūtat piederību kādai no šīm {if(tongueLAT_SQ002.NAOK==&quot;Y&quot;, 'grupa', 'grupām')}:     [krieviem (Krievijas):| it nemaz | pilnībā]" numFmtId="0">
      <sharedItems containsString="0" containsBlank="1" containsNumber="1" containsInteger="1" minValue="1" maxValue="100"/>
    </cacheField>
    <cacheField name="Kā Jūs aprakstītu savstarpējās attiecības starp cilvēkiem, kuriem dzimtā valoda ir latviešu, un cilvēkiem, kuriem dzimtā valoda ir krievu? [Latvijā kopumā]" numFmtId="0">
      <sharedItems containsBlank="1"/>
    </cacheField>
    <cacheField name="Kā Jūs aprakstītu savstarpējās attiecības starp cilvēkiem, kuriem dzimtā valoda ir latviešu, un cilvēkiem, kuriem dzimtā valoda ir krievu? [Jūsu pašreizējā dzīvesvietā]" numFmtId="0">
      <sharedItems containsBlank="1"/>
    </cacheField>
    <cacheField name="Kā Jūs aprakstītu savstarpējās attiecības starp cilvēkiem, kuriem dzimtā valoda ir latviešu, un cilvēkiem, kuriem dzimtā valoda ir krievu? [Jūsu personiskās attiecības ar {if((tongueLAT_SQ001.NAOK==&quot;Y&quot; &amp;amp;&amp;amp; tongueLAT_SQ002.NAOK==&quot;Y&quot;), if(randnumber." numFmtId="0">
      <sharedItems containsBlank="1"/>
    </cacheField>
    <cacheField name="Vai Jums kādreiz ir bijusi sajūta, ka esat ticis diskriminēts, kad izmantojāt latviešu valodu kādā no šiem kontekstiem? [Darbā]" numFmtId="0">
      <sharedItems containsBlank="1"/>
    </cacheField>
    <cacheField name="Vai Jums kādreiz ir bijusi sajūta, ka esat ticis diskriminēts, kad izmantojāt latviešu valodu kādā no šiem kontekstiem? [Skolas / universitātes vidē]" numFmtId="0">
      <sharedItems containsBlank="1"/>
    </cacheField>
    <cacheField name="Vai Jums kādreiz ir bijusi sajūta, ka esat ticis diskriminēts, kad izmantojāt latviešu valodu kādā no šiem kontekstiem? [Sportā]" numFmtId="0">
      <sharedItems containsBlank="1"/>
    </cacheField>
    <cacheField name="Vai Jums kādreiz ir bijusi sajūta, ka esat ticis diskriminēts, kad izmantojāt latviešu valodu kādā no šiem kontekstiem? [Citos hobijos / interešu grupās]" numFmtId="0">
      <sharedItems containsBlank="1"/>
    </cacheField>
    <cacheField name="Vai Jums kādreiz ir bijusi sajūta, ka esat ticis diskriminēts, kad izmantojāt latviešu valodu kādā no šiem kontekstiem? [Uz ielas / veikalā utt.]" numFmtId="0">
      <sharedItems containsBlank="1"/>
    </cacheField>
    <cacheField name="Vai Jums kādreiz ir bijusi sajūta, ka esat ticis diskriminēts, kad izmantojāt krievu valodu kādā no šiem kontekstiem? [Darbā]" numFmtId="0">
      <sharedItems containsBlank="1"/>
    </cacheField>
    <cacheField name="Vai Jums kādreiz ir bijusi sajūta, ka esat ticis diskriminēts, kad izmantojāt krievu valodu kādā no šiem kontekstiem? [Skolas / universitātes vidē]" numFmtId="0">
      <sharedItems containsBlank="1"/>
    </cacheField>
    <cacheField name="Vai Jums kādreiz ir bijusi sajūta, ka esat ticis diskriminēts, kad izmantojāt krievu valodu kādā no šiem kontekstiem? [Sportā]" numFmtId="0">
      <sharedItems containsBlank="1"/>
    </cacheField>
    <cacheField name="Vai Jums kādreiz ir bijusi sajūta, ka esat ticis diskriminēts, kad izmantojāt krievu valodu kādā no šiem kontekstiem? [Citos hobijos / interešu grupās]" numFmtId="0">
      <sharedItems containsBlank="1"/>
    </cacheField>
    <cacheField name="Vai Jums kādreiz ir bijusi sajūta, ka esat ticis diskriminēts, kad izmantojāt krievu valodu kādā no šiem kontekstiem? [Uz ielas / veikalā utt.]" numFmtId="0">
      <sharedItems containsBlank="1"/>
    </cacheField>
    <cacheField name="Lūdzu, īsi aprakstiet situāciju, kurā jūs izmantojāt &quot;nepareizo valodu&quot;. Kuru valodu (vai valodas) izmantojāt, ar kādiem cilvēkiem, ar kādu mērķi?" numFmtId="0">
      <sharedItems containsBlank="1" longText="1"/>
    </cacheField>
    <cacheField name="Vai šobrīt esat nodarbināts?" numFmtId="0">
      <sharedItems/>
    </cacheField>
    <cacheField name="Vai pēdējo septiņu dienu laikā esat darba vietā runājuši par sabiedrību, valsts vēsturi un / vai arī politiku? [Sabiedrību]" numFmtId="0">
      <sharedItems/>
    </cacheField>
    <cacheField name="Vai pēdējo septiņu dienu laikā esat darba vietā runājuši par sabiedrību, valsts vēsturi un / vai arī politiku? [Valsts vēsturi]" numFmtId="0">
      <sharedItems/>
    </cacheField>
    <cacheField name="Vai pēdējo septiņu dienu laikā esat darba vietā runājuši par sabiedrību, valsts vēsturi un / vai arī politiku? [Politiku]" numFmtId="0">
      <sharedItems/>
    </cacheField>
    <cacheField name="Vai pēdējo septiņu dienu laikā esat darba vietā runājuši par sabiedrību, valsts vēsturi un / vai arī politiku? [Nē]" numFmtId="0">
      <sharedItems/>
    </cacheField>
    <cacheField name="Vai pēdējo septiņu dienu laikā esat ģimenē runājuši par sabiedrību, valsts vēsturi un / vai arī politiku? [Sabiedrību]" numFmtId="0">
      <sharedItems/>
    </cacheField>
    <cacheField name="Vai pēdējo septiņu dienu laikā esat ģimenē runājuši par sabiedrību, valsts vēsturi un / vai arī politiku? [Valsts vēsturi]" numFmtId="0">
      <sharedItems/>
    </cacheField>
    <cacheField name="Vai pēdējo septiņu dienu laikā esat ģimenē runājuši par sabiedrību, valsts vēsturi un / vai arī politiku? [Politiku]" numFmtId="0">
      <sharedItems/>
    </cacheField>
    <cacheField name="Vai pēdējo septiņu dienu laikā esat ģimenē runājuši par sabiedrību, valsts vēsturi un / vai arī politiku? [Nē]" numFmtId="0">
      <sharedItems/>
    </cacheField>
    <cacheField name="Vai pēdējo septiņu dienu laikā esat skolā / universitātē runājuši par sabiedrību, valsts vēsturi un / vai arī politiku? [Sabiedrību]" numFmtId="0">
      <sharedItems/>
    </cacheField>
    <cacheField name="Vai pēdējo septiņu dienu laikā esat skolā / universitātē runājuši par sabiedrību, valsts vēsturi un / vai arī politiku? [Valsts vēsturi]" numFmtId="0">
      <sharedItems/>
    </cacheField>
    <cacheField name="Vai pēdējo septiņu dienu laikā esat skolā / universitātē runājuši par sabiedrību, valsts vēsturi un / vai arī politiku? [Politiku ]" numFmtId="0">
      <sharedItems/>
    </cacheField>
    <cacheField name="Vai pēdējo septiņu dienu laikā esat skolā / universitātē runājuši par sabiedrību, valsts vēsturi un / vai arī politiku? [Nē]" numFmtId="0">
      <sharedItems/>
    </cacheField>
    <cacheField name="Cik bieži izmantojat latviešu valodu šajos kontekstos?  [Ģimenē]" numFmtId="0">
      <sharedItems containsBlank="1"/>
    </cacheField>
    <cacheField name="Cik bieži izmantojat latviešu valodu šajos kontekstos?  [Skolā (ārpus nodarbībām)]" numFmtId="0">
      <sharedItems containsBlank="1"/>
    </cacheField>
    <cacheField name="Cik bieži izmantojat latviešu valodu šajos kontekstos?  [Darbā]" numFmtId="0">
      <sharedItems containsBlank="1"/>
    </cacheField>
    <cacheField name="Cik bieži izmantojat latviešu valodu šajos kontekstos?  [Ar draugiem]" numFmtId="0">
      <sharedItems containsBlank="1"/>
    </cacheField>
    <cacheField name="Cik bieži izmantojat latviešu valodu šajos kontekstos?  [Sportā]" numFmtId="0">
      <sharedItems containsBlank="1"/>
    </cacheField>
    <cacheField name="Cik bieži izmantojat latviešu valodu šajos kontekstos?  [Hobijos / citās interešu grupās]" numFmtId="0">
      <sharedItems containsBlank="1"/>
    </cacheField>
    <cacheField name="Cik bieži izmantojat latviešu valodu šajos kontekstos?  [Uz ielas / veikalā utt.]" numFmtId="0">
      <sharedItems containsBlank="1"/>
    </cacheField>
    <cacheField name="Cik bieži izmantojat krievu valodu šajos kontekstos?  [Ģimenē]" numFmtId="0">
      <sharedItems containsBlank="1"/>
    </cacheField>
    <cacheField name="Cik bieži izmantojat krievu valodu šajos kontekstos?  [Skolā (ārpus nodarbībām)]" numFmtId="0">
      <sharedItems containsBlank="1"/>
    </cacheField>
    <cacheField name="Cik bieži izmantojat krievu valodu šajos kontekstos?  [Darbā]" numFmtId="0">
      <sharedItems containsBlank="1"/>
    </cacheField>
    <cacheField name="Cik bieži izmantojat krievu valodu šajos kontekstos?  [Ar draugiem]" numFmtId="0">
      <sharedItems containsBlank="1"/>
    </cacheField>
    <cacheField name="Cik bieži izmantojat krievu valodu šajos kontekstos?  [Sportā]" numFmtId="0">
      <sharedItems containsBlank="1"/>
    </cacheField>
    <cacheField name="Cik bieži izmantojat krievu valodu šajos kontekstos?  [Hobijos / citās interešu grupās]" numFmtId="0">
      <sharedItems containsBlank="1"/>
    </cacheField>
    <cacheField name="Cik bieži izmantojat krievu valodu šajos kontekstos?  [Uz ielas / veikalā utt.]" numFmtId="0">
      <sharedItems containsBlank="1"/>
    </cacheField>
    <cacheField name="Domājot par to, kas definē demokrātiju, kuras trīs no šīm kategorijām Jums vispirms ienāk prātā? [Rangs 1]" numFmtId="0">
      <sharedItems/>
    </cacheField>
    <cacheField name="Domājot par to, kas definē demokrātiju, kuras trīs no šīm kategorijām Jums vispirms ienāk prātā? [Rangs 2]" numFmtId="0">
      <sharedItems/>
    </cacheField>
    <cacheField name="Domājot par to, kas definē demokrātiju, kuras trīs no šīm kategorijām Jums vispirms ienāk prātā? [Rangs 3]" numFmtId="0">
      <sharedItems/>
    </cacheField>
    <cacheField name="Domājot par to, kas definē demokrātiju, kuras trīs no šīm kategorijām Jums vispirms ienāk prātā? [Rangs 4]" numFmtId="0">
      <sharedItems containsNonDate="0" containsString="0" containsBlank="1"/>
    </cacheField>
    <cacheField name="Domājot par to, kas definē demokrātiju, kuras trīs no šīm kategorijām Jums vispirms ienāk prātā? [Rangs 5]" numFmtId="0">
      <sharedItems containsNonDate="0" containsString="0" containsBlank="1"/>
    </cacheField>
    <cacheField name="Cik labi katra no šīm demokrātiskajām kategorijām funkcionē Latvijā? [Brīvas vēlēšanas un plurālisms]" numFmtId="0">
      <sharedItems/>
    </cacheField>
    <cacheField name="Cik labi katra no šīm demokrātiskajām kategorijām funkcionē Latvijā? [Pilsoniskās brīvības (vārda brīvība, tiesības uz taisnīgu tiesu)]" numFmtId="0">
      <sharedItems/>
    </cacheField>
    <cacheField name="Cik labi katra no šīm demokrātiskajām kategorijām funkcionē Latvijā? [Vienlīdz pieejama izglītība, veselības aprūpe, sociālais nodrošinājums]" numFmtId="0">
      <sharedItems/>
    </cacheField>
    <cacheField name="Cik labi katra no šīm demokrātiskajām kategorijām funkcionē Latvijā? [Varas līdzsvars starp parlamentu, prezidentu un tiesām, lai neviena no institūcijām nespētu sevī koncentrēt lielāko daļu varas]" numFmtId="0">
      <sharedItems/>
    </cacheField>
    <cacheField name="Cik labi katra no šīm demokrātiskajām kategorijām funkcionē Latvijā? [Vienlīdzīgas tiesības minoritātēm un ievainojamām sabiedrības grupām]" numFmtId="0">
      <sharedItems/>
    </cacheField>
    <cacheField name="Kāds ir augstākais izglītības līmenis, kādu esat pabeiguši?" numFmtId="0">
      <sharedItems containsBlank="1"/>
    </cacheField>
    <cacheField name="Kāds ir augstākais izglītības līmenis, kādu esat pabeiguši? [Cita atbilde]" numFmtId="0">
      <sharedItems containsBlank="1"/>
    </cacheField>
    <cacheField name="Vai esat mācījušies vairāk par pusi no pamatskolas vai / un vidusskolas vai arodskolas gadiem ārzemēs? [Jā, pamatskolā]" numFmtId="0">
      <sharedItems/>
    </cacheField>
    <cacheField name="Vai esat mācījušies vairāk par pusi no pamatskolas vai / un vidusskolas vai arodskolas gadiem ārzemēs? [Jā, vidusskolā]" numFmtId="0">
      <sharedItems/>
    </cacheField>
    <cacheField name="Vai esat mācījušies vairāk par pusi no pamatskolas vai / un vidusskolas vai arodskolas gadiem ārzemēs? [Jā, arodskolā]" numFmtId="0">
      <sharedItems/>
    </cacheField>
    <cacheField name="Vai esat mācījušies vairāk par pusi no pamatskolas vai / un vidusskolas vai arodskolas gadiem ārzemēs? [Nē, lielākoties vai tikai mācījos Latvijā]" numFmtId="0">
      <sharedItems/>
    </cacheField>
    <cacheField name="Kādā valodā jūs lielākoties saņēmāt pamatizglītību, neskaitot svešvalodu stundas?" numFmtId="0">
      <sharedItems containsBlank="1"/>
    </cacheField>
    <cacheField name="Kādā valodā jūs lielākoties saņēmāt pamatizglītību, neskaitot svešvalodu stundas? [Cita atbilde]" numFmtId="0">
      <sharedItems containsBlank="1"/>
    </cacheField>
    <cacheField name="Kādā valodā jūs lielākoties saņēmāt / saņemat vidējo izglītību, neskaitot svešvalodu stundas?" numFmtId="0">
      <sharedItems containsBlank="1"/>
    </cacheField>
    <cacheField name="Kādā valodā jūs lielākoties saņēmāt / saņemat vidējo izglītību, neskaitot svešvalodu stundas? [Cita atbilde]" numFmtId="0">
      <sharedItems containsBlank="1"/>
    </cacheField>
    <cacheField name="Runāšana:   " numFmtId="0">
      <sharedItems containsBlank="1"/>
    </cacheField>
    <cacheField name="Rakstīšana:" numFmtId="0">
      <sharedItems containsBlank="1"/>
    </cacheField>
    <cacheField name="Klausīšanās:" numFmtId="0">
      <sharedItems containsBlank="1"/>
    </cacheField>
    <cacheField name="Lasīšana:" numFmtId="0">
      <sharedItems containsBlank="1"/>
    </cacheField>
    <cacheField name="Runāšana:   2" numFmtId="0">
      <sharedItems containsBlank="1"/>
    </cacheField>
    <cacheField name="Rakstīšana:   " numFmtId="0">
      <sharedItems containsBlank="1"/>
    </cacheField>
    <cacheField name="Klausīšanās:   " numFmtId="0">
      <sharedItems containsBlank="1"/>
    </cacheField>
    <cacheField name="Lasīšana:   " numFmtId="0">
      <sharedItems containsBlank="1"/>
    </cacheField>
    <cacheField name="Cik bieži un kādā kontekstā Jūs izmantojat latviešu valodu? [Darbā]" numFmtId="0">
      <sharedItems containsBlank="1"/>
    </cacheField>
    <cacheField name="Cik bieži un kādā kontekstā Jūs izmantojat latviešu valodu? [Skolas / universitātes vidē]" numFmtId="0">
      <sharedItems containsBlank="1"/>
    </cacheField>
    <cacheField name="Cik bieži un kādā kontekstā Jūs izmantojat latviešu valodu? [Sportā]" numFmtId="0">
      <sharedItems containsBlank="1"/>
    </cacheField>
    <cacheField name="Cik bieži un kādā kontekstā Jūs izmantojat latviešu valodu? [Citos hobijos / interešu grupās]" numFmtId="0">
      <sharedItems containsBlank="1"/>
    </cacheField>
    <cacheField name="Cik bieži un kādā kontekstā Jūs izmantojat latviešu valodu? [Uz ielas / veikalā utt.]" numFmtId="0">
      <sharedItems containsBlank="1"/>
    </cacheField>
    <cacheField name="Cik bieži un kādā kontekstā Jūs izmantojat krievu valodu? [Darbā]" numFmtId="0">
      <sharedItems containsBlank="1"/>
    </cacheField>
    <cacheField name="Cik bieži un kādā kontekstā Jūs izmantojat krievu valodu? [Skolas / universitātes vidē]" numFmtId="0">
      <sharedItems containsBlank="1"/>
    </cacheField>
    <cacheField name="Cik bieži un kādā kontekstā Jūs izmantojat krievu valodu? [Sportā]" numFmtId="0">
      <sharedItems containsBlank="1"/>
    </cacheField>
    <cacheField name="Cik bieži un kādā kontekstā Jūs izmantojat krievu valodu? [Citos hobijos / interešu grupās]" numFmtId="0">
      <sharedItems containsBlank="1"/>
    </cacheField>
    <cacheField name="Cik bieži un kādā kontekstā Jūs izmantojat krievu valodu? [Uz ielas / veikalā utt.]" numFmtId="0">
      <sharedItems containsBlank="1"/>
    </cacheField>
    <cacheField name="Vai Jūs gribētu uzlabot savas latviešu valodas zināšanas?" numFmtId="0">
      <sharedItems containsBlank="1"/>
    </cacheField>
    <cacheField name="Vai Jūs gribētu uzlabot savas latviešu valodas zināšanas? [Cita atbilde]" numFmtId="0">
      <sharedItems containsBlank="1"/>
    </cacheField>
    <cacheField name="Kā jums liekas, cik ticami ir, ka tuvākajā nākotnē (aptuveni gada laikā) veiksit darbības, lai uzlabotu savas latviešu valodas zināšanas?" numFmtId="0">
      <sharedItems containsBlank="1"/>
    </cacheField>
    <cacheField name="Jūsuprat, kuram no šiem reģioniem vai institūcijām Latvija ir piederīgāka? [Ziemeļeiropas valstīm]3" numFmtId="0">
      <sharedItems/>
    </cacheField>
    <cacheField name="Jūsuprat, kuram no šiem reģioniem vai institūcijām Latvija ir piederīgāka? [Rietumeiropai]4" numFmtId="0">
      <sharedItems/>
    </cacheField>
    <cacheField name="Jūsuprat, kuram no šiem reģioniem vai institūcijām Latvija ir piederīgāka? [Austrumeiropai]5" numFmtId="0">
      <sharedItems/>
    </cacheField>
    <cacheField name="Jūsuprat, kuram no šiem reģioniem vai institūcijām Latvija ir piederīgāka? [Eiropas Savienībai]6" numFmtId="0">
      <sharedItems/>
    </cacheField>
    <cacheField name="Jūsuprat, kuram no šiem reģioniem vai institūcijām Latvija ir piederīgāka? [Baltijas valstīm]7" numFmtId="0">
      <sharedItems/>
    </cacheField>
    <cacheField name="Jūsuprat, kuram no šiem reģioniem vai institūcijām Latvija ir piederīgāka? [Latvija ir daļa no plašākas postsociālisma sfēras]8" numFmtId="0">
      <sharedItems/>
    </cacheField>
    <cacheField name="Manuprāt, krievvalodīgie Latvijā ir...  [| ...daļa Latvijas sabiedrības. | ...sveša valodiskā grupa]" numFmtId="0">
      <sharedItems containsString="0" containsBlank="1" containsNumber="1" containsInteger="1" minValue="1" maxValue="87"/>
    </cacheField>
    <cacheField name="Skatoties pēc šīs skalas, cik spēcīgi jūs izjūtat piederību šai grupai:  [latviešiem:| it nemaz | pilnībā]" numFmtId="0">
      <sharedItems containsString="0" containsBlank="1" containsNumber="1" containsInteger="1" minValue="1" maxValue="44"/>
    </cacheField>
    <cacheField name="Skatoties pēc šīs skalas, cik spēcīgi jūs izjūtat piederību šai grupai:  [Latvijas krieviem:| it nemaz | pilnībā]" numFmtId="0">
      <sharedItems containsNonDate="0" containsString="0" containsBlank="1"/>
    </cacheField>
    <cacheField name="Skatoties pēc šīs skalas, cik spēcīgi jūs izjūtat piederību šai grupai:  [krieviem (Krievijas):| it nemaz | pilnībā]" numFmtId="0">
      <sharedItems containsNonDate="0" containsString="0" containsBlank="1"/>
    </cacheField>
    <cacheField name="Kā Jūs aprakstītu savstarpējās attiecības starp cilvēkiem, kam dzimtā valoda ir latviešu, un tiem, kam krievu? Vai varat sniegt kādu piemēru no personiskās peredzes:" numFmtId="0">
      <sharedItems containsBlank="1"/>
    </cacheField>
    <cacheField name="Kurus no šiem TV un / vai radio kanāliem esat izmantojuši pēdējo septiņu dienu laikā? [ARD / ZDF (TV vai tiešsaites straumēšana)]" numFmtId="0">
      <sharedItems/>
    </cacheField>
    <cacheField name="Kurus no šiem TV un / vai radio kanāliem esat izmantojuši pēdējo septiņu dienu laikā? [Dozd TV / TV Rain (TV vai tiešsaites straumēšana)                               ]" numFmtId="0">
      <sharedItems/>
    </cacheField>
    <cacheField name="Kurus no šiem TV un / vai radio kanāliem esat izmantojuši pēdējo septiņu dienu laikā? [Latvijas Radio (jebkurš kanāls)                                        ]" numFmtId="0">
      <sharedItems/>
    </cacheField>
    <cacheField name="Kurus no šiem TV un / vai radio kanāliem esat izmantojuši pēdējo septiņu dienu laikā? [LTV (jebkurš kanāls, TV vai tiešsaites straumēšana)                 ]" numFmtId="0">
      <sharedItems/>
    </cacheField>
    <cacheField name="Kurus no šiem TV un / vai radio kanāliem esat izmantojuši pēdējo septiņu dienu laikā? [НТВ (TV vai tiešsaites straumēšana)]" numFmtId="0">
      <sharedItems/>
    </cacheField>
    <cacheField name="Kurus no šiem TV un / vai radio kanāliem esat izmantojuši pēdējo septiņu dienu laikā? [8TV]" numFmtId="0">
      <sharedItems/>
    </cacheField>
    <cacheField name="Kurus no šiem TV un / vai radio kanāliem esat izmantojuši pēdējo septiņu dienu laikā? [Pirmais Baltijas kanāls (PBK)                              ]" numFmtId="0">
      <sharedItems/>
    </cacheField>
    <cacheField name="Kurus no šiem TV un / vai radio kanāliem esat izmantojuši pēdējo septiņu dienu laikā? [Radio Baltcom]" numFmtId="0">
      <sharedItems/>
    </cacheField>
    <cacheField name="Kurus no šiem TV un / vai radio kanāliem esat izmantojuši pēdējo septiņu dienu laikā? [Radio Skonto]" numFmtId="0">
      <sharedItems/>
    </cacheField>
    <cacheField name="Kurus no šiem TV un / vai radio kanāliem esat izmantojuši pēdējo septiņu dienu laikā? [Россия 1 (TV vai tiešsaites straumēšana)                                   ]" numFmtId="0">
      <sharedItems/>
    </cacheField>
    <cacheField name="Kurus no šiem TV un / vai radio kanāliem esat izmantojuši pēdējo septiņu dienu laikā? [straumēšanas servisi (Netflix, Amazon Prime, Mubi, HBO…)      ]" numFmtId="0">
      <sharedItems/>
    </cacheField>
    <cacheField name="Kurus no šiem TV un / vai radio kanāliem esat izmantojuši pēdējo septiņu dienu laikā? [TV3 / TV3 Plus / TV 6 / TV3 Life / TV3 Sport / TV3 Mini (TV vai tiešsaites straumēšana)]" numFmtId="0">
      <sharedItems/>
    </cacheField>
    <cacheField name="Kurus no šiem TV un / vai radio kanāliem esat izmantojuši pēdējo septiņu dienu laikā? [Первый канал (TV vai tiešsaites straumēšana)]" numFmtId="0">
      <sharedItems/>
    </cacheField>
    <cacheField name="Kurus no šiem TV un / vai radio kanāliem esat izmantojuši pēdējo septiņu dienu laikā? [BBC / CNN]" numFmtId="0">
      <sharedItems/>
    </cacheField>
    <cacheField name="Kurus no šiem TV un / vai radio kanāliem esat izmantojuši pēdējo septiņu dienu laikā? [TNT (TV vai tiešsaites straumēšana)]" numFmtId="0">
      <sharedItems/>
    </cacheField>
    <cacheField name="Kurus no šiem TV un / vai radio kanāliem esat izmantojuši pēdējo septiņu dienu laikā? [Nevienu no augstākminētajiem]" numFmtId="0">
      <sharedItems containsBlank="1"/>
    </cacheField>
    <cacheField name="Kurus no šiem TV un / vai radio kanāliem esat izmantojuši pēdējo septiņu dienu laikā? [Cita atbilde]" numFmtId="0">
      <sharedItems containsBlank="1"/>
    </cacheField>
    <cacheField name="Ierakstiet tikai, ja skatāties citus kanālus. [Citi kanāli latviešu valodā (kādi?):]" numFmtId="0">
      <sharedItems containsBlank="1"/>
    </cacheField>
    <cacheField name="Ierakstiet tikai, ja skatāties citus kanālus. [Citi kanāli latviešu valodā (kādi?):][Komentārs]" numFmtId="0">
      <sharedItems containsBlank="1"/>
    </cacheField>
    <cacheField name="Ierakstiet tikai, ja skatāties citus kanālus. [Citi kanāli angļu valodā (kādi?):]" numFmtId="0">
      <sharedItems containsBlank="1"/>
    </cacheField>
    <cacheField name="Ierakstiet tikai, ja skatāties citus kanālus. [Citi kanāli angļu valodā (kādi?):][Komentārs]" numFmtId="0">
      <sharedItems containsBlank="1"/>
    </cacheField>
    <cacheField name="Ierakstiet tikai, ja skatāties citus kanālus. [Citi kanāli krievu valodā (kādi?):]" numFmtId="0">
      <sharedItems containsBlank="1"/>
    </cacheField>
    <cacheField name="Ierakstiet tikai, ja skatāties citus kanālus. [Citi kanāli krievu valodā (kādi?):][Komentārs]" numFmtId="0">
      <sharedItems containsBlank="1"/>
    </cacheField>
    <cacheField name="Ierakstiet tikai, ja skatāties citus kanālus. [Citi kanāli vācu valodā (kādi?):]" numFmtId="0">
      <sharedItems containsBlank="1"/>
    </cacheField>
    <cacheField name="Ierakstiet tikai, ja skatāties citus kanālus. [Citi kanāli vācu valodā (kādi?):][Komentārs]" numFmtId="0">
      <sharedItems containsBlank="1"/>
    </cacheField>
    <cacheField name="Kurus no šiem izdevumiem esat lasījuši vai mājaslapas apmeklējuši pēdējo septiņu dienu laikā? [BBC                                                                                                       ]" numFmtId="0">
      <sharedItems/>
    </cacheField>
    <cacheField name="Kurus no šiem izdevumiem esat lasījuši vai mājaslapas apmeklējuši pēdējo septiņu dienu laikā? [CNN                                                                                                     ]" numFmtId="0">
      <sharedItems/>
    </cacheField>
    <cacheField name="Kurus no šiem izdevumiem esat lasījuši vai mājaslapas apmeklējuši pēdējo septiņu dienu laikā? [Латвийские вести (laikraksts vai tiešsaitē)                 ]" numFmtId="0">
      <sharedItems/>
    </cacheField>
    <cacheField name="Kurus no šiem izdevumiem esat lasījuši vai mājaslapas apmeklējuši pēdējo septiņu dienu laikā? [lsm.lv (latviski)]" numFmtId="0">
      <sharedItems/>
    </cacheField>
    <cacheField name="Kurus no šiem izdevumiem esat lasījuši vai mājaslapas apmeklējuši pēdējo septiņu dienu laikā? [lsm.lv (krieviski)   ]" numFmtId="0">
      <sharedItems/>
    </cacheField>
    <cacheField name="Kurus no šiem izdevumiem esat lasījuši vai mājaslapas apmeklējuši pēdējo septiņu dienu laikā? [MK Латвия (laikraksts vai tiešsaitē)                          ]" numFmtId="0">
      <sharedItems/>
    </cacheField>
    <cacheField name="Kurus no šiem izdevumiem esat lasījuši vai mājaslapas apmeklējuši pēdējo septiņu dienu laikā? [Новая Газета]" numFmtId="0">
      <sharedItems/>
    </cacheField>
    <cacheField name="Kurus no šiem izdevumiem esat lasījuši vai mājaslapas apmeklējuši pēdējo septiņu dienu laikā? [Kas Jauns (laikraksts vai tiešsaitē)]" numFmtId="0">
      <sharedItems/>
    </cacheField>
    <cacheField name="Kurus no šiem izdevumiem esat lasījuši vai mājaslapas apmeklējuši pēdējo septiņu dienu laikā? [Ir (laikraksts vai tiešsaitē) ]" numFmtId="0">
      <sharedItems/>
    </cacheField>
    <cacheField name="Kurus no šiem izdevumiem esat lasījuši vai mājaslapas apmeklējuši pēdējo septiņu dienu laikā? [Latvijas Avīze (laikraksts vai tiešsaitē)]" numFmtId="0">
      <sharedItems/>
    </cacheField>
    <cacheField name="Kurus no šiem izdevumiem esat lasījuši vai mājaslapas apmeklējuši pēdējo septiņu dienu laikā? [Diena (laikraksts vai tiešsaitē)]" numFmtId="0">
      <sharedItems/>
    </cacheField>
    <cacheField name="Kurus no šiem izdevumiem esat lasījuši vai mājaslapas apmeklējuši pēdējo septiņu dienu laikā? [Neatkarīgā Rīta Avīze (laikraksts vai tiešsaitē)]" numFmtId="0">
      <sharedItems/>
    </cacheField>
    <cacheField name="Kurus no šiem izdevumiem esat lasījuši vai mājaslapas apmeklējuši pēdējo septiņu dienu laikā? [Delfi / TVNET / Apollo (latviski)]" numFmtId="0">
      <sharedItems/>
    </cacheField>
    <cacheField name="Kurus no šiem izdevumiem esat lasījuši vai mājaslapas apmeklējuši pēdējo septiņu dienu laikā? [Delfi / TVNET / Apollo (krieviski)]" numFmtId="0">
      <sharedItems/>
    </cacheField>
    <cacheField name="Kurus no šiem izdevumiem esat lasījuši vai mājaslapas apmeklējuši pēdējo septiņu dienu laikā? [Vesti.ru]" numFmtId="0">
      <sharedItems containsBlank="1"/>
    </cacheField>
    <cacheField name="Kurus no šiem izdevumiem esat lasījuši vai mājaslapas apmeklējuši pēdējo septiņu dienu laikā? [РИА Новости]" numFmtId="0">
      <sharedItems/>
    </cacheField>
    <cacheField name="Kurus no šiem izdevumiem esat lasījuši vai mājaslapas apmeklējuši pēdējo septiņu dienu laikā? [liepajniekiem.lv]" numFmtId="0">
      <sharedItems containsBlank="1"/>
    </cacheField>
    <cacheField name="Kurus no šiem izdevumiem esat lasījuši vai mājaslapas apmeklējuši pēdējo septiņu dienu laikā? [chayka.lv / grani.lv]" numFmtId="0">
      <sharedItems/>
    </cacheField>
    <cacheField name="Kurus no šiem izdevumiem esat lasījuši vai mājaslapas apmeklējuši pēdējo septiņu dienu laikā? [Nevienu no augstākminētajām]" numFmtId="0">
      <sharedItems containsBlank="1"/>
    </cacheField>
    <cacheField name="Kurus no šiem izdevumiem esat lasījuši vai mājaslapas apmeklējuši pēdējo septiņu dienu laikā? [Cita atbilde]" numFmtId="0">
      <sharedItems containsBlank="1"/>
    </cacheField>
    <cacheField name="Rakstiet tikai tad, ja lasiet citus medijus. [Citi laikraksti / mājaslapas latviešu valodā (kādi?):]" numFmtId="0">
      <sharedItems containsBlank="1"/>
    </cacheField>
    <cacheField name="Rakstiet tikai tad, ja lasiet citus medijus. [Citi laikraksti / mājaslapas latviešu valodā (kādi?):][Komentārs]" numFmtId="0">
      <sharedItems containsBlank="1"/>
    </cacheField>
    <cacheField name="Rakstiet tikai tad, ja lasiet citus medijus. [Citi laikraksti / mājaslapas angļu valodā (kādi?):]" numFmtId="0">
      <sharedItems containsBlank="1"/>
    </cacheField>
    <cacheField name="Rakstiet tikai tad, ja lasiet citus medijus. [Citi laikraksti / mājaslapas angļu valodā (kādi?):][Komentārs]" numFmtId="0">
      <sharedItems containsBlank="1"/>
    </cacheField>
    <cacheField name="Rakstiet tikai tad, ja lasiet citus medijus. [Citi laikraksti / mājaslapas krievu valodā (kādi?):]" numFmtId="0">
      <sharedItems/>
    </cacheField>
    <cacheField name="Rakstiet tikai tad, ja lasiet citus medijus. [Citi laikraksti / mājaslapas krievu valodā (kādi?):][Komentārs]" numFmtId="0">
      <sharedItems containsBlank="1"/>
    </cacheField>
    <cacheField name="Rakstiet tikai tad, ja lasiet citus medijus. [Citi laikraksti / mājaslapas vācu valodā (kādi?):]" numFmtId="0">
      <sharedItems/>
    </cacheField>
    <cacheField name="Rakstiet tikai tad, ja lasiet citus medijus. [Citi laikraksti / mājaslapas vācu valodā (kādi?):][Komentārs]" numFmtId="0">
      <sharedItems containsBlank="1"/>
    </cacheField>
    <cacheField name="Kuru no sekojošajiem sociāliem tīkliem esat izmantojuši pēdējo 24 stundu laikā? [TikTok]" numFmtId="0">
      <sharedItems/>
    </cacheField>
    <cacheField name="Kuru no sekojošajiem sociāliem tīkliem esat izmantojuši pēdējo 24 stundu laikā? [Instagram]" numFmtId="0">
      <sharedItems/>
    </cacheField>
    <cacheField name="Kuru no sekojošajiem sociāliem tīkliem esat izmantojuši pēdējo 24 stundu laikā? [Facebook]" numFmtId="0">
      <sharedItems/>
    </cacheField>
    <cacheField name="Kuru no sekojošajiem sociāliem tīkliem esat izmantojuši pēdējo 24 stundu laikā? [ВКонтакте]" numFmtId="0">
      <sharedItems/>
    </cacheField>
    <cacheField name="Kuru no sekojošajiem sociāliem tīkliem esat izmantojuši pēdējo 24 stundu laikā? [YouTube]" numFmtId="0">
      <sharedItems/>
    </cacheField>
    <cacheField name="Kuru no sekojošajiem sociāliem tīkliem esat izmantojuši pēdējo 24 stundu laikā? [Telegram]" numFmtId="0">
      <sharedItems/>
    </cacheField>
    <cacheField name="Kuru no sekojošajiem sociāliem tīkliem esat izmantojuši pēdējo 24 stundu laikā? [Одноклассники]" numFmtId="0">
      <sharedItems/>
    </cacheField>
    <cacheField name="Kuru no sekojošajiem sociāliem tīkliem esat izmantojuši pēdējo 24 stundu laikā? [Whatsapp]" numFmtId="0">
      <sharedItems containsBlank="1"/>
    </cacheField>
    <cacheField name="Kuru no sekojošajiem sociāliem tīkliem esat izmantojuši pēdējo 24 stundu laikā? [Reddit]" numFmtId="0">
      <sharedItems containsBlank="1" longText="1"/>
    </cacheField>
    <cacheField name="Kuru no sekojošajiem sociāliem tīkliem esat izmantojuši pēdējo 24 stundu laikā? [Draugiem]" numFmtId="0">
      <sharedItems containsBlank="1"/>
    </cacheField>
    <cacheField name="Kuru no sekojošajiem sociāliem tīkliem esat izmantojuši pēdējo 24 stundu laikā? [Twitter]" numFmtId="0">
      <sharedItems containsBlank="1"/>
    </cacheField>
    <cacheField name="Kuru no sekojošajiem sociāliem tīkliem esat izmantojuši pēdējo 24 stundu laikā? [Rutube]" numFmtId="0">
      <sharedItems containsBlank="1"/>
    </cacheField>
    <cacheField name="Kuru no sekojošajiem sociāliem tīkliem esat izmantojuši pēdējo 24 stundu laikā? [Snapchat]" numFmtId="0">
      <sharedItems containsBlank="1"/>
    </cacheField>
    <cacheField name="Kuru no sekojošajiem sociāliem tīkliem esat izmantojuši pēdējo 24 stundu laikā? [Nevienu no iepriekšminētajām]" numFmtId="0">
      <sharedItems containsBlank="1"/>
    </cacheField>
    <cacheField name="Kuru no sekojošajiem sociāliem tīkliem esat izmantojuši pēdējo 24 stundu laikā? [Cita atbilde]" numFmtId="0">
      <sharedItems containsBlank="1"/>
    </cacheField>
    <cacheField name="Esat sasniedzis aptaujas beigas. Paldies par Jūsu laiku un interesi! Šādas aptaujas sniedz mums dziļāku sapratni par to, ko cilvēki (kā Jūs!) domā par noteiktiem jautājumiem.  Ja vēlaties par kaut ko izteikt domas, lūdzu, rakstiet šeit. Arī būsim pateicīg" numFmtId="0">
      <sharedItems containsBlank="1" longText="1"/>
    </cacheField>
    <cacheField name="Laiks kopā" numFmtId="0">
      <sharedItems containsString="0" containsBlank="1" containsNumber="1" minValue="1492.18" maxValue="2049.4499999999998"/>
    </cacheField>
    <cacheField name="Grupas laiks: Ieejas kods" numFmtId="0">
      <sharedItems containsString="0" containsBlank="1" containsNumber="1" minValue="8.42" maxValue="14.27"/>
    </cacheField>
    <cacheField name="Jautājuma laiks: acode" numFmtId="0">
      <sharedItems containsNonDate="0" containsString="0" containsBlank="1"/>
    </cacheField>
    <cacheField name="Grupas laiks: Personiskā informācija" numFmtId="0">
      <sharedItems containsString="0" containsBlank="1" containsNumber="1" minValue="48.53" maxValue="93.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
  <r>
    <x v="0"/>
    <n v="53"/>
    <s v="2023-04-24 07:37:18"/>
    <n v="14"/>
    <s v="ru"/>
    <n v="1875434034"/>
    <s v="2023-04-24 07:05:34"/>
    <s v="2023-04-24 07:37:18"/>
    <s v="lapa"/>
    <n v="18"/>
    <s v="Cita atbilde"/>
    <m/>
    <x v="0"/>
    <x v="0"/>
    <x v="0"/>
    <x v="0"/>
    <x v="0"/>
    <x v="0"/>
    <s v="Rīgā/ Rīgas rajonā"/>
    <m/>
    <s v="ateistu(ti), nereliģiozu"/>
    <m/>
    <s v="Nē"/>
    <s v="Nē"/>
    <s v="Nē"/>
    <s v="Jā"/>
    <s v="Nē"/>
    <s v="Nē"/>
    <s v="Nē"/>
    <s v="Nē"/>
    <s v="Jā"/>
    <s v="Nē"/>
    <s v="Nē"/>
    <s v="Nē"/>
    <s v="Nē"/>
    <s v="Nē"/>
    <s v="Jā"/>
    <s v="Nē"/>
    <s v="Jā"/>
    <s v="Nē"/>
    <s v="Nē"/>
    <s v="Nē"/>
    <s v="Nē"/>
    <s v="Jā"/>
    <s v="Nē"/>
    <s v="Jā"/>
    <s v="Nē"/>
    <s v="Nē"/>
    <s v="Nē"/>
    <s v="Nē"/>
    <m/>
    <m/>
    <m/>
    <m/>
    <m/>
    <m/>
    <s v="Lielākoties nevienlīdzīgi"/>
    <s v="Lielākoties vienlīdzīgi"/>
    <s v="Lielākoties vienlīdzīgi"/>
    <s v="Nevienlīdzīgi"/>
    <s v="Nevienlīdzīgi"/>
    <s v="Zaļo un Zemnieku savienība"/>
    <s v="&quot;Latvija pirmajā vietā&quot;"/>
    <s v="Politiskā partija &quot;Stabilitātei&quot;"/>
    <s v="Jaunā Vienotība"/>
    <s v="&quot;Apvienotais saraksts&quot;"/>
    <s v="&quot;Progresīvie&quot;"/>
    <s v="Nacionālā Apvienība"/>
    <s v="Cīņai ar klimata pārmaiņām būtu jābūt vairumam pasaules valstu galvenajai prioritātei."/>
    <s v="jā, visu, ko iespējams šķirot"/>
    <s v="Zaļo un Zemnieku savienība"/>
    <s v="Nacionālā Apvienība"/>
    <s v="Jaunā Vienotība"/>
    <s v="&quot;Latvija pirmajā vietā&quot;"/>
    <s v="Politiskā partija &quot;Stabilitātei&quot;"/>
    <s v="&quot;Apvienotais saraksts&quot;"/>
    <s v="&quot;Progresīvie&quot;"/>
    <s v="&quot;Apvienotais saraksts&quot;"/>
    <s v="&quot;Latvija pirmajā vietā&quot;"/>
    <s v="&quot;Progresīvie&quot;"/>
    <s v="Jaunā Vienotība"/>
    <s v="Politiskā partija &quot;Stabilitātei&quot;"/>
    <s v="Zaļo un Zemnieku savienība"/>
    <s v="Nacionālā Apvienība"/>
    <s v="Ārkārtīgi"/>
    <s v="Ārkārtīgi"/>
    <s v="Ārkārtīgi"/>
    <m/>
    <s v="Populisms, ka es domāju, ir iespēja popularizēt kaut-kadu jaunu un nepopulāro ideju vai koncepciju"/>
    <s v="Nē"/>
    <s v="Nē"/>
    <s v="Jā"/>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42"/>
    <n v="42"/>
    <n v="69"/>
    <n v="10"/>
    <s v="Drīzāk saspīlētas"/>
    <s v="Ļoti saspīlētas"/>
    <s v="Ļoti saspīlētas"/>
    <m/>
    <m/>
    <m/>
    <m/>
    <m/>
    <s v="Dažreiz"/>
    <s v="Reti"/>
    <s v="Dažreiz"/>
    <s v="Reti"/>
    <s v="Dažreiz"/>
    <m/>
    <s v="nē"/>
    <s v="N/A"/>
    <s v="N/A"/>
    <s v="N/A"/>
    <s v="N/A"/>
    <s v="Nē"/>
    <s v="Jā"/>
    <s v="Nē"/>
    <s v="Nē"/>
    <s v="Jā"/>
    <s v="Nē"/>
    <s v="Nē"/>
    <s v="Nē"/>
    <s v="(gandrīz) nekad"/>
    <s v="(gandrīz) katru dienu"/>
    <s v="pāris reižu nedēļā"/>
    <s v="(gandrīz) nekad"/>
    <s v="(gandrīz) nekad"/>
    <s v="(gandrīz) nekad"/>
    <s v="pāris reižu nedēļā"/>
    <s v="(gandrīz) katru dienu"/>
    <s v="(gandrīz) katru dienu"/>
    <s v="(gandrīz) katru dienu"/>
    <s v="(gandrīz) katru dienu"/>
    <s v="(gandrīz) nekad"/>
    <s v="(gandrīz) katru dienu"/>
    <s v="(gandrīz) katru dienu"/>
    <s v="brīvas vēlēšanas un plurālisms"/>
    <s v="pilsoniskās brīvības (vārda brīvība, tiesības uz tiesisko aizsardzību)"/>
    <s v="vienlīdz pieejama izglītība, veselības aprūpe, sociālais nodrošinājums"/>
    <m/>
    <m/>
    <s v="citreiz labi, citreiz slikti"/>
    <s v="citreiz labi, citreiz slikti"/>
    <s v="labi"/>
    <s v="knapi/gandrīz necik"/>
    <s v="slikti"/>
    <s v="vidējo izglītību"/>
    <m/>
    <s v="N/A"/>
    <s v="N/A"/>
    <s v="N/A"/>
    <s v="Jā"/>
    <s v="krievu"/>
    <m/>
    <s v="vienlīdz latviešu un krievu"/>
    <m/>
    <s v="Spēju pastāstīt par savu hobiju / darbu."/>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Jā"/>
    <s v="Nē"/>
    <s v="Nē"/>
    <m/>
    <s v="Nē"/>
    <m/>
    <s v="Nē"/>
    <m/>
    <s v="Nē"/>
    <m/>
    <s v="Nē"/>
    <m/>
    <s v="Jā"/>
    <s v="Jā"/>
    <s v="Nē"/>
    <s v="Nē"/>
    <s v="Jā"/>
    <s v="Jā"/>
    <s v="Nē"/>
    <s v="Jā"/>
    <s v="Nē"/>
    <s v="Nē"/>
    <s v="Jā"/>
    <s v="Nē"/>
    <m/>
    <m/>
    <m/>
    <m/>
    <m/>
    <m/>
    <m/>
    <m/>
    <m/>
    <m/>
    <m/>
    <m/>
    <m/>
  </r>
  <r>
    <x v="0"/>
    <n v="54"/>
    <s v="2023-04-24 07:43:33"/>
    <n v="14"/>
    <s v="lv"/>
    <n v="1387453363"/>
    <s v="2023-04-24 07:06:30"/>
    <s v="2023-04-24 07:43:33"/>
    <s v="lapa"/>
    <n v="17"/>
    <s v="vīriešu"/>
    <m/>
    <x v="1"/>
    <x v="1"/>
    <x v="0"/>
    <x v="0"/>
    <x v="0"/>
    <x v="0"/>
    <s v="Rīgā/ Rīgas rajonā"/>
    <m/>
    <s v="ateistu(ti), nereliģiozu"/>
    <m/>
    <s v="Nē"/>
    <s v="Jā"/>
    <s v="Nē"/>
    <s v="Nē"/>
    <s v="Jā"/>
    <s v="Nē"/>
    <s v="Nē"/>
    <s v="Nē"/>
    <s v="Nē"/>
    <s v="Jā"/>
    <s v="Nē"/>
    <s v="Nē"/>
    <s v="Jā"/>
    <s v="Nē"/>
    <s v="Nē"/>
    <s v="Jā"/>
    <s v="Nē"/>
    <s v="Nē"/>
    <s v="Nē"/>
    <s v="Nē"/>
    <s v="Nē"/>
    <s v="Nē"/>
    <s v="Jā"/>
    <s v="Jā"/>
    <s v="Nē"/>
    <s v="Jā"/>
    <s v="Nē"/>
    <s v="Nē"/>
    <m/>
    <m/>
    <m/>
    <m/>
    <m/>
    <m/>
    <s v="Lielākoties vienlīdzīgi"/>
    <s v="Lielākoties vienlīdzīgi"/>
    <s v="Vienlīdzīgi"/>
    <s v="Vienlīdzīgi"/>
    <s v="Lielākoties nevienlīdzīgi"/>
    <s v="nezinu"/>
    <s v="Jaunā Vienotība"/>
    <s v="Nacionālā Apvienība"/>
    <s v="nezinu"/>
    <s v="Zaļo un Zemnieku savienība"/>
    <s v="&quot;Progresīvie&quot;"/>
    <s v="nezinu"/>
    <s v="Cīņai ar klimata pārmaiņām būtu jābūt vairumam pasaules valstu galvenajai prioritātei."/>
    <s v="jā, visu, ko iespējams šķirot"/>
    <s v="Nacionālā Apvienība"/>
    <s v="&quot;Progresīvie&quot;"/>
    <s v="Jaunā Vienotība"/>
    <s v="nezinu"/>
    <s v="&quot;Latvija pirmajā vietā&quot;"/>
    <s v="Zaļo un Zemnieku savienība"/>
    <s v="nezinu"/>
    <s v="nezinu"/>
    <s v="&quot;Progresīvie&quot;"/>
    <s v="&quot;Latvija pirmajā vietā&quot;"/>
    <s v="Nacionālā Apvienība"/>
    <s v="&quot;Apvienotais saraksts&quot;"/>
    <s v="Jaunā Vienotība"/>
    <s v="nezinu"/>
    <s v="Ļoti"/>
    <s v="Ne sevišķi"/>
    <s v="Ļoti"/>
    <m/>
    <s v="nezinu"/>
    <s v="Nē"/>
    <s v="Jā"/>
    <s v="Nē"/>
    <s v="Jā"/>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35"/>
    <n v="91"/>
    <m/>
    <m/>
    <s v="Mazliet saspīlētas"/>
    <s v="Nav saspīlētas"/>
    <s v="Nav saspīlētas"/>
    <s v="(Gandrīz) nekad"/>
    <s v="(Gandrīz) nekad"/>
    <s v="(Gandrīz) nekad"/>
    <s v="(Gandrīz) nekad"/>
    <s v="(Gandrīz) nekad"/>
    <m/>
    <m/>
    <m/>
    <m/>
    <m/>
    <m/>
    <s v="nē"/>
    <s v="N/A"/>
    <s v="N/A"/>
    <s v="N/A"/>
    <s v="N/A"/>
    <s v="Nē"/>
    <s v="Jā"/>
    <s v="Nē"/>
    <s v="Nē"/>
    <s v="Jā"/>
    <s v="Jā"/>
    <s v="Nē"/>
    <s v="Nē"/>
    <s v="(gandrīz) katru dienu"/>
    <s v="(gandrīz) katru dienu"/>
    <s v="(gandrīz) katru dienu"/>
    <s v="(gandrīz) katru dienu"/>
    <s v="(gandrīz) katru dienu"/>
    <s v="(gandrīz) katru dienu"/>
    <s v="(gandrīz) katru dienu"/>
    <s v="(gandrīz) nekad"/>
    <s v="reizi nedēļā"/>
    <s v="(gandrīz) nekad"/>
    <s v="pāris reižu nedēļā"/>
    <s v="(gandrīz) nekad"/>
    <s v="(gandrīz) nekad"/>
    <s v="pāris reižu mēnesī"/>
    <s v="pilsoniskās brīvības (vārda brīvība, tiesības uz tiesisko aizsardzību)"/>
    <s v="vienlīdz pieejama izglītība, veselības aprūpe, sociālais nodrošinājums"/>
    <s v="brīvas vēlēšanas un plurālisms"/>
    <m/>
    <m/>
    <s v="citreiz labi, citreiz slikti"/>
    <s v="citreiz labi, citreiz slikti"/>
    <s v="labi"/>
    <s v="labi"/>
    <s v="citreiz labi, citreiz slikti"/>
    <s v="pamatizglītību"/>
    <m/>
    <s v="N/A"/>
    <s v="N/A"/>
    <s v="N/A"/>
    <s v="Jā"/>
    <s v="latviešu"/>
    <m/>
    <s v="latviešu"/>
    <m/>
    <s v="Spēju pastāstīt par savu hobiju / darbu."/>
    <s v="Spēju uzrakstīt vēstuli draugam."/>
    <s v="Viegli saprotu radio programmas / podkāstus par saviem hobijiem/darbības sfēru."/>
    <s v="Spēju izlasīt avīzi/īsstāstus."/>
    <m/>
    <m/>
    <m/>
    <m/>
    <m/>
    <m/>
    <m/>
    <m/>
    <m/>
    <m/>
    <m/>
    <m/>
    <m/>
    <m/>
    <m/>
    <m/>
    <m/>
    <s v="N/A"/>
    <s v="N/A"/>
    <s v="N/A"/>
    <s v="N/A"/>
    <s v="N/A"/>
    <s v="N/A"/>
    <m/>
    <m/>
    <m/>
    <m/>
    <m/>
    <s v="Nē"/>
    <s v="Nē"/>
    <s v="Nē"/>
    <s v="Jā"/>
    <s v="Nē"/>
    <s v="Nē"/>
    <s v="Jā"/>
    <s v="Nē"/>
    <s v="Nē"/>
    <s v="Nē"/>
    <s v="Jā"/>
    <s v="Jā"/>
    <s v="Nē"/>
    <s v="Jā"/>
    <s v="Nē"/>
    <m/>
    <s v="Nē"/>
    <m/>
    <s v="Nē"/>
    <m/>
    <s v="Nē"/>
    <m/>
    <s v="Nē"/>
    <m/>
    <s v="Jā"/>
    <s v="Nē"/>
    <s v="Nē"/>
    <s v="Nē"/>
    <s v="Nē"/>
    <s v="Nē"/>
    <s v="Nē"/>
    <s v="Nē"/>
    <s v="Nē"/>
    <s v="Nē"/>
    <s v="Nē"/>
    <s v="Jā"/>
    <s v="Nē"/>
    <s v="Nē"/>
    <s v="Nē"/>
    <m/>
    <s v="Nē"/>
    <m/>
    <s v="Nē"/>
    <m/>
    <s v="Nē"/>
    <m/>
    <s v="Nē"/>
    <m/>
    <s v="Nē"/>
    <s v="Jā"/>
    <s v="Nē"/>
    <s v="Nē"/>
    <s v="Jā"/>
    <s v="Nē"/>
    <s v="Nē"/>
    <s v="Jā"/>
    <s v="Nē"/>
    <s v="Nē"/>
    <s v="Jā"/>
    <s v="Nē"/>
    <m/>
    <m/>
    <m/>
    <m/>
    <m/>
    <m/>
    <m/>
    <m/>
    <m/>
    <m/>
    <m/>
    <m/>
    <m/>
  </r>
  <r>
    <x v="0"/>
    <n v="55"/>
    <s v="2023-04-24 07:33:10"/>
    <n v="14"/>
    <s v="lv"/>
    <n v="543654327"/>
    <s v="2023-04-24 07:06:40"/>
    <s v="2023-04-24 07:33:10"/>
    <s v="lapa"/>
    <n v="17"/>
    <s v="sieviešu"/>
    <m/>
    <x v="1"/>
    <x v="0"/>
    <x v="0"/>
    <x v="0"/>
    <x v="0"/>
    <x v="0"/>
    <s v="Rīgā/ Rīgas rajonā"/>
    <m/>
    <s v="ateistu(ti), nereliģiozu"/>
    <m/>
    <s v="Nē"/>
    <s v="Nē"/>
    <s v="Jā"/>
    <s v="Nē"/>
    <s v="Nē"/>
    <s v="Nē"/>
    <s v="Nē"/>
    <s v="Nē"/>
    <s v="Nē"/>
    <s v="Nē"/>
    <s v="Nē"/>
    <s v="Jā"/>
    <s v="Nē"/>
    <s v="Nē"/>
    <s v="Nē"/>
    <s v="Jā"/>
    <s v="Nē"/>
    <s v="Jā"/>
    <s v="Nē"/>
    <s v="Nē"/>
    <s v="Nē"/>
    <s v="Nē"/>
    <s v="Nē"/>
    <s v="Nē"/>
    <s v="Nē"/>
    <s v="Jā"/>
    <s v="Nē"/>
    <s v="Nē"/>
    <m/>
    <m/>
    <m/>
    <m/>
    <m/>
    <m/>
    <s v="Vienlīdzīgi"/>
    <s v="Lielākoties vienlīdzīgi"/>
    <s v="Lielākoties vienlīdzīgi"/>
    <s v="Nevienlīdzīgi"/>
    <s v="Lielākoties nevienlīdzīgi"/>
    <s v="Nacionālā Apvienība"/>
    <s v="Jaunā Vienotība"/>
    <s v="Zaļo un Zemnieku savienība"/>
    <s v="&quot;Latvija pirmajā vietā&quot;"/>
    <s v="&quot;Apvienotais saraksts&quot;"/>
    <s v="&quot;Progresīvie&quot;"/>
    <s v="Politiskā partija &quot;Stabilitātei&quot;"/>
    <s v="Globālā sasilšana ir šķērsojusi robežu, pēc kuras nav iespējams atgriezties, un cilvēkiem būs jāpielāgojas."/>
    <s v="jā, lielāko daļu no tā, ko iespējams šķirot"/>
    <s v="Jaunā Vienotība"/>
    <s v="&quot;Apvienotais saraksts&quot;"/>
    <s v="Nacionālā Apvienība"/>
    <s v="&quot;Latvija pirmajā vietā&quot;"/>
    <s v="&quot;Progresīvie&quot;"/>
    <s v="Zaļo un Zemnieku savienība"/>
    <s v="Politiskā partija &quot;Stabilitātei&quot;"/>
    <s v="Nacionālā Apvienība"/>
    <s v="Jaunā Vienotība"/>
    <s v="Politiskā partija &quot;Stabilitātei&quot;"/>
    <s v="&quot;Progresīvie&quot;"/>
    <s v="Politiskā partija &quot;Stabilitātei&quot;"/>
    <s v="Politiskā partija &quot;Stabilitātei&quot;"/>
    <s v="nezinu"/>
    <s v="Ļoti"/>
    <s v="Ārkārtīgi"/>
    <s v="Ārkārtīgi"/>
    <m/>
    <s v="Partija stabilitātei ir sudīga populisma piemērs, kas diemžēl iedarbojas uz cilvēkiem. Populisms ir slikti, negodīgi, netaisnīgi"/>
    <s v="Nē"/>
    <s v="Jā"/>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18"/>
    <n v="100"/>
    <n v="23"/>
    <n v="1"/>
    <s v="Mazliet saspīlētas"/>
    <s v="Nav saspīlētas"/>
    <s v="Nav saspīlētas"/>
    <m/>
    <m/>
    <m/>
    <m/>
    <m/>
    <s v="(Gandrīz) nekad"/>
    <s v="(Gandrīz) nekad"/>
    <s v="(Gandrīz) nekad"/>
    <s v="(Gandrīz) nekad"/>
    <s v="(Gandrīz) nekad"/>
    <m/>
    <s v="nē"/>
    <s v="N/A"/>
    <s v="N/A"/>
    <s v="N/A"/>
    <s v="N/A"/>
    <s v="Jā"/>
    <s v="Jā"/>
    <s v="Jā"/>
    <s v="Nē"/>
    <s v="Jā"/>
    <s v="Jā"/>
    <s v="Jā"/>
    <s v="Nē"/>
    <s v="(gandrīz) katru dienu"/>
    <s v="(gandrīz) katru dienu"/>
    <s v="(gandrīz) katru dienu"/>
    <s v="(gandrīz) katru dienu"/>
    <s v="(gandrīz) katru dienu"/>
    <s v="(gandrīz) katru dienu"/>
    <s v="(gandrīz) katru dienu"/>
    <s v="(gandrīz) katru dienu"/>
    <s v="(gandrīz) katru dienu"/>
    <s v="(gandrīz) nekad"/>
    <s v="(gandrīz) katru dienu"/>
    <s v="(gandrīz) katru dienu"/>
    <s v="(gandrīz) nekad"/>
    <s v="(gandrīz) nekad"/>
    <s v="vienlīdz pieejama izglītība, veselības aprūpe, sociālais nodrošinājums"/>
    <s v="pilsoniskās brīvības (vārda brīvība, tiesības uz tiesisko aizsardzību)"/>
    <s v="brīvas vēlēšanas un plurālisms"/>
    <m/>
    <m/>
    <s v="citreiz labi, citreiz slikti"/>
    <s v="labi"/>
    <s v="ļoti labi"/>
    <s v="citreiz labi, citreiz slikt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Jā"/>
    <s v="Nē"/>
    <s v="Nē"/>
    <s v="Nē"/>
    <s v="Nē"/>
    <s v="Nē"/>
    <s v="Nē"/>
    <s v="Nē"/>
    <s v="Nē"/>
    <s v="Nē"/>
    <s v="Nē"/>
    <s v="Jā"/>
    <s v="Nē"/>
    <s v="Nē"/>
    <s v="Nē"/>
    <m/>
    <s v="Nē"/>
    <m/>
    <s v="Nē"/>
    <m/>
    <s v="Nē"/>
    <m/>
    <s v="Nē"/>
    <m/>
    <s v="Jā"/>
    <s v="Nē"/>
    <s v="Nē"/>
    <s v="Nē"/>
    <s v="Jā"/>
    <s v="Jā"/>
    <s v="Nē"/>
    <s v="Jā"/>
    <s v="Nē"/>
    <s v="Nē"/>
    <s v="Nē"/>
    <s v="Nē"/>
    <m/>
    <s v="Paldies par iespēju izteikt savu viedokli&lt;3"/>
    <m/>
    <m/>
    <m/>
    <m/>
    <m/>
    <m/>
    <m/>
    <m/>
    <m/>
    <m/>
    <m/>
  </r>
  <r>
    <x v="0"/>
    <n v="56"/>
    <s v="2023-04-24 07:34:32"/>
    <n v="14"/>
    <s v="lv"/>
    <n v="1543271029"/>
    <s v="2023-04-24 07:06:45"/>
    <s v="2023-04-24 07:34:32"/>
    <s v="lapa"/>
    <n v="17"/>
    <s v="Cita atbilde"/>
    <s v="Helisexual MI-8"/>
    <x v="0"/>
    <x v="0"/>
    <x v="0"/>
    <x v="0"/>
    <x v="0"/>
    <x v="0"/>
    <s v="Rīgā/ Rīgas rajonā"/>
    <m/>
    <s v="pareizticīgo"/>
    <m/>
    <s v="Nē"/>
    <s v="Nē"/>
    <s v="Nē"/>
    <s v="Nē"/>
    <s v="Nē"/>
    <s v="Jā"/>
    <s v="Nē"/>
    <s v="Nē"/>
    <s v="Jā"/>
    <s v="Jā"/>
    <s v="Nē"/>
    <s v="Jā"/>
    <s v="Nē"/>
    <s v="Nē"/>
    <s v="Nē"/>
    <s v="Nē"/>
    <s v="Nē"/>
    <s v="Nē"/>
    <s v="Nē"/>
    <s v="Jā"/>
    <s v="Nē"/>
    <s v="Jā"/>
    <s v="Jā"/>
    <s v="Nē"/>
    <s v="Nē"/>
    <s v="Nē"/>
    <s v="Nē"/>
    <s v="Nē"/>
    <m/>
    <m/>
    <m/>
    <m/>
    <m/>
    <m/>
    <s v="Lielākoties vienlīdzīgi"/>
    <s v="Lielākoties nevienlīdzīgi"/>
    <s v="Vienlīdzīgi"/>
    <s v="Lielākoties nevienlīdzīgi"/>
    <s v="Lielākoties nevienlīdzīgi"/>
    <s v="&quot;Latvija pirmajā vietā&quot;"/>
    <s v="&quot;Progresīvie&quot;"/>
    <s v="&quot;Latvija pirmajā vietā&quot;"/>
    <s v="&quot;Latvija pirmajā vietā&quot;"/>
    <s v="Zaļo un Zemnieku savienība"/>
    <s v="&quot;Progresīvie&quot;"/>
    <s v="Nacionālā Apvienība"/>
    <s v="Klimata pārmaiņas – tas ir ciklisks un dabisks process."/>
    <s v="jā, lielāko daļu no tā, ko iespējams šķirot"/>
    <s v="&quot;Progresīvie&quot;"/>
    <s v="&quot;Progresīvie&quot;"/>
    <s v="Jaunā Vienotība"/>
    <s v="&quot;Progresīvie&quot;"/>
    <s v="Nacionālā Apvienība"/>
    <s v="&quot;Apvienotais saraksts&quot;"/>
    <s v="Politiskā partija &quot;Stabilitātei&quot;"/>
    <s v="&quot;Latvija pirmajā vietā&quot;"/>
    <s v="&quot;Progresīvie&quot;"/>
    <s v="&quot;Latvija pirmajā vietā&quot;"/>
    <s v="Jaunā Vienotība"/>
    <s v="Politiskā partija &quot;Stabilitātei&quot;"/>
    <s v="&quot;Apvienotais saraksts&quot;"/>
    <s v="Jaunā Vienotība"/>
    <s v="Viduvēji"/>
    <s v="Neinteresē"/>
    <s v="Viduvēji"/>
    <m/>
    <s v="Demogogija. Politiķis runā tādu, kas patīk dzīrdēt citiem."/>
    <s v="Jā"/>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40"/>
    <n v="60"/>
    <n v="75"/>
    <n v="45"/>
    <s v="Drīzāk saspīlētas"/>
    <s v="Drīzāk saspīlētas"/>
    <s v="Nav saspīlētas"/>
    <m/>
    <m/>
    <m/>
    <m/>
    <m/>
    <s v="Bieži"/>
    <s v="Bieži"/>
    <s v="Bieži"/>
    <s v="Bieži"/>
    <s v="Bieži"/>
    <m/>
    <s v="nē"/>
    <s v="N/A"/>
    <s v="N/A"/>
    <s v="N/A"/>
    <s v="N/A"/>
    <s v="Jā"/>
    <s v="Nē"/>
    <s v="Nē"/>
    <s v="Nē"/>
    <s v="Jā"/>
    <s v="Nē"/>
    <s v="Nē"/>
    <s v="Nē"/>
    <s v="(gandrīz) nekad"/>
    <s v="reizi nedēļā"/>
    <s v="reizi nedēļā"/>
    <s v="pāris reižu mēnesī"/>
    <s v="reizi nedēļā"/>
    <s v="reizi nedēļā"/>
    <s v="(gandrīz) katru dienu"/>
    <s v="(gandrīz) katru dienu"/>
    <s v="(gandrīz) katru dienu"/>
    <s v="reizi nedēļā"/>
    <s v="(gandrīz) katru dienu"/>
    <s v="(gandrīz) katru dienu"/>
    <s v="(gandrīz) katru dienu"/>
    <s v="(gandrīz) nekad"/>
    <s v="pilsoniskās brīvības (vārda brīvība, tiesības uz tiesisko aizsardzību)"/>
    <s v="varas līdzsvars starp parlamentu, prezidentu un tiesām, lai neviena no institūcijām nespētu sevī koncentrēt lielāko daļu varas"/>
    <s v="brīvas vēlēšanas un plurālisms"/>
    <m/>
    <m/>
    <s v="citreiz labi, citreiz slikti"/>
    <s v="citreiz labi, citreiz slikti"/>
    <s v="labi"/>
    <s v="citreiz labi, citreiz slikti"/>
    <s v="citreiz labi, citreiz slikti"/>
    <s v="pamatizglītību"/>
    <m/>
    <s v="N/A"/>
    <s v="N/A"/>
    <s v="N/A"/>
    <s v="Jā"/>
    <s v="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Nē"/>
    <s v="Nē"/>
    <s v="Nē"/>
    <m/>
    <s v="Nē"/>
    <m/>
    <s v="Nē"/>
    <m/>
    <s v="Nē"/>
    <m/>
    <s v="Nē"/>
    <m/>
    <s v="Nē"/>
    <s v="Nē"/>
    <s v="Nē"/>
    <s v="Nē"/>
    <s v="Nē"/>
    <s v="Jā"/>
    <s v="Nē"/>
    <s v="Jā"/>
    <s v="Nē"/>
    <s v="Nē"/>
    <s v="Nē"/>
    <s v="Nē"/>
    <m/>
    <s v="my name is Afir Al Fazir Beliar. Papavebegemabody pavapepe justanarrow ;)"/>
    <m/>
    <m/>
    <m/>
    <m/>
    <m/>
    <m/>
    <m/>
    <m/>
    <m/>
    <m/>
    <m/>
  </r>
  <r>
    <x v="0"/>
    <n v="58"/>
    <s v="2023-04-24 07:28:33"/>
    <n v="14"/>
    <s v="lv"/>
    <n v="279386343"/>
    <s v="2023-04-24 07:10:55"/>
    <s v="2023-04-24 07:28:33"/>
    <s v="lapa"/>
    <n v="17"/>
    <s v="vīriešu"/>
    <m/>
    <x v="1"/>
    <x v="1"/>
    <x v="0"/>
    <x v="0"/>
    <x v="0"/>
    <x v="0"/>
    <s v="Rīgā/ Rīgas rajonā"/>
    <m/>
    <s v="katoli(ieti)"/>
    <m/>
    <s v="Jā"/>
    <s v="Nē"/>
    <s v="Nē"/>
    <s v="Nē"/>
    <s v="Nē"/>
    <s v="Nē"/>
    <s v="Nē"/>
    <s v="Jā"/>
    <s v="Nē"/>
    <s v="Nē"/>
    <s v="Nē"/>
    <s v="Nē"/>
    <s v="Nē"/>
    <s v="Nē"/>
    <s v="Nē"/>
    <s v="Nē"/>
    <s v="Jā"/>
    <s v="Nē"/>
    <s v="Nē"/>
    <s v="Nē"/>
    <s v="Nē"/>
    <s v="Nē"/>
    <s v="Jā"/>
    <s v="Nē"/>
    <s v="Nē"/>
    <s v="Nē"/>
    <s v="Nē"/>
    <s v="Nē"/>
    <m/>
    <m/>
    <m/>
    <m/>
    <m/>
    <m/>
    <s v="Lielākoties nevienlīdzīgi"/>
    <s v="Nevienlīdzīgi"/>
    <s v="Lielākoties vienlīdzīgi"/>
    <s v="Lielākoties 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Neinteresē"/>
    <s v="Viduvēji"/>
    <m/>
    <s v="Dzirdot vārdu populisms, man nāk prātā pasaules populācija."/>
    <s v="Jā"/>
    <s v="Nē"/>
    <s v="Jā"/>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90"/>
    <n v="95"/>
    <m/>
    <m/>
    <s v="Mazliet saspīlētas"/>
    <s v="Nav saspīlētas"/>
    <s v="Mazliet saspīlētas"/>
    <s v="(Gandrīz) nekad"/>
    <s v="(Gandrīz) nekad"/>
    <s v="(Gandrīz) nekad"/>
    <s v="(Gandrīz) nekad"/>
    <s v="(Gandrīz) nekad"/>
    <m/>
    <m/>
    <m/>
    <m/>
    <m/>
    <m/>
    <s v="nē"/>
    <s v="N/A"/>
    <s v="N/A"/>
    <s v="N/A"/>
    <s v="N/A"/>
    <s v="Jā"/>
    <s v="Nē"/>
    <s v="Jā"/>
    <s v="Nē"/>
    <s v="Jā"/>
    <s v="Nē"/>
    <s v="Nē"/>
    <s v="Nē"/>
    <s v="(gandrīz) katru dienu"/>
    <s v="(gandrīz) katru dienu"/>
    <s v="(gandrīz) katru dienu"/>
    <s v="(gandrīz) katru dienu"/>
    <s v="(gandrīz) katru dienu"/>
    <s v="(gandrīz) katru dienu"/>
    <s v="(gandrīz) katru dienu"/>
    <s v="(gandrīz) nekad"/>
    <s v="reizi nedēļā"/>
    <s v="(gandrīz) nekad"/>
    <s v="reizi nedēļā"/>
    <s v="(gandrīz) nekad"/>
    <s v="(gandrīz) nekad"/>
    <s v="(gandrīz) nekad"/>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labi"/>
    <s v="citreiz labi, citreiz slikti"/>
    <s v="citreiz labi, citreiz slikti"/>
    <s v="pamatizglītību"/>
    <m/>
    <s v="N/A"/>
    <s v="N/A"/>
    <s v="N/A"/>
    <s v="Jā"/>
    <s v="latviešu"/>
    <m/>
    <s v="latviešu"/>
    <m/>
    <s v="{if(is_empty(tongueLAT_SQ001.NAOK), 'latviski','krieviski')} nerunāju it nemaz."/>
    <s v="Spēju uzrakstīt vēstuli draugam."/>
    <s v="Saprotu norādes, kur iet."/>
    <s v="Krieviski/latviski spēju izlasīt ēdienkarti restorānā."/>
    <m/>
    <m/>
    <m/>
    <m/>
    <m/>
    <m/>
    <m/>
    <m/>
    <m/>
    <m/>
    <m/>
    <m/>
    <m/>
    <m/>
    <m/>
    <m/>
    <m/>
    <s v="N/A"/>
    <s v="N/A"/>
    <s v="N/A"/>
    <s v="N/A"/>
    <s v="N/A"/>
    <s v="N/A"/>
    <m/>
    <m/>
    <m/>
    <m/>
    <m/>
    <s v="Nē"/>
    <s v="Nē"/>
    <s v="Jā"/>
    <s v="Nē"/>
    <s v="Nē"/>
    <s v="Nē"/>
    <s v="Nē"/>
    <s v="Nē"/>
    <s v="Jā"/>
    <s v="Nē"/>
    <s v="Nē"/>
    <s v="Jā"/>
    <s v="Nē"/>
    <s v="Nē"/>
    <s v="Nē"/>
    <m/>
    <s v="Nē"/>
    <m/>
    <s v="Nē"/>
    <m/>
    <s v="Nē"/>
    <m/>
    <s v="Nē"/>
    <m/>
    <s v="Jā"/>
    <s v="Nē"/>
    <s v="Nē"/>
    <s v="Nē"/>
    <s v="Nē"/>
    <s v="Nē"/>
    <s v="Nē"/>
    <s v="Nē"/>
    <s v="Nē"/>
    <s v="Nē"/>
    <s v="Nē"/>
    <s v="Nē"/>
    <s v="Nē"/>
    <s v="Nē"/>
    <s v="Nē"/>
    <m/>
    <s v="Nē"/>
    <m/>
    <s v="Nē"/>
    <m/>
    <s v="Nē"/>
    <m/>
    <s v="Nē"/>
    <m/>
    <s v="Nē"/>
    <s v="Nē"/>
    <s v="Nē"/>
    <s v="Nē"/>
    <s v="Jā"/>
    <s v="Nē"/>
    <s v="Nē"/>
    <s v="Jā"/>
    <s v="Nē"/>
    <s v="Nē"/>
    <s v="Nē"/>
    <s v="Nē"/>
    <s v="Snapchat"/>
    <s v="Vai tiešām Latvijā valsts valoda ir igauņu/latviešu? Un būtu forši, ja ieliktu politisko terminu skaidrojumus, jo dažas no lapām pilnībā nesapratu."/>
    <m/>
    <m/>
    <m/>
    <m/>
    <m/>
    <m/>
    <m/>
    <m/>
    <m/>
    <m/>
    <m/>
  </r>
  <r>
    <x v="0"/>
    <n v="59"/>
    <s v="2023-04-24 07:29:50"/>
    <n v="14"/>
    <s v="lv"/>
    <n v="635843865"/>
    <s v="2023-04-24 07:10:56"/>
    <s v="2023-04-24 07:29:50"/>
    <s v="lapa"/>
    <n v="17"/>
    <s v="vīriešu"/>
    <m/>
    <x v="1"/>
    <x v="1"/>
    <x v="0"/>
    <x v="0"/>
    <x v="0"/>
    <x v="0"/>
    <s v="Vidzemē"/>
    <m/>
    <s v="ateistu(ti), nereliģiozu"/>
    <m/>
    <s v="Nē"/>
    <s v="Jā"/>
    <s v="Nē"/>
    <s v="Nē"/>
    <s v="Nē"/>
    <s v="Nē"/>
    <s v="Nē"/>
    <s v="Jā"/>
    <s v="Nē"/>
    <s v="Jā"/>
    <s v="Nē"/>
    <s v="Nē"/>
    <s v="Nē"/>
    <s v="Nē"/>
    <s v="N/A"/>
    <s v="N/A"/>
    <s v="N/A"/>
    <s v="N/A"/>
    <s v="N/A"/>
    <s v="N/A"/>
    <s v="Jā"/>
    <s v="Jā"/>
    <s v="Jā"/>
    <s v="Jā"/>
    <s v="Jā"/>
    <s v="Nē"/>
    <s v="Nē"/>
    <s v="Nē"/>
    <m/>
    <m/>
    <m/>
    <m/>
    <m/>
    <m/>
    <s v="Lielākoties vienlīdzīgi"/>
    <s v="Lielākoties nevienlīdzīgi"/>
    <s v="Lielākoties vienlīdzīgi"/>
    <s v="Vienlīdzīgi"/>
    <s v="Lielākoties nevienlīdzīgi"/>
    <s v="&quot;Latvija pirmajā vietā&quot;"/>
    <s v="nezinu"/>
    <s v="&quot;Latvija pirmajā vietā&quot;"/>
    <s v="&quot;Latvija pirmajā vietā&quot;"/>
    <s v="&quot;Latvija pirmajā vietā&quot;"/>
    <s v="nezinu"/>
    <s v="&quot;Latvija pirmajā vietā&quot;"/>
    <s v="Cīņai ar klimata pārmaiņām būtu jābūt vairumam pasaules valstu galvenajai prioritātei."/>
    <s v="jā, lielāko daļu no tā, ko iespējams šķirot"/>
    <s v="Zaļo un Zemnieku savienība"/>
    <s v="Jaunā Vienotība"/>
    <s v="nezinu"/>
    <s v="nezinu"/>
    <s v="&quot;Latvija pirmajā vietā&quot;"/>
    <s v="Zaļo un Zemnieku savienība"/>
    <s v="nezinu"/>
    <s v="nezinu"/>
    <s v="nezinu"/>
    <s v="&quot;Latvija pirmajā vietā&quot;"/>
    <s v="nezinu"/>
    <s v="nezinu"/>
    <s v="nezinu"/>
    <s v="&quot;Latvija pirmajā vietā&quot;"/>
    <s v="Viduvēji"/>
    <s v="Viduvēji"/>
    <s v="Ne sevišķi"/>
    <m/>
    <s v="Cilvēki, kas izmanto aktuālas problēmas lai iegūtu uzmanību, bet neveikt neko lai uzlabotu."/>
    <s v="Jā"/>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
    <n v="100"/>
    <m/>
    <m/>
    <s v="Mazliet saspīlētas"/>
    <s v="Nav saspīlētas"/>
    <s v="Nav saspīlētas"/>
    <s v="(Gandrīz) nekad"/>
    <s v="(Gandrīz) nekad"/>
    <s v="(Gandrīz) nekad"/>
    <s v="(Gandrīz) nekad"/>
    <s v="(Gandrīz) nekad"/>
    <m/>
    <m/>
    <m/>
    <m/>
    <m/>
    <m/>
    <s v="nē"/>
    <s v="N/A"/>
    <s v="N/A"/>
    <s v="N/A"/>
    <s v="N/A"/>
    <s v="Jā"/>
    <s v="Jā"/>
    <s v="Jā"/>
    <s v="Nē"/>
    <s v="Nē"/>
    <s v="Jā"/>
    <s v="Jā"/>
    <s v="Nē"/>
    <s v="(gandrīz) katru dienu"/>
    <s v="(gandrīz) katru dienu"/>
    <s v="(gandrīz) katru dienu"/>
    <s v="(gandrīz) katru dienu"/>
    <s v="(gandrīz) katru dienu"/>
    <s v="(gandrīz) katru dienu"/>
    <s v="(gandrīz) katru dienu"/>
    <s v="(gandrīz) nekad"/>
    <s v="(gandrīz) nekad"/>
    <s v="(gandrīz) nekad"/>
    <s v="pāris reižu mēnesī"/>
    <s v="(gandrīz) nekad"/>
    <s v="(gandrīz) nekad"/>
    <s v="(gandrīz) nekad"/>
    <s v="pilsoniskās brīvības (vārda brīvība, tiesības uz tiesisko aizsardzību)"/>
    <s v="vienlīdzīgas tiesības minoritātēm un ievainojamām sabiedrības grupām"/>
    <s v="brīvas vēlēšanas un plurālisms"/>
    <m/>
    <m/>
    <s v="labi"/>
    <s v="labi"/>
    <s v="citreiz labi, citreiz slikti"/>
    <s v="labi"/>
    <s v="labi"/>
    <s v="pamatizglītību"/>
    <m/>
    <s v="N/A"/>
    <s v="N/A"/>
    <s v="N/A"/>
    <s v="Jā"/>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Nē"/>
    <s v="Jā"/>
    <s v="Nē"/>
    <s v="Nē"/>
    <s v="Nē"/>
    <s v="Nē"/>
    <s v="Nē"/>
    <s v="Nē"/>
    <s v="Jā"/>
    <s v="Jā"/>
    <s v="Nē"/>
    <s v="Jā"/>
    <s v="Nē"/>
    <m/>
    <s v="Jā"/>
    <s v="TV6"/>
    <s v="Jā"/>
    <s v="Viasat kino"/>
    <s v="Nē"/>
    <m/>
    <s v="Nē"/>
    <m/>
    <s v="Jā"/>
    <s v="Nē"/>
    <s v="Nē"/>
    <s v="Jā"/>
    <s v="Nē"/>
    <s v="Nē"/>
    <s v="Nē"/>
    <s v="Nē"/>
    <s v="Nē"/>
    <s v="Nē"/>
    <s v="Nē"/>
    <s v="Nē"/>
    <s v="Nē"/>
    <s v="Nē"/>
    <s v="Nē"/>
    <m/>
    <s v="Nē"/>
    <m/>
    <s v="Jā"/>
    <s v="VLR, DotEsports"/>
    <s v="Nē"/>
    <m/>
    <s v="Nē"/>
    <m/>
    <s v="Nē"/>
    <s v="Jā"/>
    <s v="Nē"/>
    <s v="Nē"/>
    <s v="Jā"/>
    <s v="Nē"/>
    <s v="Nē"/>
    <s v="Jā"/>
    <s v="Jā"/>
    <s v="Nē"/>
    <s v="Jā"/>
    <s v="Nē"/>
    <m/>
    <m/>
    <m/>
    <m/>
    <m/>
    <m/>
    <m/>
    <m/>
    <m/>
    <m/>
    <m/>
    <m/>
    <m/>
  </r>
  <r>
    <x v="0"/>
    <n v="60"/>
    <s v="2023-04-24 07:28:53"/>
    <n v="14"/>
    <s v="lv"/>
    <n v="2052874004"/>
    <s v="2023-04-24 07:10:57"/>
    <s v="2023-04-24 07:28:53"/>
    <s v="lapa"/>
    <n v="18"/>
    <s v="vīriešu"/>
    <m/>
    <x v="1"/>
    <x v="1"/>
    <x v="0"/>
    <x v="0"/>
    <x v="0"/>
    <x v="0"/>
    <s v="Rīgā/ Rīgas rajonā"/>
    <m/>
    <s v="ateistu(ti), nereliģiozu"/>
    <m/>
    <s v="Nē"/>
    <s v="Jā"/>
    <s v="Jā"/>
    <s v="Nē"/>
    <s v="Nē"/>
    <s v="Nē"/>
    <s v="Nē"/>
    <s v="Jā"/>
    <s v="Nē"/>
    <s v="Nē"/>
    <s v="Nē"/>
    <s v="Nē"/>
    <s v="Jā"/>
    <s v="Nē"/>
    <s v="Nē"/>
    <s v="Jā"/>
    <s v="Nē"/>
    <s v="Nē"/>
    <s v="Jā"/>
    <s v="Jā"/>
    <s v="Nē"/>
    <s v="Jā"/>
    <s v="Jā"/>
    <s v="Jā"/>
    <s v="Jā"/>
    <s v="Jā"/>
    <s v="Jā"/>
    <s v="Nē"/>
    <m/>
    <m/>
    <m/>
    <m/>
    <m/>
    <m/>
    <s v="Lielākoties vienlīdzīgi"/>
    <s v="Lielākoties vienlīdzīgi"/>
    <s v="Lielākoties vienlīdzīgi"/>
    <s v="Lielākoties vienlīdzīgi"/>
    <s v="Lielākoties nevienlīdzīgi"/>
    <s v="&quot;Latvija pirmajā vietā&quot;"/>
    <s v="&quot;Progresīvie&quot;"/>
    <s v="&quot;Latvija pirmajā vietā&quot;"/>
    <s v="&quot;Latvija pirmajā vietā&quot;"/>
    <s v="&quot;Latvija pirmajā vietā&quot;"/>
    <s v="&quot;Progresīvie&quot;"/>
    <s v="&quot;Latvija pirmajā vietā&quot;"/>
    <s v="Cīņai ar klimata pārmaiņām būtu jābūt vairumam pasaules valstu galvenajai prioritātei."/>
    <s v="jā, lielāko daļu no tā, ko iespējams šķirot"/>
    <s v="nezinu"/>
    <s v="nezinu"/>
    <s v="nezinu"/>
    <s v="nezinu"/>
    <s v="nezinu"/>
    <s v="nezinu"/>
    <s v="nezinu"/>
    <s v="&quot;Progresīvie&quot;"/>
    <s v="&quot;Progresīvie&quot;"/>
    <s v="&quot;Latvija pirmajā vietā&quot;"/>
    <s v="Jaunā Vienotība"/>
    <s v="nezinu"/>
    <s v="Jaunā Vienotība"/>
    <s v="nezinu"/>
    <s v="Ārkārtīgi"/>
    <s v="Viduvēji"/>
    <s v="Neinteresē"/>
    <m/>
    <s v="Cilvēks, kas cenšās darīt visu spēkā, lai viņu ievēlētu, bet tas nenozīmē ka viņš arī kaut ko beigās darīs no solītā ar amatu."/>
    <s v="Jā"/>
    <s v="Nē"/>
    <s v="Nē"/>
    <s v="Jā"/>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0"/>
    <n v="100"/>
    <m/>
    <m/>
    <s v="Nav saspīlētas"/>
    <s v="Ļoti saspīlētas"/>
    <s v="Nav saspīlētas"/>
    <s v="(Gandrīz) nekad"/>
    <s v="(Gandrīz) nekad"/>
    <s v="(Gandrīz) nekad"/>
    <s v="(Gandrīz) nekad"/>
    <s v="(Gandrīz) nekad"/>
    <m/>
    <m/>
    <m/>
    <m/>
    <m/>
    <m/>
    <s v="jā, nevalstiskā organizācijā"/>
    <s v="N/A"/>
    <s v="N/A"/>
    <s v="N/A"/>
    <s v="Jā"/>
    <s v="N/A"/>
    <s v="N/A"/>
    <s v="N/A"/>
    <s v="Jā"/>
    <s v="Jā"/>
    <s v="Nē"/>
    <s v="Jā"/>
    <s v="Nē"/>
    <s v="(gandrīz) katru dienu"/>
    <s v="(gandrīz) katru dienu"/>
    <s v="(gandrīz) katru dienu"/>
    <s v="(gandrīz) katru dienu"/>
    <s v="(gandrīz) katru dienu"/>
    <s v="(gandrīz) katru dienu"/>
    <s v="(gandrīz) katru dienu"/>
    <s v="pāris reižu mēnesī"/>
    <s v="pāris reižu nedēļā"/>
    <s v="(gandrīz) nekad"/>
    <s v="pāris reižu mēnesī"/>
    <s v="(gandrīz) nekad"/>
    <s v="(gandrīz) nekad"/>
    <s v="(gandrīz) nekad"/>
    <s v="vienlīdz pieejama izglītība, veselības aprūpe, sociālais nodrošinājums"/>
    <s v="pilsoniskās brīvības (vārda brīvība, tiesības uz tiesisko aizsardzību)"/>
    <s v="brīvas vēlēšanas un plurālisms"/>
    <m/>
    <m/>
    <s v="nezinu"/>
    <s v="nezinu"/>
    <s v="nezinu"/>
    <s v="nezinu"/>
    <s v="nezinu"/>
    <s v="pamatizglītību"/>
    <m/>
    <s v="N/A"/>
    <s v="N/A"/>
    <s v="N/A"/>
    <s v="Jā"/>
    <s v="latviešu"/>
    <m/>
    <s v="vidusskolā neesmu gājis"/>
    <m/>
    <s v="Spēju ilgstoši sarunāties ar vienaudžiem/piedalīties darba pārrunās."/>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Nē"/>
    <s v="Nē"/>
    <s v="Jā"/>
    <m/>
    <s v="Nē"/>
    <m/>
    <s v="Nē"/>
    <m/>
    <s v="Nē"/>
    <m/>
    <s v="Nē"/>
    <m/>
    <s v="Nē"/>
    <s v="Jā"/>
    <s v="Nē"/>
    <s v="Nē"/>
    <s v="Jā"/>
    <s v="Nē"/>
    <s v="Nē"/>
    <s v="Jā"/>
    <s v="Jā"/>
    <s v="Nē"/>
    <s v="Jā"/>
    <s v="Nē"/>
    <m/>
    <s v="Atvainojos par faktu ka esmu stulbs un neiesaistos pietiekami politikā."/>
    <m/>
    <m/>
    <m/>
    <m/>
    <m/>
    <m/>
    <m/>
    <m/>
    <m/>
    <m/>
    <m/>
  </r>
  <r>
    <x v="0"/>
    <n v="61"/>
    <s v="2023-04-24 07:44:31"/>
    <n v="14"/>
    <s v="ru"/>
    <n v="197550857"/>
    <s v="2023-04-24 07:10:58"/>
    <s v="2023-04-24 07:44:31"/>
    <s v="lapa"/>
    <n v="17"/>
    <s v="vīriešu"/>
    <m/>
    <x v="0"/>
    <x v="0"/>
    <x v="0"/>
    <x v="0"/>
    <x v="0"/>
    <x v="0"/>
    <s v="Rīgā/ Rīgas rajonā"/>
    <m/>
    <s v="pareizticīgo"/>
    <m/>
    <s v="Jā"/>
    <s v="Jā"/>
    <s v="Nē"/>
    <s v="Nē"/>
    <s v="Nē"/>
    <s v="Nē"/>
    <s v="Nē"/>
    <s v="Nē"/>
    <s v="Jā"/>
    <s v="Nē"/>
    <s v="Nē"/>
    <s v="Nē"/>
    <s v="Jā"/>
    <s v="Nē"/>
    <s v="Jā"/>
    <s v="Nē"/>
    <s v="Nē"/>
    <s v="Nē"/>
    <s v="Nē"/>
    <s v="Nē"/>
    <s v="Nē"/>
    <s v="Nē"/>
    <s v="Jā"/>
    <s v="Jā"/>
    <s v="Nē"/>
    <s v="Nē"/>
    <s v="Nē"/>
    <s v="Nē"/>
    <m/>
    <m/>
    <m/>
    <m/>
    <m/>
    <m/>
    <s v="Lielākoties vienlīdzīgi"/>
    <s v="Lielākoties vienlīdzīgi"/>
    <s v="Vienlīdzīgi"/>
    <s v="Vienlīdzīgi"/>
    <s v="Lielākoties nevienlīdzīgi"/>
    <s v="Zaļo un Zemnieku savienība"/>
    <s v="Jaunā Vienotība"/>
    <s v="Politiskā partija &quot;Stabilitātei&quot;"/>
    <s v="Nacionālā Apvienība"/>
    <s v="&quot;Apvienotais saraksts&quot;"/>
    <s v="&quot;Progresīvie&quot;"/>
    <s v="&quot;Latvija pirmajā vietā&quot;"/>
    <s v="Reizēm ekonomiskā un valsts stabilitāte varētu nozīmēt, ka atsevišķi ekoloģiskās politikas aspekti ir uz brīdi jāiepauzē."/>
    <s v="jā, daļu no tā, ko iespējams šķirot"/>
    <s v="&quot;Apvienotais saraksts&quot;"/>
    <s v="Jaunā Vienotība"/>
    <s v="&quot;Progresīvie&quot;"/>
    <s v="&quot;Latvija pirmajā vietā&quot;"/>
    <s v="Politiskā partija &quot;Stabilitātei&quot;"/>
    <s v="Zaļo un Zemnieku savienība"/>
    <s v="Nacionālā Apvienība"/>
    <s v="Nacionālā Apvienība"/>
    <s v="&quot;Apvienotais saraksts&quot;"/>
    <s v="&quot;Latvija pirmajā vietā&quot;"/>
    <s v="Politiskā partija &quot;Stabilitātei&quot;"/>
    <s v="Jaunā Vienotība"/>
    <s v="Zaļo un Zemnieku savienība"/>
    <s v="&quot;Progresīvie&quot;"/>
    <s v="Ārkārtīgi"/>
    <s v="Ne sevišķi"/>
    <s v="Ļoti"/>
    <m/>
    <s v="Politika kurā grib risināt problēmas isākā laikā"/>
    <s v="Nē"/>
    <s v="Nē"/>
    <s v="Jā"/>
    <s v="Nē"/>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5"/>
    <n v="40"/>
    <n v="100"/>
    <n v="55"/>
    <s v="Mazliet saspīlētas"/>
    <s v="Mazliet saspīlētas"/>
    <s v="Nav saspīlētas"/>
    <m/>
    <m/>
    <m/>
    <m/>
    <m/>
    <s v="Reti"/>
    <s v="Dažreiz"/>
    <s v="Reti"/>
    <s v="Reti"/>
    <s v="Dažreiz"/>
    <m/>
    <s v="jā, nevalstiskā organizācijā"/>
    <s v="N/A"/>
    <s v="N/A"/>
    <s v="N/A"/>
    <s v="Jā"/>
    <s v="N/A"/>
    <s v="N/A"/>
    <s v="N/A"/>
    <s v="Jā"/>
    <s v="Nē"/>
    <s v="Jā"/>
    <s v="Nē"/>
    <s v="Nē"/>
    <s v="(gandrīz) nekad"/>
    <s v="pāris reižu nedēļā"/>
    <s v="(gandrīz) katru dienu"/>
    <s v="pāris reižu nedēļā"/>
    <s v="(gandrīz) katru dienu"/>
    <s v="(gandrīz) katru dienu"/>
    <s v="pāris reižu nedēļā"/>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labi"/>
    <s v="labi"/>
    <s v="citreiz labi, citreiz slikti"/>
    <s v="citreiz labi, citreiz slikti"/>
    <s v="citreiz labi, citreiz slikti"/>
    <s v="pamatizglītību"/>
    <m/>
    <s v="N/A"/>
    <s v="N/A"/>
    <s v="N/A"/>
    <s v="Jā"/>
    <s v="vienlīdz latviešu un 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Nē"/>
    <s v="Nē"/>
    <s v="Jā"/>
    <m/>
    <s v="Nē"/>
    <m/>
    <s v="Nē"/>
    <m/>
    <s v="Nē"/>
    <m/>
    <s v="Nē"/>
    <m/>
    <s v="Jā"/>
    <s v="Jā"/>
    <s v="Jā"/>
    <s v="Nē"/>
    <s v="Jā"/>
    <s v="Jā"/>
    <s v="Nē"/>
    <s v="Jā"/>
    <s v="Nē"/>
    <s v="Nē"/>
    <s v="Nē"/>
    <s v="Nē"/>
    <m/>
    <m/>
    <m/>
    <m/>
    <m/>
    <m/>
    <m/>
    <m/>
    <m/>
    <m/>
    <m/>
    <m/>
    <m/>
  </r>
  <r>
    <x v="0"/>
    <n v="62"/>
    <s v="2023-04-24 07:26:10"/>
    <n v="14"/>
    <s v="lv"/>
    <n v="477700321"/>
    <s v="2023-04-24 07:10:59"/>
    <s v="2023-04-24 07:26:10"/>
    <s v="lapa"/>
    <n v="18"/>
    <s v="vīriešu"/>
    <m/>
    <x v="1"/>
    <x v="1"/>
    <x v="0"/>
    <x v="0"/>
    <x v="0"/>
    <x v="0"/>
    <s v="Vidzemē"/>
    <m/>
    <s v="ateistu(ti), nereliģiozu"/>
    <m/>
    <s v="Jā"/>
    <s v="Jā"/>
    <s v="Nē"/>
    <s v="Nē"/>
    <s v="Nē"/>
    <s v="Nē"/>
    <s v="Nē"/>
    <s v="Jā"/>
    <s v="Jā"/>
    <s v="Nē"/>
    <s v="Jā"/>
    <s v="Jā"/>
    <s v="Nē"/>
    <s v="Nē"/>
    <s v="N/A"/>
    <s v="N/A"/>
    <s v="N/A"/>
    <s v="N/A"/>
    <s v="N/A"/>
    <s v="N/A"/>
    <s v="Jā"/>
    <s v="Jā"/>
    <s v="Jā"/>
    <s v="Jā"/>
    <s v="Nē"/>
    <s v="Nē"/>
    <s v="Nē"/>
    <s v="Nē"/>
    <m/>
    <m/>
    <m/>
    <m/>
    <m/>
    <m/>
    <s v="Lielākoties vienlīdzīgi"/>
    <s v="Lielākoties vienlīdzīgi"/>
    <s v="Lielākoties vienlīdzīgi"/>
    <s v="Lielākoties vienlīdzīgi"/>
    <s v="Lielākoties vienlīdzīgi"/>
    <s v="nezinu"/>
    <s v="nezinu"/>
    <s v="nezinu"/>
    <s v="&quot;Latvija pirmajā vietā&quot;"/>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Viduvēji"/>
    <s v="Ne sevišķi"/>
    <s v="Viduvēji"/>
    <m/>
    <s v="nezinu"/>
    <s v="Jā"/>
    <s v="Nē"/>
    <s v="Jā"/>
    <s v="Nē"/>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80"/>
    <n v="100"/>
    <m/>
    <m/>
    <s v="Mazliet saspīlētas"/>
    <s v="Nav saspīlētas"/>
    <s v="Nav saspīlētas"/>
    <s v="(Gandrīz) nekad"/>
    <s v="(Gandrīz) nekad"/>
    <s v="(Gandrīz) nekad"/>
    <s v="(Gandrīz) nekad"/>
    <s v="(Gandrīz) nekad"/>
    <m/>
    <m/>
    <m/>
    <m/>
    <m/>
    <m/>
    <s v="nē"/>
    <s v="N/A"/>
    <s v="N/A"/>
    <s v="N/A"/>
    <s v="N/A"/>
    <s v="N/A"/>
    <s v="N/A"/>
    <s v="N/A"/>
    <s v="Jā"/>
    <s v="Jā"/>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ienlīdz pieejama izglītība, veselības aprūpe, sociālais nodrošinājums"/>
    <m/>
    <m/>
    <s v="labi"/>
    <s v="ļoti labi"/>
    <s v="ļoti labi"/>
    <s v="citreiz labi, citreiz slikti"/>
    <s v="labi"/>
    <s v="pamatizglītību"/>
    <m/>
    <s v="N/A"/>
    <s v="N/A"/>
    <s v="N/A"/>
    <s v="Jā"/>
    <s v="latviešu"/>
    <m/>
    <s v="latviešu"/>
    <m/>
    <s v="{if(is_empty(tongueLAT_SQ001.NAOK), 'latviski','krieviski')} nerunāju it nemaz."/>
    <s v="Spēju uzrakstīt vēstuli draugam."/>
    <s v="{if(is_empty(tongueLAT_SQ001.NAOK), 'latviešu','krievu')} valodu nesaprotu vispār."/>
    <s v="Krieviski/latviski spēju izlasīt ēdienkarti restorānā."/>
    <m/>
    <m/>
    <m/>
    <m/>
    <m/>
    <m/>
    <m/>
    <m/>
    <m/>
    <m/>
    <m/>
    <m/>
    <m/>
    <m/>
    <m/>
    <m/>
    <m/>
    <s v="N/A"/>
    <s v="N/A"/>
    <s v="N/A"/>
    <s v="N/A"/>
    <s v="N/A"/>
    <s v="N/A"/>
    <m/>
    <m/>
    <m/>
    <m/>
    <m/>
    <s v="Nē"/>
    <s v="Nē"/>
    <s v="Nē"/>
    <s v="Jā"/>
    <s v="Nē"/>
    <s v="Nē"/>
    <s v="Nē"/>
    <s v="Nē"/>
    <s v="Jā"/>
    <s v="Nē"/>
    <s v="Jā"/>
    <s v="Jā"/>
    <s v="Nē"/>
    <s v="Nē"/>
    <s v="Nē"/>
    <m/>
    <s v="Nē"/>
    <m/>
    <s v="Nē"/>
    <m/>
    <s v="Nē"/>
    <m/>
    <s v="Nē"/>
    <m/>
    <s v="Nē"/>
    <s v="Nē"/>
    <s v="Nē"/>
    <s v="Nē"/>
    <s v="Nē"/>
    <s v="Nē"/>
    <s v="Nē"/>
    <s v="Nē"/>
    <s v="Nē"/>
    <s v="Nē"/>
    <s v="Nē"/>
    <s v="Jā"/>
    <s v="Nē"/>
    <s v="Nē"/>
    <s v="Nē"/>
    <m/>
    <s v="Nē"/>
    <m/>
    <s v="Nē"/>
    <m/>
    <s v="Nē"/>
    <m/>
    <s v="Nē"/>
    <m/>
    <s v="Nē"/>
    <s v="Jā"/>
    <s v="Nē"/>
    <s v="Nē"/>
    <s v="Jā"/>
    <s v="Nē"/>
    <s v="Nē"/>
    <s v="Jā"/>
    <s v="Jā"/>
    <s v="Nē"/>
    <s v="Nē"/>
    <s v="Nē"/>
    <m/>
    <s v="Kāpēc pie jautājumiem par krievu valodas prasmi bija rakstīts ka Latvijā valsts valodas ir igauņu/latviešu?"/>
    <m/>
    <m/>
    <m/>
    <m/>
    <m/>
    <m/>
    <m/>
    <m/>
    <m/>
    <m/>
    <m/>
  </r>
  <r>
    <x v="0"/>
    <n v="63"/>
    <s v="2023-04-24 07:34:51"/>
    <n v="14"/>
    <s v="lv"/>
    <n v="1082704457"/>
    <s v="2023-04-24 07:10:59"/>
    <s v="2023-04-24 07:34:51"/>
    <s v="lapa"/>
    <n v="21"/>
    <s v="vīriešu"/>
    <m/>
    <x v="1"/>
    <x v="1"/>
    <x v="0"/>
    <x v="0"/>
    <x v="0"/>
    <x v="0"/>
    <s v="Vidzemē"/>
    <m/>
    <s v="katoli(ieti)"/>
    <m/>
    <s v="Jā"/>
    <s v="Nē"/>
    <s v="Nē"/>
    <s v="Nē"/>
    <s v="Nē"/>
    <s v="Nē"/>
    <s v="Nē"/>
    <s v="Nē"/>
    <s v="Jā"/>
    <s v="Nē"/>
    <s v="Nē"/>
    <s v="Nē"/>
    <s v="Nē"/>
    <s v="Nē"/>
    <s v="Nē"/>
    <s v="Jā"/>
    <s v="Nē"/>
    <s v="Nē"/>
    <s v="Jā"/>
    <s v="Nē"/>
    <s v="Nē"/>
    <s v="N/A"/>
    <s v="N/A"/>
    <s v="N/A"/>
    <s v="N/A"/>
    <s v="N/A"/>
    <s v="N/A"/>
    <s v="Jā"/>
    <m/>
    <m/>
    <m/>
    <m/>
    <m/>
    <m/>
    <s v="Lielākoties nevienlīdzīgi"/>
    <s v="Lielākoties vienlīdzīgi"/>
    <s v="Lielākoties nevienlīdzīgi"/>
    <s v="Lielākoties nevienlīdzīgi"/>
    <s v="Nevienlīdzīgi"/>
    <s v="Jaunā Vienotība"/>
    <s v="&quot;Apvienotais saraksts&quot;"/>
    <s v="nezinu"/>
    <s v="nezinu"/>
    <s v="Nacionālā Apvienība"/>
    <s v="nezinu"/>
    <s v="nezinu"/>
    <s v="Reizēm ekonomiskā un valsts stabilitāte varētu nozīmēt, ka atsevišķi ekoloģiskās politikas aspekti ir uz brīdi jāiepauzē."/>
    <s v="jā, daļu no tā, ko iespējams šķirot"/>
    <s v="nezinu"/>
    <s v="nezinu"/>
    <s v="nezinu"/>
    <s v="nezinu"/>
    <s v="nezinu"/>
    <s v="nezinu"/>
    <s v="nezinu"/>
    <s v="Jaunā Vienotība"/>
    <s v="nezinu"/>
    <s v="Nacionālā Apvienība"/>
    <s v="nezinu"/>
    <s v="nezinu"/>
    <s v="Jaunā Vienotība"/>
    <s v="&quot;Progresīvie&quot;"/>
    <s v="Ne sevišķi"/>
    <s v="Neinteresē"/>
    <s v="Ļoti"/>
    <m/>
    <s v="manās domās vārds &quot;Populisms&quot; nozīmē &quot;radikālas lietas kā nedemokrātiskas ideoloģijas kuras iet pret brīvību un tiesībām&quot; un &quot;daļēji autoritāri režīmi&quot; !"/>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0"/>
    <n v="100"/>
    <m/>
    <m/>
    <s v="Nav saspīlētas"/>
    <s v="Nav saspīlētas"/>
    <s v="Nav saspīlētas"/>
    <s v="(Gandrīz) nekad"/>
    <s v="(Gandrīz) nekad"/>
    <s v="(Gandrīz) nekad"/>
    <s v="(Gandrīz) nekad"/>
    <s v="(Gandrīz) nekad"/>
    <m/>
    <m/>
    <m/>
    <m/>
    <m/>
    <m/>
    <s v="nē"/>
    <s v="N/A"/>
    <s v="N/A"/>
    <s v="N/A"/>
    <s v="N/A"/>
    <s v="N/A"/>
    <s v="N/A"/>
    <s v="N/A"/>
    <s v="Jā"/>
    <s v="N/A"/>
    <s v="N/A"/>
    <s v="N/A"/>
    <s v="Jā"/>
    <s v="(gandrīz) katru dienu"/>
    <s v="(gandrīz) katru dienu"/>
    <s v="(gandrīz) katru dienu"/>
    <s v="pāris reižu nedēļā"/>
    <s v="(gandrīz) katru dienu"/>
    <s v="(gandrīz) katru dienu"/>
    <s v="(gandrīz) katru dienu"/>
    <s v="(gandrīz) nekad"/>
    <s v="(gandrīz) nekad"/>
    <s v="(gandrīz) nekad"/>
    <s v="reizi nedēļā"/>
    <s v="(gandrīz) nekad"/>
    <s v="(gandrīz) nekad"/>
    <s v="(gandrīz) nekad"/>
    <s v="pilsoniskās brīvības (vārda brīvība, tiesības uz tiesisko aizsardzību)"/>
    <s v="varas līdzsvars starp parlamentu, prezidentu un tiesām, lai neviena no institūcijām nespētu sevī koncentrēt lielāko daļu varas"/>
    <s v="brīvas vēlēšanas un plurālisms"/>
    <m/>
    <m/>
    <s v="citreiz labi, citreiz slikti"/>
    <s v="citreiz labi, citreiz slikti"/>
    <s v="labi"/>
    <s v="labi"/>
    <s v="citreiz labi, citreiz slikti"/>
    <s v="pamatizglītību"/>
    <m/>
    <s v="N/A"/>
    <s v="N/A"/>
    <s v="N/A"/>
    <s v="Jā"/>
    <s v="latviešu"/>
    <m/>
    <s v="latviešu"/>
    <m/>
    <s v="{if(is_empty(tongueLAT_SQ001.NAOK), 'latviski','krieviski')} nerunāju it nemaz."/>
    <s v="{if(is_empty(tongueLAT_SQ001.NAOK), 'latviski','krieviski')} nemāku rakstīt."/>
    <s v="Saprotu norādes, kur iet."/>
    <s v="Spēju izlasīt avīzi/īsstāstus."/>
    <m/>
    <m/>
    <m/>
    <m/>
    <m/>
    <m/>
    <m/>
    <m/>
    <m/>
    <m/>
    <m/>
    <m/>
    <m/>
    <m/>
    <m/>
    <m/>
    <m/>
    <s v="N/A"/>
    <s v="N/A"/>
    <s v="N/A"/>
    <s v="N/A"/>
    <s v="N/A"/>
    <s v="N/A"/>
    <m/>
    <m/>
    <m/>
    <m/>
    <m/>
    <s v="Nē"/>
    <s v="Nē"/>
    <s v="Jā"/>
    <s v="Jā"/>
    <s v="Nē"/>
    <s v="Nē"/>
    <s v="Nē"/>
    <s v="Nē"/>
    <s v="Nē"/>
    <s v="Nē"/>
    <s v="Nē"/>
    <s v="Jā"/>
    <s v="Nē"/>
    <s v="Nē"/>
    <s v="Nē"/>
    <m/>
    <s v="Jā"/>
    <s v="TV24"/>
    <s v="Nē"/>
    <m/>
    <s v="Nē"/>
    <m/>
    <s v="Nē"/>
    <m/>
    <s v="Nē"/>
    <s v="Nē"/>
    <s v="Nē"/>
    <s v="Jā"/>
    <s v="Nē"/>
    <s v="Nē"/>
    <s v="Nē"/>
    <s v="Nē"/>
    <s v="Nē"/>
    <s v="Nē"/>
    <s v="Nē"/>
    <s v="Jā"/>
    <s v="Nē"/>
    <s v="Nē"/>
    <s v="Nē"/>
    <m/>
    <s v="Nē"/>
    <m/>
    <s v="Jā"/>
    <s v="BBC."/>
    <s v="Nē"/>
    <m/>
    <s v="Nē"/>
    <m/>
    <s v="Nē"/>
    <s v="Nē"/>
    <s v="Nē"/>
    <s v="Nē"/>
    <s v="Jā"/>
    <s v="Nē"/>
    <s v="Nē"/>
    <s v="Jā"/>
    <s v="Nē"/>
    <s v="Nē"/>
    <s v="Jā"/>
    <s v="Nē"/>
    <m/>
    <s v="paldies par šo aptauju bet man nav domu ko izteikt!"/>
    <m/>
    <m/>
    <m/>
    <m/>
    <m/>
    <m/>
    <m/>
    <m/>
    <m/>
    <m/>
    <m/>
  </r>
  <r>
    <x v="0"/>
    <n v="64"/>
    <s v="2023-04-24 07:41:35"/>
    <n v="14"/>
    <s v="ru"/>
    <n v="30245957"/>
    <s v="2023-04-24 07:11:02"/>
    <s v="2023-04-24 07:41:35"/>
    <s v="ветка"/>
    <n v="18"/>
    <s v="vīriešu"/>
    <m/>
    <x v="1"/>
    <x v="0"/>
    <x v="0"/>
    <x v="0"/>
    <x v="0"/>
    <x v="0"/>
    <s v="Cita atbilde"/>
    <s v="Jaunmarupe"/>
    <s v="ateistu(ti), nereliģiozu"/>
    <m/>
    <s v="Nē"/>
    <s v="Jā"/>
    <s v="Nē"/>
    <s v="Nē"/>
    <s v="Nē"/>
    <s v="Nē"/>
    <s v="Nē"/>
    <s v="Nē"/>
    <s v="Nē"/>
    <s v="Nē"/>
    <s v="Nē"/>
    <s v="Jā"/>
    <s v="Nē"/>
    <s v="Nē"/>
    <s v="Nē"/>
    <s v="Nē"/>
    <s v="Jā"/>
    <s v="Nē"/>
    <s v="Nē"/>
    <s v="Nē"/>
    <s v="Nē"/>
    <s v="Jā"/>
    <s v="Nē"/>
    <s v="Nē"/>
    <s v="Nē"/>
    <s v="Nē"/>
    <s v="Nē"/>
    <s v="Nē"/>
    <m/>
    <m/>
    <m/>
    <m/>
    <m/>
    <m/>
    <s v="Lielākoties vienlīdzīgi"/>
    <s v="Vienlīdzīgi"/>
    <s v="Vienlīdzīgi"/>
    <s v="Vienlīdzīgi"/>
    <s v="Lielākoties vienlīdzīgi"/>
    <s v="&quot;Latvija pirmajā vietā&quot;"/>
    <s v="Nacionālā Apvienība"/>
    <s v="Jaunā Vienotība"/>
    <s v="&quot;Apvienotais saraksts&quot;"/>
    <s v="Zaļo un Zemnieku savienība"/>
    <s v="&quot;Progresīvie&quot;"/>
    <s v="Politiskā partija &quot;Stabilitātei&quot;"/>
    <s v="Klimata pārmaiņas – tas ir ciklisks un dabisks process."/>
    <s v="jā, visu, ko iespējams šķirot"/>
    <s v="Jaunā Vienotība"/>
    <s v="Jaunā Vienotība"/>
    <s v="Zaļo un Zemnieku savienība"/>
    <s v="Politiskā partija &quot;Stabilitātei&quot;"/>
    <s v="&quot;Apvienotais saraksts&quot;"/>
    <s v="Zaļo un Zemnieku savienība"/>
    <s v="&quot;Latvija pirmajā vietā&quot;"/>
    <s v="&quot;Progresīvie&quot;"/>
    <s v="Jaunā Vienotība"/>
    <s v="Politiskā partija &quot;Stabilitātei&quot;"/>
    <s v="Nacionālā Apvienība"/>
    <s v="&quot;Latvija pirmajā vietā&quot;"/>
    <s v="&quot;Apvienotais saraksts&quot;"/>
    <s v="Zaļo un Zemnieku savienība"/>
    <s v="Ne sevišķi"/>
    <s v="Ne sevišķi"/>
    <s v="Ne sevišķi"/>
    <m/>
    <s v="Cilveks, kas manipulē ar parasto tautu, lietojot tēmas, kas ir tai interesentākas."/>
    <s v="Nē"/>
    <s v="Nē"/>
    <s v="Jā"/>
    <s v="Nē"/>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
    <n v="25"/>
    <n v="45"/>
    <n v="70"/>
    <s v="Drīzāk saspīlētas"/>
    <s v="Drīzāk saspīlētas"/>
    <s v="Es nezinu"/>
    <m/>
    <m/>
    <m/>
    <m/>
    <m/>
    <s v="(Gandrīz) nekad"/>
    <s v="Reti"/>
    <s v="(Gandrīz) nekad"/>
    <s v="(Gandrīz) nekad"/>
    <s v="Reti"/>
    <m/>
    <s v="jā, nevalstiskā organizācijā"/>
    <s v="N/A"/>
    <s v="N/A"/>
    <s v="N/A"/>
    <s v="Jā"/>
    <s v="Jā"/>
    <s v="Nē"/>
    <s v="Jā"/>
    <s v="Nē"/>
    <s v="Jā"/>
    <s v="Nē"/>
    <s v="Nē"/>
    <s v="Nē"/>
    <s v="(gandrīz) nekad"/>
    <s v="reizi nedēļā"/>
    <s v="pāris reižu nedēļā"/>
    <s v="(gandrīz) nekad"/>
    <s v="(gandrīz) nekad"/>
    <s v="(gandrīz) nekad"/>
    <s v="(gandrīz) katru dienu"/>
    <s v="(gandrīz) katru dienu"/>
    <s v="(gandrīz) katru dienu"/>
    <s v="(gandrīz) katru dienu"/>
    <s v="(gandrīz) katru dienu"/>
    <s v="(gandrīz) katru dienu"/>
    <s v="(gandrīz) katru dienu"/>
    <s v="pāris reižu mēnesī"/>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labi"/>
    <s v="ļoti labi"/>
    <s v="ļoti labi"/>
    <s v="labi"/>
    <s v="labi"/>
    <s v="pamatizglītību"/>
    <m/>
    <s v="N/A"/>
    <s v="N/A"/>
    <s v="N/A"/>
    <s v="Jā"/>
    <s v="Cita atbilde"/>
    <s v="70% krievu, 30% latviesu"/>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Jā"/>
    <s v="Nē"/>
    <s v="Nē"/>
    <s v="Nē"/>
    <s v="Jā"/>
    <s v="Nē"/>
    <s v="Nē"/>
    <s v="Jā"/>
    <s v="Jā"/>
    <s v="Nē"/>
    <s v="Nē"/>
    <s v="Nē"/>
    <s v="Nē"/>
    <m/>
    <s v="Nē"/>
    <m/>
    <s v="Nē"/>
    <m/>
    <s v="Nē"/>
    <m/>
    <s v="Nē"/>
    <m/>
    <s v="Nē"/>
    <s v="Nē"/>
    <s v="Nē"/>
    <s v="Nē"/>
    <s v="Nē"/>
    <s v="Nē"/>
    <s v="Nē"/>
    <s v="Nē"/>
    <s v="Nē"/>
    <s v="Nē"/>
    <s v="Nē"/>
    <s v="Jā"/>
    <s v="Jā"/>
    <s v="Nē"/>
    <s v="Jā"/>
    <m/>
    <s v="Nē"/>
    <m/>
    <s v="Nē"/>
    <m/>
    <s v="Nē"/>
    <m/>
    <s v="Nē"/>
    <m/>
    <s v="Jā"/>
    <s v="Nē"/>
    <s v="Nē"/>
    <s v="Jā"/>
    <s v="Jā"/>
    <s v="Jā"/>
    <s v="Nē"/>
    <s v="Jā"/>
    <s v="Nē"/>
    <s v="Nē"/>
    <s v="Nē"/>
    <s v="Nē"/>
    <m/>
    <s v="chto za tjagi takie berhatnije_x000a_Kefteme"/>
    <m/>
    <m/>
    <m/>
    <m/>
    <m/>
    <m/>
    <m/>
    <m/>
    <m/>
    <m/>
    <m/>
  </r>
  <r>
    <x v="0"/>
    <n v="65"/>
    <s v="2023-04-24 07:37:49"/>
    <n v="14"/>
    <s v="lv"/>
    <n v="431069791"/>
    <s v="2023-04-24 07:11:02"/>
    <s v="2023-04-24 07:37:49"/>
    <s v="lapa"/>
    <n v="18"/>
    <s v="vīriešu"/>
    <m/>
    <x v="1"/>
    <x v="1"/>
    <x v="0"/>
    <x v="0"/>
    <x v="0"/>
    <x v="0"/>
    <s v="Kurzemē"/>
    <m/>
    <s v="pareizticīgo"/>
    <m/>
    <s v="Nē"/>
    <s v="Nē"/>
    <s v="Jā"/>
    <s v="Nē"/>
    <s v="Jā"/>
    <s v="Nē"/>
    <s v="Nē"/>
    <s v="Nē"/>
    <s v="Jā"/>
    <s v="Jā"/>
    <s v="Nē"/>
    <s v="Jā"/>
    <s v="Jā"/>
    <s v="Nē"/>
    <s v="Nē"/>
    <s v="Jā"/>
    <s v="Nē"/>
    <s v="Nē"/>
    <s v="Jā"/>
    <s v="Jā"/>
    <s v="Nē"/>
    <s v="Jā"/>
    <s v="Jā"/>
    <s v="Jā"/>
    <s v="Nē"/>
    <s v="Jā"/>
    <s v="Nē"/>
    <s v="Nē"/>
    <m/>
    <m/>
    <m/>
    <m/>
    <m/>
    <m/>
    <s v="Lielākoties vienlīdzīgi"/>
    <s v="Lielākoties nevienlīdzīgi"/>
    <s v="Lielākoties nevienlīdzīgi"/>
    <s v="Lielākoties nevienlīdzīgi"/>
    <s v="Vienlīdzīgi"/>
    <s v="nezinu"/>
    <s v="nezinu"/>
    <s v="nezinu"/>
    <s v="nezinu"/>
    <s v="nezinu"/>
    <s v="nezinu"/>
    <s v="nezinu"/>
    <s v="Cīņai ar klimata pārmaiņām būtu jābūt vairumam pasaules valstu galvenajai prioritātei."/>
    <s v="jā, lielāko daļu no tā, ko iespējams šķirot"/>
    <s v="Politiskā partija &quot;Stabilitātei&quot;"/>
    <s v="nezinu"/>
    <s v="&quot;Apvienotais saraksts&quot;"/>
    <s v="Zaļo un Zemnieku savienība"/>
    <s v="&quot;Latvija pirmajā vietā&quot;"/>
    <s v="Nacionālā Apvienība"/>
    <s v="Politiskā partija &quot;Stabilitātei&quot;"/>
    <s v="&quot;Latvija pirmajā vietā&quot;"/>
    <s v="&quot;Progresīvie&quot;"/>
    <s v="&quot;Latvija pirmajā vietā&quot;"/>
    <s v="&quot;Progresīvie&quot;"/>
    <s v="Politiskā partija &quot;Stabilitātei&quot;"/>
    <s v="Nacionālā Apvienība"/>
    <s v="Jaunā Vienotība"/>
    <s v="Ārkārtīgi"/>
    <s v="Neinteresē"/>
    <s v="Neinteresē"/>
    <m/>
    <s v="Es nezinu."/>
    <s v="Jā"/>
    <s v="Jā"/>
    <s v="Jā"/>
    <s v="Jā"/>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65"/>
    <n v="50"/>
    <m/>
    <m/>
    <s v="Mazliet saspīlētas"/>
    <s v="Nav saspīlētas"/>
    <s v="Mazliet saspīlētas"/>
    <s v="(Gandrīz) nekad"/>
    <s v="(Gandrīz) nekad"/>
    <s v="(Gandrīz) nekad"/>
    <s v="(Gandrīz) nekad"/>
    <s v="(Gandrīz) nekad"/>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reizi nedēļā"/>
    <s v="(gandrīz) nekad"/>
    <s v="(gandrīz) nekad"/>
    <s v="(gandrīz) nekad"/>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citreiz labi, citreiz slikti"/>
    <s v="citreiz labi, citreiz slikti"/>
    <s v="slikti"/>
    <s v="slikti"/>
    <s v="citreiz labi, citreiz slikti"/>
    <s v="pamatizglītību"/>
    <m/>
    <s v="N/A"/>
    <s v="N/A"/>
    <s v="N/A"/>
    <s v="Jā"/>
    <s v="latviešu"/>
    <m/>
    <s v="latviešu"/>
    <m/>
    <s v="Spēju veikt pasūtījumu restorānā."/>
    <s v="Spēju uzrakstīt vēstuli draugam."/>
    <s v="Saprotu norādes, kur iet."/>
    <s v="Krieviski/latviski spēju izlasīt ēdienkarti restorānā."/>
    <m/>
    <m/>
    <m/>
    <m/>
    <m/>
    <m/>
    <m/>
    <m/>
    <m/>
    <m/>
    <m/>
    <m/>
    <m/>
    <m/>
    <m/>
    <m/>
    <m/>
    <s v="N/A"/>
    <s v="N/A"/>
    <s v="N/A"/>
    <s v="N/A"/>
    <s v="N/A"/>
    <s v="N/A"/>
    <m/>
    <m/>
    <m/>
    <m/>
    <m/>
    <s v="Nē"/>
    <s v="Nē"/>
    <s v="Nē"/>
    <s v="Nē"/>
    <s v="Nē"/>
    <s v="Nē"/>
    <s v="Nē"/>
    <s v="Nē"/>
    <s v="Nē"/>
    <s v="Nē"/>
    <s v="Nē"/>
    <s v="Nē"/>
    <s v="Nē"/>
    <s v="Nē"/>
    <s v="Nē"/>
    <s v="EHR RHIT"/>
    <s v="Nē"/>
    <m/>
    <s v="Nē"/>
    <m/>
    <s v="Nē"/>
    <m/>
    <s v="Nē"/>
    <m/>
    <s v="Nē"/>
    <s v="Nē"/>
    <s v="Nē"/>
    <s v="Nē"/>
    <s v="Nē"/>
    <s v="Nē"/>
    <s v="Nē"/>
    <s v="Nē"/>
    <s v="Nē"/>
    <s v="Nē"/>
    <s v="Nē"/>
    <s v="Nē"/>
    <s v="Nē"/>
    <s v="Nē"/>
    <s v="Jā"/>
    <m/>
    <s v="Nē"/>
    <m/>
    <s v="Nē"/>
    <m/>
    <s v="Nē"/>
    <m/>
    <s v="Nē"/>
    <m/>
    <s v="Nē"/>
    <s v="Jā"/>
    <s v="Nē"/>
    <s v="Nē"/>
    <s v="Jā"/>
    <s v="Nē"/>
    <s v="Nē"/>
    <s v="Jā"/>
    <s v="Jā"/>
    <s v="Nē"/>
    <s v="Jā"/>
    <s v="Nē"/>
    <m/>
    <s v="Paldies"/>
    <m/>
    <m/>
    <m/>
    <m/>
    <m/>
    <m/>
    <m/>
    <m/>
    <m/>
    <m/>
    <m/>
  </r>
  <r>
    <x v="0"/>
    <n v="66"/>
    <s v="2023-04-24 07:37:58"/>
    <n v="14"/>
    <s v="ru"/>
    <n v="1213382620"/>
    <s v="2023-04-24 07:11:03"/>
    <s v="2023-04-24 07:37:58"/>
    <s v="lapa"/>
    <n v="17"/>
    <s v="vīriešu"/>
    <m/>
    <x v="0"/>
    <x v="0"/>
    <x v="0"/>
    <x v="0"/>
    <x v="0"/>
    <x v="0"/>
    <s v="Zemgalē"/>
    <m/>
    <s v="pareizticīgo"/>
    <m/>
    <s v="Nē"/>
    <s v="Nē"/>
    <s v="Jā"/>
    <s v="Nē"/>
    <s v="Jā"/>
    <s v="Nē"/>
    <s v="Nē"/>
    <s v="Nē"/>
    <s v="Jā"/>
    <s v="Nē"/>
    <s v="Nē"/>
    <s v="Jā"/>
    <s v="Nē"/>
    <s v="Nē"/>
    <s v="Nē"/>
    <s v="Nē"/>
    <s v="Nē"/>
    <s v="Nē"/>
    <s v="Nē"/>
    <s v="Jā"/>
    <s v="Nē"/>
    <s v="Nē"/>
    <s v="Nē"/>
    <s v="Jā"/>
    <s v="Jā"/>
    <s v="Nē"/>
    <s v="Nē"/>
    <s v="Nē"/>
    <m/>
    <m/>
    <m/>
    <m/>
    <m/>
    <m/>
    <s v="Lielākoties vienlīdzīgi"/>
    <s v="Nevienlīdzīgi"/>
    <s v="Vienlīdzīgi"/>
    <s v="Vienlīdzīgi"/>
    <s v="Vienlīdzīgi"/>
    <s v="Jaunā Vienotība"/>
    <s v="Zaļo un Zemnieku savienība"/>
    <s v="Nacionālā Apvienība"/>
    <s v="Politiskā partija &quot;Stabilitātei&quot;"/>
    <s v="&quot;Progresīvie&quot;"/>
    <s v="&quot;Apvienotais saraksts&quot;"/>
    <s v="nezinu"/>
    <s v="Klimata pārmaiņas – tas ir ciklisks un dabisks process."/>
    <s v="jā, lielāko daļu no tā, ko iespējams šķirot"/>
    <s v="nezinu"/>
    <s v="nezinu"/>
    <s v="nezinu"/>
    <s v="nezinu"/>
    <s v="nezinu"/>
    <s v="nezinu"/>
    <s v="nezinu"/>
    <s v="Jaunā Vienotība"/>
    <s v="Zaļo un Zemnieku savienība"/>
    <s v="Nacionālā Apvienība"/>
    <s v="Zaļo un Zemnieku savienība"/>
    <s v="Politiskā partija &quot;Stabilitātei&quot;"/>
    <s v="&quot;Latvija pirmajā vietā&quot;"/>
    <s v="&quot;Progresīvie&quot;"/>
    <s v="Ārkārtīgi"/>
    <s v="Neinteresē"/>
    <s v="Neinteresē"/>
    <m/>
    <s v="nezinu"/>
    <s v="Jā"/>
    <s v="Jā"/>
    <s v="Jā"/>
    <s v="Jā"/>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50"/>
    <n v="40"/>
    <n v="40"/>
    <n v="100"/>
    <s v="Nav saspīlētas"/>
    <s v="Drīzāk saspīlētas"/>
    <s v="Nav saspīlētas"/>
    <m/>
    <m/>
    <m/>
    <m/>
    <m/>
    <s v="Bieži"/>
    <s v="Bieži"/>
    <s v="Bieži"/>
    <s v="Bieži"/>
    <s v="Bieži"/>
    <m/>
    <s v="nē"/>
    <s v="N/A"/>
    <s v="N/A"/>
    <s v="N/A"/>
    <s v="N/A"/>
    <s v="Nē"/>
    <s v="Nē"/>
    <s v="Jā"/>
    <s v="Nē"/>
    <s v="Nē"/>
    <s v="Nē"/>
    <s v="Jā"/>
    <s v="Nē"/>
    <s v="pāris reižu nedēļā"/>
    <s v="pāris reižu nedēļā"/>
    <s v="(gandrīz) nekad"/>
    <s v="pāris reižu nedēļā"/>
    <s v="pāris reižu nedēļā"/>
    <s v="pāris reižu nedēļā"/>
    <s v="pāris reižu nedēļā"/>
    <s v="pāris reižu nedēļā"/>
    <s v="pāris reižu nedēļā"/>
    <s v="(gandrīz) nekad"/>
    <s v="pāris reižu nedēļā"/>
    <s v="pāris reižu nedēļā"/>
    <s v="pāris reižu nedēļā"/>
    <s v="pāris reižu nedēļā"/>
    <s v="brīvas vēlēšanas un plurālisms"/>
    <s v="vienlīdz pieejama izglītība, veselības aprūpe, sociālais nodrošinājums"/>
    <s v="varas līdzsvars starp parlamentu, prezidentu un tiesām, lai neviena no institūcijām nespētu sevī koncentrēt lielāko daļu varas"/>
    <m/>
    <m/>
    <s v="citreiz labi, citreiz slikti"/>
    <s v="ļoti labi"/>
    <s v="knapi/gandrīz necik"/>
    <s v="slikti"/>
    <s v="citreiz labi, citreiz slikti"/>
    <s v="arodskolu/ profesionālo 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m/>
    <s v="Jā"/>
    <m/>
    <s v="Jā"/>
    <m/>
    <s v="Jā"/>
    <m/>
    <s v="Jā"/>
    <m/>
    <s v="Nē"/>
    <s v="Nē"/>
    <s v="Nē"/>
    <s v="Nē"/>
    <s v="Nē"/>
    <s v="Nē"/>
    <s v="Nē"/>
    <s v="Nē"/>
    <s v="Nē"/>
    <s v="Nē"/>
    <s v="Nē"/>
    <s v="Nē"/>
    <s v="Nē"/>
    <s v="Nē"/>
    <s v="Nē"/>
    <s v="EHR RHIT"/>
    <s v="Jā"/>
    <m/>
    <s v="Jā"/>
    <m/>
    <s v="Jā"/>
    <m/>
    <s v="Jā"/>
    <m/>
    <s v="Jā"/>
    <s v="Jā"/>
    <s v="Nē"/>
    <s v="Nē"/>
    <s v="Jā"/>
    <s v="Jā"/>
    <s v="Nē"/>
    <s v="Jā"/>
    <s v="Nē"/>
    <s v="Nē"/>
    <s v="Nē"/>
    <s v="Nē"/>
    <m/>
    <s v=":)"/>
    <m/>
    <m/>
    <m/>
    <m/>
    <m/>
    <m/>
    <m/>
    <m/>
    <m/>
    <m/>
    <m/>
  </r>
  <r>
    <x v="0"/>
    <n v="67"/>
    <s v="2023-04-24 07:41:09"/>
    <n v="14"/>
    <s v="ru"/>
    <n v="1019314805"/>
    <s v="2023-04-24 07:11:08"/>
    <s v="2023-04-24 07:41:09"/>
    <s v="lapa"/>
    <n v="17"/>
    <s v="sieviešu"/>
    <m/>
    <x v="0"/>
    <x v="0"/>
    <x v="0"/>
    <x v="0"/>
    <x v="0"/>
    <x v="0"/>
    <s v="Rīgā/ Rīgas rajonā"/>
    <m/>
    <s v="ateistu(ti), nereliģiozu"/>
    <m/>
    <s v="Nē"/>
    <s v="Jā"/>
    <s v="Nē"/>
    <s v="Nē"/>
    <s v="Nē"/>
    <s v="Nē"/>
    <s v="Nē"/>
    <s v="Jā"/>
    <s v="Jā"/>
    <s v="Nē"/>
    <s v="Nē"/>
    <s v="Nē"/>
    <s v="Nē"/>
    <s v="Nē"/>
    <s v="Nē"/>
    <s v="Nē"/>
    <s v="Nē"/>
    <s v="Jā"/>
    <s v="Nē"/>
    <s v="Nē"/>
    <s v="Nē"/>
    <s v="Nē"/>
    <s v="Nē"/>
    <s v="Jā"/>
    <s v="Jā"/>
    <s v="Nē"/>
    <s v="Jā"/>
    <s v="Nē"/>
    <m/>
    <m/>
    <m/>
    <m/>
    <m/>
    <m/>
    <s v="Lielākoties vienlīdzīgi"/>
    <s v="Lielākoties nevienlīdzīgi"/>
    <s v="Lielākoties nevienlīdzīgi"/>
    <s v="Lielākoties vienlīdzīgi"/>
    <s v="Lielākoties nevienlīdzīgi"/>
    <s v="&quot;Latvija pirmajā vietā&quot;"/>
    <s v="Nacionālā Apvienība"/>
    <s v="Jaunā Vienotība"/>
    <s v="&quot;Apvienotais saraksts&quot;"/>
    <s v="Zaļo un Zemnieku savienība"/>
    <s v="&quot;Progresīvie&quot;"/>
    <s v="Politiskā partija &quot;Stabilitātei&quot;"/>
    <s v="Cīņai ar klimata pārmaiņām būtu jābūt vairumam pasaules valstu galvenajai prioritātei."/>
    <s v="jā, daļu no tā, ko iespējams šķirot"/>
    <s v="Jaunā Vienotība"/>
    <s v="Zaļo un Zemnieku savienība"/>
    <s v="Zaļo un Zemnieku savienība"/>
    <s v="&quot;Apvienotais saraksts&quot;"/>
    <s v="nezinu"/>
    <s v="Zaļo un Zemnieku savienība"/>
    <s v="Jaunā Vienotība"/>
    <s v="Nacionālā Apvienība"/>
    <s v="Jaunā Vienotība"/>
    <s v="Nacionālā Apvienība"/>
    <s v="&quot;Latvija pirmajā vietā&quot;"/>
    <s v="&quot;Progresīvie&quot;"/>
    <s v="Politiskā partija &quot;Stabilitātei&quot;"/>
    <s v="&quot;Progresīvie&quot;"/>
    <s v="Ne sevišķi"/>
    <s v="Viduvēji"/>
    <s v="Ne sevišķi"/>
    <m/>
    <s v="nezinu"/>
    <s v="Nē"/>
    <s v="Nē"/>
    <s v="Jā"/>
    <s v="Nē"/>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100"/>
    <n v="5"/>
    <n v="100"/>
    <n v="60"/>
    <s v="Ļoti saspīlētas"/>
    <s v="Drīzāk saspīlētas"/>
    <s v="Mazliet saspīlētas"/>
    <m/>
    <m/>
    <m/>
    <m/>
    <m/>
    <s v="Reti"/>
    <s v="Bieži"/>
    <s v="(Gandrīz) nekad"/>
    <s v="(Gandrīz) nekad"/>
    <s v="Reti"/>
    <m/>
    <s v="jā, nevalstiskā organizācijā"/>
    <s v="Jā"/>
    <s v="Nē"/>
    <s v="Jā"/>
    <s v="Nē"/>
    <s v="Jā"/>
    <s v="Nē"/>
    <s v="Jā"/>
    <s v="Nē"/>
    <s v="Jā"/>
    <s v="Nē"/>
    <s v="Jā"/>
    <s v="Nē"/>
    <s v="(gandrīz) nekad"/>
    <s v="pāris reižu nedēļā"/>
    <s v="pāris reižu nedēļā"/>
    <s v="(gandrīz) nekad"/>
    <s v="(gandrīz) nekad"/>
    <s v="(gandrīz) nekad"/>
    <s v="pāris reižu nedēļā"/>
    <s v="(gandrīz) katru dienu"/>
    <s v="(gandrīz) katru dienu"/>
    <s v="(gandrīz) katru dienu"/>
    <s v="(gandrīz) katru dienu"/>
    <s v="(gandrīz) katru dienu"/>
    <s v="(gandrīz) katru dienu"/>
    <s v="(gandrīz) katru dienu"/>
    <s v="vienlīdzīgas tiesības minoritātēm un ievainojamām sabiedrības grupām"/>
    <s v="vienlīdz pieejama izglītība, veselības aprūpe, sociālais nodrošinājums"/>
    <s v="pilsoniskās brīvības (vārda brīvība, tiesības uz tiesisko aizsardzību)"/>
    <m/>
    <m/>
    <s v="citreiz labi, citreiz slikti"/>
    <s v="citreiz labi, citreiz slikti"/>
    <s v="citreiz labi, citreiz slikti"/>
    <s v="citreiz labi, citreiz slikti"/>
    <s v="citreiz labi, citreiz slikti"/>
    <s v="pamatizglītību"/>
    <m/>
    <s v="N/A"/>
    <s v="N/A"/>
    <s v="N/A"/>
    <s v="Jā"/>
    <s v="krievu"/>
    <m/>
    <s v="latviešu"/>
    <m/>
    <s v="Spēju veikt pasūtījumu restorānā."/>
    <s v="Spēju uzrakstīt vēstuli draugam."/>
    <s v="Viegli saprotu televīzijas pārraides vai Youtube video par saviem hobijiem/darbības sfēru."/>
    <s v="Krieviski/latviski spēju izlasīt ēdienkarti restorānā."/>
    <m/>
    <m/>
    <m/>
    <m/>
    <m/>
    <m/>
    <m/>
    <m/>
    <m/>
    <m/>
    <m/>
    <m/>
    <m/>
    <m/>
    <m/>
    <m/>
    <m/>
    <s v="N/A"/>
    <s v="N/A"/>
    <s v="N/A"/>
    <s v="N/A"/>
    <s v="N/A"/>
    <s v="N/A"/>
    <m/>
    <m/>
    <m/>
    <m/>
    <m/>
    <s v="Nē"/>
    <s v="Nē"/>
    <s v="Nē"/>
    <s v="Nē"/>
    <s v="Nē"/>
    <s v="Nē"/>
    <s v="Nē"/>
    <s v="Nē"/>
    <s v="Nē"/>
    <s v="Nē"/>
    <s v="Jā"/>
    <s v="Nē"/>
    <s v="Nē"/>
    <s v="Nē"/>
    <s v="Jā"/>
    <m/>
    <s v="Nē"/>
    <m/>
    <s v="Nē"/>
    <m/>
    <s v="Nē"/>
    <m/>
    <s v="Nē"/>
    <m/>
    <s v="Nē"/>
    <s v="Nē"/>
    <s v="Nē"/>
    <s v="Nē"/>
    <s v="Nē"/>
    <s v="Nē"/>
    <s v="Nē"/>
    <s v="Nē"/>
    <s v="Nē"/>
    <s v="Nē"/>
    <s v="Nē"/>
    <s v="Nē"/>
    <s v="Jā"/>
    <s v="Nē"/>
    <s v="Nē"/>
    <m/>
    <s v="Nē"/>
    <m/>
    <s v="Nē"/>
    <m/>
    <s v="Jā"/>
    <s v="Telegram"/>
    <s v="Nē"/>
    <m/>
    <s v="Jā"/>
    <s v="Jā"/>
    <s v="Nē"/>
    <s v="Nē"/>
    <s v="Jā"/>
    <s v="Jā"/>
    <s v="Nē"/>
    <s v="Jā"/>
    <s v="Nē"/>
    <s v="Nē"/>
    <s v="Nē"/>
    <s v="Nē"/>
    <m/>
    <m/>
    <m/>
    <m/>
    <m/>
    <m/>
    <m/>
    <m/>
    <m/>
    <m/>
    <m/>
    <m/>
    <m/>
  </r>
  <r>
    <x v="0"/>
    <n v="68"/>
    <s v="2023-04-24 07:27:22"/>
    <n v="14"/>
    <s v="lv"/>
    <n v="140667846"/>
    <s v="2023-04-24 07:11:24"/>
    <s v="2023-04-24 07:27:22"/>
    <s v="lapa"/>
    <n v="18"/>
    <s v="vīriešu"/>
    <m/>
    <x v="1"/>
    <x v="1"/>
    <x v="0"/>
    <x v="0"/>
    <x v="0"/>
    <x v="0"/>
    <s v="Rīgā/ Rīgas rajonā"/>
    <m/>
    <s v="ateistu(ti), nereliģiozu"/>
    <m/>
    <s v="Jā"/>
    <s v="Nē"/>
    <s v="Nē"/>
    <s v="Nē"/>
    <s v="Nē"/>
    <s v="Nē"/>
    <s v="Nē"/>
    <s v="Nē"/>
    <s v="Jā"/>
    <s v="Nē"/>
    <s v="Nē"/>
    <s v="Nē"/>
    <s v="Nē"/>
    <s v="Nē"/>
    <s v="N/A"/>
    <s v="N/A"/>
    <s v="N/A"/>
    <s v="N/A"/>
    <s v="N/A"/>
    <s v="N/A"/>
    <s v="Jā"/>
    <s v="N/A"/>
    <s v="N/A"/>
    <s v="N/A"/>
    <s v="N/A"/>
    <s v="N/A"/>
    <s v="N/A"/>
    <s v="Jā"/>
    <m/>
    <m/>
    <m/>
    <m/>
    <m/>
    <m/>
    <s v="Vienlīdzīgi"/>
    <s v="Lielākoties vienlīdzīgi"/>
    <s v="Lielākoties vienlīdzīgi"/>
    <s v="Vienlīdzīgi"/>
    <s v="Vienlīdzīgi"/>
    <s v="Jaunā Vienotība"/>
    <s v="Zaļo un Zemnieku savienība"/>
    <s v="Nacionālā Apvienība"/>
    <s v="Politiskā partija &quot;Stabilitātei&quot;"/>
    <s v="&quot;Progresīvie&quot;"/>
    <s v="&quot;Apvienotais saraksts&quot;"/>
    <s v="&quot;Latvija pirmajā vietā&quot;"/>
    <s v="Reizēm ekonomiskā un valsts stabilitāte varētu nozīmēt, ka atsevišķi ekoloģiskās politikas aspekti ir uz brīdi jāiepauzē."/>
    <s v="jā, daļu no tā, ko iespējams šķirot"/>
    <s v="Jaunā Vienotība"/>
    <s v="Zaļo un Zemnieku savienība"/>
    <s v="Nacionālā Apvienība"/>
    <s v="Politiskā partija &quot;Stabilitātei&quot;"/>
    <s v="&quot;Progresīvie&quot;"/>
    <s v="&quot;Apvienotais saraksts&quot;"/>
    <s v="&quot;Latvija pirmajā vietā&quot;"/>
    <s v="Jaunā Vienotība"/>
    <s v="Zaļo un Zemnieku savienība"/>
    <s v="Nacionālā Apvienība"/>
    <s v="Politiskā partija &quot;Stabilitātei&quot;"/>
    <s v="&quot;Progresīvie&quot;"/>
    <s v="&quot;Apvienotais saraksts&quot;"/>
    <s v="&quot;Latvija pirmajā vietā&quot;"/>
    <s v="Neinteresē"/>
    <s v="Neinteresē"/>
    <s v="Neinteresē"/>
    <m/>
    <s v="nezinu"/>
    <s v="Jā"/>
    <s v="Jā"/>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0"/>
    <n v="60"/>
    <m/>
    <m/>
    <s v="Mazliet saspīlētas"/>
    <s v="Nav saspīlētas"/>
    <s v="Nav saspīlētas"/>
    <s v="(Gandrīz) nekad"/>
    <s v="(Gandrīz) nekad"/>
    <s v="(Gandrīz) nekad"/>
    <s v="(Gandrīz) nekad"/>
    <s v="(Gandrīz) nekad"/>
    <m/>
    <m/>
    <m/>
    <m/>
    <m/>
    <m/>
    <s v="jā, privāta darba devēja labā"/>
    <s v="N/A"/>
    <s v="N/A"/>
    <s v="N/A"/>
    <s v="Jā"/>
    <s v="Jā"/>
    <s v="Nē"/>
    <s v="Jā"/>
    <s v="Nē"/>
    <s v="N/A"/>
    <s v="N/A"/>
    <s v="N/A"/>
    <s v="Jā"/>
    <s v="(gandrīz) katru dienu"/>
    <s v="(gandrīz) katru dienu"/>
    <s v="(gandrīz) katru dienu"/>
    <s v="(gandrīz) katru dienu"/>
    <s v="(gandrīz) katru dienu"/>
    <s v="(gandrīz) katru dienu"/>
    <s v="(gandrīz) katru dienu"/>
    <s v="(gandrīz) nekad"/>
    <s v="pāris reižu nedēļā"/>
    <s v="pāris reižu nedēļā"/>
    <s v="pāris reižu nedēļā"/>
    <s v="pāris reižu nedēļā"/>
    <s v="(gandrīz) nekad"/>
    <s v="reizi nedēļā"/>
    <s v="pilsoniskās brīvības (vārda brīvība, tiesības uz tiesisko aizsardzību)"/>
    <s v="brīvas vēlēšanas un plurālisms"/>
    <s v="vienlīdz pieejama izglītība, veselības aprūpe, sociālais nodrošinājums"/>
    <m/>
    <m/>
    <s v="nezinu"/>
    <s v="citreiz labi, citreiz slikti"/>
    <s v="labi"/>
    <s v="citreiz labi, citreiz slikti"/>
    <s v="citreiz labi, citreiz slikti"/>
    <s v="pamatizglītību"/>
    <m/>
    <s v="N/A"/>
    <s v="N/A"/>
    <s v="N/A"/>
    <s v="Jā"/>
    <s v="latviešu"/>
    <m/>
    <s v="latviešu"/>
    <m/>
    <s v="Spēju ilgstoši sarunāties ar vienaudžiem/piedalīties darba pārrunās."/>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Jā"/>
    <s v="Nē"/>
    <s v="Nē"/>
    <s v="Nē"/>
    <s v="Nē"/>
    <m/>
    <s v="Jā"/>
    <s v="Juris Kalniņš"/>
    <s v="Jā"/>
    <s v="fireship, hyperplexed, whistlindiesel"/>
    <s v="Nē"/>
    <m/>
    <s v="Nē"/>
    <m/>
    <s v="Nē"/>
    <s v="Nē"/>
    <s v="Nē"/>
    <s v="Nē"/>
    <s v="Nē"/>
    <s v="Nē"/>
    <s v="Nē"/>
    <s v="Nē"/>
    <s v="Nē"/>
    <s v="Nē"/>
    <s v="Nē"/>
    <s v="Nē"/>
    <s v="Nē"/>
    <s v="Nē"/>
    <s v="Jā"/>
    <m/>
    <s v="Nē"/>
    <m/>
    <s v="Nē"/>
    <m/>
    <s v="Nē"/>
    <m/>
    <s v="Nē"/>
    <m/>
    <s v="Nē"/>
    <s v="Jā"/>
    <s v="Nē"/>
    <s v="Nē"/>
    <s v="Jā"/>
    <s v="Jā"/>
    <s v="Nē"/>
    <s v="Jā"/>
    <s v="Nē"/>
    <s v="Nē"/>
    <s v="Nē"/>
    <s v="Nē"/>
    <s v="Snapchat"/>
    <s v="man gribas ēst"/>
    <m/>
    <m/>
    <m/>
    <m/>
    <m/>
    <m/>
    <m/>
    <m/>
    <m/>
    <m/>
    <m/>
  </r>
  <r>
    <x v="0"/>
    <n v="69"/>
    <s v="2023-04-24 07:28:03"/>
    <n v="14"/>
    <s v="lv"/>
    <n v="379936846"/>
    <s v="2023-04-24 07:11:29"/>
    <s v="2023-04-24 07:28:03"/>
    <s v="lapa"/>
    <n v="18"/>
    <s v="vīriešu"/>
    <m/>
    <x v="1"/>
    <x v="1"/>
    <x v="0"/>
    <x v="0"/>
    <x v="0"/>
    <x v="0"/>
    <s v="Rīgā/ Rīgas rajonā"/>
    <m/>
    <s v="ateistu(ti), nereliģiozu"/>
    <m/>
    <s v="Nē"/>
    <s v="Nē"/>
    <s v="Nē"/>
    <s v="Nē"/>
    <s v="Nē"/>
    <s v="Jā"/>
    <s v="Nē"/>
    <s v="Nē"/>
    <s v="Nē"/>
    <s v="Nē"/>
    <s v="Nē"/>
    <s v="Jā"/>
    <s v="Nē"/>
    <s v="Nē"/>
    <s v="Nē"/>
    <s v="Nē"/>
    <s v="Nē"/>
    <s v="Jā"/>
    <s v="Nē"/>
    <s v="Nē"/>
    <s v="Nē"/>
    <s v="Nē"/>
    <s v="Nē"/>
    <s v="Nē"/>
    <s v="Nē"/>
    <s v="Jā"/>
    <s v="Nē"/>
    <s v="Nē"/>
    <m/>
    <m/>
    <m/>
    <m/>
    <m/>
    <m/>
    <s v="Nevienlīdzīgi"/>
    <s v="Lielākoties nevienlīdzīgi"/>
    <s v="Vienlīdzīgi"/>
    <s v="Vienlīdzīgi"/>
    <s v="Lielākoties 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Viduvēji"/>
    <s v="Neinteresē"/>
    <s v="Ļoti"/>
    <m/>
    <s v="Kariņš."/>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0"/>
    <n v="100"/>
    <m/>
    <m/>
    <s v="Nav saspīlētas"/>
    <s v="Nav saspīlētas"/>
    <s v="Nav saspīlētas"/>
    <s v="(Gandrīz) nekad"/>
    <s v="(Gandrīz) nekad"/>
    <s v="(Gandrīz) nekad"/>
    <s v="(Gandrīz) nekad"/>
    <s v="(Gandrīz) nekad"/>
    <m/>
    <m/>
    <m/>
    <m/>
    <m/>
    <m/>
    <s v="nē"/>
    <s v="N/A"/>
    <s v="N/A"/>
    <s v="N/A"/>
    <s v="N/A"/>
    <s v="Jā"/>
    <s v="Jā"/>
    <s v="Nē"/>
    <s v="Nē"/>
    <s v="N/A"/>
    <s v="N/A"/>
    <s v="N/A"/>
    <s v="Jā"/>
    <s v="(gandrīz) katru dienu"/>
    <s v="(gandrīz) katru dienu"/>
    <s v="(gandrīz) katru dienu"/>
    <s v="(gandrīz) katru dienu"/>
    <s v="(gandrīz) katru dienu"/>
    <s v="(gandrīz) katru dienu"/>
    <s v="(gandrīz) katru dienu"/>
    <s v="(gandrīz) nekad"/>
    <s v="(gandrīz) katru dienu"/>
    <s v="(gandrīz) katru dienu"/>
    <s v="(gandrīz) katru dienu"/>
    <s v="(gandrīz) nekad"/>
    <s v="(gandrīz) nekad"/>
    <s v="pāris reižu nedēļā"/>
    <s v="pilsoniskās brīvības (vārda brīvība, tiesības uz tiesisko aizsardzību)"/>
    <s v="varas līdzsvars starp parlamentu, prezidentu un tiesām, lai neviena no institūcijām nespētu sevī koncentrēt lielāko daļu varas"/>
    <s v="brīvas vēlēšanas un plurālisms"/>
    <m/>
    <m/>
    <s v="labi"/>
    <s v="labi"/>
    <s v="slikti"/>
    <s v="knapi/gandrīz necik"/>
    <s v="ļoti labi"/>
    <s v="pamatizglītību"/>
    <m/>
    <s v="N/A"/>
    <s v="N/A"/>
    <s v="N/A"/>
    <s v="Jā"/>
    <s v="latviešu"/>
    <m/>
    <s v="latvieš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m/>
    <s v="Nē"/>
    <m/>
    <s v="Nē"/>
    <m/>
    <s v="Nē"/>
    <m/>
    <s v="Nē"/>
    <m/>
    <s v="Jā"/>
    <s v="Nē"/>
    <s v="Nē"/>
    <s v="Jā"/>
    <s v="Nē"/>
    <s v="Nē"/>
    <s v="Nē"/>
    <s v="Nē"/>
    <s v="Nē"/>
    <s v="Nē"/>
    <s v="Nē"/>
    <s v="Jā"/>
    <s v="Nē"/>
    <s v="Nē"/>
    <s v="Nē"/>
    <m/>
    <s v="Nē"/>
    <m/>
    <s v="Nē"/>
    <m/>
    <s v="Nē"/>
    <m/>
    <s v="Nē"/>
    <m/>
    <s v="Jā"/>
    <s v="Jā"/>
    <s v="Nē"/>
    <s v="Nē"/>
    <s v="Jā"/>
    <s v="Jā"/>
    <s v="Nē"/>
    <s v="Jā"/>
    <s v="Nē"/>
    <s v="Nē"/>
    <s v="Nē"/>
    <s v="Nē"/>
    <s v="Snapchat"/>
    <m/>
    <m/>
    <m/>
    <m/>
    <m/>
    <m/>
    <m/>
    <m/>
    <m/>
    <m/>
    <m/>
    <m/>
  </r>
  <r>
    <x v="0"/>
    <n v="70"/>
    <s v="2023-04-24 07:26:34"/>
    <n v="14"/>
    <s v="lv"/>
    <n v="1809924731"/>
    <s v="2023-04-24 07:11:30"/>
    <s v="2023-04-24 07:26:34"/>
    <s v="lapa"/>
    <n v="17"/>
    <s v="vīriešu"/>
    <m/>
    <x v="1"/>
    <x v="1"/>
    <x v="0"/>
    <x v="0"/>
    <x v="0"/>
    <x v="0"/>
    <s v="Rīgā/ Rīgas rajonā"/>
    <m/>
    <s v="ateistu(ti), nereliģiozu"/>
    <m/>
    <s v="Nē"/>
    <s v="Jā"/>
    <s v="Nē"/>
    <s v="Nē"/>
    <s v="Nē"/>
    <s v="Nē"/>
    <s v="Nē"/>
    <s v="Nē"/>
    <s v="Jā"/>
    <s v="Jā"/>
    <s v="Nē"/>
    <s v="Nē"/>
    <s v="Nē"/>
    <s v="Nē"/>
    <s v="N/A"/>
    <s v="N/A"/>
    <s v="N/A"/>
    <s v="N/A"/>
    <s v="N/A"/>
    <s v="N/A"/>
    <s v="Jā"/>
    <s v="Nē"/>
    <s v="Nē"/>
    <s v="Nē"/>
    <s v="Jā"/>
    <s v="Jā"/>
    <s v="Nē"/>
    <s v="Nē"/>
    <m/>
    <m/>
    <m/>
    <m/>
    <m/>
    <m/>
    <s v="Vienlīdzīgi"/>
    <s v="Lielākoties vienlīdzīgi"/>
    <s v="Lielākoties nevienlīdzīgi"/>
    <s v="Lielākoties nevienlīdzīgi"/>
    <s v="Lielākoties nevienlīdzīgi"/>
    <s v="Jaunā Vienotība"/>
    <s v="Zaļo un Zemnieku savienība"/>
    <s v="Nacionālā Apvienība"/>
    <s v="Politiskā partija &quot;Stabilitātei&quot;"/>
    <s v="&quot;Progresīvie&quot;"/>
    <s v="&quot;Apvienotais saraksts&quot;"/>
    <s v="nezinu"/>
    <s v="Cīņai ar klimata pārmaiņām būtu jābūt vairumam pasaules valstu galvenajai prioritātei."/>
    <s v="jā, lielāko daļu no tā, ko iespējams šķirot"/>
    <s v="&quot;Progresīvie&quot;"/>
    <s v="&quot;Apvienotais saraksts&quot;"/>
    <s v="Politiskā partija &quot;Stabilitātei&quot;"/>
    <s v="Nacionālā Apvienība"/>
    <s v="Zaļo un Zemnieku savienība"/>
    <s v="&quot;Latvija pirmajā vietā&quot;"/>
    <s v="&quot;Apvienotais saraksts&quot;"/>
    <s v="&quot;Progresīvie&quot;"/>
    <s v="&quot;Progresīvie&quot;"/>
    <s v="&quot;Progresīvie&quot;"/>
    <s v="&quot;Progresīvie&quot;"/>
    <s v="&quot;Progresīvie&quot;"/>
    <s v="&quot;Progresīvie&quot;"/>
    <s v="&quot;Progresīvie&quot;"/>
    <s v="Neinteresē"/>
    <s v="Neinteresē"/>
    <s v="Neinteresē"/>
    <m/>
    <s v="nezinu"/>
    <s v="Jā"/>
    <s v="Jā"/>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50"/>
    <n v="48"/>
    <m/>
    <m/>
    <s v="Drīzāk saspīlētas"/>
    <s v="Nav saspīlētas"/>
    <s v="Es nezinu"/>
    <s v="(Gandrīz) nekad"/>
    <s v="(Gandrīz) nekad"/>
    <s v="(Gandrīz) nekad"/>
    <s v="(Gandrīz) nekad"/>
    <s v="(Gandrīz) nekad"/>
    <m/>
    <m/>
    <m/>
    <m/>
    <m/>
    <m/>
    <s v="nē"/>
    <s v="N/A"/>
    <s v="N/A"/>
    <s v="N/A"/>
    <s v="N/A"/>
    <s v="N/A"/>
    <s v="N/A"/>
    <s v="N/A"/>
    <s v="Jā"/>
    <s v="Jā"/>
    <s v="Nē"/>
    <s v="Nē"/>
    <s v="Nē"/>
    <s v="(gandrīz) katru dienu"/>
    <s v="(gandrīz) katru dienu"/>
    <s v="(gandrīz) katru dienu"/>
    <s v="(gandrīz) katru dienu"/>
    <s v="(gandrīz) katru dienu"/>
    <s v="(gandrīz) katru dienu"/>
    <s v="(gandrīz) katru dienu"/>
    <s v="(gandrīz) nekad"/>
    <s v="reizi nedēļā"/>
    <s v="(gandrīz) nekad"/>
    <s v="pāris reižu mēnesī"/>
    <s v="(gandrīz) nekad"/>
    <s v="(gandrīz) nekad"/>
    <s v="(gandrīz) nekad"/>
    <s v="pilsoniskās brīvības (vārda brīvība, tiesības uz tiesisko aizsardzību)"/>
    <s v="brīvas vēlēšanas un plurālisms"/>
    <s v="vienlīdz pieejama izglītība, veselības aprūpe, sociālais nodrošinājums"/>
    <m/>
    <m/>
    <s v="knapi/gandrīz necik"/>
    <s v="knapi/gandrīz necik"/>
    <s v="knapi/gandrīz necik"/>
    <s v="knapi/gandrīz necik"/>
    <s v="knapi/gandrīz necik"/>
    <s v="pamatizglītību"/>
    <m/>
    <s v="N/A"/>
    <s v="N/A"/>
    <s v="N/A"/>
    <s v="Jā"/>
    <s v="latviešu"/>
    <m/>
    <s v="latviešu"/>
    <m/>
    <s v="Spēju pastāstīt par savu hobiju / darbu."/>
    <s v="Spēju uzrakstīt vēstuli draugam."/>
    <s v="Saprotu norādes, kur iet."/>
    <s v="Spēju izlasīt garus tekstus par vēstures, politikas un zinātnes tēmām."/>
    <m/>
    <m/>
    <m/>
    <m/>
    <m/>
    <m/>
    <m/>
    <m/>
    <m/>
    <m/>
    <m/>
    <m/>
    <m/>
    <m/>
    <m/>
    <m/>
    <m/>
    <s v="N/A"/>
    <s v="N/A"/>
    <s v="N/A"/>
    <s v="N/A"/>
    <s v="N/A"/>
    <s v="N/A"/>
    <m/>
    <m/>
    <m/>
    <m/>
    <m/>
    <s v="Nē"/>
    <s v="Nē"/>
    <s v="Nē"/>
    <s v="Nē"/>
    <s v="Nē"/>
    <s v="Nē"/>
    <s v="Nē"/>
    <s v="Nē"/>
    <s v="Jā"/>
    <s v="Nē"/>
    <s v="Jā"/>
    <s v="Jā"/>
    <s v="Nē"/>
    <s v="Nē"/>
    <s v="Nē"/>
    <m/>
    <s v="Jā"/>
    <s v="Juris Kalnins"/>
    <s v="Jā"/>
    <s v="whistlindiesel"/>
    <s v="Jā"/>
    <s v="s1mple"/>
    <s v="Jā"/>
    <s v="gzuz"/>
    <s v="Jā"/>
    <s v="Nē"/>
    <s v="Nē"/>
    <s v="Nē"/>
    <s v="Nē"/>
    <s v="Nē"/>
    <s v="Nē"/>
    <s v="Nē"/>
    <s v="Nē"/>
    <s v="Nē"/>
    <s v="Nē"/>
    <s v="Nē"/>
    <s v="Nē"/>
    <s v="Nē"/>
    <s v="Nē"/>
    <m/>
    <s v="Nē"/>
    <m/>
    <s v="Nē"/>
    <m/>
    <s v="Nē"/>
    <m/>
    <s v="Nē"/>
    <m/>
    <s v="Jā"/>
    <s v="Jā"/>
    <s v="Nē"/>
    <s v="Nē"/>
    <s v="Jā"/>
    <s v="Nē"/>
    <s v="Nē"/>
    <s v="Jā"/>
    <s v="Nē"/>
    <s v="Nē"/>
    <s v="Nē"/>
    <s v="Jā"/>
    <m/>
    <s v="forši"/>
    <m/>
    <m/>
    <m/>
    <m/>
    <m/>
    <m/>
    <m/>
    <m/>
    <m/>
    <m/>
    <m/>
  </r>
  <r>
    <x v="0"/>
    <n v="71"/>
    <s v="2023-04-24 07:26:17"/>
    <n v="14"/>
    <s v="ru"/>
    <n v="1043038200"/>
    <s v="2023-04-24 07:12:27"/>
    <s v="2023-04-24 07:26:17"/>
    <s v="ветка"/>
    <n v="17"/>
    <s v="vīriešu"/>
    <m/>
    <x v="1"/>
    <x v="0"/>
    <x v="0"/>
    <x v="0"/>
    <x v="0"/>
    <x v="0"/>
    <s v="Rīgā/ Rīgas rajonā"/>
    <m/>
    <s v="ateistu(ti), nereliģiozu"/>
    <m/>
    <s v="Jā"/>
    <s v="Nē"/>
    <s v="Jā"/>
    <s v="Nē"/>
    <s v="Nē"/>
    <s v="Nē"/>
    <s v="Nē"/>
    <s v="Jā"/>
    <s v="Jā"/>
    <s v="Jā"/>
    <s v="Nē"/>
    <s v="Jā"/>
    <s v="Nē"/>
    <s v="Nē"/>
    <s v="Nē"/>
    <s v="Nē"/>
    <s v="Nē"/>
    <s v="Nē"/>
    <s v="Jā"/>
    <s v="Jā"/>
    <s v="Nē"/>
    <s v="Jā"/>
    <s v="Jā"/>
    <s v="Jā"/>
    <s v="Jā"/>
    <s v="Nē"/>
    <s v="Nē"/>
    <s v="Nē"/>
    <m/>
    <m/>
    <m/>
    <m/>
    <m/>
    <m/>
    <s v="Lielākoties vienlīdzīgi"/>
    <s v="Lielākoties vienlīdzīgi"/>
    <s v="Vienlīdzīgi"/>
    <s v="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Ārkārtīgi"/>
    <s v="Neinteresē"/>
    <s v="Ārkārtīgi"/>
    <m/>
    <s v="не знаю"/>
    <s v="Nē"/>
    <s v="Nē"/>
    <s v="Jā"/>
    <s v="Nē"/>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20"/>
    <n v="90"/>
    <n v="100"/>
    <n v="10"/>
    <s v="Nav saspīlētas"/>
    <s v="Nav saspīlētas"/>
    <s v="Nav saspīlētas"/>
    <m/>
    <m/>
    <m/>
    <m/>
    <m/>
    <s v="(Gandrīz) nekad"/>
    <s v="(Gandrīz) nekad"/>
    <s v="(Gandrīz) nekad"/>
    <s v="(Gandrīz) nekad"/>
    <s v="(Gandrīz) nekad"/>
    <m/>
    <s v="nē"/>
    <s v="N/A"/>
    <s v="N/A"/>
    <s v="N/A"/>
    <s v="N/A"/>
    <s v="Nē"/>
    <s v="Nē"/>
    <s v="Jā"/>
    <s v="Nē"/>
    <s v="Nē"/>
    <s v="Jā"/>
    <s v="Nē"/>
    <s v="Nē"/>
    <s v="(gandrīz) nekad"/>
    <s v="reizi nedēļā"/>
    <s v="(gandrīz) nekad"/>
    <s v="(gandrīz) nekad"/>
    <s v="(gandrīz) nekad"/>
    <s v="(gandrīz) nekad"/>
    <s v="(gandrīz) katru dienu"/>
    <s v="(gandrīz) katru dienu"/>
    <s v="(gandrīz) katru dienu"/>
    <s v="(gandrīz) katru dienu"/>
    <s v="(gandrīz) katru dienu"/>
    <s v="(gandrīz) katru dienu"/>
    <s v="(gandrīz) katru dienu"/>
    <s v="pāris reižu mēnesī"/>
    <s v="brīvas vēlēšanas un plurālisms"/>
    <s v="pilsoniskās brīvības (vārda brīvība, tiesības uz tiesisko aizsardzību)"/>
    <s v="vienlīdz pieejama izglītība, veselības aprūpe, sociālais nodrošinājums"/>
    <m/>
    <m/>
    <s v="labi"/>
    <s v="citreiz labi, citreiz slikti"/>
    <s v="slikti"/>
    <s v="slikti"/>
    <s v="knapi/gandrīz necik"/>
    <s v="pamatizglītību"/>
    <m/>
    <s v="N/A"/>
    <s v="N/A"/>
    <s v="N/A"/>
    <s v="Jā"/>
    <s v="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Jā"/>
    <s v=""/>
    <s v="Jā"/>
    <s v=""/>
    <s v="Jā"/>
    <s v=""/>
    <s v="Jā"/>
    <s v=""/>
    <s v="Nē"/>
    <s v="Nē"/>
    <s v="Nē"/>
    <s v="Nē"/>
    <s v="Nē"/>
    <s v="Nē"/>
    <s v="Nē"/>
    <s v="Nē"/>
    <s v="Nē"/>
    <s v="Nē"/>
    <s v="Nē"/>
    <s v="Nē"/>
    <s v="Nē"/>
    <s v="Nē"/>
    <s v="Jā"/>
    <m/>
    <s v="Jā"/>
    <s v=""/>
    <s v="Jā"/>
    <s v=""/>
    <s v="Jā"/>
    <s v=""/>
    <s v="Jā"/>
    <s v=""/>
    <s v="Jā"/>
    <s v="Jā"/>
    <s v="Nē"/>
    <s v="Jā"/>
    <s v="Jā"/>
    <s v="Jā"/>
    <s v="Nē"/>
    <s v="Jā"/>
    <s v="Nē"/>
    <s v="Nē"/>
    <s v="Nē"/>
    <s v="Nē"/>
    <m/>
    <m/>
    <m/>
    <m/>
    <m/>
    <m/>
    <m/>
    <m/>
    <m/>
    <m/>
    <m/>
    <m/>
    <m/>
  </r>
  <r>
    <x v="0"/>
    <n v="72"/>
    <s v="2023-04-24 07:34:22"/>
    <n v="14"/>
    <s v="ru"/>
    <n v="1621091107"/>
    <s v="2023-04-24 07:13:14"/>
    <s v="2023-04-24 07:34:22"/>
    <s v="lapa"/>
    <n v="18"/>
    <s v="vīriešu"/>
    <m/>
    <x v="0"/>
    <x v="0"/>
    <x v="0"/>
    <x v="0"/>
    <x v="0"/>
    <x v="0"/>
    <s v="Rīgā/ Rīgas rajonā"/>
    <m/>
    <s v="ateistu(ti), nereliģiozu"/>
    <m/>
    <s v="N/A"/>
    <s v="N/A"/>
    <s v="N/A"/>
    <s v="N/A"/>
    <s v="N/A"/>
    <s v="N/A"/>
    <s v="Jā"/>
    <s v="Jā"/>
    <s v="Nē"/>
    <s v="Nē"/>
    <s v="Nē"/>
    <s v="Nē"/>
    <s v="Nē"/>
    <s v="Nē"/>
    <s v="N/A"/>
    <s v="N/A"/>
    <s v="N/A"/>
    <s v="N/A"/>
    <s v="N/A"/>
    <s v="N/A"/>
    <s v="Jā"/>
    <s v="Nē"/>
    <s v="Nē"/>
    <s v="Nē"/>
    <s v="Jā"/>
    <s v="Nē"/>
    <s v="Nē"/>
    <s v="Nē"/>
    <m/>
    <m/>
    <m/>
    <m/>
    <m/>
    <m/>
    <s v="Lielākoties nevienlīdzīgi"/>
    <s v="Nevienlīdzīgi"/>
    <s v="Vienlīdzīgi"/>
    <s v="Vienlīdzīgi"/>
    <s v="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nezinu"/>
    <s v="nezinu"/>
    <s v="nezinu"/>
    <s v="Viduvēji"/>
    <s v="Neinteresē"/>
    <s v="Viduvēji"/>
    <m/>
    <s v="Точно не знаю."/>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80"/>
    <n v="1"/>
    <n v="100"/>
    <n v="80"/>
    <s v="Drīzāk saspīlētas"/>
    <s v="Mazliet saspīlētas"/>
    <s v="Nav saspīlētas"/>
    <m/>
    <m/>
    <m/>
    <m/>
    <m/>
    <s v="Reti"/>
    <s v="Dažreiz"/>
    <s v="(Gandrīz) nekad"/>
    <s v="(Gandrīz) nekad"/>
    <s v="Dažreiz"/>
    <m/>
    <s v="jā, valsts iestādē"/>
    <s v="N/A"/>
    <s v="N/A"/>
    <s v="N/A"/>
    <s v="Jā"/>
    <s v="N/A"/>
    <s v="N/A"/>
    <s v="N/A"/>
    <s v="Jā"/>
    <s v="N/A"/>
    <s v="N/A"/>
    <s v="N/A"/>
    <s v="Jā"/>
    <s v="(gandrīz) nekad"/>
    <s v="pāris reižu mēnesī"/>
    <s v="(gandrīz) katru dienu"/>
    <s v="(gandrīz) nekad"/>
    <s v="(gandrīz) nekad"/>
    <s v="(gandrīz) nekad"/>
    <s v="(gandrīz) katru dienu"/>
    <s v="(gandrīz) katru dienu"/>
    <s v="(gandrīz) katru dienu"/>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vienlīdz pieejama izglītība, veselības aprūpe, sociālais nodrošinājums"/>
    <m/>
    <m/>
    <s v="labi"/>
    <s v="citreiz labi, citreiz slikti"/>
    <s v="slikti"/>
    <s v="nezinu"/>
    <s v="citreiz labi, citreiz slikti"/>
    <s v="pamatizglītību"/>
    <m/>
    <s v="N/A"/>
    <s v="N/A"/>
    <s v="N/A"/>
    <s v="Jā"/>
    <s v="kriev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Nē"/>
    <s v="Nē"/>
    <s v="Jā"/>
    <s v="Nē"/>
    <s v="Nē"/>
    <s v="Nē"/>
    <s v="Nē"/>
    <m/>
    <s v="Во многих вопросах, связанных с политикой я просто не знал ответа, так как не итересуюсь ей._x000a_Насчет источников информации - я не читаю газеты и не смотрю телевизор, а также не смотрю новости в социальных сетях. Всю информацию я узнаю от знакомых или от семьи."/>
    <m/>
    <m/>
    <m/>
    <m/>
    <m/>
    <m/>
    <m/>
    <m/>
    <m/>
    <m/>
    <m/>
  </r>
  <r>
    <x v="0"/>
    <n v="73"/>
    <s v="2023-04-24 07:37:25"/>
    <n v="14"/>
    <s v="lv"/>
    <n v="2104383974"/>
    <s v="2023-04-24 07:15:36"/>
    <s v="2023-04-24 07:37:25"/>
    <s v="lapa"/>
    <n v="18"/>
    <s v="vīriešu"/>
    <m/>
    <x v="1"/>
    <x v="0"/>
    <x v="0"/>
    <x v="0"/>
    <x v="0"/>
    <x v="0"/>
    <s v="Rīgā/ Rīgas rajonā"/>
    <m/>
    <s v="pareizticīgo"/>
    <m/>
    <s v="Jā"/>
    <s v="Jā"/>
    <s v="Nē"/>
    <s v="Jā"/>
    <s v="Nē"/>
    <s v="Nē"/>
    <s v="Nē"/>
    <s v="Jā"/>
    <s v="Nē"/>
    <s v="Jā"/>
    <s v="Nē"/>
    <s v="Jā"/>
    <s v="Jā"/>
    <s v="Nē"/>
    <s v="Jā"/>
    <s v="Jā"/>
    <s v="Nē"/>
    <s v="Nē"/>
    <s v="Jā"/>
    <s v="Jā"/>
    <s v="Nē"/>
    <s v="Jā"/>
    <s v="Jā"/>
    <s v="Nē"/>
    <s v="Jā"/>
    <s v="Nē"/>
    <s v="Jā"/>
    <s v="Nē"/>
    <m/>
    <m/>
    <m/>
    <m/>
    <m/>
    <m/>
    <s v="Lielākoties vienlīdzīgi"/>
    <s v="Lielākoties vienlīdzīgi"/>
    <s v="Vienlīdzīgi"/>
    <s v="Vienlīdzīgi"/>
    <s v="Lielākoties nevienlīdzīgi"/>
    <s v="Zaļo un Zemnieku savienība"/>
    <s v="&quot;Progresīvie&quot;"/>
    <s v="&quot;Latvija pirmajā vietā&quot;"/>
    <s v="Nacionālā Apvienība"/>
    <s v="Politiskā partija &quot;Stabilitātei&quot;"/>
    <s v="&quot;Apvienotais saraksts&quot;"/>
    <s v="Jaunā Vienotība"/>
    <s v="Cīņai ar klimata pārmaiņām būtu jābūt vairumam pasaules valstu galvenajai prioritātei."/>
    <s v="jā, lielāko daļu no tā, ko iespējams šķirot"/>
    <s v="Politiskā partija &quot;Stabilitātei&quot;"/>
    <s v="Nacionālā Apvienība"/>
    <s v="&quot;Latvija pirmajā vietā&quot;"/>
    <s v="&quot;Apvienotais saraksts&quot;"/>
    <s v="Zaļo un Zemnieku savienība"/>
    <s v="&quot;Progresīvie&quot;"/>
    <s v="Jaunā Vienotība"/>
    <s v="Jaunā Vienotība"/>
    <s v="&quot;Apvienotais saraksts&quot;"/>
    <s v="Nacionālā Apvienība"/>
    <s v="Zaļo un Zemnieku savienība"/>
    <s v="&quot;Progresīvie&quot;"/>
    <s v="Politiskā partija &quot;Stabilitātei&quot;"/>
    <s v="&quot;Latvija pirmajā vietā&quot;"/>
    <s v="Viduvēji"/>
    <s v="Neinteresē"/>
    <s v="Viduvēji"/>
    <m/>
    <s v="Populisms man asociējas ar politiķi, kurš cenšas iekļūt starp valsts ierēdņiem sevis un sava maka dēļ. Kā arī izplata neīpaši labas domas"/>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20"/>
    <n v="100"/>
    <n v="65"/>
    <n v="1"/>
    <s v="Mazliet saspīlētas"/>
    <s v="Mazliet saspīlētas"/>
    <s v="Nav saspīlētas"/>
    <m/>
    <m/>
    <m/>
    <m/>
    <m/>
    <s v="Bieži"/>
    <s v="Bieži"/>
    <s v="Bieži"/>
    <s v="Bieži"/>
    <s v="Bieži"/>
    <m/>
    <s v="nē"/>
    <s v="N/A"/>
    <s v="N/A"/>
    <s v="N/A"/>
    <s v="N/A"/>
    <s v="Jā"/>
    <s v="Nē"/>
    <s v="Jā"/>
    <s v="Nē"/>
    <s v="Jā"/>
    <s v="Jā"/>
    <s v="Jā"/>
    <s v="Nē"/>
    <s v="(gandrīz) katru dienu"/>
    <s v="(gandrīz) katru dienu"/>
    <s v="(gandrīz) katru dienu"/>
    <s v="(gandrīz) katru dienu"/>
    <s v="(gandrīz) katru dienu"/>
    <s v="(gandrīz) katru dienu"/>
    <s v="(gandrīz) katru dienu"/>
    <s v="pāris reižu mēnesī"/>
    <s v="(gandrīz) katru dienu"/>
    <s v="pāris reižu nedēļā"/>
    <s v="(gandrīz) katru dienu"/>
    <s v="(gandrīz) katru dienu"/>
    <s v="(gandrīz) katru dienu"/>
    <s v="reizi nedēļā"/>
    <s v="pilsoniskās brīvības (vārda brīvība, tiesības uz tiesisko aizsardzību)"/>
    <s v="vienlīdz pieejama izglītība, veselības aprūpe, sociālais nodrošinājums"/>
    <s v="brīvas vēlēšanas un plurālisms"/>
    <m/>
    <m/>
    <s v="citreiz labi, citreiz slikti"/>
    <s v="labi"/>
    <s v="ļoti labi"/>
    <s v="slikti"/>
    <s v="slikti"/>
    <s v="pamatizglītību"/>
    <m/>
    <s v="N/A"/>
    <s v="N/A"/>
    <s v="N/A"/>
    <s v="Jā"/>
    <s v="latviešu"/>
    <m/>
    <s v="latviešu"/>
    <m/>
    <s v="Spēju ilgstoši sarunāties ar vienaudžiem/piedalīties darba pārrunās."/>
    <s v="Spēju uzrakstīt motivācijas vēstuli darbam/ par savu darba pieredzi."/>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m/>
    <s v="Nē"/>
    <m/>
    <s v="Nē"/>
    <m/>
    <s v="Nē"/>
    <m/>
    <s v="Nē"/>
    <m/>
    <s v="Nē"/>
    <s v="Nē"/>
    <s v="Nē"/>
    <s v="Jā"/>
    <s v="Nē"/>
    <s v="Nē"/>
    <s v="Nē"/>
    <s v="Nē"/>
    <s v="Nē"/>
    <s v="Nē"/>
    <s v="Nē"/>
    <s v="Nē"/>
    <s v="Nē"/>
    <s v="Nē"/>
    <s v="Nē"/>
    <m/>
    <s v="Jā"/>
    <s v="Latvijas Ziņas"/>
    <s v="Nē"/>
    <m/>
    <s v="Nē"/>
    <m/>
    <s v="Nē"/>
    <m/>
    <s v="Jā"/>
    <s v="Jā"/>
    <s v="Nē"/>
    <s v="Nē"/>
    <s v="Jā"/>
    <s v="Jā"/>
    <s v="Nē"/>
    <s v="Jā"/>
    <s v="Jā"/>
    <s v="Nē"/>
    <s v="Jā"/>
    <s v="Nē"/>
    <m/>
    <m/>
    <m/>
    <m/>
    <m/>
    <m/>
    <m/>
    <m/>
    <m/>
    <m/>
    <m/>
    <m/>
    <m/>
  </r>
  <r>
    <x v="0"/>
    <n v="74"/>
    <s v="2023-04-24 07:37:58"/>
    <n v="14"/>
    <s v="lv"/>
    <n v="1257458035"/>
    <s v="2023-04-24 07:17:27"/>
    <s v="2023-04-24 07:37:58"/>
    <s v="lapa"/>
    <n v="18"/>
    <s v="vīriešu"/>
    <m/>
    <x v="0"/>
    <x v="0"/>
    <x v="0"/>
    <x v="0"/>
    <x v="0"/>
    <x v="0"/>
    <s v="Latgalē"/>
    <m/>
    <s v="vecticībnieku(ci)"/>
    <m/>
    <s v="Jā"/>
    <s v="Jā"/>
    <s v="Nē"/>
    <s v="Nē"/>
    <s v="Nē"/>
    <s v="Nē"/>
    <s v="Nē"/>
    <s v="Jā"/>
    <s v="Jā"/>
    <s v="Nē"/>
    <s v="Nē"/>
    <s v="Jā"/>
    <s v="Nē"/>
    <s v="Nē"/>
    <s v="N/A"/>
    <s v="N/A"/>
    <s v="N/A"/>
    <s v="N/A"/>
    <s v="N/A"/>
    <s v="N/A"/>
    <s v="Jā"/>
    <s v="Jā"/>
    <s v="Nē"/>
    <s v="Nē"/>
    <s v="Jā"/>
    <s v="Jā"/>
    <s v="Nē"/>
    <s v="Nē"/>
    <m/>
    <m/>
    <m/>
    <m/>
    <m/>
    <m/>
    <s v="Lielākoties nevienlīdzīgi"/>
    <s v="Vienlīdzīgi"/>
    <s v="Vienlīdzīgi"/>
    <s v="Vienlīdzīgi"/>
    <s v="Lielākoties vienlīdzīgi"/>
    <s v="&quot;Progresīvie&quot;"/>
    <s v="nezinu"/>
    <s v="Jaunā Vienotība"/>
    <s v="nezinu"/>
    <s v="Politiskā partija &quot;Stabilitātei&quot;"/>
    <s v="nezinu"/>
    <s v="nezinu"/>
    <s v="Klimata pārmaiņas – tas ir ciklisks un dabisks process."/>
    <s v="jā, lielāko daļu no tā, ko iespējams šķirot"/>
    <s v="Politiskā partija &quot;Stabilitātei&quot;"/>
    <s v="Jaunā Vienotība"/>
    <s v="Zaļo un Zemnieku savienība"/>
    <s v="Zaļo un Zemnieku savienība"/>
    <s v="Zaļo un Zemnieku savienība"/>
    <s v="&quot;Progresīvie&quot;"/>
    <s v="Nacionālā Apvienība"/>
    <s v="&quot;Apvienotais saraksts&quot;"/>
    <s v="Jaunā Vienotība"/>
    <s v="Nacionālā Apvienība"/>
    <s v="&quot;Apvienotais saraksts&quot;"/>
    <s v="&quot;Progresīvie&quot;"/>
    <s v="&quot;Latvija pirmajā vietā&quot;"/>
    <s v="nezinu"/>
    <s v="Ļoti"/>
    <s v="Neinteresē"/>
    <s v="Viduvēji"/>
    <m/>
    <s v="nezinu"/>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9"/>
    <n v="50"/>
    <n v="72"/>
    <n v="100"/>
    <s v="Mazliet saspīlētas"/>
    <s v="Mazliet saspīlētas"/>
    <s v="Nav saspīlētas"/>
    <m/>
    <m/>
    <m/>
    <m/>
    <m/>
    <s v="Bieži"/>
    <s v="Dažreiz"/>
    <s v="Reti"/>
    <s v="(Gandrīz) nekad"/>
    <s v="Dažreiz"/>
    <m/>
    <s v="jā, valsts iestādē"/>
    <s v="N/A"/>
    <s v="N/A"/>
    <s v="N/A"/>
    <s v="Jā"/>
    <s v="Nē"/>
    <s v="Jā"/>
    <s v="Nē"/>
    <s v="Nē"/>
    <s v="N/A"/>
    <s v="N/A"/>
    <s v="N/A"/>
    <s v="Jā"/>
    <s v="(gandrīz) nekad"/>
    <s v="(gandrīz) katru dienu"/>
    <s v="pāris reižu nedēļā"/>
    <s v="(gandrīz) katru dienu"/>
    <s v="(gandrīz) katru dienu"/>
    <s v="(gandrīz) katru dienu"/>
    <s v="(gandrīz) katru dienu"/>
    <s v="(gandrīz) katru dienu"/>
    <s v="(gandrīz) katru dienu"/>
    <s v="(gandrīz) katru dienu"/>
    <s v="(gandrīz) katru dienu"/>
    <s v="(gandrīz) katru dienu"/>
    <s v="(gandrīz) katru dienu"/>
    <s v="(gandrīz) katru dienu"/>
    <s v="vienlīdzīgas tiesības minoritātēm un ievainojamām sabiedrības grupām"/>
    <s v="varas līdzsvars starp parlamentu, prezidentu un tiesām, lai neviena no institūcijām nespētu sevī koncentrēt lielāko daļu varas"/>
    <s v="pilsoniskās brīvības (vārda brīvība, tiesības uz tiesisko aizsardzību)"/>
    <m/>
    <m/>
    <s v="citreiz labi, citreiz slikti"/>
    <s v="citreiz labi, citreiz slikti"/>
    <s v="citreiz labi, citreiz slikti"/>
    <s v="citreiz labi, citreiz slikt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Jā"/>
    <s v="Nē"/>
    <s v="Nē"/>
    <s v="Nē"/>
    <s v="Nē"/>
    <s v="Nē"/>
    <s v="Nē"/>
    <s v="Nē"/>
    <s v="Nē"/>
    <s v="Nē"/>
    <s v="Jā"/>
    <s v="Nē"/>
    <s v="Nē"/>
    <s v="Nē"/>
    <m/>
    <s v="Nē"/>
    <m/>
    <s v="Nē"/>
    <m/>
    <s v="Nē"/>
    <m/>
    <s v="Nē"/>
    <m/>
    <s v="Jā"/>
    <s v="Jā"/>
    <s v="Nē"/>
    <s v="Jā"/>
    <s v="Jā"/>
    <s v="Nē"/>
    <s v="Nē"/>
    <s v="Jā"/>
    <s v="Jā"/>
    <s v="Nē"/>
    <s v="Jā"/>
    <s v="Nē"/>
    <m/>
    <m/>
    <m/>
    <m/>
    <m/>
    <m/>
    <m/>
    <m/>
    <m/>
    <m/>
    <m/>
    <m/>
    <m/>
  </r>
  <r>
    <x v="0"/>
    <n v="75"/>
    <s v="2023-04-24 07:30:10"/>
    <n v="14"/>
    <s v="ru"/>
    <n v="557994468"/>
    <s v="2023-04-24 07:18:46"/>
    <s v="2023-04-24 07:30:10"/>
    <s v="ветка"/>
    <n v="18"/>
    <s v="vīriešu"/>
    <m/>
    <x v="0"/>
    <x v="0"/>
    <x v="0"/>
    <x v="0"/>
    <x v="0"/>
    <x v="0"/>
    <s v="Rīgā/ Rīgas rajonā"/>
    <m/>
    <s v="pareizticīgo"/>
    <m/>
    <s v="N/A"/>
    <s v="N/A"/>
    <s v="N/A"/>
    <s v="N/A"/>
    <s v="N/A"/>
    <s v="N/A"/>
    <s v="Jā"/>
    <s v="Nē"/>
    <s v="Nē"/>
    <s v="Nē"/>
    <s v="Nē"/>
    <s v="Jā"/>
    <s v="Nē"/>
    <s v="Nē"/>
    <s v="Nē"/>
    <s v="Jā"/>
    <s v="Nē"/>
    <s v="Nē"/>
    <s v="Nē"/>
    <s v="Nē"/>
    <s v="Nē"/>
    <s v="Nē"/>
    <s v="Jā"/>
    <s v="Nē"/>
    <s v="Nē"/>
    <s v="Nē"/>
    <s v="Nē"/>
    <s v="Nē"/>
    <m/>
    <m/>
    <m/>
    <m/>
    <m/>
    <m/>
    <s v="Vienlīdzīgi"/>
    <s v="Vienlīdzīgi"/>
    <s v="Vienlīdzīgi"/>
    <s v="Vienlīdzīgi"/>
    <s v="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Neinteresē"/>
    <s v="Neinteresē"/>
    <s v="Neinteresē"/>
    <m/>
    <s v="не знаю"/>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0"/>
    <n v="26"/>
    <n v="63"/>
    <n v="100"/>
    <s v="Nav saspīlētas"/>
    <s v="Nav saspīlētas"/>
    <s v="Nav saspīlētas"/>
    <m/>
    <m/>
    <m/>
    <m/>
    <m/>
    <s v="Bieži"/>
    <s v="Bieži"/>
    <s v="Dažreiz"/>
    <s v="Bieži"/>
    <s v="Bieži"/>
    <m/>
    <s v="jā, privāta darba devēja labā"/>
    <s v="N/A"/>
    <s v="N/A"/>
    <s v="N/A"/>
    <s v="Jā"/>
    <s v="N/A"/>
    <s v="N/A"/>
    <s v="N/A"/>
    <s v="Jā"/>
    <s v="N/A"/>
    <s v="N/A"/>
    <s v="N/A"/>
    <s v="Jā"/>
    <s v="(gandrīz) nekad"/>
    <s v="pāris reižu mēnesī"/>
    <s v="pāris reižu nedēļā"/>
    <s v="pāris reižu mēnesī"/>
    <s v="(gandrīz) nekad"/>
    <s v="pāris reižu mēnesī"/>
    <s v="reizi nedēļā"/>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ienlīdz pieejama izglītība, veselības aprūpe, sociālais nodrošinājums"/>
    <m/>
    <m/>
    <s v="citreiz labi, citreiz slikti"/>
    <s v="citreiz labi, citreiz slikti"/>
    <s v="citreiz labi, citreiz slikti"/>
    <s v="citreiz labi, citreiz slikti"/>
    <s v="citreiz labi, citreiz slikti"/>
    <s v="pamatizglītību"/>
    <m/>
    <s v="N/A"/>
    <s v="N/A"/>
    <s v="N/A"/>
    <s v="Jā"/>
    <s v="kriev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Jā"/>
    <s v=""/>
    <s v="Jā"/>
    <s v=""/>
    <s v="Jā"/>
    <s v=""/>
    <s v="Jā"/>
    <s v=""/>
    <s v="Nē"/>
    <s v="Nē"/>
    <s v="Nē"/>
    <s v="Nē"/>
    <s v="Nē"/>
    <s v="Nē"/>
    <s v="Nē"/>
    <s v="Nē"/>
    <s v="Nē"/>
    <s v="Nē"/>
    <s v="Nē"/>
    <s v="Nē"/>
    <s v="Nē"/>
    <s v="Nē"/>
    <s v="Jā"/>
    <m/>
    <s v="Jā"/>
    <s v=""/>
    <s v="Jā"/>
    <s v=""/>
    <s v="Jā"/>
    <s v=""/>
    <s v="Jā"/>
    <s v=""/>
    <s v="Jā"/>
    <s v="Jā"/>
    <s v="Jā"/>
    <s v="Jā"/>
    <s v="Jā"/>
    <s v="Jā"/>
    <s v="Nē"/>
    <s v="Jā"/>
    <s v="Nē"/>
    <s v="Nē"/>
    <s v="Nē"/>
    <s v="Nē"/>
    <m/>
    <s v=""/>
    <m/>
    <m/>
    <m/>
    <m/>
    <m/>
    <m/>
    <m/>
    <m/>
    <m/>
    <m/>
    <m/>
  </r>
  <r>
    <x v="0"/>
    <n v="76"/>
    <s v="2023-04-24 08:23:25"/>
    <n v="14"/>
    <s v="en"/>
    <n v="1958465461"/>
    <s v="2023-04-24 07:56:39"/>
    <s v="2023-04-24 08:23:25"/>
    <s v="lapa"/>
    <n v="18"/>
    <s v="vīriešu"/>
    <m/>
    <x v="1"/>
    <x v="1"/>
    <x v="0"/>
    <x v="1"/>
    <x v="0"/>
    <x v="0"/>
    <s v="Cita atbilde"/>
    <s v="te viss krievu valoda rakstits, nesaprotu."/>
    <s v="ateistu(ti), nereliģiozu"/>
    <m/>
    <s v="Jā"/>
    <s v="Nē"/>
    <s v="Nē"/>
    <s v="Nē"/>
    <s v="Nē"/>
    <s v="Nē"/>
    <s v="Nē"/>
    <s v="Nē"/>
    <s v="Nē"/>
    <s v="Nē"/>
    <s v="Nē"/>
    <s v="Nē"/>
    <s v="Jā"/>
    <s v="Nē"/>
    <s v="N/A"/>
    <s v="N/A"/>
    <s v="N/A"/>
    <s v="N/A"/>
    <s v="N/A"/>
    <s v="N/A"/>
    <s v="Jā"/>
    <s v="N/A"/>
    <s v="N/A"/>
    <s v="N/A"/>
    <s v="N/A"/>
    <s v="N/A"/>
    <s v="N/A"/>
    <s v="Jā"/>
    <m/>
    <m/>
    <m/>
    <m/>
    <m/>
    <m/>
    <s v="Lielākoties nevienlīdzīgi"/>
    <s v="Vienlīdzīgi"/>
    <s v="Lielākoties vienlīdzīgi"/>
    <s v="Lielākoties nevienlīdzīgi"/>
    <s v="Lielākoties 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Viduvēji"/>
    <s v="Neinteresē"/>
    <s v="Ne sevišķi"/>
    <m/>
    <s v="vairaku politku skatu punkti, laikam."/>
    <s v="Jā"/>
    <s v="Nē"/>
    <s v="Jā"/>
    <s v="Jā"/>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0"/>
    <n v="100"/>
    <m/>
    <m/>
    <s v="Mazliet saspīlētas"/>
    <s v="Nav saspīlētas"/>
    <s v="Es nezinu"/>
    <s v="(Gandrīz) nekad"/>
    <s v="(Gandrīz) nekad"/>
    <s v="(Gandrīz) nekad"/>
    <s v="Reti"/>
    <s v="(Gandrīz) nekad"/>
    <m/>
    <m/>
    <m/>
    <m/>
    <m/>
    <m/>
    <s v="nē"/>
    <s v="N/A"/>
    <s v="N/A"/>
    <s v="N/A"/>
    <s v="N/A"/>
    <s v="N/A"/>
    <s v="N/A"/>
    <s v="N/A"/>
    <s v="Jā"/>
    <s v="N/A"/>
    <s v="N/A"/>
    <s v="N/A"/>
    <s v="Jā"/>
    <s v="(gandrīz) katru dienu"/>
    <s v="(gandrīz) katru dienu"/>
    <s v="(gandrīz) nekad"/>
    <s v="reizi nedēļā"/>
    <s v="(gandrīz) nekad"/>
    <s v="pāris reižu mēnesī"/>
    <s v="pāris reižu nedēļā"/>
    <s v="(gandrīz) nekad"/>
    <s v="(gandrīz) nekad"/>
    <s v="(gandrīz) nekad"/>
    <s v="(gandrīz) nekad"/>
    <s v="(gandrīz) nekad"/>
    <s v="(gandrīz) nekad"/>
    <s v="(gandrīz) nekad"/>
    <s v="pilsoniskās brīvības (vārda brīvība, tiesības uz tiesisko aizsardzību)"/>
    <s v="brīvas vēlēšanas un plurālisms"/>
    <s v="vienlīdzīgas tiesības minoritātēm un ievainojamām sabiedrības grupām"/>
    <m/>
    <m/>
    <s v="labi"/>
    <s v="labi"/>
    <s v="citreiz labi, citreiz slikti"/>
    <s v="labi"/>
    <s v="citreiz labi, citreiz slikti"/>
    <s v="pamatizglītību"/>
    <m/>
    <s v="N/A"/>
    <s v="N/A"/>
    <s v="N/A"/>
    <s v="Jā"/>
    <s v="latviešu"/>
    <m/>
    <s v="latviešu"/>
    <m/>
    <s v="{if(is_empty(tongueLAT_SQ001.NAOK), 'latviski','krieviski')} nerunāju it nemaz."/>
    <s v="Spēju uzrakstīt vēstuli draugam."/>
    <s v="Saprotu norādes, kur iet."/>
    <s v="Krieviski/latviski spēju izlasīt ēdienkarti restorānā."/>
    <m/>
    <m/>
    <m/>
    <m/>
    <m/>
    <m/>
    <m/>
    <m/>
    <m/>
    <m/>
    <m/>
    <m/>
    <m/>
    <m/>
    <m/>
    <m/>
    <m/>
    <s v="N/A"/>
    <s v="N/A"/>
    <s v="N/A"/>
    <s v="N/A"/>
    <s v="N/A"/>
    <s v="N/A"/>
    <m/>
    <m/>
    <m/>
    <m/>
    <m/>
    <s v="Nē"/>
    <s v="Nē"/>
    <s v="Nē"/>
    <s v="Nē"/>
    <s v="Nē"/>
    <s v="Nē"/>
    <s v="Nē"/>
    <s v="Nē"/>
    <s v="Nē"/>
    <s v="Nē"/>
    <s v="Nē"/>
    <s v="Nē"/>
    <s v="Nē"/>
    <s v="Nē"/>
    <s v="Nē"/>
    <s v="neskatos TV"/>
    <s v="Nē"/>
    <m/>
    <s v="Jā"/>
    <s v="es youtuba dazreiz paskatos kaut kadus klipus no anglu vai amerikanu zinam"/>
    <s v="Nē"/>
    <m/>
    <s v="Nē"/>
    <m/>
    <s v="Nē"/>
    <s v="Nē"/>
    <s v="Nē"/>
    <s v="Nē"/>
    <s v="Nē"/>
    <s v="Nē"/>
    <s v="Nē"/>
    <s v="Nē"/>
    <s v="Nē"/>
    <s v="Nē"/>
    <s v="Nē"/>
    <s v="Nē"/>
    <s v="Nē"/>
    <s v="Nē"/>
    <s v="Nē"/>
    <s v="es nelasu zinas"/>
    <s v="Jā"/>
    <s v="nelasu"/>
    <s v="Jā"/>
    <s v="nelasu"/>
    <s v="Jā"/>
    <s v="nelasu"/>
    <s v="Jā"/>
    <s v="nelasu"/>
    <s v="Nē"/>
    <s v="Jā"/>
    <s v="Nē"/>
    <s v="Nē"/>
    <s v="Jā"/>
    <s v="Jā"/>
    <s v="Nē"/>
    <s v="Jā"/>
    <s v="Jā"/>
    <s v="Nē"/>
    <s v="Jā"/>
    <s v="Nē"/>
    <s v="ganjau ka vel kaut kas ir"/>
    <s v="Man liekas ka lielakajai dalai cilveku ap manu vecumu vispar politikia neinterese."/>
    <m/>
    <m/>
    <m/>
    <m/>
    <m/>
    <m/>
    <m/>
    <m/>
    <m/>
    <m/>
    <m/>
  </r>
  <r>
    <x v="0"/>
    <n v="77"/>
    <s v="2023-04-24 08:29:09"/>
    <n v="14"/>
    <s v="lv"/>
    <n v="460646748"/>
    <s v="2023-04-24 07:57:02"/>
    <s v="2023-04-24 08:29:09"/>
    <s v="lapa"/>
    <n v="17"/>
    <s v="vīriešu"/>
    <m/>
    <x v="1"/>
    <x v="1"/>
    <x v="0"/>
    <x v="0"/>
    <x v="0"/>
    <x v="0"/>
    <s v="Kurzemē"/>
    <m/>
    <s v="ateistu(ti), nereliģiozu"/>
    <m/>
    <s v="Jā"/>
    <s v="Nē"/>
    <s v="Jā"/>
    <s v="Jā"/>
    <s v="Jā"/>
    <s v="Jā"/>
    <s v="Nē"/>
    <s v="Jā"/>
    <s v="Jā"/>
    <s v="Jā"/>
    <s v="Nē"/>
    <s v="Jā"/>
    <s v="Nē"/>
    <s v="Nē"/>
    <s v="Jā"/>
    <s v="Jā"/>
    <s v="Jā"/>
    <s v="Nē"/>
    <s v="Jā"/>
    <s v="Nē"/>
    <s v="Nē"/>
    <s v="Jā"/>
    <s v="Jā"/>
    <s v="Jā"/>
    <s v="Jā"/>
    <s v="Jā"/>
    <s v="Jā"/>
    <s v="Nē"/>
    <m/>
    <m/>
    <m/>
    <m/>
    <m/>
    <m/>
    <s v="Lielākoties vienlīdzīgi"/>
    <s v="Lielākoties nevienlīdzīgi"/>
    <s v="Vienlīdzīgi"/>
    <s v="Lielākoties nevienlīdzīgi"/>
    <s v="Lielākoties nevienlīdzīgi"/>
    <s v="&quot;Latvija pirmajā vietā&quot;"/>
    <s v="&quot;Progresīvie&quot;"/>
    <s v="Politiskā partija &quot;Stabilitātei&quot;"/>
    <s v="Nacionālā Apvienība"/>
    <s v="&quot;Apvienotais saraksts&quot;"/>
    <s v="Jaunā Vienotība"/>
    <s v="Zaļo un Zemnieku savienība"/>
    <s v="Klimata pārmaiņas – tas ir ciklisks un dabisks process."/>
    <s v="jā, lielāko daļu no tā, ko iespējams šķirot"/>
    <s v="&quot;Latvija pirmajā vietā&quot;"/>
    <s v="&quot;Apvienotais saraksts&quot;"/>
    <s v="&quot;Progresīvie&quot;"/>
    <s v="Politiskā partija &quot;Stabilitātei&quot;"/>
    <s v="Nacionālā Apvienība"/>
    <s v="Zaļo un Zemnieku savienība"/>
    <s v="Jaunā Vienotība"/>
    <s v="&quot;Latvija pirmajā vietā&quot;"/>
    <s v="&quot;Progresīvie&quot;"/>
    <s v="&quot;Apvienotais saraksts&quot;"/>
    <s v="Politiskā partija &quot;Stabilitātei&quot;"/>
    <s v="Zaļo un Zemnieku savienība"/>
    <s v="Nacionālā Apvienība"/>
    <s v="Jaunā Vienotība"/>
    <s v="Ne sevišķi"/>
    <s v="Ne sevišķi"/>
    <s v="Ne sevišķi"/>
    <m/>
    <s v="nezinu"/>
    <s v="Jā"/>
    <s v="Nē"/>
    <s v="Jā"/>
    <s v="Jā"/>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25"/>
    <n v="99"/>
    <m/>
    <m/>
    <s v="Drīzāk saspīlētas"/>
    <s v="Mazliet saspīlētas"/>
    <s v="Drīzāk saspīlētas"/>
    <s v="(Gandrīz) nekad"/>
    <s v="(Gandrīz) nekad"/>
    <s v="(Gandrīz) nekad"/>
    <s v="(Gandrīz) nekad"/>
    <s v="(Gandrīz) nekad"/>
    <m/>
    <m/>
    <m/>
    <m/>
    <m/>
    <m/>
    <s v="nē"/>
    <s v="N/A"/>
    <s v="N/A"/>
    <s v="N/A"/>
    <s v="N/A"/>
    <s v="Jā"/>
    <s v="Nē"/>
    <s v="Nē"/>
    <s v="Nē"/>
    <s v="Jā"/>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īgas tiesības minoritātēm un ievainojamām sabiedrības grupām"/>
    <m/>
    <m/>
    <s v="labi"/>
    <s v="labi"/>
    <s v="ļoti labi"/>
    <s v="nezinu"/>
    <s v="labi"/>
    <s v="pamatizglītību"/>
    <m/>
    <s v="N/A"/>
    <s v="N/A"/>
    <s v="N/A"/>
    <s v="Jā"/>
    <s v="latviešu"/>
    <m/>
    <s v="latviešu"/>
    <m/>
    <s v="{if(is_empty(tongueLAT_SQ001.NAOK), 'latviski','krieviski')} nerunāju it nemaz."/>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Nē"/>
    <s v="Nē"/>
    <s v="Nē"/>
    <s v="Jā"/>
    <s v="Jā"/>
    <s v="Nē"/>
    <s v="Jā"/>
    <s v="Jā"/>
    <s v="Nē"/>
    <s v="Jā"/>
    <s v="Nē"/>
    <s v="twitch"/>
    <m/>
    <m/>
    <m/>
    <m/>
    <m/>
    <m/>
    <m/>
    <m/>
    <m/>
    <m/>
    <m/>
    <m/>
  </r>
  <r>
    <x v="0"/>
    <n v="78"/>
    <s v="2023-04-24 08:21:27"/>
    <n v="14"/>
    <s v="lv"/>
    <n v="97980197"/>
    <s v="2023-04-24 07:57:50"/>
    <s v="2023-04-24 08:21:27"/>
    <s v="lapa"/>
    <n v="18"/>
    <s v="vīriešu"/>
    <m/>
    <x v="1"/>
    <x v="1"/>
    <x v="0"/>
    <x v="0"/>
    <x v="0"/>
    <x v="0"/>
    <s v="Rīgā/ Rīgas rajonā"/>
    <m/>
    <s v="katoli(ieti)"/>
    <m/>
    <s v="Jā"/>
    <s v="Jā"/>
    <s v="Nē"/>
    <s v="Nē"/>
    <s v="Nē"/>
    <s v="Nē"/>
    <s v="Nē"/>
    <s v="Jā"/>
    <s v="Jā"/>
    <s v="Jā"/>
    <s v="Nē"/>
    <s v="Nē"/>
    <s v="Nē"/>
    <s v="Nē"/>
    <s v="Jā"/>
    <s v="Nē"/>
    <s v="Nē"/>
    <s v="Nē"/>
    <s v="Nē"/>
    <s v="Nē"/>
    <s v="Nē"/>
    <s v="N/A"/>
    <s v="N/A"/>
    <s v="N/A"/>
    <s v="N/A"/>
    <s v="N/A"/>
    <s v="N/A"/>
    <s v="Jā"/>
    <m/>
    <m/>
    <m/>
    <m/>
    <m/>
    <m/>
    <s v="Lielākoties vienlīdzīgi"/>
    <s v="Lielākoties nevienlīdzīgi"/>
    <s v="Lielākoties nevienlīdzīgi"/>
    <s v="Nevienlīdzīgi"/>
    <s v="Lielākoties vienlīdzīgi"/>
    <s v="Jaunā Vienotība"/>
    <s v="nezinu"/>
    <s v="Nacionālā Apvienība"/>
    <s v="Zaļo un Zemnieku savienība"/>
    <s v="nezinu"/>
    <s v="&quot;Progresīvie&quot;"/>
    <s v="Zaļo un Zemnieku savienība"/>
    <s v="Klimata pārmaiņas – tas ir ciklisks un dabisks process."/>
    <s v="jā, lielāko daļu no tā, ko iespējams šķirot"/>
    <s v="Jaunā Vienotība"/>
    <s v="&quot;Progresīvie&quot;"/>
    <s v="Zaļo un Zemnieku savienība"/>
    <s v="&quot;Latvija pirmajā vietā&quot;"/>
    <s v="Politiskā partija &quot;Stabilitātei&quot;"/>
    <s v="Jaunā Vienotība"/>
    <s v="nezinu"/>
    <s v="Jaunā Vienotība"/>
    <s v="&quot;Apvienotais saraksts&quot;"/>
    <s v="Politiskā partija &quot;Stabilitātei&quot;"/>
    <s v="Zaļo un Zemnieku savienība"/>
    <s v="&quot;Apvienotais saraksts&quot;"/>
    <s v="Jaunā Vienotība"/>
    <s v="Nacionālā Apvienība"/>
    <s v="Ārkārtīgi"/>
    <s v="Neinteresē"/>
    <s v="Ļoti"/>
    <m/>
    <s v="nezinu"/>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100"/>
    <n v="100"/>
    <m/>
    <m/>
    <s v="Drīzāk saspīlētas"/>
    <s v="Nav saspīlētas"/>
    <s v="Ļoti saspīlētas"/>
    <s v="Reti"/>
    <s v="(Gandrīz) nekad"/>
    <s v="(Gandrīz) nekad"/>
    <s v="(Gandrīz) nekad"/>
    <s v="(Gandrīz) nekad"/>
    <m/>
    <m/>
    <m/>
    <m/>
    <m/>
    <m/>
    <s v="nē"/>
    <s v="N/A"/>
    <s v="N/A"/>
    <s v="N/A"/>
    <s v="N/A"/>
    <s v="N/A"/>
    <s v="N/A"/>
    <s v="N/A"/>
    <s v="Jā"/>
    <s v="Jā"/>
    <s v="Nē"/>
    <s v="Nē"/>
    <s v="Nē"/>
    <s v="(gandrīz) katru dienu"/>
    <s v="(gandrīz) katru dienu"/>
    <s v="(gandrīz) nekad"/>
    <s v="(gandrīz) katru dienu"/>
    <s v="(gandrīz) katru dienu"/>
    <s v="(gandrīz) katru dienu"/>
    <s v="(gandrīz) katru dienu"/>
    <s v="(gandrīz) nekad"/>
    <s v="(gandrīz) nekad"/>
    <s v="(gandrīz) nekad"/>
    <s v="(gandrīz) nekad"/>
    <s v="(gandrīz) nekad"/>
    <s v="(gandrīz) nekad"/>
    <s v="(gandrīz) nekad"/>
    <s v="brīvas vēlēšanas un plurālisms"/>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citreiz labi, citreiz slikti"/>
    <s v="citreiz labi, citreiz slikti"/>
    <s v="slikti"/>
    <s v="vidējo izglītību"/>
    <m/>
    <s v="Jā"/>
    <s v="Jā"/>
    <s v="Nē"/>
    <s v="Nē"/>
    <s v="latviešu"/>
    <m/>
    <s v="latviešu"/>
    <m/>
    <s v="Spēju veikt pasūtījumu restorānā."/>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Jā"/>
    <s v="Nē"/>
    <s v="Nē"/>
    <m/>
    <s v="Nē"/>
    <m/>
    <s v="Nē"/>
    <m/>
    <s v="Nē"/>
    <m/>
    <s v="Nē"/>
    <m/>
    <s v="Nē"/>
    <s v="Nē"/>
    <s v="Nē"/>
    <s v="Nē"/>
    <s v="Nē"/>
    <s v="Nē"/>
    <s v="Nē"/>
    <s v="Nē"/>
    <s v="Nē"/>
    <s v="Nē"/>
    <s v="Nē"/>
    <s v="Nē"/>
    <s v="Netflix"/>
    <m/>
    <m/>
    <m/>
    <m/>
    <m/>
    <m/>
    <m/>
    <m/>
    <m/>
    <m/>
    <m/>
    <m/>
  </r>
  <r>
    <x v="0"/>
    <n v="79"/>
    <s v="2023-04-24 08:27:56"/>
    <n v="14"/>
    <s v="lv"/>
    <n v="1688901238"/>
    <s v="2023-04-24 07:59:25"/>
    <s v="2023-04-24 08:27:56"/>
    <s v="lapa"/>
    <n v="18"/>
    <s v="vīriešu"/>
    <m/>
    <x v="1"/>
    <x v="1"/>
    <x v="0"/>
    <x v="0"/>
    <x v="0"/>
    <x v="0"/>
    <s v="Zemgalē"/>
    <m/>
    <s v="ateistu(ti), nereliģiozu"/>
    <m/>
    <s v="Jā"/>
    <s v="Jā"/>
    <s v="Jā"/>
    <s v="Nē"/>
    <s v="Nē"/>
    <s v="Nē"/>
    <s v="Nē"/>
    <s v="Nē"/>
    <s v="Nē"/>
    <s v="Nē"/>
    <s v="Nē"/>
    <s v="Nē"/>
    <s v="Jā"/>
    <s v="Nē"/>
    <s v="Nē"/>
    <s v="Nē"/>
    <s v="Jā"/>
    <s v="Nē"/>
    <s v="Jā"/>
    <s v="Nē"/>
    <s v="Nē"/>
    <s v="N/A"/>
    <s v="N/A"/>
    <s v="N/A"/>
    <s v="N/A"/>
    <s v="N/A"/>
    <s v="N/A"/>
    <s v="Jā"/>
    <m/>
    <m/>
    <m/>
    <m/>
    <m/>
    <m/>
    <s v="Lielākoties vienlīdzīgi"/>
    <s v="Lielākoties vienlīdzīgi"/>
    <s v="Lielākoties nevienlīdzīgi"/>
    <s v="Lielākoties vienlīdzīgi"/>
    <s v="Lielākoties vienlīdzīgi"/>
    <s v="Zaļo un Zemnieku savienība"/>
    <s v="nezinu"/>
    <s v="nezinu"/>
    <s v="nezinu"/>
    <s v="nezinu"/>
    <s v="nezinu"/>
    <s v="nezinu"/>
    <s v="Reizēm ekonomiskā un valsts stabilitāte varētu nozīmēt, ka atsevišķi ekoloģiskās politikas aspekti ir uz brīdi jāiepauzē."/>
    <s v="jā, visu, ko iespējams šķirot"/>
    <s v="nezinu"/>
    <s v="nezinu"/>
    <s v="Zaļo un Zemnieku savienība"/>
    <s v="&quot;Progresīvie&quot;"/>
    <s v="&quot;Latvija pirmajā vietā&quot;"/>
    <s v="Zaļo un Zemnieku savienība"/>
    <s v="nezinu"/>
    <s v="&quot;Apvienotais saraksts&quot;"/>
    <s v="Nacionālā Apvienība"/>
    <s v="Politiskā partija &quot;Stabilitātei&quot;"/>
    <s v="nezinu"/>
    <s v="Jaunā Vienotība"/>
    <s v="nezinu"/>
    <s v="&quot;Latvija pirmajā vietā&quot;"/>
    <s v="Viduvēji"/>
    <s v="Neinteresē"/>
    <s v="Ne sevišķi"/>
    <m/>
    <s v="nezinu"/>
    <s v="Jā"/>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5"/>
    <n v="87"/>
    <m/>
    <m/>
    <s v="Mazliet saspīlētas"/>
    <s v="Ļoti saspīlētas"/>
    <s v="Drīzāk saspīlētas"/>
    <s v="(Gandrīz) nekad"/>
    <s v="Reti"/>
    <s v="(Gandrīz) nekad"/>
    <s v="(Gandrīz) nekad"/>
    <s v="Reti"/>
    <m/>
    <m/>
    <m/>
    <m/>
    <m/>
    <m/>
    <s v="nē"/>
    <s v="N/A"/>
    <s v="N/A"/>
    <s v="N/A"/>
    <s v="N/A"/>
    <s v="N/A"/>
    <s v="N/A"/>
    <s v="N/A"/>
    <s v="Jā"/>
    <s v="Jā"/>
    <s v="Nē"/>
    <s v="Nē"/>
    <s v="Nē"/>
    <s v="(gandrīz) katru dienu"/>
    <s v="(gandrīz) katru dienu"/>
    <s v="(gandrīz) katru dienu"/>
    <s v="(gandrīz) katru dienu"/>
    <s v="(gandrīz) katru dienu"/>
    <s v="pāris reižu nedēļā"/>
    <s v="(gandrīz) katru dienu"/>
    <s v="(gandrīz) nekad"/>
    <s v="(gandrīz) nekad"/>
    <s v="(gandrīz) nekad"/>
    <s v="(gandrīz) nekad"/>
    <s v="(gandrīz) nekad"/>
    <s v="(gandrīz) nekad"/>
    <s v="(gandrīz) nekad"/>
    <s v="varas līdzsvars starp parlamentu, prezidentu un tiesām, lai neviena no institūcijām nespētu sevī koncentrēt lielāko daļu varas"/>
    <s v="vienlīdz pieejama izglītība, veselības aprūpe, sociālais nodrošinājums"/>
    <s v="brīvas vēlēšanas un plurālisms"/>
    <m/>
    <m/>
    <s v="nezinu"/>
    <s v="nezinu"/>
    <s v="citreiz labi, citreiz slikti"/>
    <s v="nezinu"/>
    <s v="nezinu"/>
    <s v="pamatizglītību"/>
    <m/>
    <s v="N/A"/>
    <s v="N/A"/>
    <s v="N/A"/>
    <s v="Jā"/>
    <s v="latviešu"/>
    <m/>
    <s v="latviešu"/>
    <m/>
    <s v="{if(is_empty(tongueLAT_SQ001.NAOK), 'latviski','krieviski')} nerunāju it nemaz."/>
    <s v="{if(is_empty(tongueLAT_SQ001.NAOK), 'latviski','krieviski')} nemāku rakstīt."/>
    <s v="Viegli saprotu televīzijas pārraides vai Youtube video par saviem hobijiem/darbības sfēru."/>
    <s v="Krieviski/latviski spēju izlasīt ēdienkarti restorānā."/>
    <m/>
    <m/>
    <m/>
    <m/>
    <m/>
    <m/>
    <m/>
    <m/>
    <m/>
    <m/>
    <m/>
    <m/>
    <m/>
    <m/>
    <m/>
    <m/>
    <m/>
    <s v="N/A"/>
    <s v="N/A"/>
    <s v="N/A"/>
    <s v="N/A"/>
    <s v="N/A"/>
    <s v="N/A"/>
    <m/>
    <m/>
    <m/>
    <m/>
    <m/>
    <s v="Nē"/>
    <s v="Nē"/>
    <s v="Nē"/>
    <s v="Nē"/>
    <s v="Nē"/>
    <s v="Nē"/>
    <s v="Nē"/>
    <s v="Nē"/>
    <s v="Nē"/>
    <s v="Nē"/>
    <s v="Nē"/>
    <s v="Nē"/>
    <s v="Nē"/>
    <s v="Nē"/>
    <s v="Nē"/>
    <s v="nevienu"/>
    <s v="Nē"/>
    <m/>
    <s v="Nē"/>
    <m/>
    <s v="Nē"/>
    <m/>
    <s v="Nē"/>
    <m/>
    <s v="Nē"/>
    <s v="Nē"/>
    <s v="Nē"/>
    <s v="Nē"/>
    <s v="Nē"/>
    <s v="Nē"/>
    <s v="Nē"/>
    <s v="Nē"/>
    <s v="Nē"/>
    <s v="Nē"/>
    <s v="Nē"/>
    <s v="Nē"/>
    <s v="Nē"/>
    <s v="Nē"/>
    <s v="Jā"/>
    <m/>
    <s v="Nē"/>
    <m/>
    <s v="Nē"/>
    <m/>
    <s v="Nē"/>
    <m/>
    <s v="Nē"/>
    <m/>
    <s v="Nē"/>
    <s v="Nē"/>
    <s v="Nē"/>
    <s v="Nē"/>
    <s v="Jā"/>
    <s v="Nē"/>
    <s v="Nē"/>
    <s v="Jā"/>
    <s v="Jā"/>
    <s v="Nē"/>
    <s v="Nē"/>
    <s v="Nē"/>
    <m/>
    <m/>
    <m/>
    <m/>
    <m/>
    <m/>
    <m/>
    <m/>
    <m/>
    <m/>
    <m/>
    <m/>
    <m/>
  </r>
  <r>
    <x v="0"/>
    <n v="80"/>
    <s v="2023-04-24 08:27:40"/>
    <n v="14"/>
    <s v="lv"/>
    <n v="1798527226"/>
    <s v="2023-04-24 07:59:29"/>
    <s v="2023-04-24 08:27:40"/>
    <s v="lapa"/>
    <n v="17"/>
    <s v="vīriešu"/>
    <m/>
    <x v="1"/>
    <x v="0"/>
    <x v="0"/>
    <x v="0"/>
    <x v="0"/>
    <x v="0"/>
    <s v="Vidzemē"/>
    <m/>
    <s v="pareizticīgo"/>
    <m/>
    <s v="Nē"/>
    <s v="Jā"/>
    <s v="Nē"/>
    <s v="Nē"/>
    <s v="Nē"/>
    <s v="Nē"/>
    <s v="Nē"/>
    <s v="Nē"/>
    <s v="Jā"/>
    <s v="Jā"/>
    <s v="Nē"/>
    <s v="Nē"/>
    <s v="Nē"/>
    <s v="Nē"/>
    <s v="Jā"/>
    <s v="Jā"/>
    <s v="Nē"/>
    <s v="Nē"/>
    <s v="Nē"/>
    <s v="Nē"/>
    <s v="Nē"/>
    <s v="Nē"/>
    <s v="Jā"/>
    <s v="Jā"/>
    <s v="Nē"/>
    <s v="Nē"/>
    <s v="Nē"/>
    <s v="Nē"/>
    <m/>
    <m/>
    <m/>
    <m/>
    <m/>
    <m/>
    <s v="Lielākoties vienlīdzīgi"/>
    <s v="Lielākoties nevienlīdzīgi"/>
    <s v="Lielākoties vienlīdzīgi"/>
    <s v="Lielākoties nevienlīdzīgi"/>
    <s v="Lielākoties nevienlīdzīgi"/>
    <s v="nezinu"/>
    <s v="nezinu"/>
    <s v="nezinu"/>
    <s v="nezinu"/>
    <s v="nezinu"/>
    <s v="nezinu"/>
    <s v="nezinu"/>
    <s v="Klimata pārmaiņas – tas ir ciklisks un dabisks process."/>
    <s v="jā, daļu no tā, ko iespējams šķirot"/>
    <s v="Zaļo un Zemnieku savienība"/>
    <s v="Zaļo un Zemnieku savienība"/>
    <s v="Zaļo un Zemnieku savienība"/>
    <s v="Zaļo un Zemnieku savienība"/>
    <s v="Zaļo un Zemnieku savienība"/>
    <s v="Zaļo un Zemnieku savienība"/>
    <s v="Zaļo un Zemnieku savienība"/>
    <s v="nezinu"/>
    <s v="nezinu"/>
    <s v="nezinu"/>
    <s v="nezinu"/>
    <s v="nezinu"/>
    <s v="nezinu"/>
    <s v="nezinu"/>
    <s v="Viduvēji"/>
    <s v="Neinteresē"/>
    <s v="Ne sevišķi"/>
    <m/>
    <s v="kad cilvēks seko populiritātei, jeb tendencijam"/>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
    <n v="85"/>
    <n v="90"/>
    <n v="60"/>
    <s v="Drīzāk saspīlētas"/>
    <s v="Mazliet saspīlētas"/>
    <s v="Nav saspīlētas"/>
    <m/>
    <m/>
    <m/>
    <m/>
    <m/>
    <s v="(Gandrīz) nekad"/>
    <s v="(Gandrīz) nekad"/>
    <s v="(Gandrīz) nekad"/>
    <s v="(Gandrīz) nekad"/>
    <s v="(Gandrīz) nekad"/>
    <m/>
    <s v="nē"/>
    <s v="N/A"/>
    <s v="N/A"/>
    <s v="N/A"/>
    <s v="N/A"/>
    <s v="Jā"/>
    <s v="Jā"/>
    <s v="Jā"/>
    <s v="Nē"/>
    <s v="N/A"/>
    <s v="N/A"/>
    <s v="N/A"/>
    <s v="Jā"/>
    <s v="reizi nedēļā"/>
    <s v="(gandrīz) katru dienu"/>
    <s v="(gandrīz) katru dienu"/>
    <s v="(gandrīz) katru dienu"/>
    <s v="(gandrīz) katru dienu"/>
    <s v="(gandrīz) katru dienu"/>
    <s v="(gandrīz) katru dienu"/>
    <s v="(gandrīz) katru dienu"/>
    <s v="(gandrīz) katru dienu"/>
    <s v="pāris reižu nedēļā"/>
    <s v="pāris reižu nedēļā"/>
    <s v="(gandrīz) katru dienu"/>
    <s v="(gandrīz) katru dienu"/>
    <s v="pāris reižu nedēļā"/>
    <s v="brīvas vēlēšanas un plurālisms"/>
    <s v="pilsoniskās brīvības (vārda brīvība, tiesības uz tiesisko aizsardzību)"/>
    <s v="vienlīdz pieejama izglītība, veselības aprūpe, sociālais nodrošinājums"/>
    <m/>
    <m/>
    <s v="labi"/>
    <s v="citreiz labi, citreiz slikti"/>
    <s v="ļoti labi"/>
    <s v="citreiz labi, citreiz slikti"/>
    <s v="citreiz labi, citreiz slikti"/>
    <s v="vidējo 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Jā"/>
    <s v="Nē"/>
    <s v="Nē"/>
    <s v="Jā"/>
    <s v="Nē"/>
    <s v="Nē"/>
    <s v="Jā"/>
    <s v="Jā"/>
    <s v="Nē"/>
    <s v="Jā"/>
    <s v="Nē"/>
    <s v="Nē"/>
    <m/>
    <s v="Nē"/>
    <m/>
    <s v="Nē"/>
    <m/>
    <s v="Nē"/>
    <m/>
    <s v="Nē"/>
    <m/>
    <s v="Nē"/>
    <s v="Nē"/>
    <s v="Nē"/>
    <s v="Jā"/>
    <s v="Nē"/>
    <s v="Nē"/>
    <s v="Jā"/>
    <s v="Nē"/>
    <s v="Nē"/>
    <s v="Nē"/>
    <s v="Nē"/>
    <s v="Jā"/>
    <s v="Jā"/>
    <s v="Nē"/>
    <s v="Nē"/>
    <m/>
    <s v="Nē"/>
    <m/>
    <s v="Nē"/>
    <m/>
    <s v="Nē"/>
    <m/>
    <s v="Nē"/>
    <m/>
    <s v="Nē"/>
    <s v="Jā"/>
    <s v="Nē"/>
    <s v="Nē"/>
    <s v="Jā"/>
    <s v="Jā"/>
    <s v="Nē"/>
    <s v="Jā"/>
    <s v="Nē"/>
    <s v="Nē"/>
    <s v="Jā"/>
    <s v="Nē"/>
    <m/>
    <m/>
    <m/>
    <m/>
    <m/>
    <m/>
    <m/>
    <m/>
    <m/>
    <m/>
    <m/>
    <m/>
    <m/>
  </r>
  <r>
    <x v="0"/>
    <n v="81"/>
    <s v="2023-04-24 08:24:22"/>
    <n v="14"/>
    <s v="lv"/>
    <n v="1614585431"/>
    <s v="2023-04-24 07:59:30"/>
    <s v="2023-04-24 08:24:22"/>
    <s v="lapa"/>
    <n v="17"/>
    <s v="vīriešu"/>
    <m/>
    <x v="1"/>
    <x v="1"/>
    <x v="0"/>
    <x v="0"/>
    <x v="0"/>
    <x v="0"/>
    <s v="Vidzemē"/>
    <m/>
    <s v="katoli(ieti)"/>
    <m/>
    <s v="Nē"/>
    <s v="Jā"/>
    <s v="Nē"/>
    <s v="Nē"/>
    <s v="Nē"/>
    <s v="Nē"/>
    <s v="Nē"/>
    <s v="Nē"/>
    <s v="Jā"/>
    <s v="Nē"/>
    <s v="Nē"/>
    <s v="Nē"/>
    <s v="Nē"/>
    <s v="Nē"/>
    <s v="N/A"/>
    <s v="N/A"/>
    <s v="N/A"/>
    <s v="N/A"/>
    <s v="N/A"/>
    <s v="N/A"/>
    <s v="Jā"/>
    <s v="Nē"/>
    <s v="Jā"/>
    <s v="Nē"/>
    <s v="Nē"/>
    <s v="Nē"/>
    <s v="Nē"/>
    <s v="Nē"/>
    <m/>
    <m/>
    <m/>
    <m/>
    <m/>
    <m/>
    <s v="Lielākoties vienlīdzīgi"/>
    <s v="Lielākoties nevienlīdzīgi"/>
    <s v="Vienlīdzīgi"/>
    <s v="Vienlīdzīgi"/>
    <s v="Lielākoties 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Viduvēji"/>
    <s v="Ne sevišķi"/>
    <s v="Viduvēji"/>
    <m/>
    <s v="Manuprāt, populisms ir kad kāda persona ar savu uzstāšanos uzrunā cilvēkus, kuru uzskati ir līdzīgi un tie atbalsta šo personu."/>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80"/>
    <n v="100"/>
    <m/>
    <m/>
    <s v="Mazliet saspīlētas"/>
    <s v="Nav saspīlētas"/>
    <s v="Nav saspīlētas"/>
    <s v="(Gandrīz) nekad"/>
    <s v="(Gandrīz) nekad"/>
    <s v="(Gandrīz) nekad"/>
    <s v="(Gandrīz) nekad"/>
    <s v="(Gandrīz) nekad"/>
    <m/>
    <m/>
    <m/>
    <m/>
    <m/>
    <m/>
    <s v="nē"/>
    <s v="N/A"/>
    <s v="N/A"/>
    <s v="N/A"/>
    <s v="N/A"/>
    <s v="N/A"/>
    <s v="N/A"/>
    <s v="N/A"/>
    <s v="Jā"/>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īgas tiesības minoritātēm un ievainojamām sabiedrības grupām"/>
    <s v="vienlīdz pieejama izglītība, veselības aprūpe, sociālais nodrošinājums"/>
    <m/>
    <m/>
    <s v="labi"/>
    <s v="labi"/>
    <s v="citreiz labi, citreiz slikti"/>
    <s v="citreiz labi, citreiz slikti"/>
    <s v="citreiz labi, citreiz slikti"/>
    <s v="pamatizglītību"/>
    <m/>
    <s v="N/A"/>
    <s v="N/A"/>
    <s v="N/A"/>
    <s v="Jā"/>
    <s v="latviešu"/>
    <m/>
    <s v="latviešu"/>
    <m/>
    <s v="Spēju pastāstīt par savu hobiju / darbu."/>
    <s v="Spēju uzrakstīt vēstuli draugam."/>
    <s v="Saprotu norādes, kur iet."/>
    <s v="Krieviski/latviski spēju izlasīt ēdienkarti restorānā."/>
    <m/>
    <m/>
    <m/>
    <m/>
    <m/>
    <m/>
    <m/>
    <m/>
    <m/>
    <m/>
    <m/>
    <m/>
    <m/>
    <m/>
    <m/>
    <m/>
    <m/>
    <s v="N/A"/>
    <s v="N/A"/>
    <s v="N/A"/>
    <s v="N/A"/>
    <s v="N/A"/>
    <s v="N/A"/>
    <m/>
    <m/>
    <m/>
    <m/>
    <m/>
    <s v="Nē"/>
    <s v="Nē"/>
    <s v="Nē"/>
    <s v="Nē"/>
    <s v="Nē"/>
    <s v="Nē"/>
    <s v="Nē"/>
    <s v="Nē"/>
    <s v="Nē"/>
    <s v="Nē"/>
    <s v="Nē"/>
    <s v="Jā"/>
    <s v="Nē"/>
    <s v="Nē"/>
    <s v="Nē"/>
    <s v="TV6, 360TV"/>
    <s v="Jā"/>
    <s v="TV6"/>
    <s v="Jā"/>
    <s v="360TV"/>
    <s v="Nē"/>
    <m/>
    <s v="Nē"/>
    <m/>
    <s v="Nē"/>
    <s v="Nē"/>
    <s v="Nē"/>
    <s v="Nē"/>
    <s v="Nē"/>
    <s v="Nē"/>
    <s v="Nē"/>
    <s v="Nē"/>
    <s v="Nē"/>
    <s v="Nē"/>
    <s v="Nē"/>
    <s v="Nē"/>
    <s v="Nē"/>
    <s v="Nē"/>
    <s v="Jā"/>
    <m/>
    <s v="Nē"/>
    <m/>
    <s v="Nē"/>
    <m/>
    <s v="Nē"/>
    <m/>
    <s v="Nē"/>
    <m/>
    <s v="Jā"/>
    <s v="Jā"/>
    <s v="Nē"/>
    <s v="Nē"/>
    <s v="Jā"/>
    <s v="Nē"/>
    <s v="Nē"/>
    <s v="Jā"/>
    <s v="Nē"/>
    <s v="Nē"/>
    <s v="Nē"/>
    <s v="Nē"/>
    <m/>
    <m/>
    <m/>
    <m/>
    <m/>
    <m/>
    <m/>
    <m/>
    <m/>
    <m/>
    <m/>
    <m/>
    <m/>
  </r>
  <r>
    <x v="0"/>
    <n v="82"/>
    <s v="2023-04-24 08:14:21"/>
    <n v="14"/>
    <s v="lv"/>
    <n v="1551493016"/>
    <s v="2023-04-24 07:59:39"/>
    <s v="2023-04-24 08:14:21"/>
    <s v="lapa"/>
    <n v="17"/>
    <s v="vīriešu"/>
    <m/>
    <x v="1"/>
    <x v="1"/>
    <x v="0"/>
    <x v="0"/>
    <x v="0"/>
    <x v="0"/>
    <s v="Rīgā/ Rīgas rajonā"/>
    <m/>
    <s v="pareizticīgo"/>
    <m/>
    <s v="Jā"/>
    <s v="Jā"/>
    <s v="Nē"/>
    <s v="Nē"/>
    <s v="Nē"/>
    <s v="Nē"/>
    <s v="Nē"/>
    <s v="Jā"/>
    <s v="Jā"/>
    <s v="Nē"/>
    <s v="Nē"/>
    <s v="Jā"/>
    <s v="Nē"/>
    <s v="Nē"/>
    <s v="Jā"/>
    <s v="Jā"/>
    <s v="Nē"/>
    <s v="Nē"/>
    <s v="Nē"/>
    <s v="Nē"/>
    <s v="Nē"/>
    <s v="Jā"/>
    <s v="Jā"/>
    <s v="Jā"/>
    <s v="Jā"/>
    <s v="Jā"/>
    <s v="Nē"/>
    <s v="Nē"/>
    <m/>
    <m/>
    <m/>
    <m/>
    <m/>
    <m/>
    <s v="Nevienlīdzīgi"/>
    <s v="Vienlīdzīgi"/>
    <s v="Vienlīdzīgi"/>
    <s v="Nevienlīdzīgi"/>
    <s v="Nevienlīdzīgi"/>
    <s v="Jaunā Vienotība"/>
    <s v="&quot;Apvienotais saraksts&quot;"/>
    <s v="Nacionālā Apvienība"/>
    <s v="nezinu"/>
    <s v="&quot;Latvija pirmajā vietā&quot;"/>
    <s v="Zaļo un Zemnieku savienība"/>
    <s v="nezinu"/>
    <s v="Cīņai ar klimata pārmaiņām būtu jābūt vairumam pasaules valstu galvenajai prioritātei."/>
    <s v="jā, visu, ko iespējams šķirot"/>
    <s v="Nacionālā Apvienība"/>
    <s v="Jaunā Vienotība"/>
    <s v="Politiskā partija &quot;Stabilitātei&quot;"/>
    <s v="Zaļo un Zemnieku savienība"/>
    <s v="Politiskā partija &quot;Stabilitātei&quot;"/>
    <s v="Zaļo un Zemnieku savienība"/>
    <s v="&quot;Apvienotais saraksts&quot;"/>
    <s v="nezinu"/>
    <s v="nezinu"/>
    <s v="nezinu"/>
    <s v="nezinu"/>
    <s v="nezinu"/>
    <s v="nezinu"/>
    <s v="nezinu"/>
    <s v="Neinteresē"/>
    <s v="Neinteresē"/>
    <s v="Ārkārtīgi"/>
    <m/>
    <s v="Tramps"/>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
    <n v="100"/>
    <m/>
    <m/>
    <s v="Ļoti saspīlētas"/>
    <s v="Nav saspīlētas"/>
    <s v="Nav saspīlētas"/>
    <s v="(Gandrīz) nekad"/>
    <s v="(Gandrīz) nekad"/>
    <s v="(Gandrīz) nekad"/>
    <s v="(Gandrīz) nekad"/>
    <s v="Dažreiz"/>
    <m/>
    <m/>
    <m/>
    <m/>
    <m/>
    <m/>
    <s v="nē"/>
    <s v="N/A"/>
    <s v="N/A"/>
    <s v="N/A"/>
    <s v="N/A"/>
    <s v="N/A"/>
    <s v="N/A"/>
    <s v="N/A"/>
    <s v="Jā"/>
    <s v="Jā"/>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ienlīdz pieejama izglītība, veselības aprūpe, sociālais nodrošinājums"/>
    <m/>
    <m/>
    <s v="citreiz labi, citreiz slikti"/>
    <s v="labi"/>
    <s v="knapi/gandrīz necik"/>
    <s v="knapi/gandrīz necik"/>
    <s v="knapi/gandrīz necik"/>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Krieviski/latviski spēju izlasīt ēdienkarti restorānā."/>
    <m/>
    <m/>
    <m/>
    <m/>
    <m/>
    <m/>
    <m/>
    <m/>
    <m/>
    <m/>
    <m/>
    <m/>
    <m/>
    <m/>
    <m/>
    <m/>
    <m/>
    <s v="N/A"/>
    <s v="N/A"/>
    <s v="N/A"/>
    <s v="N/A"/>
    <s v="N/A"/>
    <s v="N/A"/>
    <m/>
    <m/>
    <m/>
    <m/>
    <m/>
    <s v="Nē"/>
    <s v="Nē"/>
    <s v="Nē"/>
    <s v="Nē"/>
    <s v="Nē"/>
    <s v="Nē"/>
    <s v="Nē"/>
    <s v="Nē"/>
    <s v="Nē"/>
    <s v="Nē"/>
    <s v="Nē"/>
    <s v="Nē"/>
    <s v="Nē"/>
    <s v="Nē"/>
    <s v="Nē"/>
    <s v="nevienu"/>
    <s v="Jā"/>
    <s v="TV3"/>
    <s v="Nē"/>
    <m/>
    <s v="Nē"/>
    <m/>
    <s v="Nē"/>
    <m/>
    <s v="Nē"/>
    <s v="Nē"/>
    <s v="Nē"/>
    <s v="Nē"/>
    <s v="Nē"/>
    <s v="Nē"/>
    <s v="Nē"/>
    <s v="Nē"/>
    <s v="Nē"/>
    <s v="Nē"/>
    <s v="Nē"/>
    <s v="Jā"/>
    <s v="Nē"/>
    <s v="Nē"/>
    <s v="Nē"/>
    <m/>
    <s v="Jā"/>
    <m/>
    <s v="Nē"/>
    <m/>
    <s v="Nē"/>
    <m/>
    <s v="Nē"/>
    <m/>
    <s v="Jā"/>
    <s v="Jā"/>
    <s v="Nē"/>
    <s v="Nē"/>
    <s v="Jā"/>
    <s v="Nē"/>
    <s v="Nē"/>
    <s v="Jā"/>
    <s v="Nē"/>
    <s v="Nē"/>
    <s v="Jā"/>
    <s v="Nē"/>
    <m/>
    <m/>
    <m/>
    <m/>
    <m/>
    <m/>
    <m/>
    <m/>
    <m/>
    <m/>
    <m/>
    <m/>
    <m/>
  </r>
  <r>
    <x v="0"/>
    <n v="83"/>
    <s v="2023-04-24 08:26:09"/>
    <n v="14"/>
    <s v="lv"/>
    <n v="1031279398"/>
    <s v="2023-04-24 07:59:41"/>
    <s v="2023-04-24 08:26:09"/>
    <s v="lapa"/>
    <n v="16"/>
    <s v="vīriešu"/>
    <m/>
    <x v="1"/>
    <x v="0"/>
    <x v="0"/>
    <x v="0"/>
    <x v="0"/>
    <x v="0"/>
    <s v="Latgalē"/>
    <m/>
    <s v="ateistu(ti), nereliģiozu"/>
    <m/>
    <s v="N/A"/>
    <s v="N/A"/>
    <s v="N/A"/>
    <s v="N/A"/>
    <s v="N/A"/>
    <s v="N/A"/>
    <s v="Jā"/>
    <s v="Nē"/>
    <s v="Nē"/>
    <s v="Nē"/>
    <s v="Nē"/>
    <s v="Jā"/>
    <s v="Nē"/>
    <s v="Nē"/>
    <s v="N/A"/>
    <s v="N/A"/>
    <s v="N/A"/>
    <s v="N/A"/>
    <s v="N/A"/>
    <s v="N/A"/>
    <s v="Jā"/>
    <s v="Nē"/>
    <s v="Nē"/>
    <s v="Jā"/>
    <s v="Jā"/>
    <s v="Jā"/>
    <s v="Nē"/>
    <s v="Nē"/>
    <m/>
    <m/>
    <m/>
    <m/>
    <m/>
    <m/>
    <s v="Lielākoties vienlīdzīgi"/>
    <s v="Vienlīdzīgi"/>
    <s v="Vienlīdzīgi"/>
    <s v="Lielākoties vienlīdzīgi"/>
    <s v="Lielākoties 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Viduvēji"/>
    <s v="Ne sevišķi"/>
    <s v="Viduvēji"/>
    <m/>
    <s v="Politiku veids kas, vairāk dot ieguvumus iedzivotājiem un grib padarīt to dzīvi vieglāku."/>
    <s v="Jā"/>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
    <n v="85"/>
    <n v="85"/>
    <n v="85"/>
    <s v="Drīzāk saspīlētas"/>
    <s v="Mazliet saspīlētas"/>
    <s v="Nav saspīlētas"/>
    <m/>
    <m/>
    <m/>
    <m/>
    <m/>
    <s v="(Gandrīz) nekad"/>
    <s v="(Gandrīz) nekad"/>
    <s v="(Gandrīz) nekad"/>
    <s v="(Gandrīz) nekad"/>
    <s v="(Gandrīz) nekad"/>
    <m/>
    <s v="nē"/>
    <s v="N/A"/>
    <s v="N/A"/>
    <s v="N/A"/>
    <s v="N/A"/>
    <s v="N/A"/>
    <s v="N/A"/>
    <s v="N/A"/>
    <s v="Jā"/>
    <s v="Jā"/>
    <s v="Nē"/>
    <s v="Nē"/>
    <s v="Nē"/>
    <s v="(gandrīz) katru dienu"/>
    <s v="(gandrīz) katru dienu"/>
    <s v="(gandrīz) nekad"/>
    <s v="(gandrīz) katru dienu"/>
    <s v="pāris reižu nedēļā"/>
    <s v="pāris reižu nedēļā"/>
    <s v="pāris reižu nedēļā"/>
    <s v="(gandrīz) katru dienu"/>
    <s v="(gandrīz) katru dienu"/>
    <s v="(gandrīz) nekad"/>
    <s v="(gandrīz) katru dienu"/>
    <s v="pāris reižu mēnesī"/>
    <s v="pāris reižu mēnesī"/>
    <s v="pāris reižu mēnesī"/>
    <s v="vienlīdz pieejama izglītība, veselības aprūpe, sociālais nodrošinājums"/>
    <s v="brīvas vēlēšanas un plurālisms"/>
    <s v="varas līdzsvars starp parlamentu, prezidentu un tiesām, lai neviena no institūcijām nespētu sevī koncentrēt lielāko daļu varas"/>
    <m/>
    <m/>
    <s v="ļoti labi"/>
    <s v="labi"/>
    <s v="ļoti labi"/>
    <s v="labi"/>
    <s v="labi"/>
    <s v="pamatizglītību"/>
    <m/>
    <s v="N/A"/>
    <s v="N/A"/>
    <s v="N/A"/>
    <s v="Jā"/>
    <s v="latviešu"/>
    <m/>
    <s v="Cita atbilde"/>
    <s v="Vel nepabeidzu vidusskolu"/>
    <s v="Spēju ilgstoši sarunāties ar vienaudžiem/piedalīties darba pārrunās."/>
    <s v="Spēju uzrakstīt vēstuli draugam."/>
    <s v="Viegli saprotu radio programmas / podkāstus par saviem hobijiem/darbības sfēru."/>
    <s v="Spēju izlasīt avīzi/īsstāstus."/>
    <m/>
    <m/>
    <m/>
    <m/>
    <m/>
    <m/>
    <m/>
    <m/>
    <m/>
    <m/>
    <m/>
    <m/>
    <m/>
    <m/>
    <m/>
    <m/>
    <m/>
    <s v="N/A"/>
    <s v="N/A"/>
    <s v="N/A"/>
    <s v="N/A"/>
    <s v="N/A"/>
    <s v="N/A"/>
    <m/>
    <m/>
    <m/>
    <m/>
    <m/>
    <s v="Nē"/>
    <s v="Nē"/>
    <s v="Jā"/>
    <s v="Nē"/>
    <s v="Nē"/>
    <s v="Nē"/>
    <s v="Jā"/>
    <s v="Nē"/>
    <s v="Nē"/>
    <s v="Nē"/>
    <s v="Nē"/>
    <s v="Nē"/>
    <s v="Nē"/>
    <s v="Nē"/>
    <s v="Nē"/>
    <m/>
    <s v="Nē"/>
    <m/>
    <s v="Nē"/>
    <m/>
    <s v="Nē"/>
    <m/>
    <s v="Nē"/>
    <m/>
    <s v="Nē"/>
    <s v="Nē"/>
    <s v="Nē"/>
    <s v="Nē"/>
    <s v="Nē"/>
    <s v="Nē"/>
    <s v="Nē"/>
    <s v="Nē"/>
    <s v="Nē"/>
    <s v="Nē"/>
    <s v="Nē"/>
    <s v="Nē"/>
    <s v="Nē"/>
    <s v="Nē"/>
    <s v="Jā"/>
    <m/>
    <s v="Nē"/>
    <m/>
    <s v="Nē"/>
    <m/>
    <s v="Nē"/>
    <m/>
    <s v="Nē"/>
    <m/>
    <s v="Nē"/>
    <s v="Jā"/>
    <s v="Nē"/>
    <s v="Nē"/>
    <s v="Jā"/>
    <s v="Nē"/>
    <s v="Nē"/>
    <s v="Nē"/>
    <s v="Nē"/>
    <s v="Nē"/>
    <s v="Nē"/>
    <s v="Nē"/>
    <m/>
    <s v="Es neko nesaprotu politikā un nevarēju pilnīgi uz tiem atbildēt."/>
    <m/>
    <m/>
    <m/>
    <m/>
    <m/>
    <m/>
    <m/>
    <m/>
    <m/>
    <m/>
    <m/>
  </r>
  <r>
    <x v="0"/>
    <n v="84"/>
    <s v="2023-04-24 08:29:13"/>
    <n v="14"/>
    <s v="lv"/>
    <n v="990120136"/>
    <s v="2023-04-24 08:00:07"/>
    <s v="2023-04-24 08:29:13"/>
    <s v="lapa"/>
    <n v="18"/>
    <s v="vīriešu"/>
    <m/>
    <x v="1"/>
    <x v="1"/>
    <x v="0"/>
    <x v="0"/>
    <x v="0"/>
    <x v="0"/>
    <s v="Zemgalē"/>
    <m/>
    <s v="ateistu(ti), nereliģiozu"/>
    <m/>
    <s v="Nē"/>
    <s v="Jā"/>
    <s v="Nē"/>
    <s v="Nē"/>
    <s v="Nē"/>
    <s v="Nē"/>
    <s v="Nē"/>
    <s v="Nē"/>
    <s v="Jā"/>
    <s v="Nē"/>
    <s v="Nē"/>
    <s v="Nē"/>
    <s v="Nē"/>
    <s v="Nē"/>
    <s v="Nē"/>
    <s v="Nē"/>
    <s v="Jā"/>
    <s v="Nē"/>
    <s v="Nē"/>
    <s v="Nē"/>
    <s v="Nē"/>
    <s v="Nē"/>
    <s v="Nē"/>
    <s v="Nē"/>
    <s v="Jā"/>
    <s v="Nē"/>
    <s v="Nē"/>
    <s v="Nē"/>
    <m/>
    <m/>
    <m/>
    <m/>
    <m/>
    <m/>
    <s v="Lielākoties nevienlīdzīgi"/>
    <s v="Lielākoties vienlīdzīgi"/>
    <s v="Vienlīdzīgi"/>
    <s v="Vienlīdzīgi"/>
    <s v="Vienlīdzīgi"/>
    <s v="nezinu"/>
    <s v="nezinu"/>
    <s v="nezinu"/>
    <s v="nezinu"/>
    <s v="nezinu"/>
    <s v="nezinu"/>
    <s v="nezinu"/>
    <s v="Globālā sasilšana ir šķērsojusi robežu, pēc kuras nav iespējams atgriezties, un cilvēkiem būs jāpielāgojas."/>
    <s v="jā, lielāko daļu no tā, ko iespējams šķirot"/>
    <s v="Zaļo un Zemnieku savienība"/>
    <s v="Jaunā Vienotība"/>
    <s v="Politiskā partija &quot;Stabilitātei&quot;"/>
    <s v="&quot;Latvija pirmajā vietā&quot;"/>
    <s v="&quot;Progresīvie&quot;"/>
    <s v="Nacionālā Apvienība"/>
    <s v="nezinu"/>
    <s v="Nacionālā Apvienība"/>
    <s v="&quot;Progresīvie&quot;"/>
    <s v="&quot;Latvija pirmajā vietā&quot;"/>
    <s v="Politiskā partija &quot;Stabilitātei&quot;"/>
    <s v="Jaunā Vienotība"/>
    <s v="Zaļo un Zemnieku savienība"/>
    <s v="&quot;Apvienotais saraksts&quot;"/>
    <s v="Viduvēji"/>
    <s v="Neinteresē"/>
    <s v="Ārkārtīgi"/>
    <m/>
    <s v="Man populisms asociējas ar to, kas mūsdienās ir aktuāls un par ko domā lielākā daļa sabiedrības."/>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36"/>
    <n v="88"/>
    <m/>
    <m/>
    <s v="Drīzāk saspīlētas"/>
    <s v="Mazliet saspīlētas"/>
    <s v="Nav saspīlētas"/>
    <s v="(Gandrīz) nekad"/>
    <s v="(Gandrīz) nekad"/>
    <s v="(Gandrīz) nekad"/>
    <s v="(Gandrīz) nekad"/>
    <s v="Reti"/>
    <m/>
    <m/>
    <m/>
    <m/>
    <m/>
    <m/>
    <s v="nē"/>
    <s v="N/A"/>
    <s v="N/A"/>
    <s v="N/A"/>
    <s v="N/A"/>
    <s v="Jā"/>
    <s v="Jā"/>
    <s v="Nē"/>
    <s v="Nē"/>
    <s v="Jā"/>
    <s v="Nē"/>
    <s v="Jā"/>
    <s v="Nē"/>
    <s v="(gandrīz) katru dienu"/>
    <s v="(gandrīz) katru dienu"/>
    <s v="(gandrīz) katru dienu"/>
    <s v="(gandrīz) katru dienu"/>
    <s v="(gandrīz) katru dienu"/>
    <s v="(gandrīz) katru dienu"/>
    <s v="(gandrīz) katru dienu"/>
    <s v="(gandrīz) nekad"/>
    <s v="reizi nedēļā"/>
    <s v="pāris reižu nedēļā"/>
    <s v="pāris reižu nedēļā"/>
    <s v="(gandrīz) nekad"/>
    <s v="pāris reižu mēnesī"/>
    <s v="(gandrīz) nekad"/>
    <s v="pilsoniskās brīvības (vārda brīvība, tiesības uz tiesisko aizsardzību)"/>
    <s v="vienlīdz pieejama izglītība, veselības aprūpe, sociālais nodrošinājums"/>
    <s v="brīvas vēlēšanas un plurālisms"/>
    <m/>
    <m/>
    <s v="labi"/>
    <s v="ļoti labi"/>
    <s v="labi"/>
    <s v="ļoti labi"/>
    <s v="labi"/>
    <s v="pamatizglītību"/>
    <m/>
    <s v="N/A"/>
    <s v="N/A"/>
    <s v="N/A"/>
    <s v="Jā"/>
    <s v="latviešu"/>
    <m/>
    <s v="latvieš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Nē"/>
    <s v="nevienu"/>
    <s v="Nē"/>
    <m/>
    <s v="Nē"/>
    <m/>
    <s v="Nē"/>
    <m/>
    <s v="Nē"/>
    <m/>
    <s v="Nē"/>
    <s v="Nē"/>
    <s v="Nē"/>
    <s v="Nē"/>
    <s v="Nē"/>
    <s v="Nē"/>
    <s v="Nē"/>
    <s v="Nē"/>
    <s v="Nē"/>
    <s v="Nē"/>
    <s v="Nē"/>
    <s v="Nē"/>
    <s v="Jā"/>
    <s v="Nē"/>
    <s v="Nē"/>
    <m/>
    <s v="Nē"/>
    <m/>
    <s v="Nē"/>
    <m/>
    <s v="Nē"/>
    <m/>
    <s v="Nē"/>
    <m/>
    <s v="Jā"/>
    <s v="Jā"/>
    <s v="Nē"/>
    <s v="Nē"/>
    <s v="Nē"/>
    <s v="Jā"/>
    <s v="Nē"/>
    <s v="Jā"/>
    <s v="Jā"/>
    <s v="Nē"/>
    <s v="Nē"/>
    <s v="Nē"/>
    <m/>
    <m/>
    <m/>
    <m/>
    <m/>
    <m/>
    <m/>
    <m/>
    <m/>
    <m/>
    <m/>
    <m/>
    <m/>
  </r>
  <r>
    <x v="0"/>
    <n v="85"/>
    <s v="2023-04-24 08:26:36"/>
    <n v="14"/>
    <s v="ru"/>
    <n v="1806152044"/>
    <s v="2023-04-24 08:00:37"/>
    <s v="2023-04-24 08:26:36"/>
    <s v="ветка"/>
    <n v="16"/>
    <s v="vīriešu"/>
    <m/>
    <x v="0"/>
    <x v="0"/>
    <x v="0"/>
    <x v="0"/>
    <x v="0"/>
    <x v="0"/>
    <s v="Rīgā/ Rīgas rajonā"/>
    <m/>
    <s v="ateistu(ti), nereliģiozu"/>
    <m/>
    <s v="Nē"/>
    <s v="Nē"/>
    <s v="Jā"/>
    <s v="Nē"/>
    <s v="Nē"/>
    <s v="Nē"/>
    <s v="Nē"/>
    <s v="Jā"/>
    <s v="Jā"/>
    <s v="Nē"/>
    <s v="Nē"/>
    <s v="Jā"/>
    <s v="Nē"/>
    <s v="Nē"/>
    <s v="Nē"/>
    <s v="Nē"/>
    <s v="Nē"/>
    <s v="Nē"/>
    <s v="Jā"/>
    <s v="Jā"/>
    <s v="Nē"/>
    <s v="Nē"/>
    <s v="Nē"/>
    <s v="Jā"/>
    <s v="Jā"/>
    <s v="Jā"/>
    <s v="Nē"/>
    <s v="Nē"/>
    <m/>
    <m/>
    <m/>
    <m/>
    <m/>
    <m/>
    <s v="Lielākoties vienlīdzīgi"/>
    <s v="Lielākoties vienlīdzīgi"/>
    <s v="Vienlīdzīgi"/>
    <s v="Lielākoties vienlīdzīgi"/>
    <s v="Vienlīdzīgi"/>
    <s v="nezinu"/>
    <s v="&quot;Progresīvie&quot;"/>
    <s v="nezinu"/>
    <s v="&quot;Progresīvie&quot;"/>
    <s v="nezinu"/>
    <s v="nezinu"/>
    <s v="nezinu"/>
    <s v="Cīņai ar klimata pārmaiņām būtu jābūt vairumam pasaules valstu galvenajai prioritātei."/>
    <s v="nē"/>
    <s v="nezinu"/>
    <s v="nezinu"/>
    <s v="nezinu"/>
    <s v="nezinu"/>
    <s v="nezinu"/>
    <s v="nezinu"/>
    <s v="nezinu"/>
    <s v="nezinu"/>
    <s v="nezinu"/>
    <s v="nezinu"/>
    <s v="nezinu"/>
    <s v="nezinu"/>
    <s v="nezinu"/>
    <s v="nezinu"/>
    <s v="Ārkārtīgi"/>
    <s v="Ārkārtīgi"/>
    <s v="Ārkārtīgi"/>
    <m/>
    <s v="распространять  свои идеи"/>
    <s v="Nē"/>
    <s v="Nē"/>
    <s v="Nē"/>
    <s v="Nē"/>
    <s v="Nē"/>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
    <n v="34"/>
    <n v="100"/>
    <n v="1"/>
    <s v="Mazliet saspīlētas"/>
    <s v="Mazliet saspīlētas"/>
    <s v="Es nezinu"/>
    <m/>
    <m/>
    <m/>
    <m/>
    <m/>
    <s v="Reti"/>
    <s v="Dažreiz"/>
    <s v="Dažreiz"/>
    <s v="Reti"/>
    <s v="Dažreiz"/>
    <m/>
    <s v="nē"/>
    <s v="N/A"/>
    <s v="N/A"/>
    <s v="N/A"/>
    <s v="N/A"/>
    <s v="N/A"/>
    <s v="N/A"/>
    <s v="N/A"/>
    <s v="Jā"/>
    <s v="Jā"/>
    <s v="Jā"/>
    <s v="Nē"/>
    <s v="Nē"/>
    <s v="(gandrīz) nekad"/>
    <s v="reizi nedēļā"/>
    <s v="(gandrīz) nekad"/>
    <s v="(gandrīz) nekad"/>
    <s v="(gandrīz) nekad"/>
    <s v="(gandrīz) nekad"/>
    <s v="(gandrīz) nekad"/>
    <s v="(gandrīz) katru dienu"/>
    <s v="(gandrīz) katru dienu"/>
    <s v="(gandrīz) katru dienu"/>
    <s v="(gandrīz) katru dienu"/>
    <s v="(gandrīz) katru dienu"/>
    <s v="(gandrīz) katru dienu"/>
    <s v="pāris reižu nedēļā"/>
    <s v="brīvas vēlēšanas un plurālisms"/>
    <s v="vienlīdz pieejama izglītība, veselības aprūpe, sociālais nodrošinājums"/>
    <s v="pilsoniskās brīvības (vārda brīvība, tiesības uz tiesisko aizsardzību)"/>
    <m/>
    <m/>
    <s v="slikti"/>
    <s v="slikti"/>
    <s v="labi"/>
    <s v="citreiz labi, citreiz slikti"/>
    <s v="slikti"/>
    <s v="pamatizglītību"/>
    <m/>
    <s v="N/A"/>
    <s v="N/A"/>
    <s v="N/A"/>
    <s v="Jā"/>
    <s v="krievu"/>
    <m/>
    <s v="latviešu"/>
    <m/>
    <s v="Spēju veikt pasūtījumu restorānā."/>
    <s v="Spēju uzrakstīt vēstuli draugam."/>
    <s v="Viegli saprotu televīzijas pārraides vai Youtube video par saviem hobijiem/darbības sfēru."/>
    <s v="Spēju izlasīt avīzi/īsstāstus."/>
    <m/>
    <m/>
    <m/>
    <m/>
    <m/>
    <m/>
    <m/>
    <m/>
    <m/>
    <m/>
    <m/>
    <m/>
    <m/>
    <m/>
    <m/>
    <m/>
    <m/>
    <s v="N/A"/>
    <s v="N/A"/>
    <s v="N/A"/>
    <s v="N/A"/>
    <s v="N/A"/>
    <s v="N/A"/>
    <m/>
    <m/>
    <m/>
    <m/>
    <m/>
    <s v="Nē"/>
    <s v="Jā"/>
    <s v="Nē"/>
    <s v="Jā"/>
    <s v="Nē"/>
    <s v="Nē"/>
    <s v="Nē"/>
    <s v="Nē"/>
    <s v="Nē"/>
    <s v="Nē"/>
    <s v="Nē"/>
    <s v="Nē"/>
    <s v="Nē"/>
    <s v="Nē"/>
    <s v="Nē"/>
    <m/>
    <s v="Nē"/>
    <m/>
    <s v="Nē"/>
    <m/>
    <s v="Nē"/>
    <m/>
    <s v="Nē"/>
    <m/>
    <s v="Nē"/>
    <s v="Nē"/>
    <s v="Nē"/>
    <s v="Nē"/>
    <s v="Nē"/>
    <s v="Nē"/>
    <s v="Nē"/>
    <s v="Nē"/>
    <s v="Nē"/>
    <s v="Nē"/>
    <s v="Nē"/>
    <s v="Nē"/>
    <s v="Nē"/>
    <s v="Nē"/>
    <s v="Jā"/>
    <m/>
    <s v="Nē"/>
    <m/>
    <s v="Nē"/>
    <m/>
    <s v="Nē"/>
    <m/>
    <s v="Nē"/>
    <m/>
    <s v="Jā"/>
    <s v="Jā"/>
    <s v="Nē"/>
    <s v="Nē"/>
    <s v="Jā"/>
    <s v="Jā"/>
    <s v="Nē"/>
    <s v="Jā"/>
    <s v="Nē"/>
    <s v="Nē"/>
    <s v="Jā"/>
    <s v="Nē"/>
    <m/>
    <s v=":D"/>
    <m/>
    <m/>
    <m/>
    <m/>
    <m/>
    <m/>
    <m/>
    <m/>
    <m/>
    <m/>
    <m/>
  </r>
  <r>
    <x v="0"/>
    <n v="86"/>
    <s v="2023-04-24 08:21:20"/>
    <n v="14"/>
    <s v="lv"/>
    <n v="1251529375"/>
    <s v="2023-04-24 08:00:43"/>
    <s v="2023-04-24 08:21:20"/>
    <s v="lapa"/>
    <n v="18"/>
    <s v="vīriešu"/>
    <m/>
    <x v="1"/>
    <x v="1"/>
    <x v="0"/>
    <x v="0"/>
    <x v="0"/>
    <x v="0"/>
    <s v="Zemgalē"/>
    <m/>
    <s v="protestantu(ti)"/>
    <m/>
    <s v="Jā"/>
    <s v="Jā"/>
    <s v="Jā"/>
    <s v="Jā"/>
    <s v="Nē"/>
    <s v="Nē"/>
    <s v="Nē"/>
    <s v="Jā"/>
    <s v="Jā"/>
    <s v="Jā"/>
    <s v="Nē"/>
    <s v="Jā"/>
    <s v="Nē"/>
    <s v="Nē"/>
    <s v="Nē"/>
    <s v="Jā"/>
    <s v="Jā"/>
    <s v="Nē"/>
    <s v="Nē"/>
    <s v="Jā"/>
    <s v="Nē"/>
    <s v="Jā"/>
    <s v="Jā"/>
    <s v="Jā"/>
    <s v="Nē"/>
    <s v="Jā"/>
    <s v="Jā"/>
    <s v="Nē"/>
    <m/>
    <m/>
    <m/>
    <m/>
    <m/>
    <m/>
    <s v="Lielākoties vienlīdzīgi"/>
    <s v="Lielākoties nevienlīdzīgi"/>
    <s v="Lielākoties vienlīdzīgi"/>
    <s v="Nevienlīdzīgi"/>
    <s v="Lielākoties vienlīdzīgi"/>
    <s v="Zaļo un Zemnieku savienība"/>
    <s v="&quot;Progresīvie&quot;"/>
    <s v="Nacionālā Apvienība"/>
    <s v="Nacionālā Apvienība"/>
    <s v="Nacionālā Apvienība"/>
    <s v="&quot;Progresīvie&quot;"/>
    <s v="Nacionālā Apvienība"/>
    <s v="Globālā sasilšana ir šķērsojusi robežu, pēc kuras nav iespējams atgriezties, un cilvēkiem būs jāpielāgojas."/>
    <s v="jā, daļu no tā, ko iespējams šķirot"/>
    <s v="nezinu"/>
    <s v="&quot;Progresīvie&quot;"/>
    <s v="nezinu"/>
    <s v="Zaļo un Zemnieku savienība"/>
    <s v="Jaunā Vienotība"/>
    <s v="Zaļo un Zemnieku savienība"/>
    <s v="&quot;Latvija pirmajā vietā&quot;"/>
    <s v="Jaunā Vienotība"/>
    <s v="&quot;Progresīvie&quot;"/>
    <s v="Nacionālā Apvienība"/>
    <s v="Zaļo un Zemnieku savienība"/>
    <s v="Politiskā partija &quot;Stabilitātei&quot;"/>
    <s v="&quot;Latvija pirmajā vietā&quot;"/>
    <s v="nezinu"/>
    <s v="Ne sevišķi"/>
    <s v="Ne sevišķi"/>
    <s v="Viduvēji"/>
    <m/>
    <s v="Ideoloģija, kurā politiķi sola neiespējamus vai ārkārtīgi grūti izpildāmus solījumus."/>
    <s v="Jā"/>
    <s v="Nē"/>
    <s v="Jā"/>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1"/>
    <n v="100"/>
    <m/>
    <m/>
    <s v="Mazliet saspīlētas"/>
    <s v="Mazliet saspīlētas"/>
    <s v="Nav saspīlētas"/>
    <s v="Reti"/>
    <s v="Reti"/>
    <s v="Reti"/>
    <s v="(Gandrīz) nekad"/>
    <s v="Dažreiz"/>
    <m/>
    <m/>
    <m/>
    <m/>
    <m/>
    <m/>
    <s v="nē"/>
    <s v="N/A"/>
    <s v="N/A"/>
    <s v="N/A"/>
    <s v="N/A"/>
    <s v="Jā"/>
    <s v="Jā"/>
    <s v="Jā"/>
    <s v="Nē"/>
    <s v="Jā"/>
    <s v="Jā"/>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pāris reižu mēnesī"/>
    <s v="pilsoniskās brīvības (vārda brīvība, tiesības uz tiesisko aizsardzību)"/>
    <s v="brīvas vēlēšanas un plurālisms"/>
    <s v="vienlīdz pieejama izglītība, veselības aprūpe, sociālais nodrošinājums"/>
    <m/>
    <m/>
    <s v="labi"/>
    <s v="labi"/>
    <s v="citreiz labi, citreiz slikti"/>
    <s v="citreiz labi, citreiz slikti"/>
    <s v="slikti"/>
    <s v="pamatizglītību"/>
    <m/>
    <s v="N/A"/>
    <s v="N/A"/>
    <s v="N/A"/>
    <s v="Jā"/>
    <s v="latviešu"/>
    <m/>
    <s v="vidusskolā neesmu gājis"/>
    <m/>
    <s v="{if(is_empty(tongueLAT_SQ001.NAOK), 'latviski','krieviski')} nerunāju it nemaz."/>
    <s v="{if(is_empty(tongueLAT_SQ001.NAOK), 'latviski','krieviski')} nemāku rakstīt."/>
    <s v="Saprotu norādes, kur iet."/>
    <s v="Krieviski/latviski spēju izlasīt ēdienkarti restorānā."/>
    <m/>
    <m/>
    <m/>
    <m/>
    <m/>
    <m/>
    <m/>
    <m/>
    <m/>
    <m/>
    <m/>
    <m/>
    <m/>
    <m/>
    <m/>
    <m/>
    <m/>
    <s v="N/A"/>
    <s v="N/A"/>
    <s v="N/A"/>
    <s v="N/A"/>
    <s v="N/A"/>
    <s v="N/A"/>
    <m/>
    <m/>
    <m/>
    <m/>
    <m/>
    <s v="Nē"/>
    <s v="Nē"/>
    <s v="Jā"/>
    <s v="Jā"/>
    <s v="Nē"/>
    <s v="Nē"/>
    <s v="Nē"/>
    <s v="Nē"/>
    <s v="Nē"/>
    <s v="Nē"/>
    <s v="Jā"/>
    <s v="Nē"/>
    <s v="Nē"/>
    <s v="Nē"/>
    <s v="Nē"/>
    <m/>
    <s v="Nē"/>
    <m/>
    <s v="Jā"/>
    <s v="Youtube, Twitch"/>
    <s v="Nē"/>
    <m/>
    <s v="Nē"/>
    <m/>
    <s v="Jā"/>
    <s v="Nē"/>
    <s v="Nē"/>
    <s v="Nē"/>
    <s v="Nē"/>
    <s v="Nē"/>
    <s v="Nē"/>
    <s v="Nē"/>
    <s v="Nē"/>
    <s v="Nē"/>
    <s v="Nē"/>
    <s v="Jā"/>
    <s v="Nē"/>
    <s v="Nē"/>
    <s v="Nē"/>
    <m/>
    <s v="Jā"/>
    <s v="delfi, apollo"/>
    <s v="Jā"/>
    <s v="HLTV"/>
    <s v="Nē"/>
    <m/>
    <s v="Nē"/>
    <m/>
    <s v="Nē"/>
    <s v="Jā"/>
    <s v="Jā"/>
    <s v="Nē"/>
    <s v="Jā"/>
    <s v="Nē"/>
    <s v="Nē"/>
    <s v="Jā"/>
    <s v="Nē"/>
    <s v="Nē"/>
    <s v="Jā"/>
    <s v="Nē"/>
    <m/>
    <m/>
    <m/>
    <m/>
    <m/>
    <m/>
    <m/>
    <m/>
    <m/>
    <m/>
    <m/>
    <m/>
    <m/>
  </r>
  <r>
    <x v="0"/>
    <n v="87"/>
    <s v="2023-04-24 08:14:20"/>
    <n v="14"/>
    <s v="lv"/>
    <n v="299609256"/>
    <s v="2023-04-24 08:00:50"/>
    <s v="2023-04-24 08:14:20"/>
    <s v="lapa"/>
    <n v="17"/>
    <s v="vīriešu"/>
    <m/>
    <x v="1"/>
    <x v="1"/>
    <x v="0"/>
    <x v="0"/>
    <x v="0"/>
    <x v="0"/>
    <s v="Rīgā/ Rīgas rajonā"/>
    <m/>
    <s v="ateistu(ti), nereliģiozu"/>
    <m/>
    <s v="N/A"/>
    <s v="N/A"/>
    <s v="N/A"/>
    <s v="N/A"/>
    <s v="N/A"/>
    <s v="N/A"/>
    <s v="Jā"/>
    <s v="Nē"/>
    <s v="Jā"/>
    <s v="Nē"/>
    <s v="Nē"/>
    <s v="Jā"/>
    <s v="Jā"/>
    <s v="Nē"/>
    <s v="Jā"/>
    <s v="Nē"/>
    <s v="Jā"/>
    <s v="Nē"/>
    <s v="Nē"/>
    <s v="Jā"/>
    <s v="Nē"/>
    <s v="Jā"/>
    <s v="Nē"/>
    <s v="Nē"/>
    <s v="Nē"/>
    <s v="Jā"/>
    <s v="Jā"/>
    <s v="Nē"/>
    <m/>
    <m/>
    <m/>
    <m/>
    <m/>
    <m/>
    <s v="Vienlīdzīgi"/>
    <s v="Lielākoties nevienlīdzīgi"/>
    <s v="Nevienlīdzīgi"/>
    <s v="Nevienlīdzīgi"/>
    <s v="Nevienlīdzīgi"/>
    <s v="Jaunā Vienotība"/>
    <s v="Zaļo un Zemnieku savienība"/>
    <s v="Politiskā partija &quot;Stabilitātei&quot;"/>
    <s v="nezinu"/>
    <s v="&quot;Apvienotais saraksts&quot;"/>
    <s v="Nacionālā Apvienība"/>
    <s v="&quot;Latvija pirmajā vietā&quot;"/>
    <s v="Cīņai ar klimata pārmaiņām būtu jābūt vairumam pasaules valstu galvenajai prioritātei."/>
    <s v="jā, lielāko daļu no tā, ko iespējams šķirot"/>
    <s v="Jaunā Vienotība"/>
    <s v="nezinu"/>
    <s v="&quot;Apvienotais saraksts&quot;"/>
    <s v="&quot;Progresīvie&quot;"/>
    <s v="Zaļo un Zemnieku savienība"/>
    <s v="&quot;Latvija pirmajā vietā&quot;"/>
    <s v="Nacionālā Apvienība"/>
    <s v="&quot;Progresīvie&quot;"/>
    <s v="Nacionālā Apvienība"/>
    <s v="&quot;Latvija pirmajā vietā&quot;"/>
    <s v="Jaunā Vienotība"/>
    <s v="&quot;Apvienotais saraksts&quot;"/>
    <s v="nezinu"/>
    <s v="Jaunā Vienotība"/>
    <s v="Ne sevišķi"/>
    <s v="Ne sevišķi"/>
    <s v="Ne sevišķi"/>
    <m/>
    <s v="nezinu"/>
    <s v="Jā"/>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60"/>
    <n v="100"/>
    <m/>
    <m/>
    <s v="Ļoti saspīlētas"/>
    <s v="Drīzāk saspīlētas"/>
    <s v="Mazliet saspīlētas"/>
    <s v="Bieži"/>
    <s v="Reti"/>
    <s v="Bieži"/>
    <s v="(Gandrīz) nekad"/>
    <s v="Bieži"/>
    <m/>
    <m/>
    <m/>
    <m/>
    <m/>
    <m/>
    <s v="nē"/>
    <s v="N/A"/>
    <s v="N/A"/>
    <s v="N/A"/>
    <s v="N/A"/>
    <s v="N/A"/>
    <s v="N/A"/>
    <s v="N/A"/>
    <s v="Jā"/>
    <s v="Nē"/>
    <s v="Nē"/>
    <s v="Jā"/>
    <s v="Nē"/>
    <s v="(gandrīz) katru dienu"/>
    <s v="(gandrīz) katru dienu"/>
    <s v="(gandrīz) katru dienu"/>
    <s v="(gandrīz) katru dienu"/>
    <s v="(gandrīz) katru dienu"/>
    <s v="(gandrīz) katru dienu"/>
    <s v="(gandrīz) katru dienu"/>
    <s v="pāris reižu mēnesī"/>
    <s v="reizi nedēļā"/>
    <s v="(gandrīz) nekad"/>
    <s v="reizi nedēļā"/>
    <s v="reizi nedēļā"/>
    <s v="reizi nedēļā"/>
    <s v="reizi nedēļā"/>
    <s v="brīvas vēlēšanas un plurālisms"/>
    <s v="vienlīdzīgas tiesības minoritātēm un ievainojamām sabiedrības grupām"/>
    <s v="vienlīdz pieejama izglītība, veselības aprūpe, sociālais nodrošinājums"/>
    <m/>
    <m/>
    <s v="ļoti labi"/>
    <s v="ļoti labi"/>
    <s v="ļoti labi"/>
    <s v="ļoti labi"/>
    <s v="ļoti labi"/>
    <s v="pamatizglītību"/>
    <m/>
    <s v="Nē"/>
    <s v="Jā"/>
    <s v="Nē"/>
    <s v="Nē"/>
    <s v="latviešu"/>
    <m/>
    <s v="latviešu"/>
    <m/>
    <s v="Spēju ilgstoši sarunāties ar vienaudžiem/piedalīties darba pārrunās."/>
    <s v="Spēju uzrakstīt vēstuli draugam."/>
    <s v="Saprotu norādes, kur iet."/>
    <s v="Krieviski/latviski spēju izlasīt ēdienkarti restorānā."/>
    <m/>
    <m/>
    <m/>
    <m/>
    <m/>
    <m/>
    <m/>
    <m/>
    <m/>
    <m/>
    <m/>
    <m/>
    <m/>
    <m/>
    <m/>
    <m/>
    <m/>
    <s v="N/A"/>
    <s v="N/A"/>
    <s v="N/A"/>
    <s v="N/A"/>
    <s v="N/A"/>
    <s v="N/A"/>
    <m/>
    <m/>
    <m/>
    <m/>
    <m/>
    <s v="Nē"/>
    <s v="Nē"/>
    <s v="Nē"/>
    <s v="Jā"/>
    <s v="Nē"/>
    <s v="Nē"/>
    <s v="Nē"/>
    <s v="Nē"/>
    <s v="Nē"/>
    <s v="Nē"/>
    <s v="Nē"/>
    <s v="Jā"/>
    <s v="Nē"/>
    <s v="Nē"/>
    <s v="Nē"/>
    <s v="tv3 sport"/>
    <s v="Jā"/>
    <s v="tv3 sport open tv3 sport2 tv3 sport 3"/>
    <s v="Nē"/>
    <m/>
    <s v="Nē"/>
    <m/>
    <s v="Nē"/>
    <m/>
    <s v="Nē"/>
    <s v="Nē"/>
    <s v="Nē"/>
    <s v="Jā"/>
    <s v="Nē"/>
    <s v="Nē"/>
    <s v="Nē"/>
    <s v="Nē"/>
    <s v="Nē"/>
    <s v="Nē"/>
    <s v="Nē"/>
    <s v="Jā"/>
    <s v="Nē"/>
    <s v="Nē"/>
    <s v="Nē"/>
    <m/>
    <s v="Jā"/>
    <s v="leta.lv"/>
    <s v="Nē"/>
    <m/>
    <s v="Nē"/>
    <m/>
    <s v="Nē"/>
    <m/>
    <s v="Jā"/>
    <s v="Jā"/>
    <s v="Jā"/>
    <s v="Nē"/>
    <s v="Jā"/>
    <s v="Jā"/>
    <s v="Nē"/>
    <s v="Jā"/>
    <s v="Nē"/>
    <s v="Nē"/>
    <s v="Jā"/>
    <s v="Nē"/>
    <m/>
    <s v="paldies par interesantu aptauju ;)"/>
    <m/>
    <m/>
    <m/>
    <m/>
    <m/>
    <m/>
    <m/>
    <m/>
    <m/>
    <m/>
    <m/>
  </r>
  <r>
    <x v="0"/>
    <n v="88"/>
    <s v="2023-04-24 08:23:45"/>
    <n v="14"/>
    <s v="lv"/>
    <n v="870064209"/>
    <s v="2023-04-24 08:09:32"/>
    <s v="2023-04-24 08:23:45"/>
    <s v="lapa"/>
    <n v="18"/>
    <s v="vīriešu"/>
    <m/>
    <x v="1"/>
    <x v="1"/>
    <x v="0"/>
    <x v="0"/>
    <x v="0"/>
    <x v="0"/>
    <s v="Vidzemē"/>
    <m/>
    <s v="ateistu(ti), nereliģiozu"/>
    <m/>
    <s v="Nē"/>
    <s v="Nē"/>
    <s v="Nē"/>
    <s v="Nē"/>
    <s v="Jā"/>
    <s v="Nē"/>
    <s v="Nē"/>
    <s v="Nē"/>
    <s v="Nē"/>
    <s v="Nē"/>
    <s v="Nē"/>
    <s v="Nē"/>
    <s v="Jā"/>
    <s v="Nē"/>
    <s v="Nē"/>
    <s v="Nē"/>
    <s v="Nē"/>
    <s v="Nē"/>
    <s v="Jā"/>
    <s v="Jā"/>
    <s v="Nē"/>
    <s v="Nē"/>
    <s v="Nē"/>
    <s v="Jā"/>
    <s v="Nē"/>
    <s v="Nē"/>
    <s v="Nē"/>
    <s v="Nē"/>
    <m/>
    <m/>
    <m/>
    <m/>
    <m/>
    <m/>
    <s v="Nevienlīdzīgi"/>
    <s v="Nevienlīdzīgi"/>
    <s v="Nevienlīdzīgi"/>
    <s v="Nevienlīdzīgi"/>
    <s v="Nevienlīdzīgi"/>
    <s v="nezinu"/>
    <s v="Jaunā Vienotība"/>
    <s v="Politiskā partija &quot;Stabilitātei&quot;"/>
    <s v="Nacionālā Apvienība"/>
    <s v="Zaļo un Zemnieku savienība"/>
    <s v="&quot;Progresīvie&quot;"/>
    <s v="&quot;Latvija pirmajā vietā&quot;"/>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Ne sevišķi"/>
    <s v="Ne sevišķi"/>
    <m/>
    <s v="nezinu"/>
    <s v="Jā"/>
    <s v="Nē"/>
    <s v="Jā"/>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0"/>
    <n v="100"/>
    <m/>
    <m/>
    <s v="Ļoti saspīlētas"/>
    <s v="Ļoti saspīlētas"/>
    <s v="Ļoti saspīlētas"/>
    <s v="Bieži"/>
    <s v="Bieži"/>
    <s v="(Gandrīz) nekad"/>
    <s v="Bieži"/>
    <s v="Bieži"/>
    <m/>
    <m/>
    <m/>
    <m/>
    <m/>
    <m/>
    <s v="nē"/>
    <s v="N/A"/>
    <s v="N/A"/>
    <s v="N/A"/>
    <s v="N/A"/>
    <s v="Nē"/>
    <s v="Jā"/>
    <s v="Jā"/>
    <s v="Nē"/>
    <s v="Nē"/>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ienlīdz pieejama izglītība, veselības aprūpe, sociālais nodrošinājums"/>
    <m/>
    <m/>
    <s v="citreiz labi, citreiz slikti"/>
    <s v="labi"/>
    <s v="labi"/>
    <s v="citreiz labi, citreiz slikti"/>
    <s v="nezinu"/>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Jā"/>
    <s v="Nē"/>
    <s v="Nē"/>
    <s v="Jā"/>
    <s v="Nē"/>
    <s v="Nē"/>
    <s v="Nē"/>
    <m/>
    <s v="Nē"/>
    <m/>
    <s v="Nē"/>
    <m/>
    <s v="Nē"/>
    <m/>
    <s v="Nē"/>
    <m/>
    <s v="Nē"/>
    <s v="Nē"/>
    <s v="Nē"/>
    <s v="Nē"/>
    <s v="Nē"/>
    <s v="Nē"/>
    <s v="Nē"/>
    <s v="Nē"/>
    <s v="Nē"/>
    <s v="Nē"/>
    <s v="Nē"/>
    <s v="Nē"/>
    <s v="Nē"/>
    <s v="Nē"/>
    <s v="Jā"/>
    <m/>
    <s v="Nē"/>
    <m/>
    <s v="Nē"/>
    <m/>
    <s v="Nē"/>
    <m/>
    <s v="Nē"/>
    <m/>
    <s v="Nē"/>
    <s v="Nē"/>
    <s v="Nē"/>
    <s v="Nē"/>
    <s v="Jā"/>
    <s v="Jā"/>
    <s v="Nē"/>
    <s v="Jā"/>
    <s v="Jā"/>
    <s v="Nē"/>
    <s v="Nē"/>
    <s v="Nē"/>
    <m/>
    <s v="vārds &quot;telegramm&quot; aptaujā ir uzrakstīts nepareizi."/>
    <m/>
    <m/>
    <m/>
    <m/>
    <m/>
    <m/>
    <m/>
    <m/>
    <m/>
    <m/>
    <m/>
  </r>
  <r>
    <x v="0"/>
    <n v="89"/>
    <s v="2023-04-24 08:42:24"/>
    <n v="14"/>
    <s v="ru"/>
    <n v="1812146756"/>
    <s v="2023-04-24 08:11:38"/>
    <s v="2023-04-24 08:42:24"/>
    <s v="ветка"/>
    <n v="17"/>
    <s v="vīriešu"/>
    <m/>
    <x v="0"/>
    <x v="0"/>
    <x v="0"/>
    <x v="0"/>
    <x v="0"/>
    <x v="0"/>
    <s v="Rīgā/ Rīgas rajonā"/>
    <m/>
    <s v="ateistu(ti), nereliģiozu"/>
    <m/>
    <s v="Nē"/>
    <s v="Nē"/>
    <s v="Jā"/>
    <s v="Nē"/>
    <s v="Nē"/>
    <s v="Nē"/>
    <s v="Nē"/>
    <s v="Jā"/>
    <s v="Jā"/>
    <s v="Jā"/>
    <s v="Nē"/>
    <s v="Jā"/>
    <s v="Nē"/>
    <s v="Nē"/>
    <s v="Nē"/>
    <s v="Nē"/>
    <s v="Nē"/>
    <s v="Jā"/>
    <s v="Nē"/>
    <s v="Nē"/>
    <s v="Nē"/>
    <s v="Jā"/>
    <s v="Jā"/>
    <s v="Jā"/>
    <s v="Jā"/>
    <s v="Jā"/>
    <s v="Jā"/>
    <s v="Nē"/>
    <m/>
    <m/>
    <m/>
    <m/>
    <m/>
    <m/>
    <s v="Vienlīdzīgi"/>
    <s v="Lielākoties vienlīdzīgi"/>
    <s v="Lielākoties nevienlīdzīgi"/>
    <s v="Lielākoties vienlīdzīgi"/>
    <s v="Nevienlīdzīgi"/>
    <s v="nezinu"/>
    <s v="&quot;Progresīvie&quot;"/>
    <s v="Nacionālā Apvienība"/>
    <s v="Zaļo un Zemnieku savienība"/>
    <s v="Zaļo un Zemnieku savienība"/>
    <s v="Jaunā Vienotība"/>
    <s v="nezinu"/>
    <s v="Cīņai ar klimata pārmaiņām būtu jābūt vairumam pasaules valstu galvenajai prioritātei."/>
    <s v="jā, daļu no tā, ko iespējams šķirot"/>
    <s v="Nacionālā Apvienība"/>
    <s v="Jaunā Vienotība"/>
    <s v="Zaļo un Zemnieku savienība"/>
    <s v="&quot;Latvija pirmajā vietā&quot;"/>
    <s v="nezinu"/>
    <s v="Zaļo un Zemnieku savienība"/>
    <s v="Politiskā partija &quot;Stabilitātei&quot;"/>
    <s v="Jaunā Vienotība"/>
    <s v="Politiskā partija &quot;Stabilitātei&quot;"/>
    <s v="Zaļo un Zemnieku savienība"/>
    <s v="&quot;Progresīvie&quot;"/>
    <s v="Politiskā partija &quot;Stabilitātei&quot;"/>
    <s v="Jaunā Vienotība"/>
    <s v="&quot;Latvija pirmajā vietā&quot;"/>
    <s v="Ļoti"/>
    <s v="Ne sevišķi"/>
    <s v="Ļoti"/>
    <m/>
    <s v="не знаю"/>
    <s v="Nē"/>
    <s v="Nē"/>
    <s v="Jā"/>
    <s v="Nē"/>
    <s v="Nē"/>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90"/>
    <n v="20"/>
    <n v="95"/>
    <n v="70"/>
    <s v="Ļoti saspīlētas"/>
    <s v="Mazliet saspīlētas"/>
    <s v="Nav saspīlētas"/>
    <m/>
    <m/>
    <m/>
    <m/>
    <m/>
    <s v="Reti"/>
    <s v="(Gandrīz) nekad"/>
    <s v="(Gandrīz) nekad"/>
    <s v="Dažreiz"/>
    <s v="Bieži"/>
    <m/>
    <s v="nē"/>
    <s v="N/A"/>
    <s v="N/A"/>
    <s v="N/A"/>
    <s v="N/A"/>
    <s v="Jā"/>
    <s v="Nē"/>
    <s v="Nē"/>
    <s v="Nē"/>
    <s v="Nē"/>
    <s v="Nē"/>
    <s v="Jā"/>
    <s v="Nē"/>
    <s v="(gandrīz) nekad"/>
    <s v="pāris reižu mēnesī"/>
    <s v="(gandrīz) katru dienu"/>
    <s v="(gandrīz) nekad"/>
    <s v="pāris reižu mēnesī"/>
    <s v="(gandrīz) nekad"/>
    <s v="(gandrīz) katru dienu"/>
    <s v="(gandrīz) katru dienu"/>
    <s v="(gandrīz) katru dienu"/>
    <s v="reizi nedēļā"/>
    <s v="(gandrīz) katru dienu"/>
    <s v="pāris reižu nedēļā"/>
    <s v="(gandrīz) katru dienu"/>
    <s v="(gandrīz) katru dienu"/>
    <s v="pilsoniskās brīvības (vārda brīvība, tiesības uz tiesisko aizsardzību)"/>
    <s v="varas līdzsvars starp parlamentu, prezidentu un tiesām, lai neviena no institūcijām nespētu sevī koncentrēt lielāko daļu varas"/>
    <s v="brīvas vēlēšanas un plurālisms"/>
    <m/>
    <m/>
    <s v="knapi/gandrīz necik"/>
    <s v="slikti"/>
    <s v="citreiz labi, citreiz slikti"/>
    <s v="citreiz labi, citreiz slikti"/>
    <s v="labi"/>
    <s v="pamatizglītību"/>
    <m/>
    <s v="N/A"/>
    <s v="N/A"/>
    <s v="N/A"/>
    <s v="Jā"/>
    <s v="vienlīdz latviešu un krievu"/>
    <m/>
    <s v="krievu"/>
    <m/>
    <s v="Spēju pastāstīt par savu hobiju / darbu."/>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Jā"/>
    <m/>
    <s v="Nē"/>
    <m/>
    <s v="Nē"/>
    <m/>
    <s v="Nē"/>
    <m/>
    <s v="Nē"/>
    <m/>
    <s v="Nē"/>
    <s v="Nē"/>
    <s v="Nē"/>
    <s v="Nē"/>
    <s v="Nē"/>
    <s v="Nē"/>
    <s v="Nē"/>
    <s v="Nē"/>
    <s v="Nē"/>
    <s v="Nē"/>
    <s v="Nē"/>
    <s v="Nē"/>
    <s v="Nē"/>
    <s v="Nē"/>
    <s v="Jā"/>
    <m/>
    <s v="Nē"/>
    <m/>
    <s v="Nē"/>
    <m/>
    <s v="Nē"/>
    <m/>
    <s v="Nē"/>
    <m/>
    <s v="Jā"/>
    <s v="Jā"/>
    <s v="Jā"/>
    <s v="Nē"/>
    <s v="Jā"/>
    <s v="Jā"/>
    <s v="Nē"/>
    <s v="Jā"/>
    <s v="Nē"/>
    <s v="Nē"/>
    <s v="Jā"/>
    <s v="Nē"/>
    <m/>
    <m/>
    <m/>
    <m/>
    <m/>
    <m/>
    <m/>
    <m/>
    <m/>
    <m/>
    <m/>
    <m/>
    <m/>
  </r>
  <r>
    <x v="0"/>
    <n v="90"/>
    <s v="2023-04-24 08:43:39"/>
    <n v="14"/>
    <s v="ru"/>
    <n v="1426248721"/>
    <s v="2023-04-24 08:11:40"/>
    <s v="2023-04-24 08:43:39"/>
    <s v="ветка"/>
    <n v="17"/>
    <s v="vīriešu"/>
    <m/>
    <x v="0"/>
    <x v="0"/>
    <x v="0"/>
    <x v="0"/>
    <x v="0"/>
    <x v="0"/>
    <s v="Rīgā/ Rīgas rajonā"/>
    <m/>
    <s v="pareizticīgo"/>
    <m/>
    <s v="Nē"/>
    <s v="Nē"/>
    <s v="Jā"/>
    <s v="Jā"/>
    <s v="Nē"/>
    <s v="Jā"/>
    <s v="Nē"/>
    <s v="Jā"/>
    <s v="Nē"/>
    <s v="Nē"/>
    <s v="Nē"/>
    <s v="Jā"/>
    <s v="Jā"/>
    <s v="Nē"/>
    <s v="Nē"/>
    <s v="Nē"/>
    <s v="Nē"/>
    <s v="Jā"/>
    <s v="Nē"/>
    <s v="Nē"/>
    <s v="Nē"/>
    <s v="Nē"/>
    <s v="Jā"/>
    <s v="Nē"/>
    <s v="Nē"/>
    <s v="Nē"/>
    <s v="Nē"/>
    <s v="Nē"/>
    <m/>
    <m/>
    <m/>
    <m/>
    <m/>
    <m/>
    <s v="Lielākoties vienlīdzīgi"/>
    <s v="Vienlīdzīgi"/>
    <s v="Lielākoties vienlīdzīgi"/>
    <s v="Nevienlīdzīgi"/>
    <s v="Lielākoties nevienlīdzīgi"/>
    <s v="nezinu"/>
    <s v="&quot;Progresīvie&quot;"/>
    <s v="Nacionālā Apvienība"/>
    <s v="Zaļo un Zemnieku savienība"/>
    <s v="Zaļo un Zemnieku savienība"/>
    <s v="Jaunā Vienotība"/>
    <s v="nezinu"/>
    <s v="Reizēm ekonomiskā un valsts stabilitāte varētu nozīmēt, ka atsevišķi ekoloģiskās politikas aspekti ir uz brīdi jāiepauzē."/>
    <s v="jā, lielāko daļu no tā, ko iespējams šķirot"/>
    <s v="nezinu"/>
    <s v="Jaunā Vienotība"/>
    <s v="Politiskā partija &quot;Stabilitātei&quot;"/>
    <s v="Politiskā partija &quot;Stabilitātei&quot;"/>
    <s v="Nacionālā Apvienība"/>
    <s v="Zaļo un Zemnieku savienība"/>
    <s v="&quot;Latvija pirmajā vietā&quot;"/>
    <s v="Nacionālā Apvienība"/>
    <s v="&quot;Apvienotais saraksts&quot;"/>
    <s v="Zaļo un Zemnieku savienība"/>
    <s v="Jaunā Vienotība"/>
    <s v="Politiskā partija &quot;Stabilitātei&quot;"/>
    <s v="nezinu"/>
    <s v="&quot;Progresīvie&quot;"/>
    <s v="Viduvēji"/>
    <s v="Ne sevišķi"/>
    <s v="Viduvēji"/>
    <m/>
    <s v="Nav nekādas tādas īpašas domas. Vienkārši definīcija no google'a un viss."/>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
    <n v="60"/>
    <n v="100"/>
    <n v="10"/>
    <s v="Drīzāk saspīlētas"/>
    <s v="Mazliet saspīlētas"/>
    <s v="Nav saspīlētas"/>
    <m/>
    <m/>
    <m/>
    <m/>
    <m/>
    <s v="(Gandrīz) nekad"/>
    <s v="(Gandrīz) nekad"/>
    <s v="(Gandrīz) nekad"/>
    <s v="Reti"/>
    <s v="Reti"/>
    <m/>
    <s v="nē"/>
    <s v="N/A"/>
    <s v="N/A"/>
    <s v="N/A"/>
    <s v="N/A"/>
    <s v="N/A"/>
    <s v="N/A"/>
    <s v="N/A"/>
    <s v="Jā"/>
    <s v="Jā"/>
    <s v="Nē"/>
    <s v="Jā"/>
    <s v="Nē"/>
    <s v="pāris reižu nedēļā"/>
    <s v="(gandrīz) katru dienu"/>
    <s v="(gandrīz) katru dienu"/>
    <s v="(gandrīz) katru dienu"/>
    <s v="reizi nedēļā"/>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slikti"/>
    <s v="ļoti labi"/>
    <s v="slikti"/>
    <s v="labi"/>
    <s v="pamatizglītību"/>
    <m/>
    <s v="N/A"/>
    <s v="N/A"/>
    <s v="N/A"/>
    <s v="Jā"/>
    <s v="vienlīdz latviešu un krievu"/>
    <m/>
    <s v="kriev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Jā"/>
    <s v="Nē"/>
    <s v="Nē"/>
    <s v="Jā"/>
    <s v="Jā"/>
    <s v="Nē"/>
    <s v="Jā"/>
    <s v="Jā"/>
    <s v="Nē"/>
    <s v="Nē"/>
    <s v="Nē"/>
    <m/>
    <s v="Ļoti interesanti izvēles opcijas. Man ļoti patika punkts kur KOPĀ bija jautāts par LGBT un SIEVIEŠU tiesības. 👍"/>
    <m/>
    <m/>
    <m/>
    <m/>
    <m/>
    <m/>
    <m/>
    <m/>
    <m/>
    <m/>
    <m/>
  </r>
  <r>
    <x v="0"/>
    <n v="91"/>
    <s v="2023-04-24 08:30:49"/>
    <n v="14"/>
    <s v="lv"/>
    <n v="1987539242"/>
    <s v="2023-04-24 08:11:57"/>
    <s v="2023-04-24 08:30:49"/>
    <s v="lapa"/>
    <n v="17"/>
    <s v="vīriešu"/>
    <m/>
    <x v="1"/>
    <x v="1"/>
    <x v="0"/>
    <x v="0"/>
    <x v="0"/>
    <x v="0"/>
    <s v="Kurzemē"/>
    <m/>
    <s v="ateistu(ti), nereliģiozu"/>
    <m/>
    <s v="Jā"/>
    <s v="Jā"/>
    <s v="Nē"/>
    <s v="Nē"/>
    <s v="Nē"/>
    <s v="Nē"/>
    <s v="Nē"/>
    <s v="N/A"/>
    <s v="N/A"/>
    <s v="N/A"/>
    <s v="N/A"/>
    <s v="N/A"/>
    <s v="N/A"/>
    <s v="Jā"/>
    <s v="Jā"/>
    <s v="Nē"/>
    <s v="Nē"/>
    <s v="Nē"/>
    <s v="Nē"/>
    <s v="Nē"/>
    <s v="Nē"/>
    <s v="Jā"/>
    <s v="Jā"/>
    <s v="Nē"/>
    <s v="Nē"/>
    <s v="Nē"/>
    <s v="Nē"/>
    <s v="Nē"/>
    <m/>
    <m/>
    <m/>
    <m/>
    <m/>
    <m/>
    <s v="Lielākoties nevienlīdzīgi"/>
    <s v="Lielākoties vienlīdzīgi"/>
    <s v="Vienlīdzīgi"/>
    <s v="Lielākoties vienlīdzīgi"/>
    <s v="Lielākoties vienlīdzīgi"/>
    <s v="nezinu"/>
    <s v="&quot;Progresīvie&quot;"/>
    <s v="&quot;Latvija pirmajā vietā&quot;"/>
    <s v="&quot;Latvija pirmajā vietā&quot;"/>
    <s v="nezinu"/>
    <s v="&quot;Progresīvie&quot;"/>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Viduvēji"/>
    <s v="Neinteresē"/>
    <s v="Viduvēji"/>
    <m/>
    <s v="nezinu"/>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100"/>
    <n v="100"/>
    <m/>
    <m/>
    <s v="Drīzāk saspīlētas"/>
    <s v="Nav saspīlētas"/>
    <s v="Ļoti saspīlētas"/>
    <s v="(Gandrīz) nekad"/>
    <s v="(Gandrīz) nekad"/>
    <s v="(Gandrīz) nekad"/>
    <s v="(Gandrīz) nekad"/>
    <s v="(Gandrīz) nekad"/>
    <m/>
    <m/>
    <m/>
    <m/>
    <m/>
    <m/>
    <s v="nē"/>
    <s v="N/A"/>
    <s v="N/A"/>
    <s v="N/A"/>
    <s v="N/A"/>
    <s v="N/A"/>
    <s v="N/A"/>
    <s v="N/A"/>
    <s v="Jā"/>
    <s v="Jā"/>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 pieejama izglītība, veselības aprūpe, sociālais nodrošinājums"/>
    <m/>
    <m/>
    <s v="nezinu"/>
    <s v="nezinu"/>
    <s v="nezinu"/>
    <s v="nezinu"/>
    <s v="nezinu"/>
    <s v="vidējo 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Jā"/>
    <s v="Nē"/>
    <s v="Nē"/>
    <s v="Nē"/>
    <s v="Nē"/>
    <s v="Nē"/>
    <s v="Nē"/>
    <s v="Nē"/>
    <s v="Jā"/>
    <s v="Nē"/>
    <s v="Nē"/>
    <s v="Nē"/>
    <m/>
    <s v="Nē"/>
    <m/>
    <s v="Nē"/>
    <m/>
    <s v="Nē"/>
    <m/>
    <s v="Nē"/>
    <m/>
    <s v="Jā"/>
    <s v="Jā"/>
    <s v="Nē"/>
    <s v="Nē"/>
    <s v="Nē"/>
    <s v="Nē"/>
    <s v="Nē"/>
    <s v="Nē"/>
    <s v="Nē"/>
    <s v="Nē"/>
    <s v="Nē"/>
    <s v="Nē"/>
    <s v="Nē"/>
    <s v="Nē"/>
    <s v="Nē"/>
    <m/>
    <s v="Nē"/>
    <m/>
    <s v="Nē"/>
    <m/>
    <s v="Nē"/>
    <m/>
    <s v="Nē"/>
    <m/>
    <s v="Nē"/>
    <s v="Jā"/>
    <s v="Nē"/>
    <s v="Nē"/>
    <s v="Jā"/>
    <s v="Jā"/>
    <s v="Nē"/>
    <s v="Jā"/>
    <s v="Jā"/>
    <s v="Jā"/>
    <s v="Nē"/>
    <s v="Nē"/>
    <m/>
    <s v="..."/>
    <m/>
    <m/>
    <m/>
    <m/>
    <m/>
    <m/>
    <m/>
    <m/>
    <m/>
    <m/>
    <m/>
  </r>
  <r>
    <x v="0"/>
    <n v="92"/>
    <s v="2023-04-24 08:24:37"/>
    <n v="14"/>
    <s v="lv"/>
    <n v="1582298548"/>
    <s v="2023-04-24 08:12:35"/>
    <s v="2023-04-24 08:24:37"/>
    <s v="lapa"/>
    <n v="17"/>
    <s v="vīriešu"/>
    <m/>
    <x v="1"/>
    <x v="1"/>
    <x v="0"/>
    <x v="0"/>
    <x v="0"/>
    <x v="0"/>
    <s v="Vidzemē"/>
    <m/>
    <s v="pareizticīgo"/>
    <m/>
    <s v="Nē"/>
    <s v="Jā"/>
    <s v="Nē"/>
    <s v="Jā"/>
    <s v="Jā"/>
    <s v="Nē"/>
    <s v="Nē"/>
    <s v="Nē"/>
    <s v="Jā"/>
    <s v="Nē"/>
    <s v="Nē"/>
    <s v="Jā"/>
    <s v="Nē"/>
    <s v="Nē"/>
    <s v="Jā"/>
    <s v="Nē"/>
    <s v="Nē"/>
    <s v="Nē"/>
    <s v="Jā"/>
    <s v="Nē"/>
    <s v="Nē"/>
    <s v="Jā"/>
    <s v="Nē"/>
    <s v="Jā"/>
    <s v="Nē"/>
    <s v="Nē"/>
    <s v="Nē"/>
    <s v="Nē"/>
    <m/>
    <m/>
    <m/>
    <m/>
    <m/>
    <m/>
    <s v="Lielākoties vienlīdzīgi"/>
    <s v="Lielākoties nevienlīdzīgi"/>
    <s v="Lielākoties nevienlīdzīgi"/>
    <s v="Nevienlīdzīgi"/>
    <s v="Nevienlīdzīgi"/>
    <s v="Politiskā partija &quot;Stabilitātei&quot;"/>
    <s v="Jaunā Vienotība"/>
    <s v="Nacionālā Apvienība"/>
    <s v="&quot;Progresīvie&quot;"/>
    <s v="&quot;Latvija pirmajā vietā&quot;"/>
    <s v="&quot;Progresīvie&quot;"/>
    <s v="&quot;Apvienotais saraksts&quot;"/>
    <s v="Cīņai ar klimata pārmaiņām būtu jābūt vairumam pasaules valstu galvenajai prioritātei."/>
    <s v="jā, daļu no tā, ko iespējams šķirot"/>
    <s v="Nacionālā Apvienība"/>
    <s v="Politiskā partija &quot;Stabilitātei&quot;"/>
    <s v="Zaļo un Zemnieku savienība"/>
    <s v="Politiskā partija &quot;Stabilitātei&quot;"/>
    <s v="nezinu"/>
    <s v="Nacionālā Apvienība"/>
    <s v="&quot;Apvienotais saraksts&quot;"/>
    <s v="&quot;Latvija pirmajā vietā&quot;"/>
    <s v="Politiskā partija &quot;Stabilitātei&quot;"/>
    <s v="Zaļo un Zemnieku savienība"/>
    <s v="Jaunā Vienotība"/>
    <s v="Nacionālā Apvienība"/>
    <s v="&quot;Apvienotais saraksts&quot;"/>
    <s v="&quot;Progresīvie&quot;"/>
    <s v="Viduvēji"/>
    <s v="Neinteresē"/>
    <s v="Ļoti"/>
    <m/>
    <s v="populizet lietas, kas nav musdienas tik aktualas"/>
    <s v="Nē"/>
    <s v="Jā"/>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80"/>
    <n v="100"/>
    <m/>
    <m/>
    <s v="Drīzāk saspīlētas"/>
    <s v="Mazliet saspīlētas"/>
    <s v="Drīzāk saspīlētas"/>
    <s v="(Gandrīz) nekad"/>
    <s v="(Gandrīz) nekad"/>
    <s v="(Gandrīz) nekad"/>
    <s v="(Gandrīz) nekad"/>
    <s v="Reti"/>
    <m/>
    <m/>
    <m/>
    <m/>
    <m/>
    <m/>
    <s v="nē"/>
    <s v="N/A"/>
    <s v="N/A"/>
    <s v="N/A"/>
    <s v="N/A"/>
    <s v="Jā"/>
    <s v="Jā"/>
    <s v="Nē"/>
    <s v="Nē"/>
    <s v="Jā"/>
    <s v="Nē"/>
    <s v="Jā"/>
    <s v="Nē"/>
    <s v="(gandrīz) katru dienu"/>
    <s v="(gandrīz) katru dienu"/>
    <s v="(gandrīz) katru dienu"/>
    <s v="(gandrīz) katru dienu"/>
    <s v="(gandrīz) katru dienu"/>
    <s v="(gandrīz) katru dienu"/>
    <s v="(gandrīz) katru dienu"/>
    <s v="(gandrīz) nekad"/>
    <s v="pāris reižu mēnesī"/>
    <s v="pāris reižu mēnesī"/>
    <s v="pāris reižu mēnesī"/>
    <s v="(gandrīz) nekad"/>
    <s v="(gandrīz) nekad"/>
    <s v="pāris reižu mēnesī"/>
    <s v="vienlīdz pieejama izglītība, veselības aprūpe, sociālais nodrošinājums"/>
    <s v="varas līdzsvars starp parlamentu, prezidentu un tiesām, lai neviena no institūcijām nespētu sevī koncentrēt lielāko daļu varas"/>
    <s v="brīvas vēlēšanas un plurālisms"/>
    <m/>
    <m/>
    <s v="citreiz labi, citreiz slikti"/>
    <s v="citreiz labi, citreiz slikti"/>
    <s v="citreiz labi, citreiz slikti"/>
    <s v="citreiz labi, citreiz slikti"/>
    <s v="labi"/>
    <s v="pamatizglītību"/>
    <m/>
    <s v="N/A"/>
    <s v="N/A"/>
    <s v="N/A"/>
    <s v="Jā"/>
    <s v="latviešu"/>
    <m/>
    <s v="latviešu"/>
    <m/>
    <s v="{if(is_empty(tongueLAT_SQ001.NAOK), 'latviski','krieviski')} nerunāju it nemaz."/>
    <s v="Spēju uzrakstīt vēstuli draugam."/>
    <s v="Saprotu norādes, kur iet."/>
    <s v="Es neko nespēju izlasīt {if(is_empty(tongueLAT_SQ001.NAOK), 'latviski','krieviski')}."/>
    <m/>
    <m/>
    <m/>
    <m/>
    <m/>
    <m/>
    <m/>
    <m/>
    <m/>
    <m/>
    <m/>
    <m/>
    <m/>
    <m/>
    <m/>
    <m/>
    <m/>
    <s v="N/A"/>
    <s v="N/A"/>
    <s v="N/A"/>
    <s v="N/A"/>
    <s v="N/A"/>
    <s v="N/A"/>
    <m/>
    <m/>
    <m/>
    <m/>
    <m/>
    <s v="Nē"/>
    <s v="Nē"/>
    <s v="Nē"/>
    <s v="Jā"/>
    <s v="Nē"/>
    <s v="Nē"/>
    <s v="Nē"/>
    <s v="Nē"/>
    <s v="Nē"/>
    <s v="Nē"/>
    <s v="Jā"/>
    <s v="Jā"/>
    <s v="Nē"/>
    <s v="Nē"/>
    <s v="Nē"/>
    <m/>
    <s v="Nē"/>
    <m/>
    <s v="Nē"/>
    <m/>
    <s v="Nē"/>
    <m/>
    <s v="Nē"/>
    <m/>
    <s v="Nē"/>
    <s v="Nē"/>
    <s v="Nē"/>
    <s v="Nē"/>
    <s v="Nē"/>
    <s v="Nē"/>
    <s v="Nē"/>
    <s v="Nē"/>
    <s v="Jā"/>
    <s v="Jā"/>
    <s v="Nē"/>
    <s v="Jā"/>
    <s v="Nē"/>
    <s v="Nē"/>
    <s v="Nē"/>
    <m/>
    <s v="Nē"/>
    <m/>
    <s v="Nē"/>
    <m/>
    <s v="Nē"/>
    <m/>
    <s v="Nē"/>
    <m/>
    <s v="Jā"/>
    <s v="Jā"/>
    <s v="Jā"/>
    <s v="Nē"/>
    <s v="Jā"/>
    <s v="Nē"/>
    <s v="Nē"/>
    <s v="Jā"/>
    <s v="Nē"/>
    <s v="Nē"/>
    <s v="Nē"/>
    <s v="Nē"/>
    <m/>
    <s v="Paldies par aptauju!"/>
    <m/>
    <m/>
    <m/>
    <m/>
    <m/>
    <m/>
    <m/>
    <m/>
    <m/>
    <m/>
    <m/>
  </r>
  <r>
    <x v="0"/>
    <n v="93"/>
    <s v="2023-04-24 08:33:27"/>
    <n v="14"/>
    <s v="lv"/>
    <n v="1093017277"/>
    <s v="2023-04-24 08:12:46"/>
    <s v="2023-04-24 08:33:27"/>
    <s v="lapa"/>
    <n v="17"/>
    <s v="vīriešu"/>
    <m/>
    <x v="1"/>
    <x v="0"/>
    <x v="0"/>
    <x v="0"/>
    <x v="0"/>
    <x v="0"/>
    <s v="Vidzemē"/>
    <m/>
    <s v="katoli(ieti)"/>
    <m/>
    <s v="Jā"/>
    <s v="Nē"/>
    <s v="Nē"/>
    <s v="Nē"/>
    <s v="Jā"/>
    <s v="Nē"/>
    <s v="Nē"/>
    <s v="Nē"/>
    <s v="Jā"/>
    <s v="Nē"/>
    <s v="Nē"/>
    <s v="Nē"/>
    <s v="Jā"/>
    <s v="Nē"/>
    <s v="Jā"/>
    <s v="Nē"/>
    <s v="Nē"/>
    <s v="Nē"/>
    <s v="Nē"/>
    <s v="Nē"/>
    <s v="Nē"/>
    <s v="Nē"/>
    <s v="Nē"/>
    <s v="Nē"/>
    <s v="Nē"/>
    <s v="Nē"/>
    <s v="Jā"/>
    <s v="Nē"/>
    <m/>
    <m/>
    <m/>
    <m/>
    <m/>
    <m/>
    <s v="Vienlīdzīgi"/>
    <s v="Nevienlīdzīgi"/>
    <s v="Vienlīdzīgi"/>
    <s v="Lielākoties vienlīdzīgi"/>
    <s v="Lielākoties nevienlīdzīgi"/>
    <s v="Zaļo un Zemnieku savienība"/>
    <s v="Nacionālā Apvienība"/>
    <s v="Zaļo un Zemnieku savienība"/>
    <s v="&quot;Progresīvie&quot;"/>
    <s v="&quot;Apvienotais saraksts&quot;"/>
    <s v="&quot;Progresīvie&quot;"/>
    <s v="Jaunā Vienotība"/>
    <s v="Reizēm ekonomiskā un valsts stabilitāte varētu nozīmēt, ka atsevišķi ekoloģiskās politikas aspekti ir uz brīdi jāiepauzē."/>
    <s v="jā, daļu no tā, ko iespējams šķirot"/>
    <s v="Nacionālā Apvienība"/>
    <s v="Jaunā Vienotība"/>
    <s v="Politiskā partija &quot;Stabilitātei&quot;"/>
    <s v="&quot;Progresīvie&quot;"/>
    <s v="&quot;Apvienotais saraksts&quot;"/>
    <s v="Zaļo un Zemnieku savienība"/>
    <s v="&quot;Latvija pirmajā vietā&quot;"/>
    <s v="&quot;Latvija pirmajā vietā&quot;"/>
    <s v="Politiskā partija &quot;Stabilitātei&quot;"/>
    <s v="nezinu"/>
    <s v="Zaļo un Zemnieku savienība"/>
    <s v="Nacionālā Apvienība"/>
    <s v="Jaunā Vienotība"/>
    <s v="&quot;Progresīvie&quot;"/>
    <s v="Viduvēji"/>
    <s v="Neinteresē"/>
    <s v="Neinteresē"/>
    <m/>
    <s v="Niks Rainers Suščenko"/>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30"/>
    <n v="90"/>
    <n v="85"/>
    <n v="65"/>
    <s v="Ļoti saspīlētas"/>
    <s v="Nav saspīlētas"/>
    <s v="Nav saspīlētas"/>
    <m/>
    <m/>
    <m/>
    <m/>
    <m/>
    <s v="Bieži"/>
    <s v="Bieži"/>
    <s v="Bieži"/>
    <s v="Bieži"/>
    <s v="Dažreiz"/>
    <m/>
    <s v="jā, privāta darba devēja labā"/>
    <s v="N/A"/>
    <s v="N/A"/>
    <s v="N/A"/>
    <s v="Jā"/>
    <s v="N/A"/>
    <s v="N/A"/>
    <s v="N/A"/>
    <s v="Jā"/>
    <s v="Nē"/>
    <s v="Nē"/>
    <s v="Jā"/>
    <s v="Nē"/>
    <s v="(gandrīz) katru dienu"/>
    <s v="(gandrīz) katru dienu"/>
    <s v="pāris reižu nedēļā"/>
    <s v="pāris reižu nedēļā"/>
    <s v="pāris reižu nedēļā"/>
    <s v="pāris reižu nedēļā"/>
    <s v="(gandrīz) katru dienu"/>
    <s v="pāris reižu nedēļā"/>
    <s v="(gandrīz) katru dienu"/>
    <s v="(gandrīz) nekad"/>
    <s v="(gandrīz) katru dienu"/>
    <s v="(gandrīz) katru dienu"/>
    <s v="(gandrīz) katru dienu"/>
    <s v="reizi nedēļā"/>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labi"/>
    <s v="slikti"/>
    <s v="labi"/>
    <s v="labi"/>
    <s v="slikti"/>
    <s v="pamatizglītību"/>
    <m/>
    <s v="N/A"/>
    <s v="N/A"/>
    <s v="N/A"/>
    <s v="Jā"/>
    <s v="latviešu"/>
    <m/>
    <s v="latvieš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Jā"/>
    <s v="Nē"/>
    <s v="Nē"/>
    <s v="Nē"/>
    <s v="Nē"/>
    <s v="Nē"/>
    <s v="Nē"/>
    <s v="Nē"/>
    <s v="Nē"/>
    <s v="Nē"/>
    <s v="Nē"/>
    <s v="Jā"/>
    <s v="Nē"/>
    <m/>
    <s v="Nē"/>
    <m/>
    <s v="Nē"/>
    <m/>
    <s v="Nē"/>
    <m/>
    <s v="Nē"/>
    <m/>
    <s v="Nē"/>
    <s v="Nē"/>
    <s v="Nē"/>
    <s v="Jā"/>
    <s v="Nē"/>
    <s v="Nē"/>
    <s v="Jā"/>
    <s v="Nē"/>
    <s v="Nē"/>
    <s v="Nē"/>
    <s v="Nē"/>
    <s v="Jā"/>
    <s v="Jā"/>
    <s v="Nē"/>
    <s v="Nē"/>
    <m/>
    <s v="Nē"/>
    <m/>
    <s v="Nē"/>
    <m/>
    <s v="Nē"/>
    <m/>
    <s v="Nē"/>
    <m/>
    <s v="Jā"/>
    <s v="Jā"/>
    <s v="Nē"/>
    <s v="Jā"/>
    <s v="Nē"/>
    <s v="Jā"/>
    <s v="Nē"/>
    <s v="Jā"/>
    <s v="Nē"/>
    <s v="Nē"/>
    <s v="Nē"/>
    <s v="Nē"/>
    <m/>
    <m/>
    <m/>
    <m/>
    <m/>
    <m/>
    <m/>
    <m/>
    <m/>
    <m/>
    <m/>
    <m/>
    <m/>
  </r>
  <r>
    <x v="0"/>
    <n v="94"/>
    <s v="2023-04-24 08:31:06"/>
    <n v="14"/>
    <s v="ru"/>
    <n v="1611843301"/>
    <s v="2023-04-24 08:12:57"/>
    <s v="2023-04-24 08:31:06"/>
    <s v="ветка"/>
    <n v="18"/>
    <s v="vīriešu"/>
    <m/>
    <x v="0"/>
    <x v="0"/>
    <x v="0"/>
    <x v="0"/>
    <x v="0"/>
    <x v="0"/>
    <s v="Rīgā/ Rīgas rajonā"/>
    <m/>
    <s v="ateistu(ti), nereliģiozu"/>
    <m/>
    <s v="N/A"/>
    <s v="N/A"/>
    <s v="N/A"/>
    <s v="N/A"/>
    <s v="N/A"/>
    <s v="N/A"/>
    <s v="Jā"/>
    <s v="N/A"/>
    <s v="N/A"/>
    <s v="N/A"/>
    <s v="N/A"/>
    <s v="N/A"/>
    <s v="N/A"/>
    <s v="Jā"/>
    <s v="N/A"/>
    <s v="N/A"/>
    <s v="N/A"/>
    <s v="N/A"/>
    <s v="N/A"/>
    <s v="N/A"/>
    <s v="Jā"/>
    <s v="N/A"/>
    <s v="N/A"/>
    <s v="N/A"/>
    <s v="N/A"/>
    <s v="N/A"/>
    <s v="N/A"/>
    <s v="Jā"/>
    <m/>
    <m/>
    <m/>
    <m/>
    <m/>
    <m/>
    <s v="Vienlīdzīgi"/>
    <s v="Vienlīdzīgi"/>
    <s v="Vienlīdzīgi"/>
    <s v="Vienlīdzīgi"/>
    <s v="Lielākoties 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nezinu"/>
    <s v="nezinu"/>
    <s v="nezinu"/>
    <s v="Viduvēji"/>
    <s v="Neinteresē"/>
    <s v="Neinteresē"/>
    <m/>
    <s v="Я не знаю"/>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50"/>
    <n v="1"/>
    <n v="100"/>
    <n v="1"/>
    <s v="Drīzāk saspīlētas"/>
    <s v="Nav saspīlētas"/>
    <s v="Nav saspīlētas"/>
    <m/>
    <m/>
    <m/>
    <m/>
    <m/>
    <s v="(Gandrīz) nekad"/>
    <s v="Dažreiz"/>
    <s v="Reti"/>
    <s v="(Gandrīz) nekad"/>
    <s v="Reti"/>
    <m/>
    <s v="nē"/>
    <s v="N/A"/>
    <s v="N/A"/>
    <s v="N/A"/>
    <s v="N/A"/>
    <s v="N/A"/>
    <s v="N/A"/>
    <s v="N/A"/>
    <s v="Jā"/>
    <s v="Jā"/>
    <s v="Nē"/>
    <s v="Nē"/>
    <s v="Nē"/>
    <s v="(gandrīz) nekad"/>
    <s v="(gandrīz) katru dienu"/>
    <s v="(gandrīz) katru dienu"/>
    <s v="(gandrīz) nekad"/>
    <s v="(gandrīz) katru dienu"/>
    <s v="(gandrīz) nekad"/>
    <s v="(gandrīz) katru dienu"/>
    <s v="(gandrīz) katru dienu"/>
    <s v="(gandrīz) katru dienu"/>
    <s v="pāris reižu mēnesī"/>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labi"/>
    <s v="slikti"/>
    <s v="labi"/>
    <s v="nezinu"/>
    <s v="slikti"/>
    <s v="pamatizglītību"/>
    <m/>
    <s v="Nē"/>
    <s v="Jā"/>
    <s v="Nē"/>
    <s v="Nē"/>
    <s v="krievu"/>
    <m/>
    <s v="latviešu"/>
    <m/>
    <s v="Spēju pastāstīt par savu hobiju / darbu."/>
    <s v="Spēju uzrakstīt motivācijas vēstuli darbam/ par savu darba pieredzi."/>
    <s v="Viegli saprotu radio programmas / podkāstus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Jā"/>
    <m/>
    <s v="Nē"/>
    <m/>
    <s v="Nē"/>
    <s v="Nē"/>
    <s v="Nē"/>
    <s v="Nē"/>
    <s v="Nē"/>
    <s v="Nē"/>
    <s v="Nē"/>
    <s v="Nē"/>
    <s v="Nē"/>
    <s v="Nē"/>
    <s v="Nē"/>
    <s v="Nē"/>
    <s v="Nē"/>
    <s v="Nē"/>
    <s v="Jā"/>
    <m/>
    <s v="Nē"/>
    <m/>
    <s v="Nē"/>
    <m/>
    <s v="Jā"/>
    <m/>
    <s v="Nē"/>
    <m/>
    <s v="Nē"/>
    <s v="Nē"/>
    <s v="Nē"/>
    <s v="Nē"/>
    <s v="Jā"/>
    <s v="Nē"/>
    <s v="Nē"/>
    <s v="Jā"/>
    <s v="Nē"/>
    <s v="Nē"/>
    <s v="Nē"/>
    <s v="Nē"/>
    <m/>
    <m/>
    <m/>
    <m/>
    <m/>
    <m/>
    <m/>
    <m/>
    <m/>
    <m/>
    <m/>
    <m/>
    <m/>
  </r>
  <r>
    <x v="0"/>
    <n v="95"/>
    <s v="2023-04-24 08:26:26"/>
    <n v="14"/>
    <s v="lv"/>
    <n v="1903913421"/>
    <s v="2023-04-24 08:14:29"/>
    <s v="2023-04-24 08:26:26"/>
    <s v="lapa"/>
    <n v="17"/>
    <s v="sieviešu"/>
    <m/>
    <x v="1"/>
    <x v="1"/>
    <x v="0"/>
    <x v="0"/>
    <x v="0"/>
    <x v="0"/>
    <s v="Rīgā/ Rīgas rajonā"/>
    <m/>
    <s v="ateistu(ti), nereliģiozu"/>
    <m/>
    <s v="Jā"/>
    <s v="Nē"/>
    <s v="Nē"/>
    <s v="Nē"/>
    <s v="Nē"/>
    <s v="Nē"/>
    <s v="Nē"/>
    <s v="N/A"/>
    <s v="N/A"/>
    <s v="N/A"/>
    <s v="N/A"/>
    <s v="N/A"/>
    <s v="N/A"/>
    <s v="Jā"/>
    <s v="N/A"/>
    <s v="N/A"/>
    <s v="N/A"/>
    <s v="N/A"/>
    <s v="N/A"/>
    <s v="N/A"/>
    <s v="Jā"/>
    <s v="N/A"/>
    <s v="N/A"/>
    <s v="N/A"/>
    <s v="N/A"/>
    <s v="N/A"/>
    <s v="N/A"/>
    <s v="Jā"/>
    <m/>
    <m/>
    <m/>
    <m/>
    <m/>
    <m/>
    <s v="Nevienlīdzīgi"/>
    <s v="Vienlīdzīgi"/>
    <s v="Lielākoties vienlīdzīgi"/>
    <s v="Vienlīdzīgi"/>
    <s v="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Neinteresē"/>
    <s v="Neinteresē"/>
    <s v="Viduvēji"/>
    <m/>
    <s v="sabiedribas izzinashana"/>
    <s v="Nē"/>
    <s v="Jā"/>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100"/>
    <n v="1"/>
    <m/>
    <m/>
    <s v="Ļoti saspīlētas"/>
    <s v="Nav saspīlētas"/>
    <s v="Mazliet saspīlētas"/>
    <s v="(Gandrīz) nekad"/>
    <s v="Bieži"/>
    <s v="Bieži"/>
    <s v="Bieži"/>
    <s v="Bieži"/>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aras līdzsvars starp parlamentu, prezidentu un tiesām, lai neviena no institūcijām nespētu sevī koncentrēt lielāko daļu varas"/>
    <s v="brīvas vēlēšanas un plurālisms"/>
    <m/>
    <m/>
    <s v="labi"/>
    <s v="slikti"/>
    <s v="knapi/gandrīz necik"/>
    <s v="knapi/gandrīz necik"/>
    <s v="knapi/gandrīz necik"/>
    <s v="pamatizglītību"/>
    <m/>
    <s v="N/A"/>
    <s v="N/A"/>
    <s v="N/A"/>
    <s v="Jā"/>
    <s v="latviešu"/>
    <m/>
    <s v="vidusskolā neesmu gājis"/>
    <m/>
    <s v="Spēju pastāstīt par savu hobiju / darbu."/>
    <s v="Spēju uzrakstīt vēstuli draugam."/>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nevienu"/>
    <s v="Nē"/>
    <m/>
    <s v="Nē"/>
    <m/>
    <s v="Nē"/>
    <m/>
    <s v="Nē"/>
    <m/>
    <s v="Nē"/>
    <s v="Nē"/>
    <s v="Nē"/>
    <s v="Nē"/>
    <s v="Nē"/>
    <s v="Nē"/>
    <s v="Nē"/>
    <s v="Nē"/>
    <s v="Nē"/>
    <s v="Nē"/>
    <s v="Nē"/>
    <s v="Nē"/>
    <s v="Nē"/>
    <s v="Nē"/>
    <s v="Jā"/>
    <m/>
    <s v="Nē"/>
    <m/>
    <s v="Nē"/>
    <m/>
    <s v="Nē"/>
    <m/>
    <s v="Nē"/>
    <m/>
    <s v="Jā"/>
    <s v="Jā"/>
    <s v="Nē"/>
    <s v="Nē"/>
    <s v="Nē"/>
    <s v="Nē"/>
    <s v="Nē"/>
    <s v="Jā"/>
    <s v="Nē"/>
    <s v="Nē"/>
    <s v="Jā"/>
    <s v="Nē"/>
    <m/>
    <m/>
    <m/>
    <m/>
    <m/>
    <m/>
    <m/>
    <m/>
    <m/>
    <m/>
    <m/>
    <m/>
    <m/>
  </r>
  <r>
    <x v="0"/>
    <n v="102"/>
    <s v="2023-04-27 13:47:08"/>
    <n v="14"/>
    <s v="lv"/>
    <n v="913310605"/>
    <s v="2023-04-27 13:29:11"/>
    <s v="2023-04-27 13:47:08"/>
    <s v="galds"/>
    <n v="18"/>
    <s v="vīriešu"/>
    <m/>
    <x v="1"/>
    <x v="1"/>
    <x v="0"/>
    <x v="0"/>
    <x v="0"/>
    <x v="0"/>
    <s v="Rīgā/ Rīgas rajonā"/>
    <m/>
    <s v="ateistu(ti), nereliģiozu"/>
    <m/>
    <s v="Nē"/>
    <s v="Nē"/>
    <s v="Jā"/>
    <s v="Nē"/>
    <s v="Jā"/>
    <s v="Nē"/>
    <s v="Nē"/>
    <s v="N/A"/>
    <s v="N/A"/>
    <s v="N/A"/>
    <s v="N/A"/>
    <s v="N/A"/>
    <s v="N/A"/>
    <s v="Jā"/>
    <s v="N/A"/>
    <s v="N/A"/>
    <s v="N/A"/>
    <s v="N/A"/>
    <s v="N/A"/>
    <s v="N/A"/>
    <s v="Jā"/>
    <s v="N/A"/>
    <s v="N/A"/>
    <s v="N/A"/>
    <s v="N/A"/>
    <s v="N/A"/>
    <s v="N/A"/>
    <s v="Jā"/>
    <m/>
    <m/>
    <m/>
    <m/>
    <m/>
    <m/>
    <s v="Nevienlīdzīgi"/>
    <s v="Lielākoties vienlīdzīgi"/>
    <s v="Lielākoties vienlīdzīgi"/>
    <s v="Lielākoties vienlīdzīgi"/>
    <s v="Lielākoties vienlīdzīgi"/>
    <s v="&quot;Apvienotais saraksts&quot;"/>
    <s v="Jaunā Vienotība"/>
    <s v="&quot;Latvija pirmajā vietā&quot;"/>
    <s v="&quot;Latvija pirmajā vietā&quot;"/>
    <s v="&quot;Apvienotais saraksts&quot;"/>
    <s v="&quot;Progresīvie&quot;"/>
    <s v="Nacionālā Apvienība"/>
    <s v="Cīņai ar klimata pārmaiņām būtu jābūt vairumam pasaules valstu galvenajai prioritātei."/>
    <s v="jā, lielāko daļu no tā, ko iespējams šķirot"/>
    <s v="Jaunā Vienotība"/>
    <s v="Zaļo un Zemnieku savienība"/>
    <s v="&quot;Progresīvie&quot;"/>
    <s v="&quot;Apvienotais saraksts&quot;"/>
    <s v="&quot;Latvija pirmajā vietā&quot;"/>
    <s v="Zaļo un Zemnieku savienība"/>
    <s v="Politiskā partija &quot;Stabilitātei&quot;"/>
    <s v="Jaunā Vienotība"/>
    <s v="&quot;Progresīvie&quot;"/>
    <s v="Nacionālā Apvienība"/>
    <s v="&quot;Apvienotais saraksts&quot;"/>
    <s v="&quot;Latvija pirmajā vietā&quot;"/>
    <s v="Zaļo un Zemnieku savienība"/>
    <s v="nezinu"/>
    <s v="Ārkārtīgi"/>
    <s v="Ārkārtīgi"/>
    <s v="Ārkārtīgi"/>
    <s v="Viduvēji"/>
    <m/>
    <s v="Nē"/>
    <s v="Nē"/>
    <s v="Nē"/>
    <s v="Nē"/>
    <s v="Jā"/>
    <s v="Jā"/>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0"/>
    <n v="67"/>
    <m/>
    <m/>
    <s v="Mazliet saspīlētas"/>
    <s v="Mazliet saspīlētas"/>
    <s v="Nav saspīlētas"/>
    <s v="(Gandrīz) nekad"/>
    <s v="(Gandrīz) nekad"/>
    <s v="Dažreiz"/>
    <s v="(Gandrīz) nekad"/>
    <s v="Reti"/>
    <m/>
    <m/>
    <m/>
    <m/>
    <m/>
    <m/>
    <s v="nē"/>
    <s v="N/A"/>
    <s v="N/A"/>
    <s v="N/A"/>
    <s v="N/A"/>
    <s v="Nē"/>
    <s v="Nē"/>
    <s v="Jā"/>
    <s v="Nē"/>
    <s v="Jā"/>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aras līdzsvars starp parlamentu, prezidentu un tiesām, lai neviena no institūcijām nespētu sevī koncentrēt lielāko daļu varas"/>
    <m/>
    <m/>
    <s v="citreiz labi, citreiz slikti"/>
    <s v="labi"/>
    <s v="citreiz labi, citreiz slikti"/>
    <s v="nezinu"/>
    <s v="citreiz labi, citreiz slikti"/>
    <s v="pamatizglītību"/>
    <m/>
    <s v="N/A"/>
    <s v="N/A"/>
    <s v="N/A"/>
    <s v="Jā"/>
    <s v="latviešu"/>
    <m/>
    <s v="latviešu"/>
    <m/>
    <s v="Spēju veikt pasūtījumu restorānā."/>
    <s v="Spēju uzrakstīt vēstuli draugam."/>
    <s v="Saprotu norādes, kur iet."/>
    <s v="Krieviski/latviski spēju izlasīt ēdienkarti restorānā."/>
    <m/>
    <m/>
    <m/>
    <m/>
    <m/>
    <m/>
    <m/>
    <m/>
    <m/>
    <m/>
    <m/>
    <m/>
    <m/>
    <m/>
    <m/>
    <m/>
    <m/>
    <s v="N/A"/>
    <s v="N/A"/>
    <s v="N/A"/>
    <s v="N/A"/>
    <s v="N/A"/>
    <s v="N/A"/>
    <m/>
    <m/>
    <m/>
    <m/>
    <m/>
    <s v="Nē"/>
    <s v="Nē"/>
    <s v="Nē"/>
    <s v="Nē"/>
    <s v="Nē"/>
    <s v="Nē"/>
    <s v="Nē"/>
    <s v="Nē"/>
    <s v="Jā"/>
    <s v="Nē"/>
    <s v="Nē"/>
    <s v="Nē"/>
    <s v="Nē"/>
    <s v="Nē"/>
    <s v="Nē"/>
    <m/>
    <s v="Nē"/>
    <m/>
    <s v="Nē"/>
    <m/>
    <s v="Nē"/>
    <m/>
    <s v="Nē"/>
    <m/>
    <s v="Jā"/>
    <s v="Jā"/>
    <s v="Nē"/>
    <s v="Jā"/>
    <s v="Nē"/>
    <s v="Nē"/>
    <s v="Nē"/>
    <s v="Nē"/>
    <s v="Nē"/>
    <s v="Nē"/>
    <s v="Nē"/>
    <s v="Nē"/>
    <s v="Nē"/>
    <s v="Nē"/>
    <s v="Nē"/>
    <m/>
    <s v="Nē"/>
    <m/>
    <s v="Nē"/>
    <m/>
    <s v="Nē"/>
    <m/>
    <s v="Nē"/>
    <m/>
    <s v="Nē"/>
    <s v="Nē"/>
    <s v="Nē"/>
    <s v="Nē"/>
    <s v="Jā"/>
    <s v="Nē"/>
    <s v="Nē"/>
    <s v="Jā"/>
    <s v="Nē"/>
    <s v="Nē"/>
    <s v="Nē"/>
    <s v="Nē"/>
    <m/>
    <m/>
    <m/>
    <m/>
    <m/>
    <m/>
    <m/>
    <m/>
    <m/>
    <m/>
    <m/>
    <m/>
    <m/>
  </r>
  <r>
    <x v="0"/>
    <n v="103"/>
    <s v="2023-04-27 13:47:48"/>
    <n v="14"/>
    <s v="lv"/>
    <n v="1134621198"/>
    <s v="2023-04-27 13:29:23"/>
    <s v="2023-04-27 13:47:48"/>
    <s v="galds"/>
    <n v="17"/>
    <s v="vīriešu"/>
    <m/>
    <x v="1"/>
    <x v="1"/>
    <x v="0"/>
    <x v="0"/>
    <x v="0"/>
    <x v="0"/>
    <s v="Rīgā/ Rīgas rajonā"/>
    <m/>
    <s v="pareizticīgo"/>
    <m/>
    <s v="Nē"/>
    <s v="Jā"/>
    <s v="Nē"/>
    <s v="Nē"/>
    <s v="Nē"/>
    <s v="Nē"/>
    <s v="Nē"/>
    <s v="Jā"/>
    <s v="Jā"/>
    <s v="Nē"/>
    <s v="Nē"/>
    <s v="Nē"/>
    <s v="Nē"/>
    <s v="Nē"/>
    <s v="N/A"/>
    <s v="N/A"/>
    <s v="N/A"/>
    <s v="N/A"/>
    <s v="N/A"/>
    <s v="N/A"/>
    <s v="Jā"/>
    <s v="Jā"/>
    <s v="Jā"/>
    <s v="Nē"/>
    <s v="Nē"/>
    <s v="Nē"/>
    <s v="Nē"/>
    <s v="Nē"/>
    <m/>
    <m/>
    <m/>
    <m/>
    <m/>
    <m/>
    <s v="Lielākoties vienlīdzīgi"/>
    <s v="Lielākoties nevienlīdzīgi"/>
    <s v="Vienlīdzīgi"/>
    <s v="Lielākoties vienlīdzīgi"/>
    <s v="Lielākoties 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Ne sevišķi"/>
    <s v="Ne sevišķi"/>
    <s v="Ne sevišķi"/>
    <s v="iespējams (Popularitāte sabiedrībā) bet neesmu pārliecināts"/>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50"/>
    <n v="100"/>
    <m/>
    <m/>
    <s v="Drīzāk saspīlētas"/>
    <s v="Nav saspīlētas"/>
    <s v="Nav saspīlētas"/>
    <s v="(Gandrīz) nekad"/>
    <s v="(Gandrīz) nekad"/>
    <s v="(Gandrīz) nekad"/>
    <s v="(Gandrīz) nekad"/>
    <s v="(Gandrīz) nekad"/>
    <m/>
    <m/>
    <m/>
    <m/>
    <m/>
    <m/>
    <s v="nē"/>
    <s v="N/A"/>
    <s v="N/A"/>
    <s v="N/A"/>
    <s v="N/A"/>
    <s v="Jā"/>
    <s v="Jā"/>
    <s v="Nē"/>
    <s v="Nē"/>
    <s v="Jā"/>
    <s v="Nē"/>
    <s v="Jā"/>
    <s v="Nē"/>
    <s v="(gandrīz) katru dienu"/>
    <s v="(gandrīz) katru dienu"/>
    <s v="(gandrīz) katru dienu"/>
    <s v="(gandrīz) katru dienu"/>
    <s v="(gandrīz) katru dienu"/>
    <s v="(gandrīz) katru dienu"/>
    <s v="(gandrīz) katru dienu"/>
    <s v="(gandrīz) nekad"/>
    <s v="pāris reižu mēnesī"/>
    <s v="(gandrīz) nekad"/>
    <s v="(gandrīz) nekad"/>
    <s v="(gandrīz) nekad"/>
    <s v="(gandrīz) nekad"/>
    <s v="(gandrīz) nekad"/>
    <s v="brīvas vēlēšanas un plurālisms"/>
    <s v="vienlīdz pieejama izglītība, veselības aprūpe, sociālais nodrošinājums"/>
    <s v="pilsoniskās brīvības (vārda brīvība, tiesības uz tiesisko aizsardzību)"/>
    <m/>
    <m/>
    <s v="nezinu"/>
    <s v="nezinu"/>
    <s v="nezinu"/>
    <s v="nezinu"/>
    <s v="nezinu"/>
    <s v="pamatizglītību"/>
    <m/>
    <s v="N/A"/>
    <s v="N/A"/>
    <s v="N/A"/>
    <s v="Jā"/>
    <s v="latviešu"/>
    <m/>
    <s v="latviešu"/>
    <m/>
    <s v="Spēju pastāstīt par savu hobiju / darbu."/>
    <s v="Spēju uzrakstīt vēstuli draugam."/>
    <s v="Saprotu norādes, kur iet."/>
    <s v="Krieviski/latviski spēju izlasīt ēdienkarti restorānā."/>
    <m/>
    <m/>
    <m/>
    <m/>
    <m/>
    <m/>
    <m/>
    <m/>
    <m/>
    <m/>
    <m/>
    <m/>
    <m/>
    <m/>
    <m/>
    <m/>
    <m/>
    <s v="N/A"/>
    <s v="N/A"/>
    <s v="N/A"/>
    <s v="N/A"/>
    <s v="N/A"/>
    <s v="N/A"/>
    <m/>
    <m/>
    <m/>
    <m/>
    <m/>
    <s v="Nē"/>
    <s v="Nē"/>
    <s v="Nē"/>
    <s v="Jā"/>
    <s v="Nē"/>
    <s v="Nē"/>
    <s v="Nē"/>
    <s v="Nē"/>
    <s v="Jā"/>
    <s v="Nē"/>
    <s v="Nē"/>
    <s v="Jā"/>
    <s v="Nē"/>
    <s v="Nē"/>
    <s v="Nē"/>
    <m/>
    <s v="Nē"/>
    <m/>
    <s v="Nē"/>
    <m/>
    <s v="Nē"/>
    <m/>
    <s v="Nē"/>
    <m/>
    <s v="Nē"/>
    <s v="Nē"/>
    <s v="Nē"/>
    <s v="Nē"/>
    <s v="Nē"/>
    <s v="Nē"/>
    <s v="Nē"/>
    <s v="Nē"/>
    <s v="Nē"/>
    <s v="Nē"/>
    <s v="Nē"/>
    <s v="Jā"/>
    <s v="Nē"/>
    <s v="Nē"/>
    <s v="Nē"/>
    <m/>
    <s v="Nē"/>
    <m/>
    <s v="Nē"/>
    <m/>
    <s v="Nē"/>
    <m/>
    <s v="Nē"/>
    <m/>
    <s v="Jā"/>
    <s v="Jā"/>
    <s v="Jā"/>
    <s v="Nē"/>
    <s v="Jā"/>
    <s v="Nē"/>
    <s v="Nē"/>
    <s v="Jā"/>
    <s v="Nē"/>
    <s v="Nē"/>
    <s v="Nē"/>
    <s v="Nē"/>
    <m/>
    <s v="Paldies"/>
    <m/>
    <m/>
    <m/>
    <m/>
    <m/>
    <m/>
    <m/>
    <m/>
    <m/>
    <m/>
    <m/>
  </r>
  <r>
    <x v="0"/>
    <n v="104"/>
    <s v="2023-04-27 13:45:52"/>
    <n v="14"/>
    <s v="lv"/>
    <n v="1126857110"/>
    <s v="2023-04-27 13:29:27"/>
    <s v="2023-04-27 13:45:52"/>
    <s v="galds"/>
    <n v="17"/>
    <s v="vīriešu"/>
    <m/>
    <x v="1"/>
    <x v="1"/>
    <x v="0"/>
    <x v="0"/>
    <x v="0"/>
    <x v="0"/>
    <s v="Rīgā/ Rīgas rajonā"/>
    <m/>
    <s v="ateistu(ti), nereliģiozu"/>
    <m/>
    <s v="Nē"/>
    <s v="Nē"/>
    <s v="Jā"/>
    <s v="Jā"/>
    <s v="Nē"/>
    <s v="Nē"/>
    <s v="Nē"/>
    <s v="Nē"/>
    <s v="Nē"/>
    <s v="Jā"/>
    <s v="Nē"/>
    <s v="Jā"/>
    <s v="Nē"/>
    <s v="Nē"/>
    <s v="Nē"/>
    <s v="Jā"/>
    <s v="Nē"/>
    <s v="Nē"/>
    <s v="Nē"/>
    <s v="Jā"/>
    <s v="Nē"/>
    <s v="Jā"/>
    <s v="Nē"/>
    <s v="Nē"/>
    <s v="Nē"/>
    <s v="Jā"/>
    <s v="Nē"/>
    <s v="Nē"/>
    <m/>
    <m/>
    <m/>
    <m/>
    <m/>
    <m/>
    <s v="Lielākoties nevienlīdzīgi"/>
    <s v="Lielākoties nevienlīdzīgi"/>
    <s v="Lielākoties vienlīdzīgi"/>
    <s v="Vienlīdzīgi"/>
    <s v="Lielākoties ne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Ļoti"/>
    <s v="Ne sevišķi"/>
    <s v="Ārkārtīgi"/>
    <s v="Viduvēji"/>
    <s v="cilvēku pievilkšana pie konkrētām politiskajām partijām caur vairākām metodēm"/>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85"/>
    <n v="100"/>
    <m/>
    <m/>
    <s v="Ļoti saspīlētas"/>
    <s v="Mazliet saspīlētas"/>
    <s v="Drīzāk saspīlētas"/>
    <s v="(Gandrīz) nekad"/>
    <s v="(Gandrīz) nekad"/>
    <s v="(Gandrīz) nekad"/>
    <s v="Reti"/>
    <s v="Dažreiz"/>
    <m/>
    <m/>
    <m/>
    <m/>
    <m/>
    <s v="bieži ikdienas notikumos, kā uz ielas staigājot vai stāvot pieturā, krieviski tiek jautāti kādi jautājumi, kurus nevaru saprast, jo nerunāju krievu valodā, un tad tieku izlamāts par to, ka to nesaprotu."/>
    <s v="nē"/>
    <s v="N/A"/>
    <s v="N/A"/>
    <s v="N/A"/>
    <s v="N/A"/>
    <s v="Jā"/>
    <s v="Jā"/>
    <s v="Jā"/>
    <s v="Nē"/>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aras līdzsvars starp parlamentu, prezidentu un tiesām, lai neviena no institūcijām nespētu sevī koncentrēt lielāko daļu varas"/>
    <s v="brīvas vēlēšanas un plurālisms"/>
    <s v="vienlīdz pieejama izglītība, veselības aprūpe, sociālais nodrošinājums"/>
    <m/>
    <m/>
    <s v="labi"/>
    <s v="labi"/>
    <s v="ļoti labi"/>
    <s v="labi"/>
    <s v="slikt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Nē"/>
    <s v="Nē"/>
    <s v="Nē"/>
    <s v="Jā"/>
    <m/>
    <s v="Nē"/>
    <m/>
    <s v="Nē"/>
    <m/>
    <s v="Nē"/>
    <m/>
    <s v="Nē"/>
    <m/>
    <s v="Nē"/>
    <s v="Jā"/>
    <s v="Nē"/>
    <s v="Nē"/>
    <s v="Nē"/>
    <s v="Nē"/>
    <s v="Nē"/>
    <s v="Nē"/>
    <s v="Nē"/>
    <s v="Nē"/>
    <s v="Nē"/>
    <s v="Nē"/>
    <s v="Nē"/>
    <s v="Nē"/>
    <s v="Nē"/>
    <m/>
    <s v="Nē"/>
    <m/>
    <s v="Nē"/>
    <m/>
    <s v="Nē"/>
    <m/>
    <s v="Nē"/>
    <m/>
    <s v="Nē"/>
    <s v="Nē"/>
    <s v="Nē"/>
    <s v="Nē"/>
    <s v="Jā"/>
    <s v="Nē"/>
    <s v="Nē"/>
    <s v="Jā"/>
    <s v="Jā"/>
    <s v="Nē"/>
    <s v="Nē"/>
    <s v="Nē"/>
    <m/>
    <m/>
    <m/>
    <m/>
    <m/>
    <m/>
    <m/>
    <m/>
    <m/>
    <m/>
    <m/>
    <m/>
    <m/>
  </r>
  <r>
    <x v="0"/>
    <n v="105"/>
    <s v="2023-04-27 13:58:30"/>
    <n v="14"/>
    <s v="lv"/>
    <n v="1361758527"/>
    <s v="2023-04-27 13:29:45"/>
    <s v="2023-04-27 13:58:30"/>
    <s v="galds"/>
    <n v="17"/>
    <s v="vīriešu"/>
    <m/>
    <x v="1"/>
    <x v="1"/>
    <x v="0"/>
    <x v="0"/>
    <x v="0"/>
    <x v="0"/>
    <s v="Rīgā/ Rīgas rajonā"/>
    <m/>
    <s v="Cita atbilde"/>
    <s v="luterāņu"/>
    <s v="Jā"/>
    <s v="Nē"/>
    <s v="Nē"/>
    <s v="Nē"/>
    <s v="Nē"/>
    <s v="Nē"/>
    <s v="Nē"/>
    <s v="Nē"/>
    <s v="Nē"/>
    <s v="Nē"/>
    <s v="Nē"/>
    <s v="Nē"/>
    <s v="Jā"/>
    <s v="Nē"/>
    <s v="Jā"/>
    <s v="Nē"/>
    <s v="Nē"/>
    <s v="Nē"/>
    <s v="Nē"/>
    <s v="Nē"/>
    <s v="Nē"/>
    <s v="Nē"/>
    <s v="Nē"/>
    <s v="Nē"/>
    <s v="Nē"/>
    <s v="Nē"/>
    <s v="Jā"/>
    <s v="Nē"/>
    <m/>
    <m/>
    <m/>
    <m/>
    <m/>
    <m/>
    <s v="Lielākoties vienlīdzīgi"/>
    <s v="Vienlīdzīgi"/>
    <s v="Vienlīdzīgi"/>
    <s v="Vienlīdzīgi"/>
    <s v="Vienlīdzīgi"/>
    <s v="Politiskā partija &quot;Stabilitātei&quot;"/>
    <s v="Jaunā Vienotība"/>
    <s v="&quot;Latvija pirmajā vietā&quot;"/>
    <s v="&quot;Progresīvie&quot;"/>
    <s v="&quot;Latvija pirmajā vietā&quot;"/>
    <s v="&quot;Apvienotais saraksts&quot;"/>
    <s v="Nacionālā Apvienība"/>
    <s v="Reizēm ekonomiskā un valsts stabilitāte varētu nozīmēt, ka atsevišķi ekoloģiskās politikas aspekti ir uz brīdi jāiepauzē."/>
    <s v="jā, lielāko daļu no tā, ko iespējams šķirot"/>
    <s v="Jaunā Vienotība"/>
    <s v="Zaļo un Zemnieku savienība"/>
    <s v="&quot;Progresīvie&quot;"/>
    <s v="&quot;Latvija pirmajā vietā&quot;"/>
    <s v="Politiskā partija &quot;Stabilitātei&quot;"/>
    <s v="Zaļo un Zemnieku savienība"/>
    <s v="Nacionālā Apvienība"/>
    <s v="&quot;Latvija pirmajā vietā&quot;"/>
    <s v="Jaunā Vienotība"/>
    <s v="Politiskā partija &quot;Stabilitātei&quot;"/>
    <s v="&quot;Latvija pirmajā vietā&quot;"/>
    <s v="Jaunā Vienotība"/>
    <s v="Nacionālā Apvienība"/>
    <s v="&quot;Apvienotais saraksts&quot;"/>
    <s v="Ārkārtīgi"/>
    <s v="Neinteresē"/>
    <s v="Ļoti"/>
    <s v="Viduvēji"/>
    <s v="Populisms ir cilvēks, kurš grib uzvarēt pielabinoties citiem, lai viņus uzvarētu savā pusē."/>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75"/>
    <n v="90"/>
    <m/>
    <m/>
    <s v="Mazliet saspīlētas"/>
    <s v="Mazliet saspīlētas"/>
    <s v="Drīzāk saspīlētas"/>
    <s v="(Gandrīz) nekad"/>
    <s v="(Gandrīz) nekad"/>
    <s v="(Gandrīz) nekad"/>
    <s v="(Gandrīz) nekad"/>
    <s v="(Gandrīz) nekad"/>
    <m/>
    <m/>
    <m/>
    <m/>
    <m/>
    <m/>
    <s v="nē"/>
    <s v="N/A"/>
    <s v="N/A"/>
    <s v="N/A"/>
    <s v="N/A"/>
    <s v="Jā"/>
    <s v="Jā"/>
    <s v="Jā"/>
    <s v="Nē"/>
    <s v="Jā"/>
    <s v="Jā"/>
    <s v="Jā"/>
    <s v="Nē"/>
    <s v="(gandrīz) katru dienu"/>
    <s v="(gandrīz) katru dienu"/>
    <s v="(gandrīz) katru dienu"/>
    <s v="(gandrīz) katru dienu"/>
    <s v="(gandrīz) katru dienu"/>
    <s v="(gandrīz) katru dienu"/>
    <s v="(gandrīz) katru dienu"/>
    <s v="(gandrīz) nekad"/>
    <s v="pāris reižu nedēļā"/>
    <s v="(gandrīz) nekad"/>
    <s v="(gandrīz) nekad"/>
    <s v="(gandrīz) nekad"/>
    <s v="(gandrīz) nekad"/>
    <s v="(gandrīz) nekad"/>
    <s v="brīvas vēlēšanas un plurālisms"/>
    <s v="varas līdzsvars starp parlamentu, prezidentu un tiesām, lai neviena no institūcijām nespētu sevī koncentrēt lielāko daļu varas"/>
    <s v="pilsoniskās brīvības (vārda brīvība, tiesības uz tiesisko aizsardzību)"/>
    <m/>
    <m/>
    <s v="labi"/>
    <s v="citreiz labi, citreiz slikti"/>
    <s v="ļoti labi"/>
    <s v="citreiz labi, citreiz slikti"/>
    <s v="citreiz labi, citreiz slikti"/>
    <s v="vidējo izglītību"/>
    <m/>
    <s v="N/A"/>
    <s v="N/A"/>
    <s v="N/A"/>
    <s v="Jā"/>
    <s v="latviešu"/>
    <m/>
    <s v="latviešu"/>
    <m/>
    <s v="Spēju pastāstīt par savu hobiju / darbu."/>
    <s v="Spēju uzrakstīt motivācijas vēstuli darbam/ par savu darba pieredzi."/>
    <s v="Viegli saprotu radio programmas / podkāstus par saviem hobijiem/darbības sfēru."/>
    <s v="Spēju izlasīt avīzi/īsstāstus."/>
    <m/>
    <m/>
    <m/>
    <m/>
    <m/>
    <m/>
    <m/>
    <m/>
    <m/>
    <m/>
    <m/>
    <m/>
    <m/>
    <m/>
    <m/>
    <m/>
    <m/>
    <s v="N/A"/>
    <s v="N/A"/>
    <s v="N/A"/>
    <s v="N/A"/>
    <s v="N/A"/>
    <s v="N/A"/>
    <m/>
    <m/>
    <m/>
    <m/>
    <m/>
    <s v="Nē"/>
    <s v="Nē"/>
    <s v="Nē"/>
    <s v="Jā"/>
    <s v="Nē"/>
    <s v="Nē"/>
    <s v="Nē"/>
    <s v="Nē"/>
    <s v="Nē"/>
    <s v="Nē"/>
    <s v="Nē"/>
    <s v="Jā"/>
    <s v="Nē"/>
    <s v="Nē"/>
    <s v="Nē"/>
    <m/>
    <s v="Nē"/>
    <m/>
    <s v="Nē"/>
    <m/>
    <s v="Nē"/>
    <m/>
    <s v="Nē"/>
    <m/>
    <s v="Nē"/>
    <s v="Nē"/>
    <s v="Nē"/>
    <s v="Jā"/>
    <s v="Nē"/>
    <s v="Nē"/>
    <s v="Nē"/>
    <s v="Nē"/>
    <s v="Nē"/>
    <s v="Nē"/>
    <s v="Nē"/>
    <s v="Jā"/>
    <s v="Nē"/>
    <s v="Nē"/>
    <s v="Nē"/>
    <m/>
    <s v="Nē"/>
    <m/>
    <s v="Nē"/>
    <m/>
    <s v="Nē"/>
    <m/>
    <s v="Nē"/>
    <m/>
    <s v="Jā"/>
    <s v="Jā"/>
    <s v="Nē"/>
    <s v="Nē"/>
    <s v="Jā"/>
    <s v="Nē"/>
    <s v="Nē"/>
    <s v="Jā"/>
    <s v="Nē"/>
    <s v="Nē"/>
    <s v="Nē"/>
    <s v="Nē"/>
    <m/>
    <m/>
    <m/>
    <m/>
    <m/>
    <m/>
    <m/>
    <m/>
    <m/>
    <m/>
    <m/>
    <m/>
    <m/>
  </r>
  <r>
    <x v="0"/>
    <n v="106"/>
    <m/>
    <n v="7"/>
    <s v="lv"/>
    <n v="1798840613"/>
    <s v="2023-04-27 13:29:54"/>
    <s v="2023-04-27 13:49:23"/>
    <s v="galds"/>
    <n v="18"/>
    <s v="sieviešu"/>
    <m/>
    <x v="1"/>
    <x v="1"/>
    <x v="0"/>
    <x v="0"/>
    <x v="0"/>
    <x v="0"/>
    <s v="Rīgā/ Rīgas rajonā"/>
    <m/>
    <s v="ateistu(ti), nereliģiozu"/>
    <m/>
    <s v="Nē"/>
    <s v="Jā"/>
    <s v="Nē"/>
    <s v="Nē"/>
    <s v="Nē"/>
    <s v="Nē"/>
    <s v="Nē"/>
    <s v="Nē"/>
    <s v="Nē"/>
    <s v="Nē"/>
    <s v="Nē"/>
    <s v="Nē"/>
    <s v="Jā"/>
    <s v="Nē"/>
    <s v="Nē"/>
    <s v="Nē"/>
    <s v="Nē"/>
    <s v="Jā"/>
    <s v="Nē"/>
    <s v="Nē"/>
    <s v="Nē"/>
    <s v="Nē"/>
    <s v="Jā"/>
    <s v="Nē"/>
    <s v="Nē"/>
    <s v="Nē"/>
    <s v="Nē"/>
    <s v="Nē"/>
    <m/>
    <m/>
    <m/>
    <m/>
    <m/>
    <m/>
    <s v="Lielākoties vienlīdzīgi"/>
    <s v="Lielākoties nevienlīdzīgi"/>
    <s v="Vienlīdzīgi"/>
    <s v="Vienlīdzīgi"/>
    <s v="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Neinteresē"/>
    <s v="Viduvēji"/>
    <s v="Neinteresē"/>
    <s v="Ne sevišķi"/>
    <s v="nezinu"/>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82"/>
    <n v="100"/>
    <m/>
    <m/>
    <s v="Mazliet saspīlētas"/>
    <s v="Mazliet saspīlētas"/>
    <s v="Drīzāk saspīlētas"/>
    <s v="(Gandrīz) nekad"/>
    <s v="(Gandrīz) nekad"/>
    <s v="(Gandrīz) nekad"/>
    <s v="Reti"/>
    <s v="Dažreiz"/>
    <m/>
    <m/>
    <m/>
    <m/>
    <m/>
    <s v="kad vecās krievu omes uz ielas sāk mani lamāt par pīrsingiem, es viņām atbildu nepareizajā, savējā, valodā"/>
    <s v="nē"/>
    <s v="N/A"/>
    <s v="N/A"/>
    <s v="N/A"/>
    <s v="N/A"/>
    <s v="Nē"/>
    <s v="Nē"/>
    <s v="Jā"/>
    <s v="Nē"/>
    <s v="Jā"/>
    <s v="Nē"/>
    <s v="Nē"/>
    <s v="Nē"/>
    <s v="(gandrīz) katru dienu"/>
    <s v="(gandrīz) katru dienu"/>
    <s v="(gandrīz) katru dienu"/>
    <s v="(gandrīz) katru dienu"/>
    <s v="(gandrīz) katru dienu"/>
    <s v="(gandrīz) katru dienu"/>
    <s v="pāris reižu nedēļā"/>
    <s v="(gandrīz) nekad"/>
    <s v="pāris reižu mēnesī"/>
    <s v="(gandrīz) nekad"/>
    <s v="pāris reižu mēnesī"/>
    <s v="(gandrīz) nekad"/>
    <s v="(gandrīz) nekad"/>
    <s v="reizi nedēļā"/>
    <s v="vienlīdzīgas tiesības minoritātēm un ievainojamām sabiedrības grupām"/>
    <s v="vienlīdz pieejama izglītība, veselības aprūpe, sociālais nodrošinājums"/>
    <s v="varas līdzsvars starp parlamentu, prezidentu un tiesām, lai neviena no institūcijām nespētu sevī koncentrēt lielāko daļu varas"/>
    <m/>
    <m/>
    <s v="nezinu"/>
    <s v="nezinu"/>
    <s v="nezinu"/>
    <s v="nezinu"/>
    <s v="nezinu"/>
    <m/>
    <m/>
    <s v="Nē"/>
    <s v="Nē"/>
    <s v="Nē"/>
    <s v="Nē"/>
    <m/>
    <m/>
    <m/>
    <m/>
    <m/>
    <m/>
    <m/>
    <m/>
    <m/>
    <m/>
    <m/>
    <m/>
    <m/>
    <m/>
    <m/>
    <m/>
    <m/>
    <m/>
    <m/>
    <m/>
    <m/>
    <m/>
    <m/>
    <m/>
    <m/>
    <s v="N/A"/>
    <s v="N/A"/>
    <s v="N/A"/>
    <s v="N/A"/>
    <s v="N/A"/>
    <s v="N/A"/>
    <m/>
    <m/>
    <m/>
    <m/>
    <m/>
    <s v="N/A"/>
    <s v="N/A"/>
    <s v="N/A"/>
    <s v="N/A"/>
    <s v="N/A"/>
    <s v="N/A"/>
    <s v="N/A"/>
    <s v="N/A"/>
    <s v="N/A"/>
    <s v="N/A"/>
    <s v="N/A"/>
    <s v="N/A"/>
    <s v="N/A"/>
    <s v="N/A"/>
    <s v="N/A"/>
    <m/>
    <s v="N/A"/>
    <m/>
    <s v="N/A"/>
    <m/>
    <s v="N/A"/>
    <m/>
    <s v="N/A"/>
    <m/>
    <s v="N/A"/>
    <s v="N/A"/>
    <s v="N/A"/>
    <s v="N/A"/>
    <s v="N/A"/>
    <s v="N/A"/>
    <s v="N/A"/>
    <s v="N/A"/>
    <s v="N/A"/>
    <s v="N/A"/>
    <s v="N/A"/>
    <s v="N/A"/>
    <s v="N/A"/>
    <s v="N/A"/>
    <s v="N/A"/>
    <m/>
    <s v="N/A"/>
    <m/>
    <s v="N/A"/>
    <m/>
    <s v="N/A"/>
    <m/>
    <s v="N/A"/>
    <m/>
    <s v="N/A"/>
    <s v="N/A"/>
    <s v="N/A"/>
    <s v="N/A"/>
    <s v="N/A"/>
    <s v="N/A"/>
    <s v="N/A"/>
    <s v="N/A"/>
    <s v="N/A"/>
    <s v="N/A"/>
    <s v="N/A"/>
    <s v="N/A"/>
    <m/>
    <m/>
    <m/>
    <m/>
    <m/>
    <m/>
    <m/>
    <m/>
    <m/>
    <m/>
    <m/>
    <m/>
    <m/>
  </r>
  <r>
    <x v="0"/>
    <n v="107"/>
    <s v="2023-04-27 13:45:11"/>
    <n v="14"/>
    <s v="lv"/>
    <n v="185082656"/>
    <s v="2023-04-27 13:34:22"/>
    <s v="2023-04-27 13:45:11"/>
    <s v="galds"/>
    <n v="17"/>
    <s v="sieviešu"/>
    <m/>
    <x v="1"/>
    <x v="1"/>
    <x v="0"/>
    <x v="0"/>
    <x v="0"/>
    <x v="0"/>
    <s v="Rīgā/ Rīgas rajonā"/>
    <m/>
    <s v="katoli(ieti)"/>
    <m/>
    <s v="Jā"/>
    <s v="Nē"/>
    <s v="Nē"/>
    <s v="Nē"/>
    <s v="Nē"/>
    <s v="Nē"/>
    <s v="Nē"/>
    <s v="Nē"/>
    <s v="Jā"/>
    <s v="Nē"/>
    <s v="Nē"/>
    <s v="Nē"/>
    <s v="Nē"/>
    <s v="Nē"/>
    <s v="Jā"/>
    <s v="Nē"/>
    <s v="Nē"/>
    <s v="Nē"/>
    <s v="Nē"/>
    <s v="Nē"/>
    <s v="Nē"/>
    <s v="Nē"/>
    <s v="Jā"/>
    <s v="Jā"/>
    <s v="Nē"/>
    <s v="Nē"/>
    <s v="Nē"/>
    <s v="Nē"/>
    <m/>
    <m/>
    <m/>
    <m/>
    <m/>
    <m/>
    <s v="Lielākoties vienlīdzīgi"/>
    <s v="Nevienlīdzīgi"/>
    <s v="Lielākoties nevienlīdzīgi"/>
    <s v="Lielākoties nevienlīdzīgi"/>
    <s v="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Ne sevišķi"/>
    <s v="Viduvēji"/>
    <s v="Ļoti"/>
    <s v="Ārkārtīgi"/>
    <m/>
    <s v="Nē"/>
    <s v="Jā"/>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33"/>
    <n v="19"/>
    <m/>
    <m/>
    <s v="Drīzāk saspīlētas"/>
    <s v="Mazliet saspīlētas"/>
    <s v="Nav saspīlētas"/>
    <s v="(Gandrīz) nekad"/>
    <s v="Reti"/>
    <s v="Reti"/>
    <s v="(Gandrīz) nekad"/>
    <s v="Reti"/>
    <m/>
    <m/>
    <m/>
    <m/>
    <m/>
    <m/>
    <s v="nē"/>
    <s v="N/A"/>
    <s v="N/A"/>
    <s v="N/A"/>
    <s v="N/A"/>
    <s v="Nē"/>
    <s v="Nē"/>
    <s v="Jā"/>
    <s v="Nē"/>
    <s v="N/A"/>
    <s v="N/A"/>
    <s v="N/A"/>
    <s v="Jā"/>
    <s v="(gandrīz) katru dienu"/>
    <s v="(gandrīz) katru dienu"/>
    <s v="(gandrīz) katru dienu"/>
    <s v="(gandrīz) katru dienu"/>
    <s v="pāris reižu nedēļā"/>
    <s v="(gandrīz) katru dienu"/>
    <s v="(gandrīz) katru dienu"/>
    <s v="(gandrīz) nekad"/>
    <s v="pāris reižu mēnesī"/>
    <s v="(gandrīz) nekad"/>
    <s v="(gandrīz) nekad"/>
    <s v="(gandrīz) nekad"/>
    <s v="pāris reižu mēnesī"/>
    <s v="(gandrīz) nekad"/>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labi"/>
    <s v="slikti"/>
    <s v="citreiz labi, citreiz slikti"/>
    <s v="citreiz labi, citreiz slikti"/>
    <s v="vidējo izglītību"/>
    <m/>
    <s v="N/A"/>
    <s v="N/A"/>
    <s v="N/A"/>
    <s v="Jā"/>
    <s v="latviešu"/>
    <m/>
    <s v="latviešu"/>
    <m/>
    <s v="Spēju pastāstīt par savu hobiju / darbu."/>
    <s v="{if(is_empty(tongueLAT_SQ001.NAOK), 'latviski','krieviski')} nemāku rakstīt."/>
    <s v="Viegli saprotu televīzijas pārraides vai Youtube video par saviem hobijiem/darbības sfēru."/>
    <s v="Es neko nespēju izlasīt {if(is_empty(tongueLAT_SQ001.NAOK), 'latviski','krieviski')}."/>
    <m/>
    <m/>
    <m/>
    <m/>
    <m/>
    <m/>
    <m/>
    <m/>
    <m/>
    <m/>
    <m/>
    <m/>
    <m/>
    <m/>
    <m/>
    <m/>
    <m/>
    <s v="N/A"/>
    <s v="N/A"/>
    <s v="N/A"/>
    <s v="N/A"/>
    <s v="N/A"/>
    <s v="N/A"/>
    <m/>
    <m/>
    <m/>
    <m/>
    <m/>
    <s v="Nē"/>
    <s v="Nē"/>
    <s v="Jā"/>
    <s v="Jā"/>
    <s v="Nē"/>
    <s v="Nē"/>
    <s v="Nē"/>
    <s v="Nē"/>
    <s v="Jā"/>
    <s v="Nē"/>
    <s v="Jā"/>
    <s v="Jā"/>
    <s v="Nē"/>
    <s v="Nē"/>
    <s v="Nē"/>
    <m/>
    <s v="Jā"/>
    <s v="sportacentrs"/>
    <s v="Jā"/>
    <s v="NBA"/>
    <s v="Nē"/>
    <m/>
    <s v="Nē"/>
    <m/>
    <s v="Nē"/>
    <s v="Nē"/>
    <s v="Nē"/>
    <s v="Nē"/>
    <s v="Nē"/>
    <s v="Nē"/>
    <s v="Nē"/>
    <s v="Nē"/>
    <s v="Nē"/>
    <s v="Nē"/>
    <s v="Nē"/>
    <s v="Jā"/>
    <s v="Nē"/>
    <s v="Nē"/>
    <s v="Nē"/>
    <m/>
    <s v="Nē"/>
    <m/>
    <s v="Nē"/>
    <m/>
    <s v="Nē"/>
    <m/>
    <s v="Nē"/>
    <m/>
    <s v="Jā"/>
    <s v="Jā"/>
    <s v="Nē"/>
    <s v="Nē"/>
    <s v="Nē"/>
    <s v="Nē"/>
    <s v="Nē"/>
    <s v="Jā"/>
    <s v="Nē"/>
    <s v="Nē"/>
    <s v="Nē"/>
    <s v="Nē"/>
    <m/>
    <m/>
    <m/>
    <m/>
    <m/>
    <m/>
    <m/>
    <m/>
    <m/>
    <m/>
    <m/>
    <m/>
    <m/>
  </r>
  <r>
    <x v="0"/>
    <n v="108"/>
    <s v="2023-04-27 13:57:56"/>
    <n v="14"/>
    <s v="lv"/>
    <n v="17464639"/>
    <s v="2023-04-27 13:34:24"/>
    <s v="2023-04-27 13:57:56"/>
    <s v="galds"/>
    <n v="18"/>
    <s v="vīriešu"/>
    <m/>
    <x v="1"/>
    <x v="1"/>
    <x v="0"/>
    <x v="0"/>
    <x v="0"/>
    <x v="0"/>
    <s v="Rīgā/ Rīgas rajonā"/>
    <m/>
    <s v="Cita atbilde"/>
    <s v="kristieti"/>
    <s v="Nē"/>
    <s v="Jā"/>
    <s v="Nē"/>
    <s v="Nē"/>
    <s v="Nē"/>
    <s v="Nē"/>
    <s v="Nē"/>
    <s v="Nē"/>
    <s v="Nē"/>
    <s v="Jā"/>
    <s v="Nē"/>
    <s v="Nē"/>
    <s v="Nē"/>
    <s v="Nē"/>
    <s v="Jā"/>
    <s v="Nē"/>
    <s v="Nē"/>
    <s v="Nē"/>
    <s v="Nē"/>
    <s v="Nē"/>
    <s v="Nē"/>
    <s v="Nē"/>
    <s v="Nē"/>
    <s v="Jā"/>
    <s v="Nē"/>
    <s v="Nē"/>
    <s v="Nē"/>
    <s v="Nē"/>
    <m/>
    <m/>
    <m/>
    <m/>
    <m/>
    <m/>
    <s v="Vienlīdzīgi"/>
    <s v="Vienlīdzīgi"/>
    <s v="Vienlīdzīgi"/>
    <s v="Vienlīdzīgi"/>
    <s v="Lielākoties vienlīdzīgi"/>
    <s v="nezinu"/>
    <s v="&quot;Progresīvie&quot;"/>
    <s v="&quot;Latvija pirmajā vietā&quot;"/>
    <s v="&quot;Latvija pirmajā vietā&quot;"/>
    <s v="nezinu"/>
    <s v="&quot;Progresīvie&quot;"/>
    <s v="Jaunā Vienotība"/>
    <s v="Cīņai ar klimata pārmaiņām būtu jābūt vairumam pasaules valstu galvenajai prioritātei."/>
    <s v="jā, daļu no tā, ko iespējams šķirot"/>
    <s v="nezinu"/>
    <s v="nezinu"/>
    <s v="&quot;Latvija pirmajā vietā&quot;"/>
    <s v="&quot;Latvija pirmajā vietā&quot;"/>
    <s v="&quot;Progresīvie&quot;"/>
    <s v="Jaunā Vienotība"/>
    <s v="Jaunā Vienotība"/>
    <s v="nezinu"/>
    <s v="&quot;Progresīvie&quot;"/>
    <s v="&quot;Latvija pirmajā vietā&quot;"/>
    <s v="Jaunā Vienotība"/>
    <s v="&quot;Latvija pirmajā vietā&quot;"/>
    <s v="&quot;Latvija pirmajā vietā&quot;"/>
    <s v="nezinu"/>
    <s v="Ļoti"/>
    <s v="Neinteresē"/>
    <s v="Ļoti"/>
    <s v="Viduvēji"/>
    <m/>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80"/>
    <n v="85"/>
    <m/>
    <m/>
    <s v="Nav saspīlētas"/>
    <s v="Nav saspīlētas"/>
    <s v="Mazliet saspīlētas"/>
    <s v="Reti"/>
    <s v="(Gandrīz) nekad"/>
    <s v="(Gandrīz) nekad"/>
    <s v="Reti"/>
    <s v="Reti"/>
    <m/>
    <m/>
    <m/>
    <m/>
    <m/>
    <s v="Bieži Krievu valodas lietotāji pārmet latvijas iedzīvotājiem par to ka tie nav spējīgi komunicēt krieviski, ar saukli, ka Latvieši nemācās valodas."/>
    <s v="nē"/>
    <s v="N/A"/>
    <s v="N/A"/>
    <s v="N/A"/>
    <s v="N/A"/>
    <s v="Jā"/>
    <s v="Jā"/>
    <s v="Jā"/>
    <s v="Nē"/>
    <s v="Jā"/>
    <s v="Nē"/>
    <s v="Nē"/>
    <s v="Nē"/>
    <s v="(gandrīz) katru dienu"/>
    <s v="(gandrīz) katru dienu"/>
    <s v="(gandrīz) katru dienu"/>
    <s v="(gandrīz) katru dienu"/>
    <s v="(gandrīz) katru dienu"/>
    <s v="(gandrīz) katru dienu"/>
    <s v="(gandrīz) katru dienu"/>
    <s v="(gandrīz) nekad"/>
    <s v="(gandrīz) nekad"/>
    <s v="(gandrīz) katru dienu"/>
    <s v="(gandrīz) nekad"/>
    <s v="(gandrīz) nekad"/>
    <s v="reizi nedēļā"/>
    <s v="pāris reižu mēnesī"/>
    <s v="varas līdzsvars starp parlamentu, prezidentu un tiesām, lai neviena no institūcijām nespētu sevī koncentrēt lielāko daļu varas"/>
    <s v="vienlīdzīgas tiesības minoritātēm un ievainojamām sabiedrības grupām"/>
    <s v="vienlīdz pieejama izglītība, veselības aprūpe, sociālais nodrošinājums"/>
    <m/>
    <m/>
    <s v="ļoti labi"/>
    <s v="citreiz labi, citreiz slikti"/>
    <s v="labi"/>
    <s v="ļoti labi"/>
    <s v="citreiz labi, citreiz slikti"/>
    <s v="pamatizglītību"/>
    <m/>
    <s v="Nē"/>
    <s v="Jā"/>
    <s v="Nē"/>
    <s v="Nē"/>
    <s v="latviešu"/>
    <m/>
    <s v="latviešu"/>
    <m/>
    <s v="Spēju pastāstīt par savu hobiju / darbu."/>
    <s v="Spēju uzrakstīt vēstuli draugam."/>
    <s v="Saprotu norādes, kur iet."/>
    <s v="Krieviski/latviski spēju izlasīt ēdienkarti restorānā."/>
    <m/>
    <m/>
    <m/>
    <m/>
    <m/>
    <m/>
    <m/>
    <m/>
    <m/>
    <m/>
    <m/>
    <m/>
    <m/>
    <m/>
    <m/>
    <m/>
    <m/>
    <s v="N/A"/>
    <s v="N/A"/>
    <s v="N/A"/>
    <s v="N/A"/>
    <s v="N/A"/>
    <s v="N/A"/>
    <m/>
    <m/>
    <m/>
    <m/>
    <m/>
    <s v="Nē"/>
    <s v="Nē"/>
    <s v="Nē"/>
    <s v="Nē"/>
    <s v="Nē"/>
    <s v="Nē"/>
    <s v="Nē"/>
    <s v="Nē"/>
    <s v="Nē"/>
    <s v="Nē"/>
    <s v="Jā"/>
    <s v="Nē"/>
    <s v="Nē"/>
    <s v="Nē"/>
    <s v="Nē"/>
    <s v="LKR"/>
    <s v="Nē"/>
    <m/>
    <s v="Nē"/>
    <m/>
    <s v="Nē"/>
    <m/>
    <s v="Nē"/>
    <m/>
    <s v="Jā"/>
    <s v="Jā"/>
    <s v="Nē"/>
    <s v="Nē"/>
    <s v="Nē"/>
    <s v="Nē"/>
    <s v="Nē"/>
    <s v="Nē"/>
    <s v="Nē"/>
    <s v="Nē"/>
    <s v="Nē"/>
    <s v="Nē"/>
    <s v="Nē"/>
    <s v="Nē"/>
    <s v="Nē"/>
    <s v="Wikipedia"/>
    <s v="Jā"/>
    <s v="Letonika"/>
    <s v="Jā"/>
    <s v="Wikipedia"/>
    <s v="Nē"/>
    <m/>
    <s v="Nē"/>
    <m/>
    <s v="Nē"/>
    <s v="Jā"/>
    <s v="Nē"/>
    <s v="Nē"/>
    <s v="Jā"/>
    <s v="Nē"/>
    <s v="Nē"/>
    <s v="Jā"/>
    <s v="Nē"/>
    <s v="Nē"/>
    <s v="Nē"/>
    <s v="Nē"/>
    <m/>
    <s v="Ja aptaujas mērķis bija iepazīties ar valodas lietojumu un politiskajiem uzskatiem, būtu vairāk jāpievērš uzmanība angļu valodas lietojumam un ASV ietekmei uz mūsu paaudzi. Paldies par aptauju!"/>
    <m/>
    <m/>
    <m/>
    <m/>
    <m/>
    <m/>
    <m/>
    <m/>
    <m/>
    <m/>
    <m/>
  </r>
  <r>
    <x v="0"/>
    <n v="109"/>
    <s v="2023-04-27 14:00:39"/>
    <n v="14"/>
    <s v="lv"/>
    <n v="2008148513"/>
    <s v="2023-04-27 13:34:30"/>
    <s v="2023-04-27 14:00:39"/>
    <s v="galds"/>
    <n v="18"/>
    <s v="vīriešu"/>
    <m/>
    <x v="1"/>
    <x v="0"/>
    <x v="0"/>
    <x v="0"/>
    <x v="0"/>
    <x v="0"/>
    <s v="Rīgā/ Rīgas rajonā"/>
    <m/>
    <s v="ateistu(ti), nereliģiozu"/>
    <m/>
    <s v="Nē"/>
    <s v="Jā"/>
    <s v="Nē"/>
    <s v="Nē"/>
    <s v="Nē"/>
    <s v="Nē"/>
    <s v="Nē"/>
    <s v="Jā"/>
    <s v="Nē"/>
    <s v="Nē"/>
    <s v="Nē"/>
    <s v="Nē"/>
    <s v="Nē"/>
    <s v="Nē"/>
    <s v="Nē"/>
    <s v="Nē"/>
    <s v="Jā"/>
    <s v="Nē"/>
    <s v="Nē"/>
    <s v="Nē"/>
    <s v="Nē"/>
    <s v="Nē"/>
    <s v="Nē"/>
    <s v="Jā"/>
    <s v="Jā"/>
    <s v="Jā"/>
    <s v="Nē"/>
    <s v="Nē"/>
    <m/>
    <m/>
    <m/>
    <m/>
    <m/>
    <m/>
    <s v="Lielākoties nevienlīdzīgi"/>
    <s v="Lielākoties vienlīdzīgi"/>
    <s v="Lielākoties vienlīdzīgi"/>
    <s v="Lielākoties vienlīdzīgi"/>
    <s v="Lielākoties vienlīdzīgi"/>
    <s v="nezinu"/>
    <s v="Jaunā Vienotība"/>
    <s v="&quot;Latvija pirmajā vietā&quot;"/>
    <s v="nezinu"/>
    <s v="Politiskā partija &quot;Stabilitātei&quot;"/>
    <s v="&quot;Progresīvie&quot;"/>
    <s v="Zaļo un Zemnieku savienība"/>
    <s v="Globālā sasilšana ir šķērsojusi robežu, pēc kuras nav iespējams atgriezties, un cilvēkiem būs jāpielāgojas."/>
    <s v="jā, daļu no tā, ko iespējams šķirot"/>
    <s v="Nacionālā Apvienība"/>
    <s v="Jaunā Vienotība"/>
    <s v="nezinu"/>
    <s v="&quot;Apvienotais saraksts&quot;"/>
    <s v="nezinu"/>
    <s v="nezinu"/>
    <s v="Zaļo un Zemnieku savienība"/>
    <s v="nezinu"/>
    <s v="nezinu"/>
    <s v="nezinu"/>
    <s v="nezinu"/>
    <s v="nezinu"/>
    <s v="nezinu"/>
    <s v="nezinu"/>
    <s v="Viduvēji"/>
    <s v="Neinteresē"/>
    <s v="Ļoti"/>
    <s v="Viduvēji"/>
    <s v="skaļi lozungi,"/>
    <s v="Nē"/>
    <s v="Nē"/>
    <s v="Jā"/>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60"/>
    <n v="90"/>
    <n v="30"/>
    <n v="1"/>
    <s v="Ļoti saspīlētas"/>
    <s v="Drīzāk saspīlētas"/>
    <s v="Nav saspīlētas"/>
    <s v="(Gandrīz) nekad"/>
    <s v="(Gandrīz) nekad"/>
    <s v="(Gandrīz) nekad"/>
    <s v="(Gandrīz) nekad"/>
    <s v="Reti"/>
    <s v="(Gandrīz) nekad"/>
    <s v="Dažreiz"/>
    <s v="(Gandrīz) nekad"/>
    <s v="(Gandrīz) nekad"/>
    <s v="(Gandrīz) nekad"/>
    <m/>
    <s v="nē"/>
    <s v="N/A"/>
    <s v="N/A"/>
    <s v="N/A"/>
    <s v="N/A"/>
    <s v="Jā"/>
    <s v="Nē"/>
    <s v="Nē"/>
    <s v="Nē"/>
    <s v="Jā"/>
    <s v="Nē"/>
    <s v="Jā"/>
    <s v="Nē"/>
    <s v="(gandrīz) katru dienu"/>
    <s v="(gandrīz) katru dienu"/>
    <s v="(gandrīz) katru dienu"/>
    <s v="(gandrīz) katru dienu"/>
    <s v="(gandrīz) katru dienu"/>
    <s v="(gandrīz) katru dienu"/>
    <s v="(gandrīz) katru dienu"/>
    <s v="pāris reižu nedēļā"/>
    <s v="pāris reižu nedēļā"/>
    <s v="(gandrīz) nekad"/>
    <s v="pāris reižu nedēļā"/>
    <s v="(gandrīz) nekad"/>
    <s v="pāris reižu nedēļā"/>
    <s v="(gandrīz) nekad"/>
    <s v="varas līdzsvars starp parlamentu, prezidentu un tiesām, lai neviena no institūcijām nespētu sevī koncentrēt lielāko daļu varas"/>
    <s v="pilsoniskās brīvības (vārda brīvība, tiesības uz tiesisko aizsardzību)"/>
    <s v="brīvas vēlēšanas un plurālisms"/>
    <m/>
    <m/>
    <s v="citreiz labi, citreiz slikti"/>
    <s v="citreiz labi, citreiz slikti"/>
    <s v="slikti"/>
    <s v="citreiz labi, citreiz slikti"/>
    <s v="slikti"/>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Jā"/>
    <s v="Jā"/>
    <s v="Jā"/>
    <s v="Nē"/>
    <s v="Jā"/>
    <s v="Jā"/>
    <s v="Jā"/>
    <s v="Nē"/>
    <s v="Nē"/>
    <m/>
    <m/>
    <m/>
    <m/>
    <m/>
    <m/>
    <m/>
    <m/>
    <m/>
    <m/>
    <m/>
    <m/>
    <m/>
  </r>
  <r>
    <x v="0"/>
    <n v="110"/>
    <s v="2023-04-27 13:51:09"/>
    <n v="14"/>
    <s v="lv"/>
    <n v="117267541"/>
    <s v="2023-04-27 13:35:05"/>
    <s v="2023-04-27 13:51:09"/>
    <s v="galds"/>
    <n v="17"/>
    <s v="vīriešu"/>
    <m/>
    <x v="1"/>
    <x v="1"/>
    <x v="0"/>
    <x v="0"/>
    <x v="0"/>
    <x v="0"/>
    <s v="Rīgā/ Rīgas rajonā"/>
    <m/>
    <s v="protestantu(ti)"/>
    <m/>
    <s v="Jā"/>
    <s v="Jā"/>
    <s v="Nē"/>
    <s v="Jā"/>
    <s v="Nē"/>
    <s v="Nē"/>
    <s v="Nē"/>
    <s v="Jā"/>
    <s v="Jā"/>
    <s v="Nē"/>
    <s v="Nē"/>
    <s v="Nē"/>
    <s v="Jā"/>
    <s v="Nē"/>
    <s v="Jā"/>
    <s v="Jā"/>
    <s v="Nē"/>
    <s v="Nē"/>
    <s v="Jā"/>
    <s v="Nē"/>
    <s v="Nē"/>
    <s v="Jā"/>
    <s v="Jā"/>
    <s v="Jā"/>
    <s v="Nē"/>
    <s v="Nē"/>
    <s v="Nē"/>
    <s v="Nē"/>
    <m/>
    <m/>
    <m/>
    <m/>
    <m/>
    <m/>
    <s v="Vienlīdzīgi"/>
    <s v="Lielākoties vienlīdzīgi"/>
    <s v="Lielākoties vienlīdzīgi"/>
    <s v="Lielākoties vienlīdzīgi"/>
    <s v="Lielākoties 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Viduvēji"/>
    <s v="Ne sevišķi"/>
    <s v="Viduvēji"/>
    <s v="Viduvēji"/>
    <s v="nezinu"/>
    <s v="Nē"/>
    <s v="Nē"/>
    <s v="Nē"/>
    <s v="Jā"/>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75"/>
    <n v="100"/>
    <m/>
    <m/>
    <s v="Drīzāk saspīlētas"/>
    <s v="Nav saspīlētas"/>
    <s v="Mazliet saspīlētas"/>
    <s v="(Gandrīz) nekad"/>
    <s v="(Gandrīz) nekad"/>
    <s v="(Gandrīz) nekad"/>
    <s v="(Gandrīz) nekad"/>
    <s v="(Gandrīz) nekad"/>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nezinu"/>
    <s v="nezinu"/>
    <s v="nezinu"/>
    <s v="nezinu"/>
    <s v="nezinu"/>
    <s v="vidējo izglītību"/>
    <m/>
    <s v="N/A"/>
    <s v="N/A"/>
    <s v="N/A"/>
    <s v="Jā"/>
    <s v="latviešu"/>
    <m/>
    <s v="latviešu"/>
    <m/>
    <s v="Spēju veikt pasūtījumu restorānā."/>
    <s v="Spēju uzrakstīt vēstuli draugam."/>
    <s v="Saprotu norādes, kur iet."/>
    <s v="Krieviski/latviski spēju izlasīt ēdienkarti restorānā."/>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Jā"/>
    <s v="Nē"/>
    <s v="Nē"/>
    <s v="Nē"/>
    <m/>
    <s v="Nē"/>
    <m/>
    <s v="Nē"/>
    <m/>
    <s v="Nē"/>
    <m/>
    <s v="Nē"/>
    <m/>
    <s v="Jā"/>
    <s v="Jā"/>
    <s v="Jā"/>
    <s v="Nē"/>
    <s v="Jā"/>
    <s v="Nē"/>
    <s v="Nē"/>
    <s v="Jā"/>
    <s v="Nē"/>
    <s v="Nē"/>
    <s v="Nē"/>
    <s v="Nē"/>
    <m/>
    <s v="lūdzu"/>
    <m/>
    <m/>
    <m/>
    <m/>
    <m/>
    <m/>
    <m/>
    <m/>
    <m/>
    <m/>
    <m/>
  </r>
  <r>
    <x v="0"/>
    <n v="111"/>
    <s v="2023-04-27 14:02:00"/>
    <n v="14"/>
    <s v="lv"/>
    <n v="1026814538"/>
    <s v="2023-04-27 13:42:58"/>
    <s v="2023-04-27 14:02:00"/>
    <s v="galds"/>
    <n v="17"/>
    <s v="sieviešu"/>
    <m/>
    <x v="1"/>
    <x v="1"/>
    <x v="0"/>
    <x v="0"/>
    <x v="0"/>
    <x v="0"/>
    <s v="Rīgā/ Rīgas rajonā"/>
    <m/>
    <s v="ateistu(ti), nereliģiozu"/>
    <m/>
    <s v="Jā"/>
    <s v="Nē"/>
    <s v="Jā"/>
    <s v="Jā"/>
    <s v="Nē"/>
    <s v="Nē"/>
    <s v="Nē"/>
    <s v="Nē"/>
    <s v="Jā"/>
    <s v="Nē"/>
    <s v="Nē"/>
    <s v="Jā"/>
    <s v="Jā"/>
    <s v="Nē"/>
    <s v="Nē"/>
    <s v="Nē"/>
    <s v="Jā"/>
    <s v="Jā"/>
    <s v="Nē"/>
    <s v="Nē"/>
    <s v="Nē"/>
    <s v="Jā"/>
    <s v="Jā"/>
    <s v="Nē"/>
    <s v="Jā"/>
    <s v="Jā"/>
    <s v="Jā"/>
    <s v="Nē"/>
    <m/>
    <m/>
    <m/>
    <m/>
    <m/>
    <m/>
    <s v="Nevienlīdzīgi"/>
    <s v="Lielākoties nevienlīdzīgi"/>
    <s v="Lielākoties vienlīdzīgi"/>
    <s v="Lielākoties vienlīdzīgi"/>
    <s v="Lielākoties nevienlīdzīgi"/>
    <s v="Nacionālā Apvienība"/>
    <s v="&quot;Apvienotais saraksts&quot;"/>
    <s v="Zaļo un Zemnieku savienība"/>
    <s v="Jaunā Vienotība"/>
    <s v="&quot;Latvija pirmajā vietā&quot;"/>
    <s v="&quot;Progresīvie&quot;"/>
    <s v="Politiskā partija &quot;Stabilitātei&quot;"/>
    <s v="Cīņai ar klimata pārmaiņām būtu jābūt vairumam pasaules valstu galvenajai prioritātei."/>
    <s v="jā, lielāko daļu no tā, ko iespējams šķirot"/>
    <s v="&quot;Apvienotais saraksts&quot;"/>
    <s v="Nacionālā Apvienība"/>
    <s v="Jaunā Vienotība"/>
    <s v="&quot;Latvija pirmajā vietā&quot;"/>
    <s v="&quot;Progresīvie&quot;"/>
    <s v="Zaļo un Zemnieku savienība"/>
    <s v="Politiskā partija &quot;Stabilitātei&quot;"/>
    <s v="&quot;Progresīvie&quot;"/>
    <s v="&quot;Apvienotais saraksts&quot;"/>
    <s v="Zaļo un Zemnieku savienība"/>
    <s v="Politiskā partija &quot;Stabilitātei&quot;"/>
    <s v="Jaunā Vienotība"/>
    <s v="&quot;Latvija pirmajā vietā&quot;"/>
    <s v="Nacionālā Apvienība"/>
    <s v="Neinteresē"/>
    <s v="Viduvēji"/>
    <s v="Viduvēji"/>
    <s v="Ļoti"/>
    <s v="Neesmu to iepriekš dzirdējusi."/>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1......."/>
    <n v="22"/>
    <n v="62"/>
    <m/>
    <m/>
    <s v="Ļoti saspīlētas"/>
    <s v="Mazliet saspīlētas"/>
    <s v="Nav saspīlētas"/>
    <s v="(Gandrīz) nekad"/>
    <s v="Dažreiz"/>
    <s v="(Gandrīz) nekad"/>
    <s v="(Gandrīz) nekad"/>
    <s v="Bieži"/>
    <m/>
    <m/>
    <m/>
    <m/>
    <m/>
    <s v="Visbiežāk atgadās satikt dzērājus, kuri runā krievu valodā un neprot latviešu valodu, tad ir bijušas dīvainas situācijas, bet nekas nopietns."/>
    <s v="jā, privāta darba devēja labā"/>
    <s v="N/A"/>
    <s v="N/A"/>
    <s v="N/A"/>
    <s v="Jā"/>
    <s v="Nē"/>
    <s v="Jā"/>
    <s v="Nē"/>
    <s v="Nē"/>
    <s v="Jā"/>
    <s v="Nē"/>
    <s v="Jā"/>
    <s v="Nē"/>
    <s v="(gandrīz) katru dienu"/>
    <s v="(gandrīz) katru dienu"/>
    <s v="(gandrīz) katru dienu"/>
    <s v="(gandrīz) katru dienu"/>
    <s v="(gandrīz) katru dienu"/>
    <s v="(gandrīz) nekad"/>
    <s v="(gandrīz) katru dienu"/>
    <s v="reizi nedēļā"/>
    <s v="pāris reižu nedēļā"/>
    <s v="pāris reižu nedēļā"/>
    <s v="(gandrīz) katru dienu"/>
    <s v="(gandrīz) nekad"/>
    <s v="(gandrīz) nekad"/>
    <s v="pāris reižu nedēļā"/>
    <s v="vienlīdz pieejama izglītība, veselības aprūpe, sociālais nodrošinājums"/>
    <s v="brīvas vēlēšanas un plurālisms"/>
    <s v="varas līdzsvars starp parlamentu, prezidentu un tiesām, lai neviena no institūcijām nespētu sevī koncentrēt lielāko daļu varas"/>
    <m/>
    <m/>
    <s v="citreiz labi, citreiz slikti"/>
    <s v="slikti"/>
    <s v="slikti"/>
    <s v="labi"/>
    <s v="knapi/gandrīz necik"/>
    <s v="pamatizglītību"/>
    <m/>
    <s v="N/A"/>
    <s v="N/A"/>
    <s v="N/A"/>
    <s v="Jā"/>
    <s v="latviešu"/>
    <m/>
    <s v="latviešu"/>
    <m/>
    <s v="Spēju ilgstoši sarunāties ar vienaudžiem/piedalīties darba pārrunās."/>
    <s v="Spēju uzrakstīt vēstuli draugam."/>
    <s v="Viegli saprotu radio programmas / podkāstus par saviem hobijiem/darbības sfēru."/>
    <s v="Krieviski/latviski spēju izlasīt ēdienkarti restorānā."/>
    <m/>
    <m/>
    <m/>
    <m/>
    <m/>
    <m/>
    <m/>
    <m/>
    <m/>
    <m/>
    <m/>
    <m/>
    <m/>
    <m/>
    <m/>
    <m/>
    <m/>
    <s v="N/A"/>
    <s v="N/A"/>
    <s v="N/A"/>
    <s v="N/A"/>
    <s v="N/A"/>
    <s v="N/A"/>
    <m/>
    <m/>
    <m/>
    <m/>
    <m/>
    <s v="Nē"/>
    <s v="Nē"/>
    <s v="Nē"/>
    <s v="Nē"/>
    <s v="Nē"/>
    <s v="Nē"/>
    <s v="Nē"/>
    <s v="Nē"/>
    <s v="Nē"/>
    <s v="Nē"/>
    <s v="Nē"/>
    <s v="Jā"/>
    <s v="Nē"/>
    <s v="Nē"/>
    <s v="Nē"/>
    <m/>
    <s v="Nē"/>
    <m/>
    <s v="Nē"/>
    <m/>
    <s v="Nē"/>
    <m/>
    <s v="Nē"/>
    <m/>
    <s v="Nē"/>
    <s v="Jā"/>
    <s v="Nē"/>
    <s v="Nē"/>
    <s v="Nē"/>
    <s v="Nē"/>
    <s v="Nē"/>
    <s v="Nē"/>
    <s v="Nē"/>
    <s v="Nē"/>
    <s v="Nē"/>
    <s v="Nē"/>
    <s v="Nē"/>
    <s v="Nē"/>
    <s v="Nē"/>
    <m/>
    <s v="Nē"/>
    <m/>
    <s v="Nē"/>
    <m/>
    <s v="Nē"/>
    <m/>
    <s v="Nē"/>
    <m/>
    <s v="Nē"/>
    <s v="Nē"/>
    <s v="Nē"/>
    <s v="Nē"/>
    <s v="Jā"/>
    <s v="Nē"/>
    <s v="Nē"/>
    <s v="Jā"/>
    <s v="Jā"/>
    <s v="Nē"/>
    <s v="Jā"/>
    <s v="Nē"/>
    <m/>
    <s v="Veiksmi jūsu darbā!"/>
    <m/>
    <m/>
    <m/>
    <m/>
    <m/>
    <m/>
    <m/>
    <m/>
    <m/>
    <m/>
    <m/>
  </r>
  <r>
    <x v="0"/>
    <n v="112"/>
    <s v="2023-04-27 14:00:44"/>
    <n v="14"/>
    <s v="lv"/>
    <n v="326248937"/>
    <s v="2023-04-27 13:43:34"/>
    <s v="2023-04-27 14:00:44"/>
    <s v="galds"/>
    <n v="16"/>
    <s v="sieviešu"/>
    <m/>
    <x v="1"/>
    <x v="0"/>
    <x v="0"/>
    <x v="0"/>
    <x v="0"/>
    <x v="0"/>
    <s v="Rīgā/ Rīgas rajonā"/>
    <m/>
    <s v="ateistu(ti), nereliģiozu"/>
    <m/>
    <s v="Nē"/>
    <s v="Jā"/>
    <s v="Nē"/>
    <s v="Nē"/>
    <s v="Nē"/>
    <s v="Nē"/>
    <s v="Nē"/>
    <s v="N/A"/>
    <s v="N/A"/>
    <s v="N/A"/>
    <s v="N/A"/>
    <s v="N/A"/>
    <s v="N/A"/>
    <s v="Jā"/>
    <s v="Jā"/>
    <s v="Nē"/>
    <s v="Nē"/>
    <s v="Nē"/>
    <s v="Nē"/>
    <s v="Nē"/>
    <s v="Nē"/>
    <s v="Nē"/>
    <s v="Jā"/>
    <s v="Jā"/>
    <s v="Nē"/>
    <s v="Nē"/>
    <s v="Nē"/>
    <s v="Nē"/>
    <m/>
    <m/>
    <m/>
    <m/>
    <m/>
    <m/>
    <s v="Lielākoties vienlīdzīgi"/>
    <s v="Lielākoties vienlīdzīgi"/>
    <s v="Vienlīdzīgi"/>
    <s v="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Ārkārtīgi"/>
    <s v="Ļoti"/>
    <s v="Viduvēji"/>
    <s v="Ārkārtīgi"/>
    <m/>
    <s v="Nē"/>
    <s v="Jā"/>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50"/>
    <n v="88"/>
    <n v="50"/>
    <n v="1"/>
    <s v="Drīzāk saspīlētas"/>
    <s v="Mazliet saspīlētas"/>
    <s v="Nav saspīlētas"/>
    <s v="(Gandrīz) nekad"/>
    <s v="(Gandrīz) nekad"/>
    <s v="(Gandrīz) nekad"/>
    <s v="(Gandrīz) nekad"/>
    <s v="(Gandrīz) nekad"/>
    <s v="(Gandrīz) nekad"/>
    <s v="Reti"/>
    <s v="(Gandrīz) nekad"/>
    <s v="(Gandrīz) nekad"/>
    <s v="Reti"/>
    <m/>
    <s v="nē"/>
    <s v="N/A"/>
    <s v="N/A"/>
    <s v="N/A"/>
    <s v="N/A"/>
    <s v="Jā"/>
    <s v="Jā"/>
    <s v="Nē"/>
    <s v="Nē"/>
    <s v="Jā"/>
    <s v="Nē"/>
    <s v="Nē"/>
    <s v="Nē"/>
    <s v="(gandrīz) katru dienu"/>
    <s v="(gandrīz) katru dienu"/>
    <s v="(gandrīz) nekad"/>
    <s v="(gandrīz) katru dienu"/>
    <s v="pāris reižu nedēļā"/>
    <s v="(gandrīz) katru dienu"/>
    <s v="(gandrīz) katru dienu"/>
    <s v="(gandrīz) katru dienu"/>
    <s v="(gandrīz) nekad"/>
    <s v="(gandrīz) nekad"/>
    <s v="pāris reižu nedēļā"/>
    <s v="pāris reižu mēnesī"/>
    <s v="(gandrīz) nekad"/>
    <s v="(gandrīz) nekad"/>
    <s v="vienlīdz pieejama izglītība, veselības aprūpe, sociālais nodrošinājums"/>
    <s v="brīvas vēlēšanas un plurālisms"/>
    <s v="varas līdzsvars starp parlamentu, prezidentu un tiesām, lai neviena no institūcijām nespētu sevī koncentrēt lielāko daļu varas"/>
    <m/>
    <m/>
    <s v="nezinu"/>
    <s v="nezinu"/>
    <s v="nezinu"/>
    <s v="nezinu"/>
    <s v="nezinu"/>
    <s v="pamatizglītību"/>
    <m/>
    <s v="N/A"/>
    <s v="N/A"/>
    <s v="N/A"/>
    <s v="Jā"/>
    <s v="vienlīdz latviešu un krievu"/>
    <m/>
    <s v="latviešu"/>
    <m/>
    <m/>
    <m/>
    <m/>
    <m/>
    <m/>
    <m/>
    <m/>
    <m/>
    <m/>
    <m/>
    <m/>
    <m/>
    <m/>
    <m/>
    <m/>
    <m/>
    <m/>
    <m/>
    <m/>
    <m/>
    <m/>
    <s v="N/A"/>
    <s v="N/A"/>
    <s v="N/A"/>
    <s v="N/A"/>
    <s v="N/A"/>
    <s v="N/A"/>
    <m/>
    <m/>
    <m/>
    <m/>
    <m/>
    <s v="Nē"/>
    <s v="Nē"/>
    <s v="Nē"/>
    <s v="Nē"/>
    <s v="Nē"/>
    <s v="Nē"/>
    <s v="Nē"/>
    <s v="Nē"/>
    <s v="Nē"/>
    <s v="Nē"/>
    <s v="Nē"/>
    <s v="Nē"/>
    <s v="Nē"/>
    <s v="Nē"/>
    <s v="Nē"/>
    <s v="nevienu"/>
    <s v="Nē"/>
    <m/>
    <s v="Nē"/>
    <m/>
    <s v="Nē"/>
    <m/>
    <s v="Nē"/>
    <m/>
    <s v="Jā"/>
    <s v="Nē"/>
    <s v="Nē"/>
    <s v="Jā"/>
    <s v="Nē"/>
    <s v="Nē"/>
    <s v="Nē"/>
    <s v="Nē"/>
    <s v="Nē"/>
    <s v="Nē"/>
    <s v="Nē"/>
    <s v="Jā"/>
    <s v="Nē"/>
    <s v="Nē"/>
    <s v="Nē"/>
    <m/>
    <s v="Nē"/>
    <m/>
    <s v="Nē"/>
    <m/>
    <s v="Nē"/>
    <m/>
    <s v="Nē"/>
    <m/>
    <s v="Jā"/>
    <s v="Jā"/>
    <s v="Nē"/>
    <s v="Nē"/>
    <s v="Jā"/>
    <s v="Nē"/>
    <s v="Nē"/>
    <s v="Jā"/>
    <s v="Nē"/>
    <s v="Nē"/>
    <s v="Nē"/>
    <s v="Nē"/>
    <m/>
    <m/>
    <m/>
    <m/>
    <m/>
    <m/>
    <m/>
    <m/>
    <m/>
    <m/>
    <m/>
    <m/>
    <m/>
  </r>
  <r>
    <x v="0"/>
    <n v="113"/>
    <s v="2023-04-27 13:58:56"/>
    <n v="14"/>
    <s v="lv"/>
    <n v="324536770"/>
    <s v="2023-04-27 13:44:13"/>
    <s v="2023-04-27 13:58:56"/>
    <s v="galds"/>
    <n v="17"/>
    <s v="vīriešu"/>
    <m/>
    <x v="1"/>
    <x v="1"/>
    <x v="0"/>
    <x v="0"/>
    <x v="0"/>
    <x v="0"/>
    <s v="Rīgā/ Rīgas rajonā"/>
    <m/>
    <s v="protestantu(ti)"/>
    <m/>
    <s v="Jā"/>
    <s v="Nē"/>
    <s v="Nē"/>
    <s v="Nē"/>
    <s v="Nē"/>
    <s v="Nē"/>
    <s v="Nē"/>
    <s v="Nē"/>
    <s v="Nē"/>
    <s v="Jā"/>
    <s v="Nē"/>
    <s v="Nē"/>
    <s v="Nē"/>
    <s v="Nē"/>
    <s v="Nē"/>
    <s v="Nē"/>
    <s v="Nē"/>
    <s v="Nē"/>
    <s v="Jā"/>
    <s v="Nē"/>
    <s v="Nē"/>
    <s v="Jā"/>
    <s v="Nē"/>
    <s v="Nē"/>
    <s v="Nē"/>
    <s v="Nē"/>
    <s v="Nē"/>
    <s v="Nē"/>
    <m/>
    <m/>
    <m/>
    <m/>
    <m/>
    <m/>
    <s v="Vienlīdzīgi"/>
    <s v="Vienlīdzīgi"/>
    <s v="Vienlīdzīgi"/>
    <s v="Vienlīdzīgi"/>
    <s v="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Neinteresē"/>
    <s v="Viduvēji"/>
    <s v="Viduvēji"/>
    <s v="Nav ne jausmas"/>
    <s v="Nē"/>
    <s v="Nē"/>
    <s v="Nē"/>
    <s v="Nē"/>
    <s v="Jā"/>
    <s v="Nē"/>
    <s v="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This Question generates a random number (either 1 or 2) and assigns it to any participant. This is needed for the question belong 1.  2...."/>
    <n v="100"/>
    <n v="100"/>
    <m/>
    <m/>
    <s v="Drīzāk saspīlētas"/>
    <s v="Mazliet saspīlētas"/>
    <s v="Drīzāk saspīlētas"/>
    <s v="(Gandrīz) nekad"/>
    <s v="(Gandrīz) nekad"/>
    <s v="(Gandrīz) nekad"/>
    <s v="(Gandrīz) nekad"/>
    <s v="Reti"/>
    <m/>
    <m/>
    <m/>
    <m/>
    <m/>
    <s v="Valsts valoda ir latviešu valoda, tāpēc nekur. Latviešu valodu visur."/>
    <s v="nē"/>
    <s v="N/A"/>
    <s v="N/A"/>
    <s v="N/A"/>
    <s v="N/A"/>
    <s v="Jā"/>
    <s v="Jā"/>
    <s v="Jā"/>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 pieejama izglītība, veselības aprūpe, sociālais nodrošinājums"/>
    <m/>
    <m/>
    <s v="citreiz labi, citreiz slikti"/>
    <s v="citreiz labi, citreiz slikti"/>
    <s v="citreiz labi, citreiz slikti"/>
    <s v="citreiz labi, citreiz slikti"/>
    <s v="citreiz labi, citreiz slikti"/>
    <s v="pamatizglītību"/>
    <m/>
    <s v="N/A"/>
    <s v="N/A"/>
    <s v="N/A"/>
    <s v="Jā"/>
    <s v="latviešu"/>
    <m/>
    <s v="latviešu"/>
    <m/>
    <s v="Spēju veikt pasūtījumu restorānā."/>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Nē"/>
    <s v="Nē"/>
    <s v="Jā"/>
    <m/>
    <s v="Nē"/>
    <m/>
    <s v="Nē"/>
    <m/>
    <s v="Nē"/>
    <m/>
    <s v="Nē"/>
    <m/>
    <s v="Jā"/>
    <s v="Nē"/>
    <s v="Nē"/>
    <s v="Nē"/>
    <s v="Jā"/>
    <s v="Nē"/>
    <s v="Nē"/>
    <s v="Jā"/>
    <s v="Nē"/>
    <s v="Nē"/>
    <s v="Nē"/>
    <s v="Nē"/>
    <m/>
    <m/>
    <m/>
    <m/>
    <m/>
    <m/>
    <m/>
    <m/>
    <m/>
    <m/>
    <m/>
    <m/>
    <m/>
  </r>
  <r>
    <x v="0"/>
    <n v="124"/>
    <s v="2023-05-02 10:26:53"/>
    <n v="14"/>
    <s v="ru"/>
    <n v="1321482987"/>
    <s v="2023-05-02 10:06:28"/>
    <s v="2023-05-02 10:26:53"/>
    <s v="винт"/>
    <n v="17"/>
    <s v="sieviešu"/>
    <m/>
    <x v="0"/>
    <x v="0"/>
    <x v="0"/>
    <x v="0"/>
    <x v="0"/>
    <x v="0"/>
    <s v="Rīgā/ Rīgas rajonā"/>
    <m/>
    <s v="pareizticīgo"/>
    <m/>
    <s v="Jā"/>
    <s v="Nē"/>
    <s v="Nē"/>
    <s v="Nē"/>
    <s v="Nē"/>
    <s v="Nē"/>
    <s v="Nē"/>
    <s v="Nē"/>
    <s v="Nē"/>
    <s v="Nē"/>
    <s v="Nē"/>
    <s v="Jā"/>
    <s v="Nē"/>
    <s v="Nē"/>
    <s v="Jā"/>
    <s v="Nē"/>
    <s v="Nē"/>
    <s v="Jā"/>
    <s v="Nē"/>
    <s v="Nē"/>
    <s v="Nē"/>
    <s v="Nē"/>
    <s v="Nē"/>
    <s v="Nē"/>
    <s v="Nē"/>
    <s v="Jā"/>
    <s v="Jā"/>
    <s v="Nē"/>
    <m/>
    <m/>
    <m/>
    <m/>
    <m/>
    <m/>
    <s v="Vienlīdzīgi"/>
    <s v="Vienlīdzīgi"/>
    <s v="Vienlīdzīgi"/>
    <s v="Lielākoties vienlīdzīgi"/>
    <s v="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Ārkārtīgi"/>
    <s v="Viduvēji"/>
    <s v="Ļoti"/>
    <s v="Ārkārtīgi"/>
    <s v="Какая-либо пропаганда, всё чаще воспринимается в негативном ключе. Чаще всего термин использовался упоминая политиков или так называемых &quot;зелёных&quot;."/>
    <s v="Nē"/>
    <s v="Nē"/>
    <s v="Nē"/>
    <s v="Nē"/>
    <s v="Jā"/>
    <s v="Nē"/>
    <s v="1.."/>
    <n v="82"/>
    <n v="27"/>
    <n v="100"/>
    <n v="1"/>
    <s v="Drīzāk saspīlētas"/>
    <s v="Mazliet saspīlētas"/>
    <s v="Nav saspīlētas"/>
    <s v="(Gandrīz) nekad"/>
    <s v="(Gandrīz) nekad"/>
    <s v="(Gandrīz) nekad"/>
    <s v="(Gandrīz) nekad"/>
    <s v="(Gandrīz) nekad"/>
    <s v="Dažreiz"/>
    <s v="Dažreiz"/>
    <s v="Reti"/>
    <s v="Reti"/>
    <s v="Bieži"/>
    <s v="Был инцидент, сидя в ресторане и разговаривая на привычном, удобном на тот момент, нам с друзьями языке - русском, далее прослеживалось предвзятое отношение, на лице официанта считывалось даже некоторое отвращение, хотя с ним разговор вёлся на латышском языке."/>
    <s v="nē"/>
    <s v="N/A"/>
    <s v="N/A"/>
    <s v="N/A"/>
    <s v="N/A"/>
    <s v="Jā"/>
    <s v="Nē"/>
    <s v="Jā"/>
    <s v="Nē"/>
    <s v="Jā"/>
    <s v="Nē"/>
    <s v="Nē"/>
    <s v="Nē"/>
    <s v="pāris reižu nedēļā"/>
    <s v="(gandrīz) katru dienu"/>
    <s v="(gandrīz) katru dienu"/>
    <s v="(gandrīz) katru dienu"/>
    <s v="pāris reižu nedēļā"/>
    <s v="reizi nedēļā"/>
    <s v="(gandrīz) katru dienu"/>
    <s v="(gandrīz) katru dienu"/>
    <s v="(gandrīz) katru dienu"/>
    <s v="(gandrīz) katru dienu"/>
    <s v="(gandrīz) katru dienu"/>
    <s v="(gandrīz) katru dienu"/>
    <s v="(gandrīz) katru dienu"/>
    <s v="(gandrīz) nekad"/>
    <s v="vienlīdz pieejama izglītība, veselības aprūpe, sociālais nodrošinājums"/>
    <s v="vienlīdzīgas tiesības minoritātēm un ievainojamām sabiedrības grupām"/>
    <s v="pilsoniskās brīvības (vārda brīvība, tiesības uz tiesisko aizsardzību)"/>
    <m/>
    <m/>
    <s v="labi"/>
    <s v="citreiz labi, citreiz slikti"/>
    <s v="citreiz labi, citreiz slikti"/>
    <s v="citreiz labi, citreiz slikti"/>
    <s v="slikti"/>
    <s v="pamatizglītību"/>
    <m/>
    <s v="Nē"/>
    <s v="Jā"/>
    <s v="Nē"/>
    <s v="Nē"/>
    <s v="latviešu"/>
    <m/>
    <s v="vienlīdz latviešu un kriev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Jā"/>
    <s v="Nē"/>
    <s v="Nē"/>
    <s v="Jā"/>
    <s v="Nē"/>
    <s v="Nē"/>
    <s v="Nē"/>
    <s v="Nē"/>
    <s v="Nē"/>
    <s v="Nē"/>
    <s v="Nē"/>
    <s v="Nē"/>
    <m/>
    <s v="Nē"/>
    <m/>
    <s v="Jā"/>
    <s v="Netflix"/>
    <s v="Nē"/>
    <m/>
    <s v="Nē"/>
    <m/>
    <s v="Nē"/>
    <s v="Nē"/>
    <s v="Jā"/>
    <s v="Nē"/>
    <s v="Jā"/>
    <s v="Nē"/>
    <s v="Nē"/>
    <s v="Nē"/>
    <s v="Nē"/>
    <s v="Nē"/>
    <s v="Nē"/>
    <s v="Jā"/>
    <s v="Nē"/>
    <s v="Nē"/>
    <s v="Nē"/>
    <m/>
    <s v="Nē"/>
    <m/>
    <s v="Jā"/>
    <m/>
    <s v="Nē"/>
    <m/>
    <s v="Nē"/>
    <m/>
    <s v="Jā"/>
    <s v="Jā"/>
    <s v="Nē"/>
    <s v="Nē"/>
    <s v="Jā"/>
    <s v="Jā"/>
    <s v="Nē"/>
    <s v="Jā"/>
    <s v="Nē"/>
    <s v="Nē"/>
    <s v="Nē"/>
    <s v="Nē"/>
    <m/>
    <m/>
    <m/>
    <m/>
    <m/>
    <m/>
    <m/>
    <m/>
    <m/>
    <m/>
    <m/>
    <m/>
    <m/>
  </r>
  <r>
    <x v="0"/>
    <n v="125"/>
    <s v="2023-05-02 10:47:41"/>
    <n v="14"/>
    <s v="ru"/>
    <n v="1131751698"/>
    <s v="2023-05-02 10:06:34"/>
    <s v="2023-05-02 10:47:41"/>
    <s v="винт"/>
    <n v="17"/>
    <s v="vīriešu"/>
    <m/>
    <x v="0"/>
    <x v="0"/>
    <x v="0"/>
    <x v="0"/>
    <x v="0"/>
    <x v="0"/>
    <s v="Rīgā/ Rīgas rajonā"/>
    <m/>
    <s v="pareizticīgo"/>
    <m/>
    <s v="N/A"/>
    <s v="N/A"/>
    <s v="N/A"/>
    <s v="N/A"/>
    <s v="N/A"/>
    <s v="N/A"/>
    <s v="Jā"/>
    <s v="N/A"/>
    <s v="N/A"/>
    <s v="N/A"/>
    <s v="N/A"/>
    <s v="N/A"/>
    <s v="N/A"/>
    <s v="Jā"/>
    <s v="N/A"/>
    <s v="N/A"/>
    <s v="N/A"/>
    <s v="N/A"/>
    <s v="N/A"/>
    <s v="N/A"/>
    <s v="Jā"/>
    <s v="N/A"/>
    <s v="N/A"/>
    <s v="N/A"/>
    <s v="N/A"/>
    <s v="N/A"/>
    <s v="N/A"/>
    <s v="Jā"/>
    <m/>
    <m/>
    <m/>
    <m/>
    <m/>
    <m/>
    <s v="Lielākoties vienlīdzīgi"/>
    <s v="Lielākoties vienlīdzīgi"/>
    <s v="Lielākoties vienlīdzīgi"/>
    <s v="Lielākoties vienlīdzīgi"/>
    <s v="Lielākoties 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Neinteresē"/>
    <s v="Neinteresē"/>
    <s v="Neinteresē"/>
    <s v="Neinteresē"/>
    <s v="Это слово, которым обзывают некоторых людей, которые действительно пытаются достигнуть существенных изменений в политических, или экономических сферах. Но это с одной стороны, однако, с другой, так бы я назвал многих сегодняшних европейских политиков, которые гонятся за массовыми трендами и пытаются угодить зелёной повестке, получая за это гранты от своих кураторов из-за океана, при этом не думая о своём народе. Это то, что мне приходит на ум."/>
    <s v="Nē"/>
    <s v="Nē"/>
    <s v="Jā"/>
    <s v="Nē"/>
    <s v="Nē"/>
    <s v="Jā"/>
    <s v="1.."/>
    <n v="87"/>
    <n v="1"/>
    <n v="100"/>
    <n v="100"/>
    <s v="Nav saspīlētas"/>
    <s v="Nav saspīlētas"/>
    <s v="Nav saspīlētas"/>
    <s v="(Gandrīz) nekad"/>
    <s v="(Gandrīz) nekad"/>
    <s v="(Gandrīz) nekad"/>
    <s v="(Gandrīz) nekad"/>
    <s v="(Gandrīz) nekad"/>
    <s v="(Gandrīz) nekad"/>
    <s v="Bieži"/>
    <s v="(Gandrīz) nekad"/>
    <s v="(Gandrīz) nekad"/>
    <s v="(Gandrīz) nekad"/>
    <s v="У нас в стране русский язык и русскоговорящие подвергаются дискриминации. Особенно, в сфере образования и высказываниями политиков и радикалов. К счастью, эта дискреминация, ПОКА ЕЩЁ, не соседствует с насилием, по крайней мере массово, однако, признаться, вызывает массу опасений. Говоря лично про МОЮ ситуацию. За использование русского языка ни раз снижалась оценка. Например, на географии, когда у нас географом был поставлен депутат из нацианалистической партии. (Сейчас он больше не в нашей школе) Хотя, не считая его, остальные учителя к нам хорошо относятся. Оно и понятно, это (пока что), русская школа. А сейчас гады хотят запретить образование на русском языке! Это глупо! По соотношению населения, русский вообще должен стать вторым государственным! В пример могу привести Извраиль! Там русских значительно меньше чем здесь, но тем не менее, русский является одним из государственных языков. Свобода слова потеряла силу в Латвии... Людей с иным мнением могут даже просто посадить. И не просто могут, а такие случаи уже были. А ещё эти лицемерные утверждения про демократию, свободу и европпу!"/>
    <s v="nē"/>
    <s v="N/A"/>
    <s v="N/A"/>
    <s v="N/A"/>
    <s v="N/A"/>
    <s v="Jā"/>
    <s v="Jā"/>
    <s v="Jā"/>
    <s v="Nē"/>
    <s v="Jā"/>
    <s v="Jā"/>
    <s v="Jā"/>
    <s v="Nē"/>
    <s v="pāris reižu nedēļā"/>
    <s v="pāris reižu nedēļā"/>
    <s v="(gandrīz) nekad"/>
    <s v="pāris reižu nedēļā"/>
    <s v="pāris reižu mēnesī"/>
    <s v="(gandrīz) nekad"/>
    <s v="(gandrīz) katru dienu"/>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slikti"/>
    <s v="knapi/gandrīz necik"/>
    <s v="citreiz labi, citreiz slikti"/>
    <s v="slikti"/>
    <s v="nezinu"/>
    <s v="vidējo izglītību"/>
    <m/>
    <s v="N/A"/>
    <s v="N/A"/>
    <s v="N/A"/>
    <s v="Jā"/>
    <s v="krievu"/>
    <m/>
    <s v="Cita atbilde"/>
    <s v="Билингвально. Пропорцию не скажу."/>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Jā"/>
    <s v="Дмитрий Никотин(телегкрамм канал)"/>
    <s v="Nē"/>
    <m/>
    <s v="Nē"/>
    <s v="Nē"/>
    <s v="Nē"/>
    <s v="Nē"/>
    <s v="Jā"/>
    <s v="Jā"/>
    <s v="Nē"/>
    <s v="Jā"/>
    <s v="Nē"/>
    <s v="Nē"/>
    <s v="Nē"/>
    <s v="Nē"/>
    <m/>
    <s v="Подковырчатые вопросы! Надеюсь, опрос и правда анонимен!"/>
    <m/>
    <m/>
    <m/>
    <m/>
    <m/>
    <m/>
    <m/>
    <m/>
    <m/>
    <m/>
    <m/>
  </r>
  <r>
    <x v="0"/>
    <n v="128"/>
    <s v="2023-05-02 10:36:21"/>
    <n v="14"/>
    <s v="ru"/>
    <n v="2132141757"/>
    <s v="2023-05-02 10:07:55"/>
    <s v="2023-05-02 10:36:21"/>
    <s v="винт"/>
    <n v="17"/>
    <s v="Cita atbilde"/>
    <s v="Не уверен"/>
    <x v="1"/>
    <x v="0"/>
    <x v="0"/>
    <x v="0"/>
    <x v="0"/>
    <x v="0"/>
    <s v="Rīgā/ Rīgas rajonā"/>
    <m/>
    <s v="ateistu(ti), nereliģiozu"/>
    <m/>
    <s v="Jā"/>
    <s v="Jā"/>
    <s v="Nē"/>
    <s v="Nē"/>
    <s v="Nē"/>
    <s v="Nē"/>
    <s v="Nē"/>
    <s v="N/A"/>
    <s v="N/A"/>
    <s v="N/A"/>
    <s v="N/A"/>
    <s v="N/A"/>
    <s v="N/A"/>
    <s v="Jā"/>
    <s v="Nē"/>
    <s v="Nē"/>
    <s v="Nē"/>
    <s v="Jā"/>
    <s v="Nē"/>
    <s v="Nē"/>
    <s v="Nē"/>
    <s v="Jā"/>
    <s v="Jā"/>
    <s v="Nē"/>
    <s v="Nē"/>
    <s v="Nē"/>
    <s v="Nē"/>
    <s v="Nē"/>
    <m/>
    <m/>
    <m/>
    <m/>
    <m/>
    <m/>
    <s v="Lielākoties vienlīdzīgi"/>
    <s v="Lielākoties nevienlīdzīgi"/>
    <s v="Lielākoties vienlīdzīgi"/>
    <s v="Lielākoties 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Ārkārtīgi"/>
    <s v="Viduvēji"/>
    <s v="Ārkārtīgi"/>
    <s v="Понятие слова популизм, что это когда политики, в своей политической программе используют самые востребованные в народе, идеи и предложения"/>
    <s v="Jā"/>
    <s v="Nē"/>
    <s v="Nē"/>
    <s v="Nē"/>
    <s v="Jā"/>
    <s v="Nē"/>
    <s v="2.."/>
    <n v="40"/>
    <n v="59"/>
    <n v="69"/>
    <n v="9"/>
    <s v="Mazliet saspīlētas"/>
    <s v="Nav saspīlētas"/>
    <s v="Nav saspīlētas"/>
    <s v="(Gandrīz) nekad"/>
    <s v="(Gandrīz) nekad"/>
    <s v="(Gandrīz) nekad"/>
    <s v="(Gandrīz) nekad"/>
    <s v="(Gandrīz) nekad"/>
    <s v="Dažreiz"/>
    <s v="(Gandrīz) nekad"/>
    <s v="(Gandrīz) nekad"/>
    <s v="(Gandrīz) nekad"/>
    <s v="Dažreiz"/>
    <s v="При облии языковой сферы смешивались языковые понятия  в рабочей среде, выходила спутанная цель объяснения, для разбора приходилось использовать смешанно латышский-русский"/>
    <s v="jā, privāta darba devēja labā"/>
    <s v="N/A"/>
    <s v="N/A"/>
    <s v="N/A"/>
    <s v="Jā"/>
    <s v="N/A"/>
    <s v="N/A"/>
    <s v="N/A"/>
    <s v="Jā"/>
    <s v="N/A"/>
    <s v="N/A"/>
    <s v="N/A"/>
    <s v="Jā"/>
    <s v="pāris reižu mēnesī"/>
    <s v="reizi nedēļā"/>
    <s v="(gandrīz) katru dienu"/>
    <s v="pāris reižu nedēļā"/>
    <s v="pāris reižu nedēļā"/>
    <s v="pāris reižu mēnesī"/>
    <s v="(gandrīz) katru dienu"/>
    <s v="(gandrīz) katru dienu"/>
    <s v="reizi nedēļā"/>
    <s v="reizi nedēļā"/>
    <s v="(gandrīz) katru dienu"/>
    <s v="reizi nedēļā"/>
    <s v="(gandrīz) katru dienu"/>
    <s v="(gandrīz) nekad"/>
    <s v="vienlīdzīgas tiesības minoritātēm un ievainojamām sabiedrības grupām"/>
    <s v="vienlīdz pieejama izglītība, veselības aprūpe, sociālais nodrošinājums"/>
    <s v="pilsoniskās brīvības (vārda brīvība, tiesības uz tiesisko aizsardzību)"/>
    <m/>
    <m/>
    <s v="nezinu"/>
    <s v="citreiz labi, citreiz slikti"/>
    <s v="labi"/>
    <s v="nezinu"/>
    <s v="citreiz labi, citreiz slikti"/>
    <s v="vidējo izglītību"/>
    <m/>
    <s v="N/A"/>
    <s v="N/A"/>
    <s v="N/A"/>
    <s v="Jā"/>
    <s v="vienlīdz latviešu un krievu"/>
    <m/>
    <s v="latviešu"/>
    <m/>
    <m/>
    <m/>
    <m/>
    <m/>
    <m/>
    <m/>
    <m/>
    <m/>
    <m/>
    <m/>
    <m/>
    <m/>
    <m/>
    <m/>
    <m/>
    <m/>
    <m/>
    <m/>
    <m/>
    <m/>
    <m/>
    <s v="N/A"/>
    <s v="N/A"/>
    <s v="N/A"/>
    <s v="N/A"/>
    <s v="N/A"/>
    <s v="N/A"/>
    <m/>
    <m/>
    <m/>
    <m/>
    <m/>
    <s v="Nē"/>
    <s v="Nē"/>
    <s v="Nē"/>
    <s v="Nē"/>
    <s v="Nē"/>
    <s v="Nē"/>
    <s v="Nē"/>
    <s v="Nē"/>
    <s v="Nē"/>
    <s v="Nē"/>
    <s v="Nē"/>
    <s v="Nē"/>
    <s v="Nē"/>
    <s v="Jā"/>
    <s v="Nē"/>
    <m/>
    <s v="Nē"/>
    <m/>
    <s v="Nē"/>
    <m/>
    <s v="Nē"/>
    <m/>
    <s v="Nē"/>
    <m/>
    <s v="Nē"/>
    <s v="Nē"/>
    <s v="Nē"/>
    <s v="Nē"/>
    <s v="Nē"/>
    <s v="Nē"/>
    <s v="Nē"/>
    <s v="Nē"/>
    <s v="Nē"/>
    <s v="Nē"/>
    <s v="Nē"/>
    <s v="Nē"/>
    <s v="Nē"/>
    <s v="Nē"/>
    <s v="Jā"/>
    <m/>
    <s v="Nē"/>
    <m/>
    <s v="Nē"/>
    <m/>
    <s v="Nē"/>
    <m/>
    <s v="Nē"/>
    <m/>
    <s v="Jā"/>
    <s v="Jā"/>
    <s v="Nē"/>
    <s v="Nē"/>
    <s v="Jā"/>
    <s v="Jā"/>
    <s v="Nē"/>
    <s v="Jā"/>
    <s v="Nē"/>
    <s v="Nē"/>
    <s v="Jā"/>
    <s v="Nē"/>
    <m/>
    <m/>
    <m/>
    <m/>
    <m/>
    <m/>
    <m/>
    <m/>
    <m/>
    <m/>
    <m/>
    <m/>
    <m/>
  </r>
  <r>
    <x v="0"/>
    <n v="130"/>
    <s v="2023-05-02 10:38:35"/>
    <n v="14"/>
    <s v="ru"/>
    <n v="1920791389"/>
    <s v="2023-05-02 10:09:03"/>
    <s v="2023-05-02 10:38:35"/>
    <s v="винт"/>
    <n v="17"/>
    <s v="vīriešu"/>
    <m/>
    <x v="0"/>
    <x v="0"/>
    <x v="0"/>
    <x v="0"/>
    <x v="0"/>
    <x v="0"/>
    <s v="Rīgā/ Rīgas rajonā"/>
    <m/>
    <s v="pareizticīgo"/>
    <m/>
    <s v="Jā"/>
    <s v="Jā"/>
    <s v="Nē"/>
    <s v="Nē"/>
    <s v="Nē"/>
    <s v="Nē"/>
    <s v="Nē"/>
    <s v="Nē"/>
    <s v="Nē"/>
    <s v="Nē"/>
    <s v="Nē"/>
    <s v="Nē"/>
    <s v="Jā"/>
    <s v="Nē"/>
    <s v="Nē"/>
    <s v="Nē"/>
    <s v="Nē"/>
    <s v="Jā"/>
    <s v="Nē"/>
    <s v="Nē"/>
    <s v="Nē"/>
    <s v="Jā"/>
    <s v="Jā"/>
    <s v="Nē"/>
    <s v="Nē"/>
    <s v="Nē"/>
    <s v="Nē"/>
    <s v="Nē"/>
    <m/>
    <m/>
    <m/>
    <m/>
    <m/>
    <m/>
    <s v="Vienlīdzīgi"/>
    <s v="Lielākoties nevienlīdzīgi"/>
    <s v="Lielākoties vienlīdzīgi"/>
    <s v="Lielākoties nevienlīdzīgi"/>
    <s v="Ne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Viduvēji"/>
    <s v="Neinteresē"/>
    <s v="Viduvēji"/>
    <s v="Ne sevišķi"/>
    <s v="Я думаю популизм, это тип ведения политической деятельности, обращаясь к широким массам общественности."/>
    <s v="Nē"/>
    <s v="Jā"/>
    <s v="Nē"/>
    <s v="Nē"/>
    <s v="Nē"/>
    <s v="Nē"/>
    <s v="1....."/>
    <n v="1"/>
    <n v="50"/>
    <n v="50"/>
    <n v="50"/>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nezinu"/>
    <s v="nezinu"/>
    <s v="nezinu"/>
    <s v="nezinu"/>
    <s v="nezinu"/>
    <s v="pamatizglītību"/>
    <m/>
    <s v="N/A"/>
    <s v="N/A"/>
    <s v="N/A"/>
    <s v="Jā"/>
    <s v="latviešu"/>
    <m/>
    <s v="latviešu"/>
    <m/>
    <s v="Spēju pastāstīt par savu hobiju / darbu."/>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Jā"/>
    <s v="Nē"/>
    <s v="Jā"/>
    <s v="Nē"/>
    <s v="Nē"/>
    <s v="Nē"/>
    <s v="Nē"/>
    <m/>
    <s v="Nē"/>
    <m/>
    <s v="Jā"/>
    <s v="различые медиа"/>
    <s v="Jā"/>
    <s v="различные медиа"/>
    <s v="Nē"/>
    <m/>
    <s v="Nē"/>
    <s v="Nē"/>
    <s v="Nē"/>
    <s v="Nē"/>
    <s v="Nē"/>
    <s v="Nē"/>
    <s v="Nē"/>
    <s v="Nē"/>
    <s v="Nē"/>
    <s v="Nē"/>
    <s v="Nē"/>
    <s v="Nē"/>
    <s v="Nē"/>
    <s v="Nē"/>
    <s v="Jā"/>
    <m/>
    <s v="Nē"/>
    <m/>
    <s v="Jā"/>
    <s v="различые медиа"/>
    <s v="Jā"/>
    <s v="различые медиа"/>
    <s v="Nē"/>
    <m/>
    <s v="Jā"/>
    <s v="Jā"/>
    <s v="Jā"/>
    <s v="Nē"/>
    <s v="Jā"/>
    <s v="Jā"/>
    <s v="Nē"/>
    <s v="Jā"/>
    <s v="Nē"/>
    <s v="Nē"/>
    <s v="Nē"/>
    <s v="Nē"/>
    <m/>
    <m/>
    <m/>
    <m/>
    <m/>
    <m/>
    <m/>
    <m/>
    <m/>
    <m/>
    <m/>
    <m/>
    <m/>
  </r>
  <r>
    <x v="0"/>
    <n v="132"/>
    <s v="2023-05-02 10:40:04"/>
    <n v="14"/>
    <s v="ru"/>
    <n v="1813659222"/>
    <s v="2023-05-02 10:11:16"/>
    <s v="2023-05-02 10:40:04"/>
    <s v="винт"/>
    <n v="17"/>
    <s v="sieviešu"/>
    <m/>
    <x v="1"/>
    <x v="0"/>
    <x v="0"/>
    <x v="0"/>
    <x v="0"/>
    <x v="0"/>
    <s v="Rīgā/ Rīgas rajonā"/>
    <m/>
    <s v="pareizticīgo"/>
    <m/>
    <s v="Nē"/>
    <s v="Jā"/>
    <s v="Nē"/>
    <s v="Nē"/>
    <s v="Nē"/>
    <s v="Nē"/>
    <s v="Nē"/>
    <s v="Jā"/>
    <s v="Nē"/>
    <s v="Nē"/>
    <s v="Nē"/>
    <s v="Nē"/>
    <s v="Jā"/>
    <s v="Nē"/>
    <s v="Nē"/>
    <s v="Nē"/>
    <s v="Jā"/>
    <s v="Nē"/>
    <s v="Nē"/>
    <s v="Nē"/>
    <s v="Nē"/>
    <s v="Jā"/>
    <s v="Nē"/>
    <s v="Nē"/>
    <s v="Jā"/>
    <s v="Jā"/>
    <s v="Nē"/>
    <s v="Nē"/>
    <m/>
    <m/>
    <m/>
    <m/>
    <m/>
    <m/>
    <s v="Vienlīdzīgi"/>
    <s v="Lielākoties vienlīdzīgi"/>
    <s v="Vienlīdzīgi"/>
    <s v="Vienlīdzīgi"/>
    <s v="Vienlīdzīgi"/>
    <s v="&quot;Latvija pirmajā vietā&quot;"/>
    <s v="Jaunā Vienotība"/>
    <s v="Politiskā partija &quot;Stabilitātei&quot;"/>
    <s v="Nacionālā Apvienība"/>
    <s v="&quot;Apvienotais saraksts&quot;"/>
    <s v="&quot;Latvija pirmajā vietā&quot;"/>
    <s v="Zaļo un Zemnieku savienība"/>
    <s v="Klimata pārmaiņas – tas ir ciklisks un dabisks process."/>
    <s v="nē"/>
    <s v="Jaunā Vienotība"/>
    <s v="&quot;Progresīvie&quot;"/>
    <s v="&quot;Apvienotais saraksts&quot;"/>
    <s v="&quot;Latvija pirmajā vietā&quot;"/>
    <s v="Politiskā partija &quot;Stabilitātei&quot;"/>
    <s v="Zaļo un Zemnieku savienība"/>
    <s v="Nacionālā Apvienība"/>
    <s v="Politiskā partija &quot;Stabilitātei&quot;"/>
    <s v="&quot;Progresīvie&quot;"/>
    <s v="&quot;Latvija pirmajā vietā&quot;"/>
    <s v="Jaunā Vienotība"/>
    <s v="Zaļo un Zemnieku savienība"/>
    <s v="Nacionālā Apvienība"/>
    <s v="&quot;Apvienotais saraksts&quot;"/>
    <s v="Viduvēji"/>
    <s v="Viduvēji"/>
    <s v="Viduvēji"/>
    <s v="Viduvēji"/>
    <s v="По моему мнению,слово популизм я понимаю как политику,которая обещает быстроту и лёгкость в социальных острых проблемах."/>
    <s v="Nē"/>
    <s v="Nē"/>
    <s v="Nē"/>
    <s v="Jā"/>
    <s v="Jā"/>
    <s v="Nē"/>
    <s v="1.."/>
    <n v="1"/>
    <n v="50"/>
    <n v="100"/>
    <n v="100"/>
    <s v="Ļoti saspīlētas"/>
    <s v="Mazliet saspīlētas"/>
    <s v="Nav saspīlētas"/>
    <s v="(Gandrīz) nekad"/>
    <s v="(Gandrīz) nekad"/>
    <s v="(Gandrīz) nekad"/>
    <s v="(Gandrīz) nekad"/>
    <s v="(Gandrīz) nekad"/>
    <s v="Dažreiz"/>
    <s v="(Gandrīz) nekad"/>
    <s v="(Gandrīz) nekad"/>
    <s v="(Gandrīz) nekad"/>
    <s v="Reti"/>
    <s v="Такой ситуации не было,так как я имею представление и понимание,где и когда,на каком языке нужно разговаривать."/>
    <s v="jā, nevalstiskā organizācijā"/>
    <s v="N/A"/>
    <s v="N/A"/>
    <s v="N/A"/>
    <s v="Jā"/>
    <s v="Jā"/>
    <s v="Nē"/>
    <s v="Nē"/>
    <s v="Nē"/>
    <s v="Jā"/>
    <s v="Jā"/>
    <s v="Nē"/>
    <s v="Nē"/>
    <s v="(gandrīz) nekad"/>
    <s v="(gandrīz) katru dienu"/>
    <s v="(gandrīz) katru dienu"/>
    <s v="(gandrīz) nekad"/>
    <s v="pāris reižu mēnesī"/>
    <s v="pāris reižu mēnesī"/>
    <s v="pāris reižu nedēļā"/>
    <s v="(gandrīz) katru dienu"/>
    <s v="(gandrīz) katru dienu"/>
    <s v="(gandrīz) katru dienu"/>
    <s v="(gandrīz) katru dienu"/>
    <s v="(gandrīz) katru dienu"/>
    <s v="(gandrīz) katru dienu"/>
    <s v="(gandrīz) katru dienu"/>
    <s v="vienlīdz pieejama izglītība, veselības aprūpe, sociālais nodrošinājums"/>
    <s v="brīvas vēlēšanas un plurālisms"/>
    <s v="pilsoniskās brīvības (vārda brīvība, tiesības uz tiesisko aizsardzību)"/>
    <m/>
    <m/>
    <s v="knapi/gandrīz necik"/>
    <s v="slikti"/>
    <s v="labi"/>
    <s v="citreiz labi, citreiz slikti"/>
    <s v="citreiz labi, citreiz slikti"/>
    <s v="vidējo izglītību"/>
    <m/>
    <s v="Jā"/>
    <s v="Jā"/>
    <s v="Nē"/>
    <s v="Nē"/>
    <s v="vienlīdz latviešu un krievu"/>
    <m/>
    <s v="vienlīdz latviešu un krievu"/>
    <m/>
    <m/>
    <m/>
    <m/>
    <m/>
    <m/>
    <m/>
    <m/>
    <m/>
    <m/>
    <m/>
    <m/>
    <m/>
    <m/>
    <m/>
    <m/>
    <m/>
    <m/>
    <m/>
    <m/>
    <m/>
    <m/>
    <s v="N/A"/>
    <s v="N/A"/>
    <s v="N/A"/>
    <s v="N/A"/>
    <s v="N/A"/>
    <s v="N/A"/>
    <m/>
    <m/>
    <m/>
    <m/>
    <m/>
    <s v="Nē"/>
    <s v="Nē"/>
    <s v="Nē"/>
    <s v="Nē"/>
    <s v="Nē"/>
    <s v="Nē"/>
    <s v="Jā"/>
    <s v="Nē"/>
    <s v="Nē"/>
    <s v="Nē"/>
    <s v="Nē"/>
    <s v="Nē"/>
    <s v="Jā"/>
    <s v="Nē"/>
    <s v="Nē"/>
    <s v="ютуб,социальные сети"/>
    <s v="Nē"/>
    <m/>
    <s v="Nē"/>
    <m/>
    <s v="Nē"/>
    <m/>
    <s v="Nē"/>
    <m/>
    <s v="Nē"/>
    <s v="Nē"/>
    <s v="Nē"/>
    <s v="Nē"/>
    <s v="Nē"/>
    <s v="Nē"/>
    <s v="Nē"/>
    <s v="Nē"/>
    <s v="Nē"/>
    <s v="Nē"/>
    <s v="Nē"/>
    <s v="Jā"/>
    <s v="Jā"/>
    <s v="Nē"/>
    <s v="Nē"/>
    <m/>
    <s v="Nē"/>
    <m/>
    <s v="Nē"/>
    <m/>
    <s v="Nē"/>
    <m/>
    <s v="Nē"/>
    <m/>
    <s v="Jā"/>
    <s v="Jā"/>
    <s v="Jā"/>
    <s v="Nē"/>
    <s v="Jā"/>
    <s v="Jā"/>
    <s v="Nē"/>
    <s v="Jā"/>
    <s v="Nē"/>
    <s v="Nē"/>
    <s v="Jā"/>
    <s v="Nē"/>
    <s v="Snapchat"/>
    <s v="Спасибо за опрос,было очень интересно и познательно проходить его,в некоторых моментах я поняла что и как я думаю (считаю) об орпеделённых сферах."/>
    <m/>
    <m/>
    <m/>
    <m/>
    <m/>
    <m/>
    <m/>
    <m/>
    <m/>
    <m/>
    <m/>
  </r>
  <r>
    <x v="0"/>
    <n v="133"/>
    <s v="2023-05-02 10:32:16"/>
    <n v="14"/>
    <s v="ru"/>
    <n v="1852258753"/>
    <s v="2023-05-02 10:11:47"/>
    <s v="2023-05-02 10:32:16"/>
    <s v="винт"/>
    <n v="18"/>
    <s v="sieviešu"/>
    <m/>
    <x v="0"/>
    <x v="0"/>
    <x v="0"/>
    <x v="0"/>
    <x v="0"/>
    <x v="0"/>
    <s v="Rīgā/ Rīgas rajonā"/>
    <m/>
    <s v="pareizticīgo"/>
    <m/>
    <s v="Jā"/>
    <s v="Jā"/>
    <s v="Nē"/>
    <s v="Nē"/>
    <s v="Nē"/>
    <s v="Nē"/>
    <s v="Nē"/>
    <s v="Jā"/>
    <s v="Jā"/>
    <s v="Nē"/>
    <s v="Nē"/>
    <s v="Nē"/>
    <s v="Nē"/>
    <s v="Nē"/>
    <s v="Nē"/>
    <s v="Nē"/>
    <s v="Nē"/>
    <s v="Jā"/>
    <s v="Nē"/>
    <s v="Jā"/>
    <s v="Nē"/>
    <s v="Jā"/>
    <s v="Jā"/>
    <s v="Jā"/>
    <s v="Jā"/>
    <s v="Jā"/>
    <s v="Jā"/>
    <s v="Nē"/>
    <m/>
    <m/>
    <m/>
    <m/>
    <m/>
    <m/>
    <s v="Lielākoties nevienlīdzīgi"/>
    <s v="Lielākoties vienlīdzīgi"/>
    <s v="Vienlīdzīgi"/>
    <s v="Lielākoties vienlīdzīgi"/>
    <s v="Lielākoties 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Neinteresē"/>
    <s v="Ļoti"/>
    <s v="Viduvēji"/>
    <s v="Viduvēji"/>
    <s v="Не знаю, так как не сильно разбираюсь в понятии слова популизм."/>
    <s v="Nē"/>
    <s v="Nē"/>
    <s v="Nē"/>
    <s v="Nē"/>
    <s v="Jā"/>
    <s v="Nē"/>
    <s v="1.."/>
    <n v="50"/>
    <n v="1"/>
    <n v="100"/>
    <n v="1"/>
    <s v="Mazliet saspīlētas"/>
    <s v="Nav saspīlētas"/>
    <s v="Mazliet saspīlētas"/>
    <s v="(Gandrīz) nekad"/>
    <s v="(Gandrīz) nekad"/>
    <s v="(Gandrīz) nekad"/>
    <s v="(Gandrīz) nekad"/>
    <s v="(Gandrīz) nekad"/>
    <s v="(Gandrīz) nekad"/>
    <s v="(Gandrīz) nekad"/>
    <s v="(Gandrīz) nekad"/>
    <s v="(Gandrīz) nekad"/>
    <s v="Reti"/>
    <s v="Я ежедневно использую &quot;неправильный язык'' в качестве средства для коммуникации."/>
    <s v="nē"/>
    <s v="N/A"/>
    <s v="N/A"/>
    <s v="N/A"/>
    <s v="N/A"/>
    <s v="N/A"/>
    <s v="N/A"/>
    <s v="N/A"/>
    <s v="Jā"/>
    <s v="Jā"/>
    <s v="Jā"/>
    <s v="Jā"/>
    <s v="Nē"/>
    <s v="(gandrīz) nekad"/>
    <s v="(gandrīz) nekad"/>
    <s v="(gandrīz) nekad"/>
    <s v="pāris reižu mēnesī"/>
    <s v="(gandrīz) nekad"/>
    <s v="(gandrīz) nekad"/>
    <s v="pāris reižu nedēļā"/>
    <s v="(gandrīz) katru dienu"/>
    <s v="(gandrīz) katru dienu"/>
    <s v="(gandrīz) katru dienu"/>
    <s v="(gandrīz) katru dienu"/>
    <s v="(gandrīz) katru dienu"/>
    <s v="(gandrīz) katru dienu"/>
    <s v="pāris reižu nedēļā"/>
    <s v="pilsoniskās brīvības (vārda brīvība, tiesības uz tiesisko aizsardzību)"/>
    <s v="vienlīdz pieejama izglītība, veselības aprūpe, sociālais nodrošinājums"/>
    <s v="vienlīdzīgas tiesības minoritātēm un ievainojamām sabiedrības grupām"/>
    <m/>
    <m/>
    <s v="labi"/>
    <s v="labi"/>
    <s v="ļoti labi"/>
    <s v="labi"/>
    <s v="labi"/>
    <s v="pamatizglītību"/>
    <m/>
    <s v="Nē"/>
    <s v="Jā"/>
    <s v="Nē"/>
    <s v="Nē"/>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s v="Спасибо за опрос!"/>
    <m/>
    <m/>
    <m/>
    <m/>
    <m/>
    <m/>
    <m/>
    <m/>
    <m/>
    <m/>
    <m/>
  </r>
  <r>
    <x v="0"/>
    <n v="134"/>
    <s v="2023-05-02 10:31:36"/>
    <n v="14"/>
    <s v="ru"/>
    <n v="473793615"/>
    <s v="2023-05-02 10:11:53"/>
    <s v="2023-05-02 10:31:36"/>
    <s v="винт"/>
    <n v="17"/>
    <s v="vīriešu"/>
    <m/>
    <x v="0"/>
    <x v="1"/>
    <x v="0"/>
    <x v="0"/>
    <x v="0"/>
    <x v="1"/>
    <s v="Rīgā/ Rīgas rajonā"/>
    <m/>
    <s v="katoli(ieti)"/>
    <m/>
    <s v="N/A"/>
    <s v="N/A"/>
    <s v="N/A"/>
    <s v="N/A"/>
    <s v="N/A"/>
    <s v="N/A"/>
    <s v="Jā"/>
    <s v="N/A"/>
    <s v="N/A"/>
    <s v="N/A"/>
    <s v="N/A"/>
    <s v="N/A"/>
    <s v="N/A"/>
    <s v="Jā"/>
    <s v="N/A"/>
    <s v="N/A"/>
    <s v="N/A"/>
    <s v="N/A"/>
    <s v="N/A"/>
    <s v="N/A"/>
    <s v="Jā"/>
    <s v="N/A"/>
    <s v="N/A"/>
    <s v="N/A"/>
    <s v="N/A"/>
    <s v="N/A"/>
    <s v="N/A"/>
    <s v="Jā"/>
    <m/>
    <m/>
    <m/>
    <m/>
    <m/>
    <m/>
    <s v="Lielākoties vienlīdzīgi"/>
    <s v="Lielākoties vienlīdzīgi"/>
    <s v="Vienlīdzīgi"/>
    <s v="Vienlīdzīgi"/>
    <s v="Vienlīdzīgi"/>
    <s v="nezinu"/>
    <s v="nezinu"/>
    <s v="nezinu"/>
    <s v="nezinu"/>
    <s v="nezinu"/>
    <s v="nezinu"/>
    <s v="nezinu"/>
    <s v="Klimata pārmaiņām nav nekādu pārliecinošu pierādījumu."/>
    <s v="nē"/>
    <s v="nezinu"/>
    <s v="nezinu"/>
    <s v="nezinu"/>
    <s v="nezinu"/>
    <s v="nezinu"/>
    <s v="nezinu"/>
    <s v="nezinu"/>
    <s v="nezinu"/>
    <s v="nezinu"/>
    <s v="nezinu"/>
    <s v="nezinu"/>
    <s v="nezinu"/>
    <s v="nezinu"/>
    <s v="nezinu"/>
    <s v="Neinteresē"/>
    <s v="Neinteresē"/>
    <s v="Neinteresē"/>
    <s v="Neinteresē"/>
    <s v="не знаю"/>
    <s v="N/A"/>
    <s v="N/A"/>
    <s v="N/A"/>
    <s v="N/A"/>
    <s v="N/A"/>
    <s v="N/A"/>
    <m/>
    <m/>
    <m/>
    <m/>
    <m/>
    <m/>
    <m/>
    <m/>
    <m/>
    <m/>
    <m/>
    <m/>
    <m/>
    <m/>
    <m/>
    <m/>
    <m/>
    <m/>
    <m/>
    <s v="jā, nevalstiskā organizācijā"/>
    <s v="N/A"/>
    <s v="N/A"/>
    <s v="N/A"/>
    <s v="Jā"/>
    <s v="N/A"/>
    <s v="N/A"/>
    <s v="N/A"/>
    <s v="Jā"/>
    <s v="N/A"/>
    <s v="N/A"/>
    <s v="N/A"/>
    <s v="Jā"/>
    <m/>
    <m/>
    <m/>
    <m/>
    <m/>
    <m/>
    <m/>
    <m/>
    <m/>
    <m/>
    <m/>
    <m/>
    <m/>
    <m/>
    <s v="brīvas vēlēšanas un plurālisms"/>
    <s v="vienlīdz pieejama izglītība, veselības aprūpe, sociālais nodrošinājums"/>
    <s v="pilsoniskās brīvības (vārda brīvība, tiesības uz tiesisko aizsardzību)"/>
    <m/>
    <m/>
    <s v="nezinu"/>
    <s v="nezinu"/>
    <s v="nezinu"/>
    <s v="nezinu"/>
    <s v="nezinu"/>
    <s v="Cita atbilde"/>
    <s v="еще не достиг"/>
    <s v="N/A"/>
    <s v="N/A"/>
    <s v="N/A"/>
    <s v="Jā"/>
    <s v="krievu"/>
    <m/>
    <s v="krievu"/>
    <m/>
    <m/>
    <m/>
    <m/>
    <m/>
    <s v="Spēju pastāstīt par savu hobiju / darbu."/>
    <s v="Spēju uzrakstīt vēstuli draugam."/>
    <s v="Saprotu norādes, kur iet."/>
    <s v="Latviski spēju izlasīt ēdienkarti restorānā."/>
    <s v="(Gandrīz) nekad"/>
    <s v="Bieži"/>
    <s v="(Gandrīz) nekad"/>
    <s v="(Gandrīz) nekad"/>
    <s v="Reti"/>
    <s v="Bieži"/>
    <s v="Bieži"/>
    <s v="Bieži"/>
    <s v="Bieži"/>
    <s v="Bieži"/>
    <s v="Cita atbilde"/>
    <s v="уеду из страны"/>
    <m/>
    <s v="Nē"/>
    <s v="Nē"/>
    <s v="Nē"/>
    <s v="Nē"/>
    <s v="Jā"/>
    <s v="Nē"/>
    <n v="1"/>
    <n v="1"/>
    <m/>
    <m/>
    <s v="друзья"/>
    <s v="Nē"/>
    <s v="Nē"/>
    <s v="Nē"/>
    <s v="Nē"/>
    <s v="Nē"/>
    <s v="Nē"/>
    <s v="Nē"/>
    <s v="Nē"/>
    <s v="Nē"/>
    <s v="Nē"/>
    <s v="Nē"/>
    <s v="Nē"/>
    <s v="Nē"/>
    <s v="Nē"/>
    <s v="Nē"/>
    <s v="не смотрю тв и не слушаю радио"/>
    <s v="Nē"/>
    <m/>
    <s v="Nē"/>
    <m/>
    <s v="Nē"/>
    <m/>
    <s v="Nē"/>
    <m/>
    <s v="Nē"/>
    <s v="Nē"/>
    <s v="Nē"/>
    <s v="Nē"/>
    <s v="Nē"/>
    <s v="Nē"/>
    <s v="Nē"/>
    <s v="Nē"/>
    <s v="Nē"/>
    <s v="Nē"/>
    <s v="Nē"/>
    <s v="Nē"/>
    <s v="Nē"/>
    <s v="Nē"/>
    <s v="Nē"/>
    <s v="не пользуюсь"/>
    <s v="Nē"/>
    <m/>
    <s v="Nē"/>
    <m/>
    <s v="Nē"/>
    <m/>
    <s v="Nē"/>
    <m/>
    <s v="Jā"/>
    <s v="Jā"/>
    <s v="Nē"/>
    <s v="Jā"/>
    <s v="Jā"/>
    <s v="Jā"/>
    <s v="Nē"/>
    <s v="Jā"/>
    <s v="Nē"/>
    <s v="Nē"/>
    <s v="Nē"/>
    <s v="Nē"/>
    <s v="discord"/>
    <s v="Не интересует политика и анологичные опросы"/>
    <m/>
    <m/>
    <m/>
    <m/>
    <m/>
    <m/>
    <m/>
    <m/>
    <m/>
    <m/>
    <m/>
  </r>
  <r>
    <x v="0"/>
    <n v="135"/>
    <s v="2023-05-02 10:25:36"/>
    <n v="14"/>
    <s v="ru"/>
    <n v="467947419"/>
    <s v="2023-05-02 10:12:58"/>
    <s v="2023-05-02 10:25:36"/>
    <s v="винт"/>
    <n v="17"/>
    <s v="vīriešu"/>
    <m/>
    <x v="0"/>
    <x v="0"/>
    <x v="0"/>
    <x v="0"/>
    <x v="0"/>
    <x v="0"/>
    <s v="Rīgā/ Rīgas rajonā"/>
    <m/>
    <s v="pareizticīgo"/>
    <m/>
    <s v="Nē"/>
    <s v="Nē"/>
    <s v="Jā"/>
    <s v="Jā"/>
    <s v="Nē"/>
    <s v="Nē"/>
    <s v="Nē"/>
    <s v="Nē"/>
    <s v="Jā"/>
    <s v="Nē"/>
    <s v="Nē"/>
    <s v="Jā"/>
    <s v="Nē"/>
    <s v="Nē"/>
    <s v="Nē"/>
    <s v="Nē"/>
    <s v="Nē"/>
    <s v="Nē"/>
    <s v="Nē"/>
    <s v="Jā"/>
    <s v="Nē"/>
    <s v="Nē"/>
    <s v="Jā"/>
    <s v="Nē"/>
    <s v="Nē"/>
    <s v="Nē"/>
    <s v="Nē"/>
    <s v="Nē"/>
    <m/>
    <m/>
    <m/>
    <m/>
    <m/>
    <m/>
    <s v="Nevienlīdzīgi"/>
    <s v="Nevienlīdzīgi"/>
    <s v="Nevienlīdzīgi"/>
    <s v="Nevienlīdzīgi"/>
    <s v="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interesē"/>
    <s v="Neinteresē"/>
    <s v="Neinteresē"/>
    <s v="Neinteresē"/>
    <s v="либераха"/>
    <s v="Nē"/>
    <s v="Nē"/>
    <s v="Jā"/>
    <s v="Nē"/>
    <s v="Jā"/>
    <s v="Nē"/>
    <s v="1.."/>
    <n v="90"/>
    <n v="1"/>
    <n v="100"/>
    <n v="1"/>
    <s v="Drīzāk saspīlētas"/>
    <s v="Nav saspīlētas"/>
    <s v="Ļoti saspīlētas"/>
    <s v="Bieži"/>
    <s v="Bieži"/>
    <s v="Bieži"/>
    <s v="Bieži"/>
    <s v="Bieži"/>
    <s v="Bieži"/>
    <s v="Bieži"/>
    <s v="Bieži"/>
    <s v="Bieži"/>
    <s v="Bieži"/>
    <s v="нет"/>
    <s v="jā, privāta darba devēja labā"/>
    <s v="Nē"/>
    <s v="Jā"/>
    <s v="Nē"/>
    <s v="Nē"/>
    <s v="Jā"/>
    <s v="Nē"/>
    <s v="Nē"/>
    <s v="Nē"/>
    <s v="Nē"/>
    <s v="Jā"/>
    <s v="Nē"/>
    <s v="Nē"/>
    <s v="reizi nedēļā"/>
    <s v="pāris reižu nedēļā"/>
    <s v="reizi nedēļā"/>
    <s v="reizi nedēļā"/>
    <s v="pāris reižu mēnesī"/>
    <s v="pāris reižu nedēļā"/>
    <s v="reizi nedēļā"/>
    <s v="(gandrīz) katru dienu"/>
    <s v="pāris reižu nedēļā"/>
    <s v="reizi nedēļā"/>
    <s v="reizi nedēļā"/>
    <s v="reizi nedēļā"/>
    <s v="(gandrīz) katru dienu"/>
    <s v="reizi nedēļā"/>
    <s v="brīvas vēlēšanas un plurālisms"/>
    <s v="vienlīdz pieejama izglītība, veselības aprūpe, sociālais nodrošinājums"/>
    <s v="pilsoniskās brīvības (vārda brīvība, tiesības uz tiesisko aizsardzību)"/>
    <m/>
    <m/>
    <s v="labi"/>
    <s v="citreiz labi, citreiz slikti"/>
    <s v="citreiz labi, citreiz slikti"/>
    <s v="citreiz labi, citreiz slikti"/>
    <s v="citreiz labi, citreiz slikti"/>
    <s v="pamatizglītību"/>
    <m/>
    <s v="Nē"/>
    <s v="Jā"/>
    <s v="Nē"/>
    <s v="Nē"/>
    <s v="krievu"/>
    <m/>
    <s v="krievu"/>
    <m/>
    <s v="{if(is_empty(tongueLAT_SQ001.NAOK), 'latviski','krieviski')} nerunāju it nemaz."/>
    <s v="Spēju uzrakstīt vēstuli draugam."/>
    <s v="Viegli saprotu televīzijas pārraides vai Youtube video par saviem hobijiem/darbības sfēru."/>
    <s v="Spēju izlasīt avīzi/īsstāstus."/>
    <m/>
    <m/>
    <m/>
    <m/>
    <m/>
    <m/>
    <m/>
    <m/>
    <m/>
    <m/>
    <m/>
    <m/>
    <m/>
    <m/>
    <m/>
    <m/>
    <m/>
    <s v="N/A"/>
    <s v="N/A"/>
    <s v="N/A"/>
    <s v="N/A"/>
    <s v="N/A"/>
    <s v="N/A"/>
    <m/>
    <m/>
    <m/>
    <m/>
    <m/>
    <s v="Nē"/>
    <s v="Nē"/>
    <s v="Nē"/>
    <s v="Jā"/>
    <s v="Jā"/>
    <s v="Nē"/>
    <s v="Nē"/>
    <s v="Jā"/>
    <s v="Nē"/>
    <s v="Nē"/>
    <s v="Nē"/>
    <s v="Nē"/>
    <s v="Nē"/>
    <s v="Nē"/>
    <s v="Jā"/>
    <m/>
    <s v="Nē"/>
    <m/>
    <s v="Jā"/>
    <m/>
    <s v="Nē"/>
    <m/>
    <s v="Nē"/>
    <m/>
    <s v="Nē"/>
    <s v="Nē"/>
    <s v="Nē"/>
    <s v="Nē"/>
    <s v="Jā"/>
    <s v="Nē"/>
    <s v="Nē"/>
    <s v="Nē"/>
    <s v="Nē"/>
    <s v="Nē"/>
    <s v="Nē"/>
    <s v="Nē"/>
    <s v="Nē"/>
    <s v="Nē"/>
    <s v="Nē"/>
    <m/>
    <s v="Nē"/>
    <m/>
    <s v="Nē"/>
    <m/>
    <s v="Jā"/>
    <m/>
    <s v="Nē"/>
    <m/>
    <s v="Nē"/>
    <s v="Jā"/>
    <s v="Nē"/>
    <s v="Nē"/>
    <s v="Nē"/>
    <s v="Nē"/>
    <s v="Nē"/>
    <s v="Jā"/>
    <s v="Nē"/>
    <s v="Nē"/>
    <s v="Nē"/>
    <s v="Nē"/>
    <m/>
    <m/>
    <m/>
    <m/>
    <m/>
    <m/>
    <m/>
    <m/>
    <m/>
    <m/>
    <m/>
    <m/>
    <m/>
  </r>
  <r>
    <x v="0"/>
    <n v="136"/>
    <s v="2023-05-02 10:25:54"/>
    <n v="14"/>
    <s v="ru"/>
    <n v="2009892334"/>
    <s v="2023-05-02 10:14:59"/>
    <s v="2023-05-02 10:25:54"/>
    <s v="винт"/>
    <n v="18"/>
    <s v="vīriešu"/>
    <m/>
    <x v="0"/>
    <x v="0"/>
    <x v="0"/>
    <x v="1"/>
    <x v="0"/>
    <x v="0"/>
    <s v="Rīgā/ Rīgas rajonā"/>
    <m/>
    <s v="ateistu(ti), nereliģiozu"/>
    <m/>
    <s v="N/A"/>
    <s v="N/A"/>
    <s v="N/A"/>
    <s v="N/A"/>
    <s v="N/A"/>
    <s v="N/A"/>
    <s v="Jā"/>
    <s v="Nē"/>
    <s v="Jā"/>
    <s v="Nē"/>
    <s v="Nē"/>
    <s v="Nē"/>
    <s v="Nē"/>
    <s v="Nē"/>
    <s v="Jā"/>
    <s v="Nē"/>
    <s v="Nē"/>
    <s v="Nē"/>
    <s v="Nē"/>
    <s v="Nē"/>
    <s v="Nē"/>
    <s v="Jā"/>
    <s v="Nē"/>
    <s v="Nē"/>
    <s v="Nē"/>
    <s v="Nē"/>
    <s v="Nē"/>
    <s v="Nē"/>
    <m/>
    <m/>
    <m/>
    <m/>
    <m/>
    <m/>
    <s v="Nevienlīdzīgi"/>
    <s v="Nevienlīdzīgi"/>
    <s v="Nevienlīdzīgi"/>
    <s v="Nevienlīdzīgi"/>
    <s v="Nevienlīdzīgi"/>
    <s v="Jaunā Vienotība"/>
    <s v="Zaļo un Zemnieku savienība"/>
    <s v="Nacionālā Apvienība"/>
    <s v="Politiskā partija &quot;Stabilitātei&quot;"/>
    <s v="&quot;Progresīvie&quot;"/>
    <s v="&quot;Apvienotais saraksts&quot;"/>
    <s v="&quot;Latvija pirmajā vietā&quot;"/>
    <s v="Cīņai ar klimata pārmaiņām būtu jābūt vairumam pasaules valstu galvenajai prioritātei."/>
    <s v="jā, visu, ko iespējams šķirot"/>
    <s v="nezinu"/>
    <s v="nezinu"/>
    <s v="nezinu"/>
    <s v="nezinu"/>
    <s v="nezinu"/>
    <s v="nezinu"/>
    <s v="nezinu"/>
    <s v="nezinu"/>
    <s v="nezinu"/>
    <s v="nezinu"/>
    <s v="nezinu"/>
    <s v="nezinu"/>
    <s v="nezinu"/>
    <s v="nezinu"/>
    <s v="Neinteresē"/>
    <s v="Neinteresē"/>
    <s v="Neinteresē"/>
    <s v="Neinteresē"/>
    <s v="либерахи и леваки"/>
    <s v="Nē"/>
    <s v="Nē"/>
    <s v="Jā"/>
    <s v="Nē"/>
    <s v="Nē"/>
    <s v="Nē"/>
    <s v="1.."/>
    <n v="100"/>
    <n v="1"/>
    <n v="100"/>
    <n v="1"/>
    <s v="Drīzāk saspīlētas"/>
    <s v="Nav saspīlētas"/>
    <s v="Ļoti saspīlētas"/>
    <s v="(Gandrīz) nekad"/>
    <s v="(Gandrīz) nekad"/>
    <s v="(Gandrīz) nekad"/>
    <s v="(Gandrīz) nekad"/>
    <s v="(Gandrīz) nekad"/>
    <s v="(Gandrīz) nekad"/>
    <s v="(Gandrīz) nekad"/>
    <s v="(Gandrīz) nekad"/>
    <s v="(Gandrīz) nekad"/>
    <s v="(Gandrīz) nekad"/>
    <m/>
    <s v="nē"/>
    <s v="N/A"/>
    <s v="N/A"/>
    <s v="N/A"/>
    <s v="N/A"/>
    <s v="Jā"/>
    <s v="Nē"/>
    <s v="Nē"/>
    <s v="Nē"/>
    <s v="N/A"/>
    <s v="N/A"/>
    <s v="N/A"/>
    <s v="Jā"/>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nezinu"/>
    <s v="nezinu"/>
    <s v="nezinu"/>
    <s v="nezinu"/>
    <s v="nezinu"/>
    <s v="pamatizglītību"/>
    <m/>
    <s v="N/A"/>
    <s v="N/A"/>
    <s v="N/A"/>
    <s v="Jā"/>
    <s v="krievu"/>
    <m/>
    <s v="kriev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Nē"/>
    <s v="Jā"/>
    <s v="Nē"/>
    <s v="Nē"/>
    <m/>
    <s v="Nē"/>
    <m/>
    <s v="Nē"/>
    <m/>
    <s v="Nē"/>
    <m/>
    <s v="Nē"/>
    <m/>
    <s v="Jā"/>
    <s v="Nē"/>
    <s v="Nē"/>
    <s v="Nē"/>
    <s v="Nē"/>
    <s v="Nē"/>
    <s v="Nē"/>
    <s v="Nē"/>
    <s v="Nē"/>
    <s v="Nē"/>
    <s v="Nē"/>
    <s v="Nē"/>
    <s v="Nē"/>
    <s v="Nē"/>
    <s v="Nē"/>
    <m/>
    <s v="Nē"/>
    <m/>
    <s v="Nē"/>
    <m/>
    <s v="Nē"/>
    <m/>
    <s v="Nē"/>
    <m/>
    <s v="Jā"/>
    <s v="Jā"/>
    <s v="Nē"/>
    <s v="Nē"/>
    <s v="Nē"/>
    <s v="Jā"/>
    <s v="Nē"/>
    <s v="Nē"/>
    <s v="Jā"/>
    <s v="Nē"/>
    <s v="Nē"/>
    <s v="Nē"/>
    <m/>
    <m/>
    <m/>
    <m/>
    <m/>
    <m/>
    <m/>
    <m/>
    <m/>
    <m/>
    <m/>
    <m/>
    <m/>
  </r>
  <r>
    <x v="0"/>
    <n v="140"/>
    <s v="2023-05-02 10:44:36"/>
    <n v="14"/>
    <s v="ru"/>
    <n v="1176897833"/>
    <s v="2023-05-02 10:15:56"/>
    <s v="2023-05-02 10:44:36"/>
    <s v="винт"/>
    <n v="17"/>
    <s v="vīriešu"/>
    <m/>
    <x v="1"/>
    <x v="0"/>
    <x v="0"/>
    <x v="0"/>
    <x v="0"/>
    <x v="0"/>
    <s v="Rīgā/ Rīgas rajonā"/>
    <m/>
    <s v="ateistu(ti), nereliģiozu"/>
    <m/>
    <s v="Nē"/>
    <s v="Jā"/>
    <s v="Nē"/>
    <s v="Nē"/>
    <s v="Nē"/>
    <s v="Nē"/>
    <s v="Nē"/>
    <s v="Jā"/>
    <s v="Jā"/>
    <s v="Nē"/>
    <s v="Nē"/>
    <s v="Nē"/>
    <s v="Nē"/>
    <s v="Nē"/>
    <s v="Nē"/>
    <s v="Nē"/>
    <s v="Nē"/>
    <s v="Jā"/>
    <s v="Nē"/>
    <s v="Nē"/>
    <s v="Nē"/>
    <s v="Nē"/>
    <s v="Jā"/>
    <s v="Jā"/>
    <s v="Nē"/>
    <s v="Nē"/>
    <s v="Nē"/>
    <s v="Nē"/>
    <m/>
    <m/>
    <m/>
    <m/>
    <m/>
    <m/>
    <s v="Vienlīdzīgi"/>
    <s v="Vienlīdzīgi"/>
    <s v="Vienlīdzīgi"/>
    <s v="Lielākoties vienlīdzīgi"/>
    <s v="Lielākoties vienlīdzīgi"/>
    <s v="nezinu"/>
    <s v="nezinu"/>
    <s v="nezinu"/>
    <s v="nezinu"/>
    <s v="nezinu"/>
    <s v="nezinu"/>
    <s v="nezinu"/>
    <s v="Klimata pārmaiņām nav nekādu pārliecinošu pierādījumu."/>
    <s v="jā, visu, ko iespējams šķirot"/>
    <s v="nezinu"/>
    <s v="nezinu"/>
    <s v="nezinu"/>
    <s v="nezinu"/>
    <s v="nezinu"/>
    <s v="nezinu"/>
    <s v="nezinu"/>
    <s v="nezinu"/>
    <s v="nezinu"/>
    <s v="nezinu"/>
    <s v="nezinu"/>
    <s v="nezinu"/>
    <s v="nezinu"/>
    <s v="nezinu"/>
    <s v="Viduvēji"/>
    <s v="Neinteresē"/>
    <s v="Neinteresē"/>
    <s v="Neinteresē"/>
    <m/>
    <s v="Nē"/>
    <s v="Jā"/>
    <s v="Nē"/>
    <s v="Nē"/>
    <s v="Nē"/>
    <s v="Nē"/>
    <s v="1.."/>
    <n v="49"/>
    <n v="50"/>
    <n v="51"/>
    <n v="51"/>
    <s v="Es nezinu"/>
    <s v="Mazliet saspīlētas"/>
    <s v="Nav saspīlētas"/>
    <s v="Bieži"/>
    <s v="Reti"/>
    <s v="Dažreiz"/>
    <s v="Bieži"/>
    <s v="Bieži"/>
    <s v="Dažreiz"/>
    <s v="Reti"/>
    <s v="Bieži"/>
    <s v="Dažreiz"/>
    <s v="Dažreiz"/>
    <m/>
    <s v="nē"/>
    <s v="N/A"/>
    <s v="N/A"/>
    <s v="N/A"/>
    <s v="N/A"/>
    <s v="Nē"/>
    <s v="Nē"/>
    <s v="Jā"/>
    <s v="Nē"/>
    <s v="N/A"/>
    <s v="N/A"/>
    <s v="N/A"/>
    <s v="Jā"/>
    <s v="pāris reižu nedēļā"/>
    <s v="(gandrīz) katru dienu"/>
    <s v="pāris reižu nedēļā"/>
    <s v="reizi nedēļā"/>
    <s v="(gandrīz) katru dienu"/>
    <s v="(gandrīz) nekad"/>
    <s v="(gandrīz) katru dienu"/>
    <s v="(gandrīz) katru dienu"/>
    <s v="(gandrīz) katru dienu"/>
    <s v="reizi nedēļā"/>
    <s v="(gandrīz) katru dienu"/>
    <s v="(gandrīz) katru dienu"/>
    <s v="(gandrīz) nekad"/>
    <s v="reizi nedēļā"/>
    <s v="brīvas vēlēšanas un plurālisms"/>
    <s v="vienlīdzīgas tiesības minoritātēm un ievainojamām sabiedrības grupām"/>
    <s v="varas līdzsvars starp parlamentu, prezidentu un tiesām, lai neviena no institūcijām nespētu sevī koncentrēt lielāko daļu varas"/>
    <m/>
    <m/>
    <s v="nezinu"/>
    <s v="nezinu"/>
    <s v="nezinu"/>
    <s v="nezinu"/>
    <s v="nezinu"/>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Jā"/>
    <s v="Разное"/>
    <s v="Jā"/>
    <s v="Разное"/>
    <s v="Nē"/>
    <m/>
    <s v="Nē"/>
    <s v="Nē"/>
    <s v="Nē"/>
    <s v="Nē"/>
    <s v="Nē"/>
    <s v="Nē"/>
    <s v="Nē"/>
    <s v="Nē"/>
    <s v="Nē"/>
    <s v="Nē"/>
    <s v="Nē"/>
    <s v="Nē"/>
    <s v="Nē"/>
    <s v="Nē"/>
    <s v="Jā"/>
    <m/>
    <s v="Nē"/>
    <m/>
    <s v="Jā"/>
    <s v=","/>
    <s v="Jā"/>
    <s v=","/>
    <s v="Nē"/>
    <m/>
    <s v="Jā"/>
    <s v="Jā"/>
    <s v="Nē"/>
    <s v="Nē"/>
    <s v="Jā"/>
    <s v="Jā"/>
    <s v="Nē"/>
    <s v="Jā"/>
    <s v="Nē"/>
    <s v="Nē"/>
    <s v="Jā"/>
    <s v="Nē"/>
    <m/>
    <m/>
    <m/>
    <m/>
    <m/>
    <m/>
    <m/>
    <m/>
    <m/>
    <m/>
    <m/>
    <m/>
    <m/>
  </r>
  <r>
    <x v="0"/>
    <n v="141"/>
    <s v="2023-05-02 10:32:08"/>
    <n v="14"/>
    <s v="ru"/>
    <n v="551958700"/>
    <s v="2023-05-02 10:16:20"/>
    <s v="2023-05-02 10:32:08"/>
    <s v="винт"/>
    <n v="18"/>
    <s v="vīriešu"/>
    <m/>
    <x v="0"/>
    <x v="0"/>
    <x v="0"/>
    <x v="0"/>
    <x v="0"/>
    <x v="0"/>
    <s v="Rīgā/ Rīgas rajonā"/>
    <m/>
    <s v="pareizticīgo"/>
    <m/>
    <s v="N/A"/>
    <s v="N/A"/>
    <s v="N/A"/>
    <s v="N/A"/>
    <s v="N/A"/>
    <s v="N/A"/>
    <s v="Jā"/>
    <s v="N/A"/>
    <s v="N/A"/>
    <s v="N/A"/>
    <s v="N/A"/>
    <s v="N/A"/>
    <s v="N/A"/>
    <s v="Jā"/>
    <s v="N/A"/>
    <s v="N/A"/>
    <s v="N/A"/>
    <s v="N/A"/>
    <s v="N/A"/>
    <s v="N/A"/>
    <s v="Jā"/>
    <s v="N/A"/>
    <s v="N/A"/>
    <s v="N/A"/>
    <s v="N/A"/>
    <s v="N/A"/>
    <s v="N/A"/>
    <s v="Jā"/>
    <m/>
    <m/>
    <m/>
    <m/>
    <m/>
    <m/>
    <s v="Lielākoties vienlīdzīgi"/>
    <s v="Lielākoties vienlīdzīgi"/>
    <s v="Vienlīdzīgi"/>
    <s v="Vienlīdzīgi"/>
    <s v="Vienlīdzīgi"/>
    <s v="nezinu"/>
    <s v="nezinu"/>
    <s v="nezinu"/>
    <s v="nezinu"/>
    <s v="nezinu"/>
    <s v="nezinu"/>
    <s v="nezinu"/>
    <s v="Klimata pārmaiņām nav nekādu pārliecinošu pierādījumu."/>
    <s v="jā, daļu no tā, ko iespējams šķirot"/>
    <s v="nezinu"/>
    <s v="nezinu"/>
    <s v="nezinu"/>
    <s v="nezinu"/>
    <s v="nezinu"/>
    <s v="nezinu"/>
    <s v="nezinu"/>
    <s v="nezinu"/>
    <s v="nezinu"/>
    <s v="nezinu"/>
    <s v="nezinu"/>
    <s v="nezinu"/>
    <s v="nezinu"/>
    <s v="nezinu"/>
    <s v="Neinteresē"/>
    <s v="Neinteresē"/>
    <s v="Neinteresē"/>
    <s v="Neinteresē"/>
    <s v="не интересует"/>
    <s v="Nē"/>
    <s v="Nē"/>
    <s v="Nē"/>
    <s v="Nē"/>
    <s v="Jā"/>
    <s v="Nē"/>
    <s v="1....."/>
    <n v="50"/>
    <n v="51"/>
    <n v="51"/>
    <n v="51"/>
    <s v="Es nezinu"/>
    <s v="Es nezinu"/>
    <s v="Es nezinu"/>
    <s v="(Gandrīz) nekad"/>
    <s v="(Gandrīz) nekad"/>
    <s v="(Gandrīz) nekad"/>
    <s v="(Gandrīz) nekad"/>
    <s v="(Gandrīz) nekad"/>
    <s v="(Gandrīz) nekad"/>
    <s v="(Gandrīz) nekad"/>
    <s v="(Gandrīz) nekad"/>
    <s v="(Gandrīz) nekad"/>
    <s v="(Gandrīz) nekad"/>
    <m/>
    <s v="jā, privāta darba devēja labā"/>
    <s v="N/A"/>
    <s v="N/A"/>
    <s v="N/A"/>
    <s v="Jā"/>
    <s v="N/A"/>
    <s v="N/A"/>
    <s v="N/A"/>
    <s v="Jā"/>
    <s v="N/A"/>
    <s v="N/A"/>
    <s v="N/A"/>
    <s v="Jā"/>
    <s v="(gandrīz) nekad"/>
    <s v="pāris reižu nedēļā"/>
    <s v="(gandrīz) katru dienu"/>
    <s v="(gandrīz) nekad"/>
    <s v="pāris reižu nedēļā"/>
    <s v="reizi nedēļā"/>
    <s v="pāris reižu nedēļā"/>
    <s v="(gandrīz) katru dienu"/>
    <s v="(gandrīz) katru dienu"/>
    <s v="(gandrīz) katru dienu"/>
    <s v="(gandrīz) katru dienu"/>
    <s v="(gandrīz) katru dienu"/>
    <s v="(gandrīz) katru dienu"/>
    <s v="(gandrīz) katru dienu"/>
    <s v="vienlīdzīgas tiesības minoritātēm un ievainojamām sabiedrības grupām"/>
    <s v="vienlīdz pieejama izglītība, veselības aprūpe, sociālais nodrošinājums"/>
    <s v="pilsoniskās brīvības (vārda brīvība, tiesības uz tiesisko aizsardzību)"/>
    <m/>
    <m/>
    <s v="nezinu"/>
    <s v="nezinu"/>
    <s v="nezinu"/>
    <s v="nezinu"/>
    <s v="nezinu"/>
    <s v="vidējo izglītību"/>
    <m/>
    <s v="N/A"/>
    <s v="N/A"/>
    <s v="N/A"/>
    <s v="Jā"/>
    <s v="vienlīdz latviešu un kriev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s v="вопросов нет!  спасибо!"/>
    <m/>
    <m/>
    <m/>
    <m/>
    <m/>
    <m/>
    <m/>
    <m/>
    <m/>
    <m/>
    <m/>
  </r>
  <r>
    <x v="0"/>
    <n v="143"/>
    <s v="2023-05-02 10:35:40"/>
    <n v="14"/>
    <s v="ru"/>
    <n v="1114402343"/>
    <s v="2023-05-02 10:16:47"/>
    <s v="2023-05-02 10:35:40"/>
    <s v="nagla"/>
    <n v="18"/>
    <s v="sieviešu"/>
    <m/>
    <x v="0"/>
    <x v="0"/>
    <x v="0"/>
    <x v="0"/>
    <x v="0"/>
    <x v="0"/>
    <s v="Rīgā/ Rīgas rajonā"/>
    <m/>
    <s v="pareizticīgo"/>
    <m/>
    <s v="Jā"/>
    <s v="Nē"/>
    <s v="Nē"/>
    <s v="Nē"/>
    <s v="Nē"/>
    <s v="Nē"/>
    <s v="Nē"/>
    <s v="Nē"/>
    <s v="Jā"/>
    <s v="Nē"/>
    <s v="Nē"/>
    <s v="Nē"/>
    <s v="Nē"/>
    <s v="Nē"/>
    <s v="Nē"/>
    <s v="Nē"/>
    <s v="Nē"/>
    <s v="Jā"/>
    <s v="Nē"/>
    <s v="Nē"/>
    <s v="Nē"/>
    <s v="Nē"/>
    <s v="Nē"/>
    <s v="Nē"/>
    <s v="Jā"/>
    <s v="Nē"/>
    <s v="Nē"/>
    <s v="Nē"/>
    <m/>
    <m/>
    <m/>
    <m/>
    <m/>
    <m/>
    <s v="Lielākoties nevienlīdzīgi"/>
    <s v="Lielākoties nevienlīdzīgi"/>
    <s v="Vienlīdzīgi"/>
    <s v="Lielākoties vienlīdzīgi"/>
    <s v="Lielākoties vienlīdzīgi"/>
    <s v="Jaunā Vienotība"/>
    <s v="Jaunā Vienotība"/>
    <s v="Jaunā Vienotība"/>
    <s v="nezinu"/>
    <s v="Jaunā Vienotība"/>
    <s v="Jaunā Vienotība"/>
    <s v="Jaunā Vienotība"/>
    <s v="Cīņai ar klimata pārmaiņām būtu jābūt vairumam pasaules valstu galvenajai prioritātei."/>
    <s v="jā, lielāko daļu no tā, ko iespējams šķirot"/>
    <s v="Jaunā Vienotība"/>
    <s v="Jaunā Vienotība"/>
    <s v="Jaunā Vienotība"/>
    <s v="Jaunā Vienotība"/>
    <s v="Jaunā Vienotība"/>
    <s v="Jaunā Vienotība"/>
    <s v="Jaunā Vienotība"/>
    <s v="Jaunā Vienotība"/>
    <s v="Jaunā Vienotība"/>
    <s v="Jaunā Vienotība"/>
    <s v="Jaunā Vienotība"/>
    <s v="Jaunā Vienotība"/>
    <s v="Jaunā Vienotība"/>
    <s v="Jaunā Vienotība"/>
    <s v="Viduvēji"/>
    <s v="Viduvēji"/>
    <s v="Viduvēji"/>
    <s v="Viduvēji"/>
    <m/>
    <s v="Nē"/>
    <s v="Nē"/>
    <s v="Jā"/>
    <s v="Nē"/>
    <s v="Nē"/>
    <s v="Nē"/>
    <s v="1.."/>
    <n v="50"/>
    <n v="42"/>
    <n v="50"/>
    <n v="50"/>
    <s v="Mazliet saspīlētas"/>
    <s v="Nav saspīlētas"/>
    <s v="Nav saspīlētas"/>
    <s v="(Gandrīz) nekad"/>
    <s v="(Gandrīz) nekad"/>
    <s v="(Gandrīz) nekad"/>
    <s v="(Gandrīz) nekad"/>
    <s v="(Gandrīz) nekad"/>
    <s v="Reti"/>
    <s v="(Gandrīz) nekad"/>
    <s v="Reti"/>
    <s v="Dažreiz"/>
    <s v="Dažreiz"/>
    <m/>
    <s v="nē"/>
    <s v="N/A"/>
    <s v="N/A"/>
    <s v="N/A"/>
    <s v="N/A"/>
    <s v="N/A"/>
    <s v="N/A"/>
    <s v="N/A"/>
    <s v="Jā"/>
    <s v="N/A"/>
    <s v="N/A"/>
    <s v="N/A"/>
    <s v="Jā"/>
    <s v="(gandrīz) nekad"/>
    <s v="(gandrīz) katru dienu"/>
    <s v="(gandrīz) nekad"/>
    <s v="(gandrīz) nekad"/>
    <s v="(gandrīz) nekad"/>
    <s v="(gandrīz) nekad"/>
    <s v="pāris reižu nedēļā"/>
    <s v="(gandrīz) katru dienu"/>
    <s v="(gandrīz) katru dienu"/>
    <s v="(gandrīz) nekad"/>
    <s v="(gandrīz) katru dienu"/>
    <s v="(gandrīz) katru dienu"/>
    <s v="(gandrīz) katru dienu"/>
    <s v="reizi nedēļā"/>
    <s v="brīvas vēlēšanas un plurālisms"/>
    <s v="vienlīdz pieejama izglītība, veselības aprūpe, sociālais nodrošinājums"/>
    <s v="varas līdzsvars starp parlamentu, prezidentu un tiesām, lai neviena no institūcijām nespētu sevī koncentrēt lielāko daļu varas"/>
    <m/>
    <m/>
    <s v="labi"/>
    <s v="labi"/>
    <s v="slikti"/>
    <s v="ļoti labi"/>
    <s v="ļoti labi"/>
    <s v="vidējo izglītību"/>
    <m/>
    <s v="Nē"/>
    <s v="Jā"/>
    <s v="Nē"/>
    <s v="Nē"/>
    <s v="krievu"/>
    <m/>
    <s v="vienlīdz latviešu un kriev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Jā"/>
    <m/>
    <s v="Nē"/>
    <m/>
    <s v="Jā"/>
    <m/>
    <s v="Nē"/>
    <m/>
    <s v="Nē"/>
    <s v="Nē"/>
    <s v="Nē"/>
    <s v="Nē"/>
    <s v="Nē"/>
    <s v="Nē"/>
    <s v="Nē"/>
    <s v="Nē"/>
    <s v="Nē"/>
    <s v="Nē"/>
    <s v="Nē"/>
    <s v="Nē"/>
    <s v="Nē"/>
    <s v="Nē"/>
    <s v="Jā"/>
    <m/>
    <s v="Nē"/>
    <m/>
    <s v="Nē"/>
    <m/>
    <s v="Nē"/>
    <m/>
    <s v="Jā"/>
    <m/>
    <s v="Jā"/>
    <s v="Jā"/>
    <s v="Jā"/>
    <s v="Nē"/>
    <s v="Jā"/>
    <s v="Jā"/>
    <s v="Nē"/>
    <s v="Jā"/>
    <s v="Nē"/>
    <s v="Nē"/>
    <s v="Nē"/>
    <s v="Nē"/>
    <m/>
    <m/>
    <m/>
    <m/>
    <m/>
    <m/>
    <m/>
    <m/>
    <m/>
    <m/>
    <m/>
    <m/>
    <m/>
  </r>
  <r>
    <x v="0"/>
    <n v="144"/>
    <s v="2023-05-02 10:32:33"/>
    <n v="14"/>
    <s v="lv"/>
    <n v="527866496"/>
    <s v="2023-05-02 10:16:55"/>
    <s v="2023-05-02 10:32:33"/>
    <s v="nagla"/>
    <n v="18"/>
    <s v="vīriešu"/>
    <m/>
    <x v="1"/>
    <x v="1"/>
    <x v="0"/>
    <x v="0"/>
    <x v="0"/>
    <x v="0"/>
    <s v="Latgalē"/>
    <m/>
    <s v="ateistu(ti), nereliģiozu"/>
    <m/>
    <s v="Nē"/>
    <s v="Jā"/>
    <s v="Nē"/>
    <s v="Nē"/>
    <s v="Nē"/>
    <s v="Nē"/>
    <s v="Nē"/>
    <s v="Nē"/>
    <s v="Jā"/>
    <s v="Nē"/>
    <s v="Nē"/>
    <s v="Nē"/>
    <s v="Nē"/>
    <s v="Nē"/>
    <s v="Nē"/>
    <s v="Nē"/>
    <s v="Nē"/>
    <s v="Nē"/>
    <s v="Nē"/>
    <s v="Jā"/>
    <s v="Nē"/>
    <s v="Nē"/>
    <s v="Nē"/>
    <s v="Jā"/>
    <s v="Jā"/>
    <s v="Nē"/>
    <s v="Nē"/>
    <s v="Nē"/>
    <m/>
    <m/>
    <m/>
    <m/>
    <m/>
    <m/>
    <s v="Lielākoties vienlīdzīgi"/>
    <s v="Lielākoties vienlīdzīgi"/>
    <s v="Lielākoties vienlīdzīgi"/>
    <s v="Lielākoties vienlīdzīgi"/>
    <s v="Lielākoties 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interesē"/>
    <s v="Neinteresē"/>
    <s v="Neinteresē"/>
    <s v="Neinteresē"/>
    <s v="Nezinu"/>
    <s v="Jā"/>
    <s v="Nē"/>
    <s v="Nē"/>
    <s v="Nē"/>
    <s v="Nē"/>
    <s v="Nē"/>
    <s v="1.."/>
    <n v="12"/>
    <n v="52"/>
    <m/>
    <m/>
    <s v="Mazliet saspīlētas"/>
    <s v="Nav saspīlētas"/>
    <s v="Nav saspīlētas"/>
    <s v="(Gandrīz) nekad"/>
    <s v="Reti"/>
    <s v="(Gandrīz) nekad"/>
    <s v="(Gandrīz) nekad"/>
    <s v="(Gandrīz) nekad"/>
    <m/>
    <m/>
    <m/>
    <m/>
    <m/>
    <s v=".nezinu"/>
    <s v="nē"/>
    <s v="N/A"/>
    <s v="N/A"/>
    <s v="N/A"/>
    <s v="N/A"/>
    <s v="Jā"/>
    <s v="Jā"/>
    <s v="Jā"/>
    <s v="Nē"/>
    <s v="N/A"/>
    <s v="N/A"/>
    <s v="N/A"/>
    <s v="Jā"/>
    <s v="(gandrīz) katru dienu"/>
    <s v="pāris reižu nedēļā"/>
    <s v="(gandrīz) katru dienu"/>
    <s v="(gandrīz) katru dienu"/>
    <s v="(gandrīz) katru dienu"/>
    <s v="(gandrīz) katru dienu"/>
    <s v="(gandrīz) katru dienu"/>
    <s v="(gandrīz) katru dienu"/>
    <s v="(gandrīz) katru dienu"/>
    <s v="(gandrīz) katru dienu"/>
    <s v="pāris reižu nedēļā"/>
    <s v="(gandrīz) katru dienu"/>
    <s v="(gandrīz) katru dienu"/>
    <s v="(gandrīz) katru dienu"/>
    <s v="vienlīdz pieejama izglītība, veselības aprūpe, sociālais nodrošinājums"/>
    <s v="brīvas vēlēšanas un plurālisms"/>
    <s v="pilsoniskās brīvības (vārda brīvība, tiesības uz tiesisko aizsardzību)"/>
    <m/>
    <m/>
    <s v="nezinu"/>
    <s v="ļoti labi"/>
    <s v="citreiz labi, citreiz slikti"/>
    <s v="citreiz labi, citreiz slikt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Nē"/>
    <s v="Nē"/>
    <s v="Nē"/>
    <s v="Nē"/>
    <s v="Nē"/>
    <m/>
    <s v="."/>
    <m/>
    <m/>
    <m/>
    <m/>
    <m/>
    <m/>
    <m/>
    <m/>
    <m/>
    <m/>
    <m/>
  </r>
  <r>
    <x v="0"/>
    <n v="145"/>
    <s v="2023-05-02 10:32:25"/>
    <n v="14"/>
    <s v="ru"/>
    <n v="704894836"/>
    <s v="2023-05-02 10:18:37"/>
    <s v="2023-05-02 10:32:25"/>
    <s v="винт"/>
    <n v="17"/>
    <s v="vīriešu"/>
    <m/>
    <x v="0"/>
    <x v="0"/>
    <x v="0"/>
    <x v="0"/>
    <x v="0"/>
    <x v="0"/>
    <s v="Rīgā/ Rīgas rajonā"/>
    <m/>
    <s v="pareizticīgo"/>
    <m/>
    <s v="Jā"/>
    <s v="Nē"/>
    <s v="Nē"/>
    <s v="Nē"/>
    <s v="Nē"/>
    <s v="Nē"/>
    <s v="Nē"/>
    <s v="N/A"/>
    <s v="N/A"/>
    <s v="N/A"/>
    <s v="N/A"/>
    <s v="N/A"/>
    <s v="N/A"/>
    <s v="Jā"/>
    <s v="Nē"/>
    <s v="Nē"/>
    <s v="Nē"/>
    <s v="Jā"/>
    <s v="Nē"/>
    <s v="Nē"/>
    <s v="Nē"/>
    <s v="Jā"/>
    <s v="Nē"/>
    <s v="Nē"/>
    <s v="Nē"/>
    <s v="Nē"/>
    <s v="Nē"/>
    <s v="Nē"/>
    <m/>
    <m/>
    <m/>
    <m/>
    <m/>
    <m/>
    <s v="Vienlīdzīgi"/>
    <s v="Lielākoties nevienlīdzīgi"/>
    <s v="Vienlīdzīgi"/>
    <s v="Vienlīdzīgi"/>
    <s v="Vienlīdzīgi"/>
    <s v="Zaļo un Zemnieku savienība"/>
    <s v="&quot;Progresīvie&quot;"/>
    <s v="Nacionālā Apvienība"/>
    <s v="&quot;Apvienotais saraksts&quot;"/>
    <s v="Zaļo un Zemnieku savienība"/>
    <s v="Politiskā partija &quot;Stabilitātei&quot;"/>
    <s v="&quot;Latvija pirmajā vietā&quot;"/>
    <s v="Klimata pārmaiņām nav nekādu pārliecinošu pierādījumu."/>
    <s v="jā, lielāko daļu no tā, ko iespējams šķirot"/>
    <s v="Jaunā Vienotība"/>
    <s v="Jaunā Vienotība"/>
    <s v="Jaunā Vienotība"/>
    <s v="Jaunā Vienotība"/>
    <s v="Jaunā Vienotība"/>
    <s v="Jaunā Vienotība"/>
    <s v="Jaunā Vienotība"/>
    <s v="Jaunā Vienotība"/>
    <s v="Zaļo un Zemnieku savienība"/>
    <s v="Nacionālā Apvienība"/>
    <s v="Politiskā partija &quot;Stabilitātei&quot;"/>
    <s v="&quot;Progresīvie&quot;"/>
    <s v="&quot;Apvienotais saraksts&quot;"/>
    <s v="&quot;Latvija pirmajā vietā&quot;"/>
    <s v="Neinteresē"/>
    <s v="Neinteresē"/>
    <s v="Neinteresē"/>
    <s v="Neinteresē"/>
    <s v="ничего"/>
    <s v="Nē"/>
    <s v="Nē"/>
    <s v="Nē"/>
    <s v="Jā"/>
    <s v="Nē"/>
    <s v="Nē"/>
    <s v="1.."/>
    <n v="100"/>
    <n v="50"/>
    <n v="100"/>
    <n v="1"/>
    <s v="Drīzāk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nekad"/>
    <s v="(gandrīz) katru dienu"/>
    <s v="(gandrīz) nekad"/>
    <s v="(gandrīz) nekad"/>
    <s v="(gandrīz) nekad"/>
    <s v="pāris reižu nedēļā"/>
    <s v="(gandrīz) katru dienu"/>
    <s v="(gandrīz) katru dienu"/>
    <s v="reizi nedēļā"/>
    <s v="(gandrīz) katru dienu"/>
    <s v="(gandrīz) katru dienu"/>
    <s v="(gandrīz) katru dienu"/>
    <s v="pāris reižu nedēļā"/>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knapi/gandrīz necik"/>
    <s v="citreiz labi, citreiz slikti"/>
    <s v="slikti"/>
    <s v="slikti"/>
    <s v="nezinu"/>
    <s v="vidējo izglītību"/>
    <m/>
    <s v="Nē"/>
    <s v="Jā"/>
    <s v="Nē"/>
    <s v="Nē"/>
    <s v="latviešu"/>
    <m/>
    <s v="latviešu"/>
    <m/>
    <s v="Spēju pastāstīt par savu hobiju / darbu."/>
    <s v="Spēju uzrakstīt vēstuli draugam."/>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m/>
    <s v="Nē"/>
    <m/>
    <s v="Nē"/>
    <m/>
    <s v="Nē"/>
    <m/>
    <s v="Nē"/>
    <m/>
    <s v="Nē"/>
    <s v="Nē"/>
    <s v="Nē"/>
    <s v="Jā"/>
    <s v="Nē"/>
    <s v="Nē"/>
    <s v="Nē"/>
    <s v="Nē"/>
    <s v="Nē"/>
    <s v="Nē"/>
    <s v="Nē"/>
    <s v="Nē"/>
    <s v="Jā"/>
    <s v="Nē"/>
    <s v="Nē"/>
    <m/>
    <s v="Nē"/>
    <m/>
    <s v="Nē"/>
    <m/>
    <s v="Nē"/>
    <m/>
    <s v="Nē"/>
    <m/>
    <s v="Jā"/>
    <s v="Nē"/>
    <s v="Nē"/>
    <s v="Nē"/>
    <s v="Jā"/>
    <s v="Jā"/>
    <s v="Nē"/>
    <s v="Jā"/>
    <s v="Nē"/>
    <s v="Nē"/>
    <s v="Nē"/>
    <s v="Nē"/>
    <m/>
    <m/>
    <m/>
    <m/>
    <m/>
    <m/>
    <m/>
    <m/>
    <m/>
    <m/>
    <m/>
    <m/>
    <m/>
  </r>
  <r>
    <x v="0"/>
    <n v="146"/>
    <s v="2023-05-02 10:40:16"/>
    <n v="14"/>
    <s v="ru"/>
    <n v="1572075629"/>
    <s v="2023-05-02 10:20:46"/>
    <s v="2023-05-02 10:40:16"/>
    <s v="винт"/>
    <n v="17"/>
    <s v="sieviešu"/>
    <m/>
    <x v="0"/>
    <x v="0"/>
    <x v="0"/>
    <x v="0"/>
    <x v="0"/>
    <x v="0"/>
    <s v="Rīgā/ Rīgas rajonā"/>
    <m/>
    <s v="pareizticīgo"/>
    <m/>
    <s v="Nē"/>
    <s v="Jā"/>
    <s v="Nē"/>
    <s v="Nē"/>
    <s v="Nē"/>
    <s v="Nē"/>
    <s v="Nē"/>
    <s v="Nē"/>
    <s v="Nē"/>
    <s v="Jā"/>
    <s v="Jā"/>
    <s v="Nē"/>
    <s v="Nē"/>
    <s v="Nē"/>
    <s v="Nē"/>
    <s v="Nē"/>
    <s v="Jā"/>
    <s v="Nē"/>
    <s v="Nē"/>
    <s v="Nē"/>
    <s v="Nē"/>
    <s v="Nē"/>
    <s v="Jā"/>
    <s v="Jā"/>
    <s v="Jā"/>
    <s v="Nē"/>
    <s v="Nē"/>
    <s v="Nē"/>
    <m/>
    <m/>
    <m/>
    <m/>
    <m/>
    <m/>
    <s v="Vienlīdzīgi"/>
    <s v="Lielākoties vienlīdzīgi"/>
    <s v="Vienlīdzīgi"/>
    <s v="Vienlīdzīgi"/>
    <s v="Vienlīdzīgi"/>
    <s v="Zaļo un Zemnieku savienība"/>
    <s v="Politiskā partija &quot;Stabilitātei&quot;"/>
    <s v="nezinu"/>
    <s v="Nacionālā Apvienība"/>
    <s v="Zaļo un Zemnieku savienība"/>
    <s v="Politiskā partija &quot;Stabilitātei&quot;"/>
    <s v="Nacionālā Apvienība"/>
    <s v="Klimata pārmaiņas – tas ir ciklisks un dabisks process."/>
    <s v="nē"/>
    <s v="nezinu"/>
    <s v="nezinu"/>
    <s v="nezinu"/>
    <s v="nezinu"/>
    <s v="nezinu"/>
    <s v="nezinu"/>
    <s v="nezinu"/>
    <s v="Jaunā Vienotība"/>
    <s v="&quot;Progresīvie&quot;"/>
    <s v="Zaļo un Zemnieku savienība"/>
    <s v="nezinu"/>
    <s v="Politiskā partija &quot;Stabilitātei&quot;"/>
    <s v="Politiskā partija &quot;Stabilitātei&quot;"/>
    <s v="nezinu"/>
    <s v="Ne sevišķi"/>
    <s v="Viduvēji"/>
    <s v="Ļoti"/>
    <s v="Viduvēji"/>
    <s v="человек который решил идти против системы"/>
    <s v="Nē"/>
    <s v="Nē"/>
    <s v="Nē"/>
    <s v="Jā"/>
    <s v="Jā"/>
    <s v="Nē"/>
    <s v="2.."/>
    <n v="9"/>
    <n v="1"/>
    <n v="100"/>
    <n v="1"/>
    <s v="Ļoti saspīlētas"/>
    <s v="Drīzāk saspīlētas"/>
    <s v="Nav saspīlētas"/>
    <s v="(Gandrīz) nekad"/>
    <s v="(Gandrīz) nekad"/>
    <s v="(Gandrīz) nekad"/>
    <s v="(Gandrīz) nekad"/>
    <s v="(Gandrīz) nekad"/>
    <s v="Bieži"/>
    <s v="(Gandrīz) nekad"/>
    <s v="(Gandrīz) nekad"/>
    <s v="(Gandrīz) nekad"/>
    <s v="Bieži"/>
    <s v="разговаривала на русском на работе после чего получила массу негативной реакции"/>
    <s v="jā, privāta darba devēja labā"/>
    <s v="N/A"/>
    <s v="N/A"/>
    <s v="N/A"/>
    <s v="Jā"/>
    <s v="Jā"/>
    <s v="Nē"/>
    <s v="Jā"/>
    <s v="Nē"/>
    <s v="N/A"/>
    <s v="N/A"/>
    <s v="N/A"/>
    <s v="Jā"/>
    <s v="(gandrīz) nekad"/>
    <s v="(gandrīz) nekad"/>
    <s v="(gandrīz) katru dienu"/>
    <s v="(gandrīz) nekad"/>
    <s v="(gandrīz) nekad"/>
    <s v="(gandrīz) nekad"/>
    <s v="pāris reižu nedēļā"/>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slikti"/>
    <s v="citreiz labi, citreiz slikti"/>
    <s v="knapi/gandrīz necik"/>
    <s v="labi"/>
    <s v="slikti"/>
    <s v="vidējo izglītību"/>
    <m/>
    <s v="N/A"/>
    <s v="N/A"/>
    <s v="N/A"/>
    <s v="Jā"/>
    <s v="vienlīdz latviešu un krievu"/>
    <m/>
    <s v="krievu"/>
    <m/>
    <s v="Spēju ilgstoši sarunāties ar vienaudžiem/piedalīties darba pārrunās."/>
    <s v="Spēju uzrakstīt motivācijas vēstuli darbam/ par savu darba pieredzi."/>
    <s v="Viegli saprotu radio programmas / podkāstus par saviem hobijiem/darbības sfēru."/>
    <s v="Spēju izlasīt avīzi/īsstāstus."/>
    <m/>
    <m/>
    <m/>
    <m/>
    <m/>
    <m/>
    <m/>
    <m/>
    <m/>
    <m/>
    <m/>
    <m/>
    <m/>
    <m/>
    <m/>
    <m/>
    <m/>
    <s v="N/A"/>
    <s v="N/A"/>
    <s v="N/A"/>
    <s v="N/A"/>
    <s v="N/A"/>
    <s v="N/A"/>
    <m/>
    <m/>
    <m/>
    <m/>
    <m/>
    <s v="Nē"/>
    <s v="Nē"/>
    <s v="Nē"/>
    <s v="Nē"/>
    <s v="Nē"/>
    <s v="Nē"/>
    <s v="Nē"/>
    <s v="Nē"/>
    <s v="Nē"/>
    <s v="Nē"/>
    <s v="Jā"/>
    <s v="Nē"/>
    <s v="Jā"/>
    <s v="Nē"/>
    <s v="Nē"/>
    <m/>
    <s v="Nē"/>
    <m/>
    <s v="Nē"/>
    <m/>
    <s v="Nē"/>
    <m/>
    <s v="Nē"/>
    <m/>
    <s v="Nē"/>
    <s v="Nē"/>
    <s v="Nē"/>
    <s v="Nē"/>
    <s v="Nē"/>
    <s v="Nē"/>
    <s v="Nē"/>
    <s v="Nē"/>
    <s v="Nē"/>
    <s v="Nē"/>
    <s v="Nē"/>
    <s v="Nē"/>
    <s v="Jā"/>
    <s v="Nē"/>
    <s v="Nē"/>
    <m/>
    <s v="Nē"/>
    <m/>
    <s v="Nē"/>
    <m/>
    <s v="Nē"/>
    <m/>
    <s v="Nē"/>
    <m/>
    <s v="Jā"/>
    <s v="Jā"/>
    <s v="Jā"/>
    <s v="Nē"/>
    <s v="Jā"/>
    <s v="Jā"/>
    <s v="Nē"/>
    <s v="Jā"/>
    <s v="Nē"/>
    <s v="Nē"/>
    <s v="Nē"/>
    <s v="Nē"/>
    <s v="Snapchat"/>
    <m/>
    <m/>
    <m/>
    <m/>
    <m/>
    <m/>
    <m/>
    <m/>
    <m/>
    <m/>
    <m/>
    <m/>
  </r>
  <r>
    <x v="1"/>
    <n v="150"/>
    <s v="2023-05-10 14:24:44"/>
    <n v="14"/>
    <s v="lv"/>
    <n v="951767781"/>
    <s v="2023-05-10 14:01:56"/>
    <s v="2023-05-10 14:24:44"/>
    <s v="cirvis"/>
    <n v="22"/>
    <s v="vīriešu"/>
    <m/>
    <x v="1"/>
    <x v="1"/>
    <x v="0"/>
    <x v="0"/>
    <x v="0"/>
    <x v="0"/>
    <s v="Kurzemē"/>
    <m/>
    <s v="Cita atbilde"/>
    <s v="Nav"/>
    <s v="Jā"/>
    <s v="Nē"/>
    <s v="Nē"/>
    <s v="Nē"/>
    <s v="Nē"/>
    <s v="Nē"/>
    <s v="Nē"/>
    <s v="Jā"/>
    <s v="Jā"/>
    <s v="Nē"/>
    <s v="Nē"/>
    <s v="Nē"/>
    <s v="Jā"/>
    <s v="Nē"/>
    <s v="Jā"/>
    <s v="Nē"/>
    <s v="Nē"/>
    <s v="Nē"/>
    <s v="Nē"/>
    <s v="Nē"/>
    <s v="Nē"/>
    <s v="Jā"/>
    <s v="Jā"/>
    <s v="Jā"/>
    <s v="Nē"/>
    <s v="Nē"/>
    <s v="Nē"/>
    <s v="Nē"/>
    <s v="tikai a"/>
    <s v="a un b"/>
    <s v="a un b"/>
    <s v="tikai b"/>
    <s v="a un b"/>
    <s v="a un b"/>
    <s v="Vienlīdzīgi"/>
    <s v="Lielākoties nevienlīdzīgi"/>
    <s v="Lielākoties vienlīdzīgi"/>
    <s v="Vienlīdzīgi"/>
    <s v="Lielākoties nevienlīdzīgi"/>
    <s v="Politiskā partija &quot;Stabilitātei&quot;"/>
    <s v="Nacionālā Apvienība"/>
    <s v="&quot;Apvienotais saraksts&quot;"/>
    <s v="nezinu"/>
    <s v="&quot;Progresīvie&quot;"/>
    <s v="&quot;Latvija pirmajā vietā&quot;"/>
    <s v="Jaunā Vienotība"/>
    <s v="Globālā sasilšana ir šķērsojusi robežu, pēc kuras nav iespējams atgriezties, un cilvēkiem būs jāpielāgojas."/>
    <s v="jā, daļu no tā, ko iespējams šķirot"/>
    <s v="Nacionālā Apvienība"/>
    <s v="Politiskā partija &quot;Stabilitātei&quot;"/>
    <s v="&quot;Latvija pirmajā vietā&quot;"/>
    <s v="&quot;Apvienotais saraksts&quot;"/>
    <s v="&quot;Progresīvie&quot;"/>
    <s v="Zaļo un Zemnieku savienība"/>
    <s v="Jaunā Vienotība"/>
    <s v="Nacionālā Apvienība"/>
    <s v="&quot;Latvija pirmajā vietā&quot;"/>
    <s v="Jaunā Vienotība"/>
    <s v="Zaļo un Zemnieku savienība"/>
    <s v="Politiskā partija &quot;Stabilitātei&quot;"/>
    <s v="&quot;Progresīvie&quot;"/>
    <s v="&quot;Apvienotais saraksts&quot;"/>
    <s v="Ne sevišķi"/>
    <s v="Ne sevišķi"/>
    <s v="Ne sevišķi"/>
    <s v="Ne sevišķi"/>
    <s v="nezinu"/>
    <s v="Nē"/>
    <s v="Jā"/>
    <s v="Nē"/>
    <s v="Nē"/>
    <s v="Nē"/>
    <s v="Nē"/>
    <s v="1.."/>
    <n v="65"/>
    <n v="80"/>
    <m/>
    <m/>
    <s v="Drīzāk saspīlētas"/>
    <s v="Nav saspīlētas"/>
    <s v="Drīzāk saspīlētas"/>
    <s v="(Gandrīz) nekad"/>
    <s v="(Gandrīz) nekad"/>
    <s v="(Gandrīz) nekad"/>
    <s v="(Gandrīz) nekad"/>
    <s v="Bieži"/>
    <m/>
    <m/>
    <m/>
    <m/>
    <m/>
    <s v="Pārsvarātie ir pensionāri kas no padomju savienības palikuši Latvijā un šo gadu laikā ir bijuši slinki iemācīties Valsts valodu. Tajā pat laikā gribēja Krievu valodu kāotru Valsts valodu. Citāts, kas man stāv galvā &quot;Otru Valsts valodu būtu jāzien tikai tiem, kas neprot Krievu valdou&quot;"/>
    <s v="jā, valsts iestādē"/>
    <s v="Jā"/>
    <s v="Jā"/>
    <s v="Jā"/>
    <s v="Nē"/>
    <s v="N/A"/>
    <s v="N/A"/>
    <s v="N/A"/>
    <s v="Jā"/>
    <s v="Jā"/>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pāris reižu mēnesī"/>
    <s v="brīvas vēlēšanas un plurālisms"/>
    <s v="vienlīdz pieejama izglītība, veselības aprūpe, sociālais nodrošinājums"/>
    <s v="pilsoniskās brīvības (vārda brīvība, tiesības uz tiesisko aizsardzību)"/>
    <m/>
    <m/>
    <s v="labi"/>
    <s v="labi"/>
    <s v="ļoti labi"/>
    <s v="nezinu"/>
    <s v="nezinu"/>
    <s v="arodskolu/ profesionālo izglītību"/>
    <m/>
    <s v="N/A"/>
    <s v="N/A"/>
    <s v="N/A"/>
    <s v="Jā"/>
    <s v="latviešu"/>
    <m/>
    <s v="latviešu"/>
    <m/>
    <s v="Spēju veikt pasūtījumu restorānā."/>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Jā"/>
    <s v="Jā"/>
    <s v="Nē"/>
    <s v="Nē"/>
    <s v="Nē"/>
    <m/>
    <s v="Nē"/>
    <m/>
    <s v="Nē"/>
    <m/>
    <s v="Nē"/>
    <m/>
    <s v="Nē"/>
    <m/>
    <s v="Nē"/>
    <s v="Nē"/>
    <s v="Nē"/>
    <s v="Nē"/>
    <s v="Nē"/>
    <s v="Nē"/>
    <s v="Nē"/>
    <s v="Nē"/>
    <s v="Nē"/>
    <s v="Nē"/>
    <s v="Nē"/>
    <s v="Jā"/>
    <s v="Nē"/>
    <s v="Nē"/>
    <s v="Nē"/>
    <m/>
    <s v="Nē"/>
    <m/>
    <s v="Nē"/>
    <m/>
    <s v="Nē"/>
    <m/>
    <s v="Nē"/>
    <m/>
    <s v="Nē"/>
    <s v="Jā"/>
    <s v="Jā"/>
    <s v="Nē"/>
    <s v="Jā"/>
    <s v="Nē"/>
    <s v="Nē"/>
    <s v="Jā"/>
    <s v="Nē"/>
    <s v="Nē"/>
    <s v="Nē"/>
    <s v="Nē"/>
    <m/>
    <m/>
    <m/>
    <m/>
    <m/>
    <m/>
    <m/>
    <m/>
    <m/>
    <m/>
    <m/>
    <m/>
    <m/>
  </r>
  <r>
    <x v="1"/>
    <n v="151"/>
    <s v="2023-05-10 14:24:03"/>
    <n v="14"/>
    <s v="lv"/>
    <n v="258053491"/>
    <s v="2023-05-10 14:02:03"/>
    <s v="2023-05-10 14:24:03"/>
    <s v="cirvis"/>
    <n v="20"/>
    <s v="vīriešu"/>
    <m/>
    <x v="1"/>
    <x v="1"/>
    <x v="0"/>
    <x v="0"/>
    <x v="0"/>
    <x v="0"/>
    <s v="Kurzemē"/>
    <m/>
    <s v="ateistu(ti), nereliģiozu"/>
    <m/>
    <s v="Nē"/>
    <s v="Nē"/>
    <s v="Jā"/>
    <s v="Jā"/>
    <s v="Nē"/>
    <s v="Nē"/>
    <s v="Nē"/>
    <s v="Nē"/>
    <s v="Jā"/>
    <s v="Nē"/>
    <s v="Nē"/>
    <s v="Jā"/>
    <s v="Nē"/>
    <s v="Nē"/>
    <s v="Nē"/>
    <s v="Jā"/>
    <s v="Nē"/>
    <s v="Nē"/>
    <s v="Jā"/>
    <s v="Nē"/>
    <s v="Nē"/>
    <s v="Jā"/>
    <s v="Jā"/>
    <s v="Nē"/>
    <s v="Nē"/>
    <s v="Jā"/>
    <s v="Nē"/>
    <s v="Nē"/>
    <s v="tikai a"/>
    <s v="tikai b"/>
    <s v="tikai a"/>
    <s v="ne a, ne b"/>
    <s v="tikai a"/>
    <s v="a un b"/>
    <s v="Lielākoties vienlīdzīgi"/>
    <s v="Vienlīdzīgi"/>
    <s v="Lielākoties nevienlīdzīgi"/>
    <s v="Lielākoties vienlīdzīgi"/>
    <s v="Lielākoties nevienlīdzīgi"/>
    <s v="Zaļo un Zemnieku savienība"/>
    <s v="&quot;Progresīvie&quot;"/>
    <s v="Jaunā Vienotība"/>
    <s v="Jaunā Vienotība"/>
    <s v="Nacionālā Apvienība"/>
    <s v="&quot;Apvienotais saraksts&quot;"/>
    <s v="&quot;Latvija pirmajā vietā&quot;"/>
    <s v="Klimata pārmaiņas – tas ir ciklisks un dabisks process."/>
    <s v="jā, lielāko daļu no tā, ko iespējams šķirot"/>
    <s v="nezinu"/>
    <s v="Zaļo un Zemnieku savienība"/>
    <s v="&quot;Progresīvie&quot;"/>
    <s v="Politiskā partija &quot;Stabilitātei&quot;"/>
    <s v="&quot;Apvienotais saraksts&quot;"/>
    <s v="Nacionālā Apvienība"/>
    <s v="Jaunā Vienotība"/>
    <s v="Jaunā Vienotība"/>
    <s v="Nacionālā Apvienība"/>
    <s v="&quot;Apvienotais saraksts&quot;"/>
    <s v="Zaļo un Zemnieku savienība"/>
    <s v="&quot;Progresīvie&quot;"/>
    <s v="Politiskā partija &quot;Stabilitātei&quot;"/>
    <s v="&quot;Latvija pirmajā vietā&quot;"/>
    <s v="Ļoti"/>
    <s v="Neinteresē"/>
    <s v="Viduvēji"/>
    <s v="Viduvēji"/>
    <s v="uz saviem skatiem ,pan'akt lielu cilv'eku balsojumu,kas ir vi'niem tuvs"/>
    <s v="Nē"/>
    <s v="Nē"/>
    <s v="Nē"/>
    <s v="Nē"/>
    <s v="Jā"/>
    <s v="Nē"/>
    <s v="1.."/>
    <n v="21"/>
    <n v="83"/>
    <m/>
    <m/>
    <s v="Nav saspīlētas"/>
    <s v="Nav saspīlētas"/>
    <s v="Nav saspīlētas"/>
    <s v="(Gandrīz) nekad"/>
    <s v="(Gandrīz) nekad"/>
    <s v="Reti"/>
    <s v="(Gandrīz) nekad"/>
    <s v="Reti"/>
    <m/>
    <m/>
    <m/>
    <m/>
    <m/>
    <s v="veikala, Lietuva ieperkoties."/>
    <s v="nē"/>
    <s v="N/A"/>
    <s v="N/A"/>
    <s v="N/A"/>
    <s v="N/A"/>
    <s v="N/A"/>
    <s v="N/A"/>
    <s v="N/A"/>
    <s v="Jā"/>
    <s v="Jā"/>
    <s v="Nē"/>
    <s v="Nē"/>
    <s v="Nē"/>
    <s v="(gandrīz) katru dienu"/>
    <s v="(gandrīz) katru dienu"/>
    <s v="(gandrīz) katru dienu"/>
    <s v="pāris reižu nedēļā"/>
    <s v="pāris reižu mēnesī"/>
    <s v="pāris reižu nedēļā"/>
    <s v="(gandrīz) katru dienu"/>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labi"/>
    <s v="citreiz labi, citreiz slikti"/>
    <s v="labi"/>
    <s v="citreiz labi, citreiz slikti"/>
    <s v="labi"/>
    <s v="vidējo izglītību"/>
    <m/>
    <s v="N/A"/>
    <s v="N/A"/>
    <s v="N/A"/>
    <s v="Jā"/>
    <s v="latviešu"/>
    <m/>
    <s v="latviešu"/>
    <m/>
    <s v="Spēju pastāstīt par savu hobiju / darbu."/>
    <s v="Spēju uzrakstīt motivācijas vēstuli darbam/ par savu darba pieredzi."/>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Nē"/>
    <s v="Nē"/>
    <s v="Jā"/>
    <m/>
    <s v="Nē"/>
    <m/>
    <s v="Nē"/>
    <m/>
    <s v="Nē"/>
    <m/>
    <s v="Nē"/>
    <m/>
    <s v="Jā"/>
    <s v="Nē"/>
    <s v="Nē"/>
    <s v="Nē"/>
    <s v="Nē"/>
    <s v="Nē"/>
    <s v="Nē"/>
    <s v="Jā"/>
    <s v="Nē"/>
    <s v="Nē"/>
    <s v="Nē"/>
    <s v="Nē"/>
    <m/>
    <m/>
    <m/>
    <m/>
    <m/>
    <m/>
    <m/>
    <m/>
    <m/>
    <m/>
    <m/>
    <m/>
    <m/>
  </r>
  <r>
    <x v="1"/>
    <n v="152"/>
    <s v="2023-05-10 14:25:25"/>
    <n v="14"/>
    <s v="lv"/>
    <n v="286898728"/>
    <s v="2023-05-10 14:02:17"/>
    <s v="2023-05-10 14:25:25"/>
    <s v="cirvis"/>
    <n v="21"/>
    <s v="vīriešu"/>
    <m/>
    <x v="1"/>
    <x v="1"/>
    <x v="0"/>
    <x v="0"/>
    <x v="0"/>
    <x v="0"/>
    <s v="Kurzemē"/>
    <m/>
    <s v="ateistu(ti), nereliģiozu"/>
    <m/>
    <s v="Jā"/>
    <s v="Nē"/>
    <s v="Nē"/>
    <s v="Nē"/>
    <s v="Nē"/>
    <s v="Jā"/>
    <s v="Nē"/>
    <s v="Nē"/>
    <s v="Jā"/>
    <s v="Nē"/>
    <s v="Jā"/>
    <s v="Nē"/>
    <s v="Nē"/>
    <s v="Nē"/>
    <s v="Nē"/>
    <s v="Jā"/>
    <s v="Nē"/>
    <s v="Nē"/>
    <s v="Jā"/>
    <s v="Nē"/>
    <s v="Nē"/>
    <s v="Jā"/>
    <s v="Jā"/>
    <s v="Nē"/>
    <s v="Nē"/>
    <s v="Nē"/>
    <s v="Jā"/>
    <s v="Nē"/>
    <s v="nezinu"/>
    <s v="tikai a"/>
    <s v="a un b"/>
    <s v="nezinu"/>
    <s v="a un b"/>
    <s v="a un b"/>
    <s v="Lielākoties vienlīdzīgi"/>
    <s v="Lielākoties vienlīdzīgi"/>
    <s v="Lielākoties vienlīdzīgi"/>
    <s v="Lielākoties vienlīdzīgi"/>
    <s v="Lielākoties nevienlīdzīgi"/>
    <s v="Zaļo un Zemnieku savienība"/>
    <s v="Jaunā Vienotība"/>
    <s v="&quot;Progresīvie&quot;"/>
    <s v="&quot;Apvienotais saraksts&quot;"/>
    <s v="&quot;Latvija pirmajā vietā&quot;"/>
    <s v="&quot;Progresīvie&quot;"/>
    <s v="nezinu"/>
    <s v="Cīņai ar klimata pārmaiņām būtu jābūt vairumam pasaules valstu galvenajai prioritātei."/>
    <s v="jā, daļu no tā, ko iespējams šķirot"/>
    <s v="Jaunā Vienotība"/>
    <s v="Nacionālā Apvienība"/>
    <s v="&quot;Progresīvie&quot;"/>
    <s v="Zaļo un Zemnieku savienība"/>
    <s v="nezinu"/>
    <s v="Politiskā partija &quot;Stabilitātei&quot;"/>
    <s v="&quot;Latvija pirmajā vietā&quot;"/>
    <s v="&quot;Apvienotais saraksts&quot;"/>
    <s v="Jaunā Vienotība"/>
    <s v="&quot;Latvija pirmajā vietā&quot;"/>
    <s v="Politiskā partija &quot;Stabilitātei&quot;"/>
    <s v="&quot;Progresīvie&quot;"/>
    <s v="Zaļo un Zemnieku savienība"/>
    <s v="Nacionālā Apvienība"/>
    <s v="Viduvēji"/>
    <s v="Viduvēji"/>
    <s v="Viduvēji"/>
    <s v="Viduvēji"/>
    <s v="nezinu"/>
    <s v="Nē"/>
    <s v="Nē"/>
    <s v="Nē"/>
    <s v="Nē"/>
    <s v="Jā"/>
    <s v="Nē"/>
    <s v="2.."/>
    <n v="30"/>
    <n v="90"/>
    <m/>
    <m/>
    <s v="Mazliet saspīlētas"/>
    <s v="Nav saspīlētas"/>
    <s v="Nav saspīlētas"/>
    <s v="Dažreiz"/>
    <s v="(Gandrīz) nekad"/>
    <s v="(Gandrīz) nekad"/>
    <s v="(Gandrīz) nekad"/>
    <s v="Dažreiz"/>
    <m/>
    <m/>
    <m/>
    <m/>
    <m/>
    <s v="nezinu"/>
    <s v="nē"/>
    <s v="N/A"/>
    <s v="N/A"/>
    <s v="N/A"/>
    <s v="N/A"/>
    <s v="N/A"/>
    <s v="N/A"/>
    <s v="N/A"/>
    <s v="Jā"/>
    <s v="Jā"/>
    <s v="Jā"/>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labi"/>
    <s v="nezinu"/>
    <s v="citreiz labi, citreiz slikti"/>
    <s v="citreiz labi, citreiz slikti"/>
    <s v="citreiz labi, citreiz slikti"/>
    <s v="vidējo izglītību"/>
    <m/>
    <s v="N/A"/>
    <s v="N/A"/>
    <s v="N/A"/>
    <s v="Jā"/>
    <s v="latviešu"/>
    <m/>
    <s v="latviešu"/>
    <m/>
    <s v="Spēju veikt pasūtījumu restorānā."/>
    <s v="{if(is_empty(tongueLAT_SQ001.NAOK), 'latviski','krieviski')} nemāku rakstīt."/>
    <s v="Saprotu norādes, kur iet."/>
    <s v="Krieviski/latviski spēju izlasīt ēdienkarti restorānā."/>
    <m/>
    <m/>
    <m/>
    <m/>
    <m/>
    <m/>
    <m/>
    <m/>
    <m/>
    <m/>
    <m/>
    <m/>
    <m/>
    <m/>
    <m/>
    <m/>
    <m/>
    <s v="N/A"/>
    <s v="N/A"/>
    <s v="N/A"/>
    <s v="N/A"/>
    <s v="N/A"/>
    <s v="N/A"/>
    <m/>
    <m/>
    <m/>
    <m/>
    <m/>
    <s v="Nē"/>
    <s v="Nē"/>
    <s v="Jā"/>
    <s v="Nē"/>
    <s v="Nē"/>
    <s v="Nē"/>
    <s v="Nē"/>
    <s v="Nē"/>
    <s v="Nē"/>
    <s v="Nē"/>
    <s v="Jā"/>
    <s v="Jā"/>
    <s v="Nē"/>
    <s v="Nē"/>
    <s v="Nē"/>
    <m/>
    <s v="Nē"/>
    <m/>
    <s v="Nē"/>
    <m/>
    <s v="Nē"/>
    <m/>
    <s v="Nē"/>
    <m/>
    <s v="Nē"/>
    <s v="Nē"/>
    <s v="Nē"/>
    <s v="Jā"/>
    <s v="Nē"/>
    <s v="Nē"/>
    <s v="Nē"/>
    <s v="Nē"/>
    <s v="Nē"/>
    <s v="Nē"/>
    <s v="Nē"/>
    <s v="Jā"/>
    <s v="Nē"/>
    <s v="Nē"/>
    <s v="Nē"/>
    <m/>
    <s v="Jā"/>
    <s v="liepajniekiem.lv"/>
    <s v="Nē"/>
    <m/>
    <s v="Nē"/>
    <m/>
    <s v="Nē"/>
    <m/>
    <s v="Jā"/>
    <s v="Jā"/>
    <s v="Jā"/>
    <s v="Nē"/>
    <s v="Jā"/>
    <s v="Nē"/>
    <s v="Nē"/>
    <s v="Jā"/>
    <s v="Nē"/>
    <s v="Nē"/>
    <s v="Jā"/>
    <s v="Nē"/>
    <m/>
    <m/>
    <m/>
    <m/>
    <m/>
    <m/>
    <m/>
    <m/>
    <m/>
    <m/>
    <m/>
    <m/>
    <m/>
  </r>
  <r>
    <x v="1"/>
    <n v="153"/>
    <s v="2023-05-10 14:24:35"/>
    <n v="14"/>
    <s v="lv"/>
    <n v="747849879"/>
    <s v="2023-05-10 14:02:24"/>
    <s v="2023-05-10 14:24:35"/>
    <s v="cirvis"/>
    <n v="22"/>
    <s v="sieviešu"/>
    <m/>
    <x v="1"/>
    <x v="1"/>
    <x v="0"/>
    <x v="0"/>
    <x v="0"/>
    <x v="0"/>
    <s v="Kurzemē"/>
    <m/>
    <s v="Cita atbilde"/>
    <s v="metodistu"/>
    <s v="Nē"/>
    <s v="Jā"/>
    <s v="Jā"/>
    <s v="Nē"/>
    <s v="Jā"/>
    <s v="Nē"/>
    <s v="Nē"/>
    <s v="Jā"/>
    <s v="Jā"/>
    <s v="Jā"/>
    <s v="Nē"/>
    <s v="Nē"/>
    <s v="Nē"/>
    <s v="Nē"/>
    <s v="Jā"/>
    <s v="Jā"/>
    <s v="Jā"/>
    <s v="Nē"/>
    <s v="Nē"/>
    <s v="Nē"/>
    <s v="Nē"/>
    <s v="Nē"/>
    <s v="Jā"/>
    <s v="Jā"/>
    <s v="Nē"/>
    <s v="Nē"/>
    <s v="Nē"/>
    <s v="Nē"/>
    <s v="tikai a"/>
    <s v="a un b"/>
    <s v="ne a, ne b"/>
    <s v="tikai b"/>
    <s v="tikai a"/>
    <s v="tikai a"/>
    <s v="Lielākoties vienlīdzīgi"/>
    <s v="Lielākoties nevienlīdzīgi"/>
    <s v="Vienlīdzīgi"/>
    <s v="Lielākoties vienlīdzīgi"/>
    <s v="Lielākoties vienlīdzīgi"/>
    <s v="Jaunā Vienotība"/>
    <s v="Nacionālā Apvienība"/>
    <s v="&quot;Progresīvie&quot;"/>
    <s v="Jaunā Vienotība"/>
    <s v="Politiskā partija &quot;Stabilitātei&quot;"/>
    <s v="&quot;Apvienotais saraksts&quot;"/>
    <s v="&quot;Latvija pirmajā vietā&quot;"/>
    <s v="Reizēm ekonomiskā un valsts stabilitāte varētu nozīmēt, ka atsevišķi ekoloģiskās politikas aspekti ir uz brīdi jāiepauzē."/>
    <s v="jā, daļu no tā, ko iespējams šķirot"/>
    <s v="&quot;Apvienotais saraksts&quot;"/>
    <s v="Politiskā partija &quot;Stabilitātei&quot;"/>
    <s v="Jaunā Vienotība"/>
    <s v="Nacionālā Apvienība"/>
    <s v="&quot;Progresīvie&quot;"/>
    <s v="&quot;Latvija pirmajā vietā&quot;"/>
    <s v="Zaļo un Zemnieku savienība"/>
    <s v="&quot;Latvija pirmajā vietā&quot;"/>
    <s v="&quot;Progresīvie&quot;"/>
    <s v="&quot;Apvienotais saraksts&quot;"/>
    <s v="Jaunā Vienotība"/>
    <s v="Nacionālā Apvienība"/>
    <s v="Politiskā partija &quot;Stabilitātei&quot;"/>
    <s v="Zaļo un Zemnieku savienība"/>
    <s v="Ļoti"/>
    <s v="Ne sevišķi"/>
    <s v="Viduvēji"/>
    <s v="Ļoti"/>
    <s v="nezinu, jo neesmu iepriekš par to domājusi/iedomājusies. Un nebiju īsti dzirdējusi tādu terminu &quot;populisms&quot;"/>
    <s v="Nē"/>
    <s v="Nē"/>
    <s v="Nē"/>
    <s v="Jā"/>
    <s v="Nē"/>
    <s v="Nē"/>
    <s v="1.."/>
    <n v="70"/>
    <n v="80"/>
    <m/>
    <m/>
    <s v="Ļoti saspīlētas"/>
    <s v="Nav saspīlētas"/>
    <s v="Nav saspīlētas"/>
    <s v="(Gandrīz) nekad"/>
    <s v="(Gandrīz) nekad"/>
    <s v="(Gandrīz) nekad"/>
    <s v="Reti"/>
    <s v="Reti"/>
    <m/>
    <m/>
    <m/>
    <m/>
    <m/>
    <m/>
    <s v="nē"/>
    <s v="N/A"/>
    <s v="N/A"/>
    <s v="N/A"/>
    <s v="N/A"/>
    <s v="Jā"/>
    <s v="Nē"/>
    <s v="Nē"/>
    <s v="Nē"/>
    <s v="Nē"/>
    <s v="Nē"/>
    <s v="Jā"/>
    <s v="Nē"/>
    <s v="(gandrīz) katru dienu"/>
    <s v="(gandrīz) katru dienu"/>
    <s v="(gandrīz) nekad"/>
    <s v="(gandrīz) katru dienu"/>
    <s v="(gandrīz) katru dienu"/>
    <s v="(gandrīz) katru dienu"/>
    <s v="(gandrīz) katru dienu"/>
    <s v="pāris reižu mēnesī"/>
    <s v="pāris reižu mēnesī"/>
    <s v="(gandrīz) nekad"/>
    <s v="(gandrīz) nekad"/>
    <s v="pāris reižu mēnesī"/>
    <s v="pāris reižu mēnesī"/>
    <s v="pāris reižu mēnesī"/>
    <s v="pilsoniskās brīvības (vārda brīvība, tiesības uz tiesisko aizsardzību)"/>
    <s v="vienlīdz pieejama izglītība, veselības aprūpe, sociālais nodrošinājums"/>
    <s v="brīvas vēlēšanas un plurālisms"/>
    <m/>
    <m/>
    <s v="citreiz labi, citreiz slikti"/>
    <s v="slikti"/>
    <s v="citreiz labi, citreiz slikti"/>
    <s v="labi"/>
    <s v="nezinu"/>
    <s v="arodskolu/ profesionālo izglītību"/>
    <m/>
    <s v="N/A"/>
    <s v="N/A"/>
    <s v="N/A"/>
    <s v="Jā"/>
    <s v="latviešu"/>
    <m/>
    <s v="latviešu"/>
    <m/>
    <s v="Spēju pastāstīt par savu hobiju / darbu."/>
    <s v="Spēju uzrakstīt vēstuli draugam."/>
    <s v="Viegli saprotu televīzijas pārraides vai Youtube video par saviem hobijiem/darbības sfēru."/>
    <s v="Spēju izlasīt avīzi/īsstāstus."/>
    <m/>
    <m/>
    <m/>
    <m/>
    <m/>
    <m/>
    <m/>
    <m/>
    <m/>
    <m/>
    <m/>
    <m/>
    <m/>
    <m/>
    <m/>
    <m/>
    <m/>
    <s v="N/A"/>
    <s v="N/A"/>
    <s v="N/A"/>
    <s v="N/A"/>
    <s v="N/A"/>
    <s v="N/A"/>
    <m/>
    <m/>
    <m/>
    <m/>
    <m/>
    <s v="Nē"/>
    <s v="Nē"/>
    <s v="Jā"/>
    <s v="Jā"/>
    <s v="Nē"/>
    <s v="Nē"/>
    <s v="Nē"/>
    <s v="Nē"/>
    <s v="Jā"/>
    <s v="Jā"/>
    <s v="Jā"/>
    <s v="Jā"/>
    <s v="Nē"/>
    <s v="Nē"/>
    <s v="Nē"/>
    <m/>
    <s v="Nē"/>
    <m/>
    <s v="Jā"/>
    <s v="History, Animal Planet"/>
    <s v="Nē"/>
    <m/>
    <s v="Nē"/>
    <m/>
    <s v="Nē"/>
    <s v="Jā"/>
    <s v="Nē"/>
    <s v="Jā"/>
    <s v="Nē"/>
    <s v="Nē"/>
    <s v="Nē"/>
    <s v="Nē"/>
    <s v="Nē"/>
    <s v="Nē"/>
    <s v="Nē"/>
    <s v="Jā"/>
    <s v="Nē"/>
    <s v="Nē"/>
    <s v="Nē"/>
    <m/>
    <s v="Nē"/>
    <m/>
    <s v="Nē"/>
    <m/>
    <s v="Nē"/>
    <m/>
    <s v="Nē"/>
    <m/>
    <s v="Nē"/>
    <s v="Jā"/>
    <s v="Jā"/>
    <s v="Nē"/>
    <s v="Jā"/>
    <s v="Nē"/>
    <s v="Nē"/>
    <s v="Jā"/>
    <s v="Jā"/>
    <s v="Nē"/>
    <s v="Jā"/>
    <s v="Nē"/>
    <s v="discord"/>
    <m/>
    <m/>
    <m/>
    <m/>
    <m/>
    <m/>
    <m/>
    <m/>
    <m/>
    <m/>
    <m/>
    <m/>
  </r>
  <r>
    <x v="1"/>
    <n v="154"/>
    <s v="2023-05-10 14:27:13"/>
    <n v="14"/>
    <s v="lv"/>
    <n v="1082874631"/>
    <s v="2023-05-10 14:02:43"/>
    <s v="2023-05-10 14:27:13"/>
    <s v="cirvis"/>
    <n v="21"/>
    <s v="vīriešu"/>
    <m/>
    <x v="1"/>
    <x v="1"/>
    <x v="0"/>
    <x v="0"/>
    <x v="0"/>
    <x v="0"/>
    <s v="Kurzemē"/>
    <m/>
    <s v="ateistu(ti), nereliģiozu"/>
    <m/>
    <s v="Nē"/>
    <s v="Jā"/>
    <s v="Nē"/>
    <s v="Nē"/>
    <s v="Nē"/>
    <s v="Nē"/>
    <s v="Nē"/>
    <s v="Jā"/>
    <s v="Jā"/>
    <s v="Nē"/>
    <s v="Nē"/>
    <s v="Nē"/>
    <s v="Nē"/>
    <s v="Nē"/>
    <s v="Jā"/>
    <s v="Nē"/>
    <s v="Jā"/>
    <s v="Nē"/>
    <s v="Nē"/>
    <s v="Nē"/>
    <s v="Nē"/>
    <s v="Jā"/>
    <s v="Nē"/>
    <s v="Nē"/>
    <s v="Nē"/>
    <s v="Jā"/>
    <s v="Nē"/>
    <s v="Nē"/>
    <s v="tikai b"/>
    <s v="a un b"/>
    <s v="tikai b"/>
    <s v="tikai a"/>
    <s v="a un b"/>
    <s v="tikai a"/>
    <s v="Lielākoties nevienlīdzīgi"/>
    <s v="Vienlīdzīgi"/>
    <s v="Lielākoties nevienlīdzīgi"/>
    <s v="Lielākoties vienlīdzīgi"/>
    <s v="Lielākoties 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Ļoti"/>
    <s v="Ārkārtīgi"/>
    <s v="Ļoti"/>
    <s v="Populisms nozīmē, ka politiķis vai persona mēģina apmierināt lielāko daļu no iedzīvotāju neapmierinātībām. Ja tauta, lielā mēra, sūdzās par teiksim &quot;piespiedu vakcināciju&quot;, tad populists mēģinātu šos cilvēkus apmieriāt sakot, ka &quot;cīnīsies par iedīvotāju iespēju izvēlēties!&quot;"/>
    <s v="Jā"/>
    <s v="Nē"/>
    <s v="Nē"/>
    <s v="Jā"/>
    <s v="Jā"/>
    <s v="Nē"/>
    <s v="1.."/>
    <n v="80"/>
    <n v="90"/>
    <m/>
    <m/>
    <s v="Drīzāk saspīlētas"/>
    <s v="Mazliet saspīlētas"/>
    <s v="Nav saspīlētas"/>
    <s v="(Gandrīz) nekad"/>
    <s v="(Gandrīz) nekad"/>
    <s v="(Gandrīz) nekad"/>
    <s v="Reti"/>
    <s v="Dažreiz"/>
    <m/>
    <m/>
    <m/>
    <m/>
    <m/>
    <s v="Es ļoti bieži ar draugiem sarunājoties dažādos čatos izmantoj angļu valodu, jo tā ir īsāka un vieglāka nekā latviešu valoda."/>
    <s v="nē"/>
    <s v="N/A"/>
    <s v="N/A"/>
    <s v="N/A"/>
    <s v="N/A"/>
    <s v="Jā"/>
    <s v="Nē"/>
    <s v="Nē"/>
    <s v="Nē"/>
    <s v="Jā"/>
    <s v="Jā"/>
    <s v="Nē"/>
    <s v="Nē"/>
    <s v="(gandrīz) katru dienu"/>
    <s v="(gandrīz) katru dienu"/>
    <s v="(gandrīz) katru dienu"/>
    <s v="(gandrīz) katru dienu"/>
    <s v="(gandrīz) katru dienu"/>
    <s v="pāris reižu nedēļā"/>
    <s v="(gandrīz) katru dienu"/>
    <s v="pāris reižu mēnesī"/>
    <s v="(gandrīz) nekad"/>
    <s v="(gandrīz) nekad"/>
    <s v="(gandrīz) nekad"/>
    <s v="(gandrīz) nekad"/>
    <s v="(gandrīz) nekad"/>
    <s v="(gandrīz) nekad"/>
    <s v="varas līdzsvars starp parlamentu, prezidentu un tiesām, lai neviena no institūcijām nespētu sevī koncentrēt lielāko daļu varas"/>
    <s v="brīvas vēlēšanas un plurālisms"/>
    <s v="vienlīdz pieejama izglītība, veselības aprūpe, sociālais nodrošinājums"/>
    <m/>
    <m/>
    <s v="labi"/>
    <s v="labi"/>
    <s v="labi"/>
    <s v="labi"/>
    <s v="slikti"/>
    <s v="vidējo izglītību"/>
    <m/>
    <s v="N/A"/>
    <s v="N/A"/>
    <s v="N/A"/>
    <s v="Jā"/>
    <s v="latviešu"/>
    <m/>
    <s v="latviešu"/>
    <m/>
    <s v="Spēju pastāstīt par savu hobiju / darbu."/>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Nē"/>
    <s v="Nē"/>
    <s v="Nē"/>
    <s v="Nē"/>
    <s v="Jā"/>
    <m/>
    <s v="Nē"/>
    <m/>
    <s v="Nē"/>
    <m/>
    <s v="Nē"/>
    <m/>
    <s v="Nē"/>
    <m/>
    <s v="Jā"/>
    <s v="Jā"/>
    <s v="Nē"/>
    <s v="Nē"/>
    <s v="Nē"/>
    <s v="Nē"/>
    <s v="Nē"/>
    <s v="Nē"/>
    <s v="Nē"/>
    <s v="Nē"/>
    <s v="Nē"/>
    <s v="Nē"/>
    <s v="Nē"/>
    <s v="Nē"/>
    <s v="Nē"/>
    <m/>
    <s v="Nē"/>
    <m/>
    <s v="Nē"/>
    <m/>
    <s v="Nē"/>
    <m/>
    <s v="Nē"/>
    <m/>
    <s v="Nē"/>
    <s v="Nē"/>
    <s v="Nē"/>
    <s v="Nē"/>
    <s v="Jā"/>
    <s v="Nē"/>
    <s v="Nē"/>
    <s v="Jā"/>
    <s v="Jā"/>
    <s v="Nē"/>
    <s v="Nē"/>
    <s v="Nē"/>
    <m/>
    <s v="Manuprāt aptajua ir pārāk īsa, lai noteiktu pilno stāvokli Latvijā."/>
    <m/>
    <m/>
    <m/>
    <m/>
    <m/>
    <m/>
    <m/>
    <m/>
    <m/>
    <m/>
    <m/>
  </r>
  <r>
    <x v="1"/>
    <n v="155"/>
    <s v="2023-05-10 14:25:37"/>
    <n v="14"/>
    <s v="lv"/>
    <n v="1806381837"/>
    <s v="2023-05-10 14:02:48"/>
    <s v="2023-05-10 14:25:37"/>
    <s v="cirvis"/>
    <n v="21"/>
    <s v="vīriešu"/>
    <m/>
    <x v="1"/>
    <x v="1"/>
    <x v="0"/>
    <x v="0"/>
    <x v="0"/>
    <x v="0"/>
    <s v="Kurzemē"/>
    <m/>
    <s v="Cita atbilde"/>
    <s v="Reliģiozs, bet ne konkrētai sektai"/>
    <s v="Nē"/>
    <s v="Nē"/>
    <s v="Jā"/>
    <s v="Nē"/>
    <s v="Jā"/>
    <s v="Nē"/>
    <s v="Nē"/>
    <s v="Jā"/>
    <s v="Nē"/>
    <s v="Nē"/>
    <s v="Nē"/>
    <s v="Nē"/>
    <s v="Nē"/>
    <s v="Nē"/>
    <s v="N/A"/>
    <s v="N/A"/>
    <s v="N/A"/>
    <s v="N/A"/>
    <s v="N/A"/>
    <s v="N/A"/>
    <s v="Jā"/>
    <s v="Jā"/>
    <s v="Jā"/>
    <s v="Nē"/>
    <s v="Nē"/>
    <s v="Jā"/>
    <s v="Nē"/>
    <s v="Nē"/>
    <s v="nezinu"/>
    <s v="nezinu"/>
    <s v="tikai a"/>
    <s v="nezinu"/>
    <s v="ne a, ne b"/>
    <s v="ne a, ne b"/>
    <s v="Lielākoties vienlīdzīgi"/>
    <s v="Lielākoties vienlīdzīgi"/>
    <s v="Vienlīdzīgi"/>
    <s v="Vienlīdzīgi"/>
    <s v="Vienlīdzīgi"/>
    <s v="&quot;Latvija pirmajā vietā&quot;"/>
    <s v="&quot;Progresīvie&quot;"/>
    <s v="Nacionālā Apvienība"/>
    <s v="nezinu"/>
    <s v="Nacionālā Apvienība"/>
    <s v="&quot;Progresīvie&quot;"/>
    <s v="nezinu"/>
    <s v="Klimata pārmaiņas – tas ir ciklisks un dabisks process."/>
    <s v="jā, lielāko daļu no tā, ko iespējams šķirot"/>
    <s v="Jaunā Vienotība"/>
    <s v="nezinu"/>
    <s v="&quot;Progresīvie&quot;"/>
    <s v="Zaļo un Zemnieku savienība"/>
    <s v="&quot;Apvienotais saraksts&quot;"/>
    <s v="Zaļo un Zemnieku savienība"/>
    <s v="nezinu"/>
    <s v="Politiskā partija &quot;Stabilitātei&quot;"/>
    <s v="&quot;Progresīvie&quot;"/>
    <s v="Nacionālā Apvienība"/>
    <s v="nezinu"/>
    <s v="&quot;Progresīvie&quot;"/>
    <s v="nezinu"/>
    <s v="nezinu"/>
    <s v="Viduvēji"/>
    <s v="Neinteresē"/>
    <s v="Ļoti"/>
    <s v="Neinteresē"/>
    <s v="Popolisti, cilvēki, kas sola cilvēkiem ļoti patīkamus solijumus, kas rezonansē ar vēlētāju."/>
    <s v="Nē"/>
    <s v="Nē"/>
    <s v="Nē"/>
    <s v="Nē"/>
    <s v="Jā"/>
    <s v="Nē"/>
    <s v="1.."/>
    <n v="27"/>
    <n v="100"/>
    <m/>
    <m/>
    <s v="Drīzāk saspīlētas"/>
    <s v="Nav saspīlētas"/>
    <s v="Nav saspīlētas"/>
    <s v="(Gandrīz) nekad"/>
    <s v="(Gandrīz) nekad"/>
    <s v="(Gandrīz) nekad"/>
    <s v="(Gandrīz) nekad"/>
    <s v="(Gandrīz) nekad"/>
    <m/>
    <m/>
    <m/>
    <m/>
    <m/>
    <m/>
    <s v="nē"/>
    <s v="N/A"/>
    <s v="N/A"/>
    <s v="N/A"/>
    <s v="N/A"/>
    <s v="N/A"/>
    <s v="N/A"/>
    <s v="N/A"/>
    <s v="Jā"/>
    <s v="Jā"/>
    <s v="Nē"/>
    <s v="Jā"/>
    <s v="Nē"/>
    <s v="(gandrīz) katru dienu"/>
    <s v="(gandrīz) katru dienu"/>
    <s v="(gandrīz) katru dienu"/>
    <s v="pāris reižu nedēļā"/>
    <s v="(gandrīz) katru dienu"/>
    <s v="(gandrīz) katru dienu"/>
    <s v="(gandrīz) katru dienu"/>
    <s v="(gandrīz) nekad"/>
    <s v="(gandrīz) nekad"/>
    <s v="(gandrīz) nekad"/>
    <s v="(gandrīz) nekad"/>
    <s v="(gandrīz) nekad"/>
    <s v="(gandrīz) nekad"/>
    <s v="pāris reižu mēnesī"/>
    <s v="pilsoniskās brīvības (vārda brīvība, tiesības uz tiesisko aizsardzību)"/>
    <s v="brīvas vēlēšanas un plurālisms"/>
    <s v="varas līdzsvars starp parlamentu, prezidentu un tiesām, lai neviena no institūcijām nespētu sevī koncentrēt lielāko daļu varas"/>
    <m/>
    <m/>
    <s v="labi"/>
    <s v="ļoti labi"/>
    <s v="labi"/>
    <s v="nezinu"/>
    <s v="labi"/>
    <s v="vidējo izglītību"/>
    <m/>
    <s v="N/A"/>
    <s v="N/A"/>
    <s v="N/A"/>
    <s v="Jā"/>
    <s v="latviešu"/>
    <m/>
    <s v="latviešu"/>
    <m/>
    <s v="Spēju pastāstīt par savu hobiju / darbu."/>
    <s v="Spēju uzrakstīt vēstuli draugam."/>
    <s v="Saprotu norādes, kur iet."/>
    <s v="Krieviski/latviski spēju izlasīt ēdienkarti restorānā."/>
    <m/>
    <m/>
    <m/>
    <m/>
    <m/>
    <m/>
    <m/>
    <m/>
    <m/>
    <m/>
    <m/>
    <m/>
    <m/>
    <m/>
    <m/>
    <m/>
    <m/>
    <s v="N/A"/>
    <s v="N/A"/>
    <s v="N/A"/>
    <s v="N/A"/>
    <s v="N/A"/>
    <s v="N/A"/>
    <m/>
    <m/>
    <m/>
    <m/>
    <m/>
    <s v="Nē"/>
    <s v="Nē"/>
    <s v="Jā"/>
    <s v="Nē"/>
    <s v="Nē"/>
    <s v="Nē"/>
    <s v="Nē"/>
    <s v="Nē"/>
    <s v="Jā"/>
    <s v="Nē"/>
    <s v="Nē"/>
    <s v="Jā"/>
    <s v="Nē"/>
    <s v="Nē"/>
    <s v="Nē"/>
    <m/>
    <s v="Nē"/>
    <m/>
    <s v="Nē"/>
    <m/>
    <s v="Nē"/>
    <m/>
    <s v="Nē"/>
    <m/>
    <s v="Nē"/>
    <s v="Nē"/>
    <s v="Nē"/>
    <s v="Nē"/>
    <s v="Nē"/>
    <s v="Nē"/>
    <s v="Nē"/>
    <s v="Nē"/>
    <s v="Jā"/>
    <s v="Nē"/>
    <s v="Nē"/>
    <s v="Jā"/>
    <s v="Nē"/>
    <s v="Nē"/>
    <s v="Nē"/>
    <m/>
    <s v="Nē"/>
    <m/>
    <s v="Nē"/>
    <m/>
    <s v="Nē"/>
    <m/>
    <s v="Nē"/>
    <m/>
    <s v="Nē"/>
    <s v="Nē"/>
    <s v="Nē"/>
    <s v="Nē"/>
    <s v="Jā"/>
    <s v="Nē"/>
    <s v="Nē"/>
    <s v="Jā"/>
    <s v="Nē"/>
    <s v="Nē"/>
    <s v="Nē"/>
    <s v="Nē"/>
    <m/>
    <m/>
    <m/>
    <m/>
    <m/>
    <m/>
    <m/>
    <m/>
    <m/>
    <m/>
    <m/>
    <m/>
    <m/>
  </r>
  <r>
    <x v="1"/>
    <n v="156"/>
    <s v="2023-05-10 14:33:48"/>
    <n v="14"/>
    <s v="lv"/>
    <n v="1479633660"/>
    <s v="2023-05-10 14:02:56"/>
    <s v="2023-05-10 14:33:48"/>
    <s v="cirvis"/>
    <n v="21"/>
    <s v="vīriešu"/>
    <m/>
    <x v="1"/>
    <x v="0"/>
    <x v="0"/>
    <x v="0"/>
    <x v="0"/>
    <x v="0"/>
    <s v="Kurzemē"/>
    <m/>
    <s v="ateistu(ti), nereliģiozu"/>
    <m/>
    <s v="Jā"/>
    <s v="Jā"/>
    <s v="Nē"/>
    <s v="Jā"/>
    <s v="Nē"/>
    <s v="Nē"/>
    <s v="Nē"/>
    <s v="Nē"/>
    <s v="Jā"/>
    <s v="Jā"/>
    <s v="Nē"/>
    <s v="Jā"/>
    <s v="Nē"/>
    <s v="Nē"/>
    <s v="Jā"/>
    <s v="Nē"/>
    <s v="Jā"/>
    <s v="Jā"/>
    <s v="Nē"/>
    <s v="Nē"/>
    <s v="Nē"/>
    <s v="Jā"/>
    <s v="Jā"/>
    <s v="Jā"/>
    <s v="Jā"/>
    <s v="Nē"/>
    <s v="Nē"/>
    <s v="Nē"/>
    <s v="a un b"/>
    <s v="a un b"/>
    <s v="a un b"/>
    <s v="tikai b"/>
    <s v="tikai a"/>
    <s v="a un b"/>
    <s v="Nevienlīdzīgi"/>
    <s v="Nevienlīdzīgi"/>
    <s v="Nevienlīdzīgi"/>
    <s v="Lielākoties vienlīdzīgi"/>
    <s v="Nevienlīdzīgi"/>
    <s v="Politiskā partija &quot;Stabilitātei&quot;"/>
    <s v="&quot;Progresīvie&quot;"/>
    <s v="Nacionālā Apvienība"/>
    <s v="&quot;Latvija pirmajā vietā&quot;"/>
    <s v="Zaļo un Zemnieku savienība"/>
    <s v="Jaunā Vienotība"/>
    <s v="&quot;Apvienotais saraksts&quot;"/>
    <s v="Globālā sasilšana ir šķērsojusi robežu, pēc kuras nav iespējams atgriezties, un cilvēkiem būs jāpielāgojas."/>
    <s v="jā, daļu no tā, ko iespējams šķirot"/>
    <s v="Politiskā partija &quot;Stabilitātei&quot;"/>
    <s v="Nacionālā Apvienība"/>
    <s v="&quot;Progresīvie&quot;"/>
    <s v="Jaunā Vienotība"/>
    <s v="&quot;Latvija pirmajā vietā&quot;"/>
    <s v="Zaļo un Zemnieku savienība"/>
    <s v="&quot;Apvienotais saraksts&quot;"/>
    <s v="Politiskā partija &quot;Stabilitātei&quot;"/>
    <s v="&quot;Progresīvie&quot;"/>
    <s v="&quot;Latvija pirmajā vietā&quot;"/>
    <s v="Nacionālā Apvienība"/>
    <s v="Zaļo un Zemnieku savienība"/>
    <s v="&quot;Apvienotais saraksts&quot;"/>
    <s v="Jaunā Vienotība"/>
    <s v="Viduvēji"/>
    <s v="Ļoti"/>
    <s v="Ļoti"/>
    <s v="Viduvēji"/>
    <s v="Populisti ir cilvēki kuri mēģina pierādīt ka cilvēki kuri nav represēti, īstenībā ir represēti, un viņi ir gatavi iznīcināt jebkādu sociālu struktūru un normas. Dzirdot vārdu populisms es iedomājos pārāk liberālos cilvēkus."/>
    <s v="Nē"/>
    <s v="Nē"/>
    <s v="Jā"/>
    <s v="Nē"/>
    <s v="Jā"/>
    <s v="Jā"/>
    <s v="2.."/>
    <n v="85"/>
    <n v="20"/>
    <n v="20"/>
    <n v="1"/>
    <s v="Drīzāk saspīlētas"/>
    <s v="Mazliet saspīlētas"/>
    <s v="Nav saspīlētas"/>
    <s v="(Gandrīz) nekad"/>
    <s v="(Gandrīz) nekad"/>
    <s v="(Gandrīz) nekad"/>
    <s v="Reti"/>
    <s v="(Gandrīz) nekad"/>
    <s v="Dažreiz"/>
    <s v="Bieži"/>
    <s v="Dažreiz"/>
    <s v="Dažreiz"/>
    <s v="Reti"/>
    <s v="Privāta informācija"/>
    <s v="nē"/>
    <s v="N/A"/>
    <s v="N/A"/>
    <s v="N/A"/>
    <s v="N/A"/>
    <s v="Jā"/>
    <s v="Jā"/>
    <s v="Jā"/>
    <s v="Nē"/>
    <s v="Jā"/>
    <s v="Jā"/>
    <s v="Jā"/>
    <s v="Nē"/>
    <s v="(gandrīz) katru dienu"/>
    <s v="(gandrīz) katru dienu"/>
    <s v="(gandrīz) katru dienu"/>
    <s v="(gandrīz) katru dienu"/>
    <s v="pāris reižu mēnesī"/>
    <s v="pāris reižu mēnesī"/>
    <s v="pāris reižu nedēļā"/>
    <s v="(gandrīz) katru dienu"/>
    <s v="(gandrīz) katru dienu"/>
    <s v="reizi nedēļā"/>
    <s v="(gandrīz) katru dienu"/>
    <s v="pāris reižu mēnesī"/>
    <s v="pāris reižu mēnesī"/>
    <s v="pāris reižu mēnesī"/>
    <s v="varas līdzsvars starp parlamentu, prezidentu un tiesām, lai neviena no institūcijām nespētu sevī koncentrēt lielāko daļu varas"/>
    <s v="pilsoniskās brīvības (vārda brīvība, tiesības uz tiesisko aizsardzību)"/>
    <s v="vienlīdzīgas tiesības minoritātēm un ievainojamām sabiedrības grupām"/>
    <m/>
    <m/>
    <s v="citreiz labi, citreiz slikti"/>
    <s v="slikti"/>
    <s v="knapi/gandrīz necik"/>
    <s v="knapi/gandrīz necik"/>
    <s v="slikti"/>
    <s v="universitātes līmeni: bakalauru"/>
    <m/>
    <s v="N/A"/>
    <s v="N/A"/>
    <s v="N/A"/>
    <s v="Jā"/>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Nē"/>
    <s v="Nē"/>
    <s v="Nē"/>
    <s v="Jā"/>
    <s v="Nē"/>
    <s v="Nē"/>
    <s v="Jā"/>
    <s v="Jā"/>
    <s v="Nē"/>
    <s v="Nē"/>
    <s v="Nē"/>
    <m/>
    <m/>
    <m/>
    <m/>
    <m/>
    <m/>
    <m/>
    <m/>
    <m/>
    <m/>
    <m/>
    <m/>
    <m/>
  </r>
  <r>
    <x v="1"/>
    <n v="157"/>
    <s v="2023-05-10 14:21:54"/>
    <n v="14"/>
    <s v="ru"/>
    <n v="693101830"/>
    <s v="2023-05-10 14:04:33"/>
    <s v="2023-05-10 14:21:54"/>
    <s v="молот"/>
    <n v="20"/>
    <s v="sieviešu"/>
    <m/>
    <x v="0"/>
    <x v="0"/>
    <x v="0"/>
    <x v="0"/>
    <x v="0"/>
    <x v="0"/>
    <s v="Kurzemē"/>
    <m/>
    <s v="pareizticīgo"/>
    <m/>
    <s v="N/A"/>
    <s v="N/A"/>
    <s v="N/A"/>
    <s v="N/A"/>
    <s v="N/A"/>
    <s v="N/A"/>
    <s v="Jā"/>
    <s v="N/A"/>
    <s v="N/A"/>
    <s v="N/A"/>
    <s v="N/A"/>
    <s v="N/A"/>
    <s v="N/A"/>
    <s v="Jā"/>
    <s v="N/A"/>
    <s v="N/A"/>
    <s v="N/A"/>
    <s v="N/A"/>
    <s v="N/A"/>
    <s v="N/A"/>
    <s v="Jā"/>
    <s v="N/A"/>
    <s v="N/A"/>
    <s v="N/A"/>
    <s v="N/A"/>
    <s v="N/A"/>
    <s v="N/A"/>
    <s v="Jā"/>
    <s v="nezinu"/>
    <s v="nezinu"/>
    <s v="nezinu"/>
    <s v="nezinu"/>
    <s v="nezinu"/>
    <s v="nezinu"/>
    <s v="Vienlīdzīgi"/>
    <s v="Lielākoties vienlīdzīgi"/>
    <s v="Vienlīdzīgi"/>
    <s v="Vienlīdzīgi"/>
    <s v="Lielākoties vienlīdzīgi"/>
    <s v="nezinu"/>
    <s v="nezinu"/>
    <s v="nezinu"/>
    <s v="nezinu"/>
    <s v="nezinu"/>
    <s v="nezinu"/>
    <s v="nezinu"/>
    <s v="Klimata pārmaiņām nav nekādu pārliecinošu pierādījumu."/>
    <s v="jā, daļu no tā, ko iespējams šķirot"/>
    <s v="nezinu"/>
    <s v="nezinu"/>
    <s v="nezinu"/>
    <s v="nezinu"/>
    <s v="nezinu"/>
    <s v="nezinu"/>
    <s v="nezinu"/>
    <s v="nezinu"/>
    <s v="nezinu"/>
    <s v="nezinu"/>
    <s v="nezinu"/>
    <s v="nezinu"/>
    <s v="nezinu"/>
    <s v="nezinu"/>
    <s v="Neinteresē"/>
    <s v="Neinteresē"/>
    <s v="Neinteresē"/>
    <s v="Neinteresē"/>
    <s v="Первый раз слышу это слово."/>
    <s v="Nē"/>
    <s v="Nē"/>
    <s v="Nē"/>
    <s v="Nē"/>
    <s v="Jā"/>
    <s v="Nē"/>
    <s v="1.."/>
    <n v="87"/>
    <n v="49"/>
    <n v="100"/>
    <n v="64"/>
    <s v="Es nezinu"/>
    <s v="Nav saspīlētas"/>
    <s v="Mazliet saspīlētas"/>
    <s v="(Gandrīz) nekad"/>
    <s v="(Gandrīz) nekad"/>
    <s v="(Gandrīz) nekad"/>
    <s v="(Gandrīz) nekad"/>
    <s v="Dažreiz"/>
    <s v="Reti"/>
    <s v="(Gandrīz) nekad"/>
    <s v="(Gandrīz) nekad"/>
    <s v="(Gandrīz) nekad"/>
    <s v="Reti"/>
    <s v="На приёме у рижского врача, намеренно не использующего русский язык, когда было видно, что его вопросы с медицинскими терминами не понятны мне."/>
    <s v="nē"/>
    <s v="N/A"/>
    <s v="N/A"/>
    <s v="N/A"/>
    <s v="N/A"/>
    <s v="N/A"/>
    <s v="N/A"/>
    <s v="N/A"/>
    <s v="Jā"/>
    <s v="N/A"/>
    <s v="N/A"/>
    <s v="N/A"/>
    <s v="Jā"/>
    <s v="(gandrīz) katru dienu"/>
    <s v="(gandrīz) katru dienu"/>
    <s v="(gandrīz) nekad"/>
    <s v="(gandrīz) katru dienu"/>
    <s v="(gandrīz) nekad"/>
    <s v="(gandrīz) nekad"/>
    <s v="pāris reižu mēnesī"/>
    <s v="(gandrīz) katru dienu"/>
    <s v="(gandrīz) katru dienu"/>
    <s v="(gandrīz) nekad"/>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nezinu"/>
    <s v="nezinu"/>
    <s v="nezinu"/>
    <s v="nezinu"/>
    <s v="nezinu"/>
    <s v="vidējo izglītību"/>
    <m/>
    <s v="N/A"/>
    <s v="N/A"/>
    <s v="N/A"/>
    <s v="Jā"/>
    <s v="vienlīdz latviešu un krievu"/>
    <m/>
    <s v="vienlīdz latviešu un krievu"/>
    <m/>
    <s v="Spēju ilgstoši sarunāties ar vienaudžiem/piedalīties darba pārrunās."/>
    <s v="Spēju uzrakstīt garāku sacerējumu/ kursa darbu"/>
    <s v="Viegli saprotu radio programmas / podkāstus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Nē"/>
    <s v="Nē"/>
    <s v="Jā"/>
    <s v="Jā"/>
    <s v="Nē"/>
    <s v="Nē"/>
    <s v="Jā"/>
    <s v="Nē"/>
    <s v="Nē"/>
    <s v="Nē"/>
    <s v="Nē"/>
    <m/>
    <m/>
    <m/>
    <m/>
    <m/>
    <m/>
    <m/>
    <m/>
    <m/>
    <m/>
    <m/>
    <m/>
    <m/>
  </r>
  <r>
    <x v="1"/>
    <n v="158"/>
    <s v="2023-05-10 15:48:09"/>
    <n v="14"/>
    <s v="lv"/>
    <n v="888617808"/>
    <s v="2023-05-10 15:33:08"/>
    <s v="2023-05-10 15:48:09"/>
    <s v="cirvis"/>
    <n v="20"/>
    <s v="vīriešu"/>
    <m/>
    <x v="1"/>
    <x v="1"/>
    <x v="0"/>
    <x v="0"/>
    <x v="0"/>
    <x v="0"/>
    <s v="Zemgalē"/>
    <m/>
    <s v="ateistu(ti), nereliģiozu"/>
    <m/>
    <s v="Nē"/>
    <s v="Jā"/>
    <s v="Nē"/>
    <s v="Nē"/>
    <s v="Nē"/>
    <s v="Nē"/>
    <s v="Nē"/>
    <s v="Nē"/>
    <s v="Jā"/>
    <s v="Nē"/>
    <s v="Jā"/>
    <s v="Nē"/>
    <s v="Jā"/>
    <s v="Nē"/>
    <s v="Nē"/>
    <s v="Jā"/>
    <s v="Nē"/>
    <s v="Nē"/>
    <s v="Nē"/>
    <s v="Nē"/>
    <s v="Nē"/>
    <s v="Jā"/>
    <s v="Jā"/>
    <s v="Nē"/>
    <s v="Nē"/>
    <s v="Nē"/>
    <s v="Nē"/>
    <s v="Nē"/>
    <s v="nezinu"/>
    <s v="nezinu"/>
    <s v="nezinu"/>
    <s v="nezinu"/>
    <s v="nezinu"/>
    <s v="nezinu"/>
    <s v="Vienlīdzīgi"/>
    <s v="Lielākoties vienlīdzīgi"/>
    <s v="Lielākoties vienlīdzīgi"/>
    <s v="Lielākoties vienlīdzīgi"/>
    <s v="Lielākoties vienlīdzīgi"/>
    <s v="&quot;Apvienotais saraksts&quot;"/>
    <s v="&quot;Latvija pirmajā vietā&quot;"/>
    <s v="Politiskā partija &quot;Stabilitātei&quot;"/>
    <s v="Nacionālā Apvienība"/>
    <s v="Jaunā Vienotība"/>
    <s v="&quot;Progresīvie&quot;"/>
    <s v="Zaļo un Zemnieku savienība"/>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Viduvēji"/>
    <s v="Ļoti"/>
    <s v="Ļoti"/>
    <s v="Ļoti"/>
    <s v="Kaut kas saistīts ar cilvēku skaitu valstī"/>
    <s v="Nē"/>
    <s v="Jā"/>
    <s v="Jā"/>
    <s v="Nē"/>
    <s v="Nē"/>
    <s v="Nē"/>
    <s v="1.."/>
    <n v="94"/>
    <n v="95"/>
    <m/>
    <m/>
    <s v="Drīzāk saspīlētas"/>
    <s v="Drīzāk saspīlētas"/>
    <s v="Es nezinu"/>
    <s v="Dažreiz"/>
    <s v="(Gandrīz) nekad"/>
    <s v="(Gandrīz) nekad"/>
    <s v="(Gandrīz) nekad"/>
    <s v="Dažreiz"/>
    <m/>
    <m/>
    <m/>
    <m/>
    <m/>
    <s v="Ir retās situācijas, kad vai nu pircējs vai arī pārdevējs īsti neprot runāt latviski, un tad ir visai sarežģīti saprast, ko vēlas pircējs, vai arī ko paskaidrot pārdevējai."/>
    <s v="jā, nevalstiskā organizācijā"/>
    <s v="N/A"/>
    <s v="N/A"/>
    <s v="N/A"/>
    <s v="Jā"/>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ienlīdz pieejama izglītība, veselības aprūpe, sociālais nodrošinājums"/>
    <m/>
    <m/>
    <s v="labi"/>
    <s v="citreiz labi, citreiz slikti"/>
    <s v="citreiz labi, citreiz slikti"/>
    <s v="citreiz labi, citreiz slikti"/>
    <s v="citreiz labi, citreiz slikti"/>
    <s v="vidējo izglītību"/>
    <m/>
    <s v="N/A"/>
    <s v="N/A"/>
    <s v="N/A"/>
    <s v="Jā"/>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Jā"/>
    <s v="Jā"/>
    <s v="Nē"/>
    <s v="Nē"/>
    <s v="Nē"/>
    <s v="Nē"/>
    <s v="Nē"/>
    <s v="Nē"/>
    <s v="Jā"/>
    <s v="Jā"/>
    <s v="Nē"/>
    <s v="Nē"/>
    <s v="Nē"/>
    <m/>
    <s v="Jā"/>
    <s v="TV6"/>
    <s v="Jā"/>
    <s v="SkySports"/>
    <s v="Nē"/>
    <m/>
    <s v="Nē"/>
    <m/>
    <s v="Nē"/>
    <s v="Nē"/>
    <s v="Nē"/>
    <s v="Jā"/>
    <s v="Nē"/>
    <s v="Nē"/>
    <s v="Nē"/>
    <s v="Nē"/>
    <s v="Nē"/>
    <s v="Nē"/>
    <s v="Nē"/>
    <s v="Nē"/>
    <s v="Nē"/>
    <s v="Nē"/>
    <s v="Nē"/>
    <m/>
    <s v="Nē"/>
    <m/>
    <s v="Nē"/>
    <m/>
    <s v="Nē"/>
    <m/>
    <s v="Nē"/>
    <m/>
    <s v="Jā"/>
    <s v="Jā"/>
    <s v="Jā"/>
    <s v="Nē"/>
    <s v="Jā"/>
    <s v="Nē"/>
    <s v="Nē"/>
    <s v="Jā"/>
    <s v="Nē"/>
    <s v="Nē"/>
    <s v="Jā"/>
    <s v="Nē"/>
    <s v="discord"/>
    <m/>
    <m/>
    <m/>
    <m/>
    <m/>
    <m/>
    <m/>
    <m/>
    <m/>
    <m/>
    <m/>
    <m/>
  </r>
  <r>
    <x v="1"/>
    <n v="159"/>
    <s v="2023-05-10 15:49:58"/>
    <n v="14"/>
    <s v="lv"/>
    <n v="1027704019"/>
    <s v="2023-05-10 15:33:11"/>
    <s v="2023-05-10 15:49:58"/>
    <s v="cirvis"/>
    <n v="21"/>
    <s v="vīriešu"/>
    <m/>
    <x v="1"/>
    <x v="1"/>
    <x v="0"/>
    <x v="0"/>
    <x v="0"/>
    <x v="0"/>
    <s v="Vidzemē"/>
    <m/>
    <s v="ateistu(ti), nereliģiozu"/>
    <m/>
    <s v="Nē"/>
    <s v="Jā"/>
    <s v="Nē"/>
    <s v="Nē"/>
    <s v="Nē"/>
    <s v="Nē"/>
    <s v="Nē"/>
    <s v="Jā"/>
    <s v="Jā"/>
    <s v="Nē"/>
    <s v="Nē"/>
    <s v="Nē"/>
    <s v="Nē"/>
    <s v="Nē"/>
    <s v="Jā"/>
    <s v="Jā"/>
    <s v="Nē"/>
    <s v="Nē"/>
    <s v="Nē"/>
    <s v="Nē"/>
    <s v="Nē"/>
    <s v="N/A"/>
    <s v="N/A"/>
    <s v="N/A"/>
    <s v="N/A"/>
    <s v="N/A"/>
    <s v="N/A"/>
    <s v="Jā"/>
    <s v="tikai b"/>
    <s v="a un b"/>
    <s v="ne a, ne b"/>
    <s v="a un b"/>
    <s v="tikai b"/>
    <s v="a un b"/>
    <s v="Lielākoties nevienlīdzīgi"/>
    <s v="Lielākoties vienlīdzīgi"/>
    <s v="Lielākoties vienlīdzīgi"/>
    <s v="Lielākoties vienlīdzīgi"/>
    <s v="Lielākoties ne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Ne sevišķi"/>
    <s v="Neinteresē"/>
    <s v="Ļoti"/>
    <s v="Viduvēji"/>
    <s v="Ideloģija, kur daži cilvēki vēlas rūpēties par svešiniekiem, kuri paši svešinieki nerūpētos par tiem, ar tām pašām idejām."/>
    <s v="Nē"/>
    <s v="Nē"/>
    <s v="Nē"/>
    <s v="Nē"/>
    <s v="Jā"/>
    <s v="Nē"/>
    <s v="2.."/>
    <n v="81"/>
    <n v="59"/>
    <m/>
    <m/>
    <s v="Mazliet saspīlētas"/>
    <s v="Mazliet saspīlētas"/>
    <s v="Ļoti saspīlētas"/>
    <s v="(Gandrīz) nekad"/>
    <s v="(Gandrīz) nekad"/>
    <s v="(Gandrīz) nekad"/>
    <s v="(Gandrīz) nekad"/>
    <s v="(Gandrīz) nekad"/>
    <m/>
    <m/>
    <m/>
    <m/>
    <m/>
    <m/>
    <s v="nē"/>
    <s v="N/A"/>
    <s v="N/A"/>
    <s v="N/A"/>
    <s v="N/A"/>
    <s v="N/A"/>
    <s v="N/A"/>
    <s v="N/A"/>
    <s v="Jā"/>
    <s v="Jā"/>
    <s v="Nē"/>
    <s v="Jā"/>
    <s v="Nē"/>
    <s v="pāris reižu nedēļā"/>
    <s v="pāris reižu nedēļā"/>
    <s v="(gandrīz) nekad"/>
    <s v="(gandrīz) katru dienu"/>
    <s v="(gandrīz) nekad"/>
    <s v="pāris reižu mēnesī"/>
    <s v="(gandrīz) nekad"/>
    <s v="pāris reižu nedēļā"/>
    <s v="pāris reižu nedēļā"/>
    <s v="(gandrīz) nekad"/>
    <s v="pāris reižu nedēļā"/>
    <s v="(gandrīz) nekad"/>
    <s v="(gandrīz) nekad"/>
    <s v="(gandrīz) nekad"/>
    <s v="pilsoniskās brīvības (vārda brīvība, tiesības uz tiesisko aizsardzību)"/>
    <s v="brīvas vēlēšanas un plurālisms"/>
    <s v="varas līdzsvars starp parlamentu, prezidentu un tiesām, lai neviena no institūcijām nespētu sevī koncentrēt lielāko daļu varas"/>
    <m/>
    <m/>
    <s v="citreiz labi, citreiz slikti"/>
    <s v="citreiz labi, citreiz slikti"/>
    <s v="citreiz labi, citreiz slikti"/>
    <s v="citreiz labi, citreiz slikti"/>
    <s v="citreiz labi, citreiz slikti"/>
    <s v="vidējo izglītību"/>
    <m/>
    <s v="N/A"/>
    <s v="N/A"/>
    <s v="N/A"/>
    <s v="Jā"/>
    <s v="latviešu"/>
    <m/>
    <s v="latviešu"/>
    <m/>
    <s v="Spēju veikt pasūtījumu restorānā."/>
    <s v="{if(is_empty(tongueLAT_SQ001.NAOK), 'latviski','krieviski')} nemāku rakstīt."/>
    <s v="Viegli saprotu televīzijas pārraides vai Youtube video par saviem hobijiem/darbības sfēru."/>
    <s v="Krieviski/latviski spēju izlasīt ēdienkarti restorānā."/>
    <m/>
    <m/>
    <m/>
    <m/>
    <m/>
    <m/>
    <m/>
    <m/>
    <m/>
    <m/>
    <m/>
    <m/>
    <m/>
    <m/>
    <m/>
    <m/>
    <m/>
    <s v="N/A"/>
    <s v="N/A"/>
    <s v="N/A"/>
    <s v="N/A"/>
    <s v="N/A"/>
    <s v="N/A"/>
    <m/>
    <m/>
    <m/>
    <m/>
    <m/>
    <s v="Nē"/>
    <s v="Nē"/>
    <s v="Nē"/>
    <s v="Nē"/>
    <s v="Nē"/>
    <s v="Nē"/>
    <s v="Nē"/>
    <s v="Nē"/>
    <s v="Jā"/>
    <s v="Nē"/>
    <s v="Nē"/>
    <s v="Nē"/>
    <s v="Nē"/>
    <s v="Nē"/>
    <s v="Nē"/>
    <m/>
    <s v="Nē"/>
    <m/>
    <s v="Nē"/>
    <m/>
    <s v="Nē"/>
    <m/>
    <s v="Nē"/>
    <m/>
    <s v="Nē"/>
    <s v="Nē"/>
    <s v="Nē"/>
    <s v="Nē"/>
    <s v="Nē"/>
    <s v="Nē"/>
    <s v="Nē"/>
    <s v="Nē"/>
    <s v="Nē"/>
    <s v="Nē"/>
    <s v="Nē"/>
    <s v="Nē"/>
    <s v="Nē"/>
    <s v="Nē"/>
    <s v="Jā"/>
    <m/>
    <s v="Nē"/>
    <m/>
    <s v="Nē"/>
    <m/>
    <s v="Nē"/>
    <m/>
    <s v="Nē"/>
    <m/>
    <s v="Nē"/>
    <s v="Nē"/>
    <s v="Nē"/>
    <s v="Nē"/>
    <s v="Jā"/>
    <s v="Nē"/>
    <s v="Nē"/>
    <s v="Jā"/>
    <s v="Jā"/>
    <s v="Nē"/>
    <s v="Jā"/>
    <s v="Nē"/>
    <m/>
    <m/>
    <m/>
    <m/>
    <m/>
    <m/>
    <m/>
    <m/>
    <m/>
    <m/>
    <m/>
    <m/>
    <m/>
  </r>
  <r>
    <x v="1"/>
    <n v="160"/>
    <s v="2023-05-10 15:47:31"/>
    <n v="14"/>
    <s v="lv"/>
    <n v="1705018153"/>
    <s v="2023-05-10 15:33:18"/>
    <s v="2023-05-10 15:47:31"/>
    <s v="cirvis"/>
    <n v="20"/>
    <s v="vīriešu"/>
    <m/>
    <x v="1"/>
    <x v="0"/>
    <x v="0"/>
    <x v="0"/>
    <x v="0"/>
    <x v="0"/>
    <s v="Kurzemē"/>
    <m/>
    <s v="ateistu(ti), nereliģiozu"/>
    <m/>
    <s v="Nē"/>
    <s v="Nē"/>
    <s v="Nē"/>
    <s v="Nē"/>
    <s v="Jā"/>
    <s v="Jā"/>
    <s v="Nē"/>
    <s v="Jā"/>
    <s v="Jā"/>
    <s v="Jā"/>
    <s v="Nē"/>
    <s v="Jā"/>
    <s v="Nē"/>
    <s v="Nē"/>
    <s v="Nē"/>
    <s v="Nē"/>
    <s v="Nē"/>
    <s v="Nē"/>
    <s v="Jā"/>
    <s v="Jā"/>
    <s v="Nē"/>
    <s v="Jā"/>
    <s v="Jā"/>
    <s v="Jā"/>
    <s v="Nē"/>
    <s v="Jā"/>
    <s v="Nē"/>
    <s v="Nē"/>
    <s v="tikai a"/>
    <s v="a un b"/>
    <s v="a un b"/>
    <s v="a un b"/>
    <s v="a un b"/>
    <s v="a un b"/>
    <s v="Lielākoties vienlīdzīgi"/>
    <s v="Lielākoties vienlīdzīgi"/>
    <s v="Lielākoties nevienlīdzīgi"/>
    <s v="Lielākoties vienlīdzīgi"/>
    <s v="Lielākoties nevienlīdzīgi"/>
    <s v="Zaļo un Zemnieku savienība"/>
    <s v="Jaunā Vienotība"/>
    <s v="&quot;Latvija pirmajā vietā&quot;"/>
    <s v="Nacionālā Apvienība"/>
    <s v="Politiskā partija &quot;Stabilitātei&quot;"/>
    <s v="&quot;Progresīvie&quot;"/>
    <s v="&quot;Apvienotais saraksts&quot;"/>
    <s v="Klimata pārmaiņas – tas ir ciklisks un dabisks process."/>
    <s v="jā, daļu no tā, ko iespējams šķirot"/>
    <s v="&quot;Progresīvie&quot;"/>
    <s v="Zaļo un Zemnieku savienība"/>
    <s v="Politiskā partija &quot;Stabilitātei&quot;"/>
    <s v="&quot;Latvija pirmajā vietā&quot;"/>
    <s v="Nacionālā Apvienība"/>
    <s v="Jaunā Vienotība"/>
    <s v="&quot;Apvienotais saraksts&quot;"/>
    <s v="Politiskā partija &quot;Stabilitātei&quot;"/>
    <s v="&quot;Progresīvie&quot;"/>
    <s v="&quot;Latvija pirmajā vietā&quot;"/>
    <s v="Nacionālā Apvienība"/>
    <s v="Zaļo un Zemnieku savienība"/>
    <s v="&quot;Apvienotais saraksts&quot;"/>
    <s v="Jaunā Vienotība"/>
    <s v="Viduvēji"/>
    <s v="Neinteresē"/>
    <s v="Viduvēji"/>
    <s v="Ne sevišķi"/>
    <s v="Populisms ir ideoloģija, kura ir vērsta uz to, ka tās pārstāvji propagandē cilvēkam to, ko tas vēlas dzirdēt, bet bieži dara pretējo vai kaut ko alkatīgu."/>
    <s v="Nē"/>
    <s v="Nē"/>
    <s v="Jā"/>
    <s v="Nē"/>
    <s v="Jā"/>
    <s v="Jā"/>
    <s v="2.."/>
    <n v="1"/>
    <n v="100"/>
    <n v="100"/>
    <n v="30"/>
    <s v="Drīzāk saspīlētas"/>
    <s v="Mazliet saspīlētas"/>
    <s v="Nav saspīlētas"/>
    <s v="(Gandrīz) nekad"/>
    <s v="(Gandrīz) nekad"/>
    <s v="(Gandrīz) nekad"/>
    <s v="(Gandrīz) nekad"/>
    <s v="(Gandrīz) nekad"/>
    <s v="(Gandrīz) nekad"/>
    <s v="(Gandrīz) nekad"/>
    <s v="(Gandrīz) nekad"/>
    <s v="(Gandrīz) nekad"/>
    <s v="(Gandrīz) nekad"/>
    <m/>
    <s v="nē"/>
    <s v="N/A"/>
    <s v="N/A"/>
    <s v="N/A"/>
    <s v="N/A"/>
    <s v="Jā"/>
    <s v="Jā"/>
    <s v="Jā"/>
    <s v="Nē"/>
    <s v="Jā"/>
    <s v="Jā"/>
    <s v="Jā"/>
    <s v="Nē"/>
    <s v="(gandrīz) katru dienu"/>
    <s v="(gandrīz) katru dienu"/>
    <s v="(gandrīz) katru dienu"/>
    <s v="(gandrīz) katru dienu"/>
    <s v="(gandrīz) katru dienu"/>
    <s v="(gandrīz) katru dienu"/>
    <s v="(gandrīz) katru dienu"/>
    <s v="pāris reižu nedēļā"/>
    <s v="pāris reižu nedēļā"/>
    <s v="pāris reižu nedēļā"/>
    <s v="pāris reižu nedēļā"/>
    <s v="pāris reižu nedēļā"/>
    <s v="pāris reižu nedēļā"/>
    <s v="pāris reižu nedēļā"/>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slikti"/>
    <s v="citreiz labi, citreiz slikti"/>
    <s v="slikti"/>
    <s v="slikti"/>
    <s v="citreiz labi, citreiz slikti"/>
    <s v="vidējo izglītību"/>
    <m/>
    <s v="N/A"/>
    <s v="N/A"/>
    <s v="N/A"/>
    <s v="Jā"/>
    <s v="latviešu"/>
    <m/>
    <s v="latviešu"/>
    <m/>
    <m/>
    <m/>
    <m/>
    <m/>
    <m/>
    <m/>
    <m/>
    <m/>
    <m/>
    <m/>
    <m/>
    <m/>
    <m/>
    <m/>
    <m/>
    <m/>
    <m/>
    <m/>
    <m/>
    <m/>
    <m/>
    <s v="N/A"/>
    <s v="N/A"/>
    <s v="N/A"/>
    <s v="N/A"/>
    <s v="N/A"/>
    <s v="N/A"/>
    <m/>
    <m/>
    <m/>
    <m/>
    <m/>
    <s v="Nē"/>
    <s v="Nē"/>
    <s v="Nē"/>
    <s v="Nē"/>
    <s v="Nē"/>
    <s v="Nē"/>
    <s v="Nē"/>
    <s v="Nē"/>
    <s v="Nē"/>
    <s v="Nē"/>
    <s v="Nē"/>
    <s v="Nē"/>
    <s v="Nē"/>
    <s v="Nē"/>
    <s v="Jā"/>
    <s v="Retro FM"/>
    <s v="Nē"/>
    <m/>
    <s v="Nē"/>
    <m/>
    <s v="Jā"/>
    <s v="Retro FM"/>
    <s v="Nē"/>
    <m/>
    <s v="Nē"/>
    <s v="Nē"/>
    <s v="Nē"/>
    <s v="Nē"/>
    <s v="Nē"/>
    <s v="Nē"/>
    <s v="Nē"/>
    <s v="Nē"/>
    <s v="Nē"/>
    <s v="Nē"/>
    <s v="Nē"/>
    <s v="Nē"/>
    <s v="Nē"/>
    <s v="Nē"/>
    <s v="Jā"/>
    <s v="Liepājniekiem.lv"/>
    <s v="Jā"/>
    <s v="Liepājniekiem.lv"/>
    <s v="Nē"/>
    <m/>
    <s v="Nē"/>
    <m/>
    <s v="Nē"/>
    <m/>
    <s v="Nē"/>
    <s v="Nē"/>
    <s v="Jā"/>
    <s v="Nē"/>
    <s v="Jā"/>
    <s v="Nē"/>
    <s v="Nē"/>
    <s v="Jā"/>
    <s v="Jā"/>
    <s v="Nē"/>
    <s v="Nē"/>
    <s v="Nē"/>
    <s v="4Chan, Saidit"/>
    <s v="Vairāk jautājumi par politisko nostāju no personīgās puses būtu labi, kā arī dažu terminu paskaidrojumi būtu labi."/>
    <m/>
    <m/>
    <m/>
    <m/>
    <m/>
    <m/>
    <m/>
    <m/>
    <m/>
    <m/>
    <m/>
  </r>
  <r>
    <x v="1"/>
    <n v="161"/>
    <s v="2023-05-10 15:46:32"/>
    <n v="14"/>
    <s v="lv"/>
    <n v="42370624"/>
    <s v="2023-05-10 15:33:19"/>
    <s v="2023-05-10 15:46:32"/>
    <s v="cirvis"/>
    <n v="21"/>
    <s v="sieviešu"/>
    <m/>
    <x v="1"/>
    <x v="1"/>
    <x v="0"/>
    <x v="0"/>
    <x v="0"/>
    <x v="0"/>
    <s v="Kurzemē"/>
    <m/>
    <s v="ateistu(ti), nereliģiozu"/>
    <m/>
    <s v="N/A"/>
    <s v="N/A"/>
    <s v="N/A"/>
    <s v="N/A"/>
    <s v="N/A"/>
    <s v="N/A"/>
    <s v="Jā"/>
    <s v="N/A"/>
    <s v="N/A"/>
    <s v="N/A"/>
    <s v="N/A"/>
    <s v="N/A"/>
    <s v="N/A"/>
    <s v="Jā"/>
    <s v="N/A"/>
    <s v="N/A"/>
    <s v="N/A"/>
    <s v="N/A"/>
    <s v="N/A"/>
    <s v="N/A"/>
    <s v="Jā"/>
    <s v="N/A"/>
    <s v="N/A"/>
    <s v="N/A"/>
    <s v="N/A"/>
    <s v="N/A"/>
    <s v="N/A"/>
    <s v="Jā"/>
    <m/>
    <m/>
    <m/>
    <m/>
    <m/>
    <m/>
    <s v="Vienlīdzīgi"/>
    <s v="Lielākoties vienlīdzīgi"/>
    <s v="Vienlīdzīgi"/>
    <s v="Lielākoties vienlīdzīgi"/>
    <s v="Lielākoties nevienlīdzīgi"/>
    <s v="nezinu"/>
    <s v="&quot;Progresīvie&quot;"/>
    <s v="Nacionālā Apvienība"/>
    <s v="Politiskā partija &quot;Stabilitātei&quot;"/>
    <s v="&quot;Latvija pirmajā vietā&quot;"/>
    <s v="&quot;Progresīvie&quot;"/>
    <s v="Zaļo un Zemnieku savienība"/>
    <s v="Cīņai ar klimata pārmaiņām būtu jābūt vairumam pasaules valstu galvenajai prioritātei."/>
    <s v="jā, daļu no tā, ko iespējams šķirot"/>
    <s v="&quot;Progresīvie&quot;"/>
    <s v="Jaunā Vienotība"/>
    <s v="nezinu"/>
    <s v="nezinu"/>
    <s v="nezinu"/>
    <s v="nezinu"/>
    <s v="nezinu"/>
    <s v="Jaunā Vienotība"/>
    <s v="Nacionālā Apvienība"/>
    <s v="&quot;Latvija pirmajā vietā&quot;"/>
    <s v="nezinu"/>
    <s v="&quot;Progresīvie&quot;"/>
    <s v="Zaļo un Zemnieku savienība"/>
    <s v="nezinu"/>
    <s v="Ārkārtīgi"/>
    <s v="Ļoti"/>
    <s v="Ļoti"/>
    <s v="Ārkārtīgi"/>
    <s v="nezinu"/>
    <s v="Nē"/>
    <s v="Nē"/>
    <s v="Nē"/>
    <s v="Jā"/>
    <s v="Jā"/>
    <s v="Nē"/>
    <s v="1.."/>
    <n v="10"/>
    <n v="80"/>
    <m/>
    <m/>
    <s v="Mazliet saspīlētas"/>
    <s v="Nav saspīlētas"/>
    <s v="Nav saspīlētas"/>
    <s v="Bieži"/>
    <s v="(Gandrīz) nekad"/>
    <s v="(Gandrīz) nekad"/>
    <s v="(Gandrīz) nekad"/>
    <s v="Dažreiz"/>
    <m/>
    <m/>
    <m/>
    <m/>
    <m/>
    <s v="man 'lika' runāt krieviski"/>
    <s v="nē"/>
    <s v="N/A"/>
    <s v="N/A"/>
    <s v="N/A"/>
    <s v="N/A"/>
    <s v="Jā"/>
    <s v="Nē"/>
    <s v="Nē"/>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nezinu"/>
    <s v="labi"/>
    <s v="ļoti labi"/>
    <s v="nezinu"/>
    <s v="knapi/gandrīz necik"/>
    <s v="vidējo izglītību"/>
    <m/>
    <s v="N/A"/>
    <s v="N/A"/>
    <s v="N/A"/>
    <s v="Jā"/>
    <s v="latviešu"/>
    <m/>
    <s v="latviešu"/>
    <m/>
    <s v="{if(is_empty(tongueLAT_SQ001.NAOK), 'latviski','krieviski')} nerunāju it nemaz."/>
    <s v="{if(is_empty(tongueLAT_SQ001.NAOK), 'latviski','krieviski')} nemāku rakstīt."/>
    <s v="Saprotu norādes, kur iet."/>
    <s v="Spēju izlasīt avīzi/īsstāstus."/>
    <m/>
    <m/>
    <m/>
    <m/>
    <m/>
    <m/>
    <m/>
    <m/>
    <m/>
    <m/>
    <m/>
    <m/>
    <m/>
    <m/>
    <m/>
    <m/>
    <m/>
    <s v="N/A"/>
    <s v="N/A"/>
    <s v="N/A"/>
    <s v="N/A"/>
    <s v="N/A"/>
    <s v="N/A"/>
    <m/>
    <m/>
    <m/>
    <m/>
    <m/>
    <s v="Nē"/>
    <s v="Nē"/>
    <s v="Nē"/>
    <s v="Jā"/>
    <s v="Nē"/>
    <s v="Nē"/>
    <s v="Nē"/>
    <s v="Nē"/>
    <s v="Nē"/>
    <s v="Nē"/>
    <s v="Jā"/>
    <s v="Jā"/>
    <s v="Nē"/>
    <s v="Nē"/>
    <s v="Nē"/>
    <m/>
    <s v="Nē"/>
    <m/>
    <s v="Nē"/>
    <m/>
    <s v="Nē"/>
    <m/>
    <s v="Nē"/>
    <m/>
    <s v="Nē"/>
    <s v="Nē"/>
    <s v="Nē"/>
    <s v="Nē"/>
    <s v="Nē"/>
    <s v="Nē"/>
    <s v="Nē"/>
    <s v="Nē"/>
    <s v="Nē"/>
    <s v="Nē"/>
    <s v="Nē"/>
    <s v="Nē"/>
    <s v="Nē"/>
    <s v="Nē"/>
    <s v="Jā"/>
    <m/>
    <s v="Nē"/>
    <m/>
    <s v="Nē"/>
    <m/>
    <s v="Nē"/>
    <m/>
    <s v="Nē"/>
    <m/>
    <s v="Nē"/>
    <s v="Jā"/>
    <s v="Jā"/>
    <s v="Nē"/>
    <s v="Nē"/>
    <s v="Nē"/>
    <s v="Nē"/>
    <s v="Jā"/>
    <s v="Nē"/>
    <s v="Nē"/>
    <s v="Nē"/>
    <s v="Nē"/>
    <m/>
    <s v="Tā kā man nav īpaši labas zināšanas par politiku, nevarēju pietiekami izpausties."/>
    <m/>
    <m/>
    <m/>
    <m/>
    <m/>
    <m/>
    <m/>
    <m/>
    <m/>
    <m/>
    <m/>
  </r>
  <r>
    <x v="1"/>
    <n v="162"/>
    <s v="2023-05-10 15:51:57"/>
    <n v="14"/>
    <s v="lv"/>
    <n v="563366848"/>
    <s v="2023-05-10 15:33:29"/>
    <s v="2023-05-10 15:51:57"/>
    <s v="cirvis"/>
    <n v="34"/>
    <s v="vīriešu"/>
    <m/>
    <x v="1"/>
    <x v="1"/>
    <x v="0"/>
    <x v="0"/>
    <x v="0"/>
    <x v="0"/>
    <s v="Kurzemē"/>
    <m/>
    <s v="Cita atbilde"/>
    <s v="Luterānis"/>
    <s v="Nē"/>
    <s v="Jā"/>
    <s v="Nē"/>
    <s v="Nē"/>
    <s v="Jā"/>
    <s v="Nē"/>
    <s v="Nē"/>
    <s v="Nē"/>
    <s v="Jā"/>
    <s v="Nē"/>
    <s v="Nē"/>
    <s v="Nē"/>
    <s v="Nē"/>
    <s v="Nē"/>
    <s v="Nē"/>
    <s v="Nē"/>
    <s v="Jā"/>
    <s v="Nē"/>
    <s v="Nē"/>
    <s v="Nē"/>
    <s v="Nē"/>
    <s v="Jā"/>
    <s v="Jā"/>
    <s v="Jā"/>
    <s v="Jā"/>
    <s v="Nē"/>
    <s v="Nē"/>
    <s v="Nē"/>
    <s v="tikai a"/>
    <s v="tikai b"/>
    <s v="a un b"/>
    <s v="tikai b"/>
    <s v="tikai a"/>
    <s v="tikai a"/>
    <s v="Vienlīdzīgi"/>
    <s v="Vienlīdzīgi"/>
    <s v="Vienlīdzīgi"/>
    <s v="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Politiskā partija &quot;Stabilitātei&quot;"/>
    <s v="nezinu"/>
    <s v="nezinu"/>
    <s v="Viduvēji"/>
    <s v="Neinteresē"/>
    <s v="Viduvēji"/>
    <s v="Viduvēji"/>
    <s v="Rosļikovs"/>
    <s v="Nē"/>
    <s v="Nē"/>
    <s v="Jā"/>
    <s v="Nē"/>
    <s v="Nē"/>
    <s v="Nē"/>
    <s v="2.."/>
    <n v="30"/>
    <n v="100"/>
    <m/>
    <m/>
    <s v="Nav saspīlētas"/>
    <s v="Nav saspīlētas"/>
    <s v="Nav saspīlētas"/>
    <s v="(Gandrīz) nekad"/>
    <s v="(Gandrīz) nekad"/>
    <s v="(Gandrīz) nekad"/>
    <s v="(Gandrīz) nekad"/>
    <s v="(Gandrīz) nekad"/>
    <m/>
    <m/>
    <m/>
    <m/>
    <m/>
    <m/>
    <s v="jā, valsts iestādē"/>
    <s v="N/A"/>
    <s v="N/A"/>
    <s v="N/A"/>
    <s v="Jā"/>
    <s v="N/A"/>
    <s v="N/A"/>
    <s v="N/A"/>
    <s v="Jā"/>
    <s v="Nē"/>
    <s v="Jā"/>
    <s v="Nē"/>
    <s v="Nē"/>
    <s v="(gandrīz) katru dienu"/>
    <s v="(gandrīz) katru dienu"/>
    <s v="(gandrīz) katru dienu"/>
    <s v="(gandrīz) katru dienu"/>
    <s v="(gandrīz) katru dienu"/>
    <s v="(gandrīz) katru dienu"/>
    <s v="(gandrīz) katru dienu"/>
    <s v="(gandrīz) nekad"/>
    <s v="(gandrīz) nekad"/>
    <s v="pāris reižu mēnesī"/>
    <s v="(gandrīz) nekad"/>
    <s v="(gandrīz) nekad"/>
    <s v="pāris reižu mēnesī"/>
    <s v="pāris reižu mēnesī"/>
    <s v="pilsoniskās brīvības (vārda brīvība, tiesības uz tiesisko aizsardzību)"/>
    <s v="vienlīdz pieejama izglītība, veselības aprūpe, sociālais nodrošinājums"/>
    <s v="brīvas vēlēšanas un plurālisms"/>
    <m/>
    <m/>
    <s v="ļoti labi"/>
    <s v="labi"/>
    <s v="citreiz labi, citreiz slikti"/>
    <s v="citreiz labi, citreiz slikti"/>
    <s v="citreiz labi, citreiz slikti"/>
    <s v="vidējo izglītību"/>
    <m/>
    <s v="N/A"/>
    <s v="N/A"/>
    <s v="N/A"/>
    <s v="Jā"/>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m/>
    <s v="Nē"/>
    <m/>
    <s v="Nē"/>
    <m/>
    <s v="Nē"/>
    <m/>
    <s v="Nē"/>
    <m/>
    <s v="Nē"/>
    <s v="Nē"/>
    <s v="Nē"/>
    <s v="Jā"/>
    <s v="Nē"/>
    <s v="Nē"/>
    <s v="Nē"/>
    <s v="Nē"/>
    <s v="Nē"/>
    <s v="Nē"/>
    <s v="Nē"/>
    <s v="Jā"/>
    <s v="Nē"/>
    <s v="Nē"/>
    <s v="Nē"/>
    <m/>
    <s v="Nē"/>
    <m/>
    <s v="Nē"/>
    <m/>
    <s v="Nē"/>
    <m/>
    <s v="Nē"/>
    <m/>
    <s v="Nē"/>
    <s v="Jā"/>
    <s v="Jā"/>
    <s v="Nē"/>
    <s v="Jā"/>
    <s v="Nē"/>
    <s v="Nē"/>
    <s v="Jā"/>
    <s v="Nē"/>
    <s v="Nē"/>
    <s v="Nē"/>
    <s v="Nē"/>
    <m/>
    <m/>
    <m/>
    <m/>
    <m/>
    <m/>
    <m/>
    <m/>
    <m/>
    <m/>
    <m/>
    <m/>
    <m/>
  </r>
  <r>
    <x v="1"/>
    <n v="163"/>
    <s v="2023-05-10 15:42:05"/>
    <n v="14"/>
    <s v="lv"/>
    <n v="798194546"/>
    <s v="2023-05-10 15:33:29"/>
    <s v="2023-05-10 15:42:05"/>
    <s v="cirvis"/>
    <n v="19"/>
    <s v="vīriešu"/>
    <m/>
    <x v="1"/>
    <x v="1"/>
    <x v="0"/>
    <x v="0"/>
    <x v="0"/>
    <x v="0"/>
    <s v="Kurzemē"/>
    <m/>
    <s v="Cita atbilde"/>
    <s v="pagānu"/>
    <s v="Nē"/>
    <s v="Nē"/>
    <s v="Nē"/>
    <s v="Nē"/>
    <s v="Jā"/>
    <s v="Nē"/>
    <s v="Nē"/>
    <s v="Nē"/>
    <s v="Nē"/>
    <s v="Nē"/>
    <s v="Nē"/>
    <s v="Jā"/>
    <s v="Nē"/>
    <s v="Nē"/>
    <s v="Nē"/>
    <s v="Jā"/>
    <s v="Nē"/>
    <s v="Nē"/>
    <s v="Nē"/>
    <s v="Nē"/>
    <s v="Nē"/>
    <s v="Nē"/>
    <s v="Nē"/>
    <s v="Jā"/>
    <s v="Jā"/>
    <s v="Nē"/>
    <s v="Nē"/>
    <s v="Nē"/>
    <s v="ne a, ne b"/>
    <s v="ne a, ne b"/>
    <s v="ne a, ne b"/>
    <s v="ne a, ne b"/>
    <s v="ne a, ne b"/>
    <s v="ne a, ne b"/>
    <s v="Lielākoties vienlīdzīgi"/>
    <s v="Lielākoties vienlīdzīgi"/>
    <s v="Lielākoties vienlīdzīgi"/>
    <s v="Lielākoties vienlīdzīgi"/>
    <s v="Lielākoties 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Ļoti"/>
    <s v="Viduvēji"/>
    <s v="Ļoti"/>
    <m/>
    <s v="Nē"/>
    <s v="Nē"/>
    <s v="Nē"/>
    <s v="Jā"/>
    <s v="Nē"/>
    <s v="Nē"/>
    <s v="2.."/>
    <n v="100"/>
    <n v="100"/>
    <m/>
    <m/>
    <s v="Mazliet saspīlētas"/>
    <s v="Mazliet saspīlētas"/>
    <s v="Mazliet saspīlētas"/>
    <s v="(Gandrīz) nekad"/>
    <s v="(Gandrīz) nekad"/>
    <s v="(Gandrīz) nekad"/>
    <s v="(Gandrīz) nekad"/>
    <s v="(Gandrīz) nekad"/>
    <m/>
    <m/>
    <m/>
    <m/>
    <m/>
    <m/>
    <s v="jā, valsts iestādē"/>
    <s v="Jā"/>
    <s v="Nē"/>
    <s v="Nē"/>
    <s v="Nē"/>
    <s v="Jā"/>
    <s v="Jā"/>
    <s v="Jā"/>
    <s v="Nē"/>
    <s v="Jā"/>
    <s v="Jā"/>
    <s v="Jā"/>
    <s v="Nē"/>
    <s v="(gandrīz) katru dienu"/>
    <s v="(gandrīz) katru dienu"/>
    <s v="(gandrīz) katru dienu"/>
    <s v="(gandrīz) katru dienu"/>
    <s v="(gandrīz) katru dienu"/>
    <s v="(gandrīz) katru dienu"/>
    <s v="(gandrīz) katru dienu"/>
    <s v="pāris reižu mēnesī"/>
    <s v="pāris reižu mēnesī"/>
    <s v="pāris reižu mēnesī"/>
    <s v="pāris reižu mēnesī"/>
    <s v="(gandrīz) nekad"/>
    <s v="pāris reižu mēnesī"/>
    <s v="pāris reižu mēnesī"/>
    <s v="brīvas vēlēšanas un plurālisms"/>
    <s v="varas līdzsvars starp parlamentu, prezidentu un tiesām, lai neviena no institūcijām nespētu sevī koncentrēt lielāko daļu varas"/>
    <s v="pilsoniskās brīvības (vārda brīvība, tiesības uz tiesisko aizsardzību)"/>
    <m/>
    <m/>
    <s v="ļoti labi"/>
    <s v="ļoti labi"/>
    <s v="labi"/>
    <s v="labi"/>
    <s v="labi"/>
    <s v="vidējo izglītību"/>
    <m/>
    <s v="Nē"/>
    <s v="Jā"/>
    <s v="Nē"/>
    <s v="Nē"/>
    <s v="latviešu"/>
    <m/>
    <s v="latviešu"/>
    <m/>
    <s v="Spēju pastāstīt par savu hobiju / darbu."/>
    <s v="{if(is_empty(tongueLAT_SQ001.NAOK), 'latviski','krieviski')} nemāku rakstīt."/>
    <s v="Viegli saprotu televīzijas pārraides vai Youtube video par saviem hobijiem/darbības sfēru."/>
    <s v="Es neko nespēju izlasīt {if(is_empty(tongueLAT_SQ001.NAOK), 'latviski','krieviski')}."/>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Nē"/>
    <s v="Jā"/>
    <s v="Nē"/>
    <s v="Jā"/>
    <s v="Nē"/>
    <s v="Nē"/>
    <s v="Nē"/>
    <s v="Jā"/>
    <s v="Nē"/>
    <s v="Jā"/>
    <s v="Nē"/>
    <m/>
    <m/>
    <m/>
    <m/>
    <m/>
    <m/>
    <m/>
    <m/>
    <m/>
    <m/>
    <m/>
    <m/>
    <m/>
  </r>
  <r>
    <x v="1"/>
    <n v="164"/>
    <s v="2023-05-10 15:48:24"/>
    <n v="14"/>
    <s v="lv"/>
    <n v="1332597122"/>
    <s v="2023-05-10 15:33:31"/>
    <s v="2023-05-10 15:48:24"/>
    <s v="cirvis"/>
    <n v="20"/>
    <s v="sieviešu"/>
    <m/>
    <x v="1"/>
    <x v="1"/>
    <x v="0"/>
    <x v="0"/>
    <x v="0"/>
    <x v="0"/>
    <s v="Kurzemē"/>
    <m/>
    <s v="Cita atbilde"/>
    <s v="Nav"/>
    <s v="N/A"/>
    <s v="N/A"/>
    <s v="N/A"/>
    <s v="N/A"/>
    <s v="N/A"/>
    <s v="N/A"/>
    <s v="Jā"/>
    <s v="Jā"/>
    <s v="Nē"/>
    <s v="Nē"/>
    <s v="Nē"/>
    <s v="Nē"/>
    <s v="Nē"/>
    <s v="Nē"/>
    <s v="N/A"/>
    <s v="N/A"/>
    <s v="N/A"/>
    <s v="N/A"/>
    <s v="N/A"/>
    <s v="N/A"/>
    <s v="Jā"/>
    <s v="Nē"/>
    <s v="Jā"/>
    <s v="Nē"/>
    <s v="Nē"/>
    <s v="Nē"/>
    <s v="Nē"/>
    <s v="Nē"/>
    <s v="nezinu"/>
    <s v="nezinu"/>
    <s v="nezinu"/>
    <s v="nezinu"/>
    <s v="nezinu"/>
    <s v="nezinu"/>
    <s v="Lielākoties nevienlīdzīgi"/>
    <s v="Lielākoties nevienlīdzīgi"/>
    <s v="Lielākoties nevienlīdzīgi"/>
    <s v="Lielākoties nevienlīdzīgi"/>
    <s v="Lielākoties nevienlīdzīgi"/>
    <s v="Jaunā Vienotība"/>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Ārkārtīgi"/>
    <s v="Ļoti"/>
    <s v="Ļoti"/>
    <s v="Ārkārtīgi"/>
    <m/>
    <s v="Nē"/>
    <s v="Nē"/>
    <s v="Nē"/>
    <s v="Jā"/>
    <s v="Jā"/>
    <s v="Nē"/>
    <s v="1.."/>
    <n v="50"/>
    <n v="60"/>
    <m/>
    <m/>
    <s v="Ļoti saspīlētas"/>
    <s v="Mazliet saspīlētas"/>
    <s v="Drīzāk saspīlētas"/>
    <s v="(Gandrīz) nekad"/>
    <s v="(Gandrīz) nekad"/>
    <s v="(Gandrīz) nekad"/>
    <s v="(Gandrīz) nekad"/>
    <s v="(Gandrīz) nekad"/>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īgas tiesības minoritātēm un ievainojamām sabiedrības grupām"/>
    <s v="vienlīdz pieejama izglītība, veselības aprūpe, sociālais nodrošinājums"/>
    <s v="pilsoniskās brīvības (vārda brīvība, tiesības uz tiesisko aizsardzību)"/>
    <m/>
    <m/>
    <s v="labi"/>
    <s v="labi"/>
    <s v="citreiz labi, citreiz slikti"/>
    <s v="citreiz labi, citreiz slikti"/>
    <s v="citreiz labi, citreiz slikti"/>
    <s v="vidējo izglītību"/>
    <m/>
    <s v="N/A"/>
    <s v="N/A"/>
    <s v="N/A"/>
    <s v="Jā"/>
    <s v="latviešu"/>
    <m/>
    <s v="latviešu"/>
    <m/>
    <s v="Spēju veikt pasūtījumu restorānā."/>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Nē"/>
    <s v="Jā"/>
    <s v="Nē"/>
    <s v="Nē"/>
    <s v="Nē"/>
    <m/>
    <s v="Nē"/>
    <m/>
    <s v="Nē"/>
    <m/>
    <s v="Nē"/>
    <m/>
    <s v="Nē"/>
    <m/>
    <s v="Nē"/>
    <s v="Nē"/>
    <s v="Nē"/>
    <s v="Nē"/>
    <s v="Nē"/>
    <s v="Nē"/>
    <s v="Nē"/>
    <s v="Nē"/>
    <s v="Nē"/>
    <s v="Nē"/>
    <s v="Nē"/>
    <s v="Nē"/>
    <s v="Nē"/>
    <s v="Nē"/>
    <s v="Jā"/>
    <m/>
    <s v="Nē"/>
    <m/>
    <s v="Nē"/>
    <m/>
    <s v="Nē"/>
    <m/>
    <s v="Nē"/>
    <m/>
    <s v="Jā"/>
    <s v="Jā"/>
    <s v="Jā"/>
    <s v="Nē"/>
    <s v="Jā"/>
    <s v="Nē"/>
    <s v="Nē"/>
    <s v="Jā"/>
    <s v="Nē"/>
    <s v="Nē"/>
    <s v="Nē"/>
    <s v="Nē"/>
    <m/>
    <s v="Neinteresējos par politiskajām lietām, tapēc nespēju konkrēti uz vinam atbildet."/>
    <m/>
    <m/>
    <m/>
    <m/>
    <m/>
    <m/>
    <m/>
    <m/>
    <m/>
    <m/>
    <m/>
  </r>
  <r>
    <x v="1"/>
    <n v="165"/>
    <s v="2023-05-10 15:50:02"/>
    <n v="14"/>
    <s v="lv"/>
    <n v="530654360"/>
    <s v="2023-05-10 15:33:40"/>
    <s v="2023-05-10 15:50:02"/>
    <s v="cirvis"/>
    <n v="44"/>
    <s v="sieviešu"/>
    <m/>
    <x v="1"/>
    <x v="1"/>
    <x v="0"/>
    <x v="0"/>
    <x v="0"/>
    <x v="0"/>
    <s v="Kurzemē"/>
    <m/>
    <s v="katoli(ieti)"/>
    <m/>
    <s v="Jā"/>
    <s v="Nē"/>
    <s v="Jā"/>
    <s v="Nē"/>
    <s v="Nē"/>
    <s v="Jā"/>
    <s v="Nē"/>
    <s v="Jā"/>
    <s v="Nē"/>
    <s v="Nē"/>
    <s v="Nē"/>
    <s v="Jā"/>
    <s v="Nē"/>
    <s v="Nē"/>
    <s v="Nē"/>
    <s v="Jā"/>
    <s v="Nē"/>
    <s v="Jā"/>
    <s v="Nē"/>
    <s v="Nē"/>
    <s v="Nē"/>
    <s v="Jā"/>
    <s v="Nē"/>
    <s v="Nē"/>
    <s v="Nē"/>
    <s v="Jā"/>
    <s v="Nē"/>
    <s v="Nē"/>
    <s v="a un b"/>
    <s v="tikai a"/>
    <s v="nezinu"/>
    <s v="tikai b"/>
    <s v="tikai b"/>
    <s v="tikai b"/>
    <s v="Vienlīdzīgi"/>
    <s v="Vienlīdzīgi"/>
    <s v="Vienlīdzīgi"/>
    <s v="Lielākoties nevienlīdzīgi"/>
    <s v="Lielākoties 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Neinteresē"/>
    <s v="Neinteresē"/>
    <s v="Neinteresē"/>
    <s v="Neinteresē"/>
    <s v="sola , bet nepilda"/>
    <s v="Nē"/>
    <s v="Jā"/>
    <s v="Nē"/>
    <s v="Nē"/>
    <s v="Jā"/>
    <s v="Nē"/>
    <s v="2.."/>
    <n v="69"/>
    <n v="100"/>
    <m/>
    <m/>
    <s v="Es nezinu"/>
    <s v="Nav saspīlētas"/>
    <s v="Nav saspīlētas"/>
    <s v="(Gandrīz) nekad"/>
    <s v="(Gandrīz) nekad"/>
    <s v="(Gandrīz) nekad"/>
    <s v="(Gandrīz) nekad"/>
    <s v="(Gandrīz) nekad"/>
    <m/>
    <m/>
    <m/>
    <m/>
    <m/>
    <m/>
    <s v="jā, privāta darba devēja labā"/>
    <s v="N/A"/>
    <s v="N/A"/>
    <s v="N/A"/>
    <s v="Jā"/>
    <s v="N/A"/>
    <s v="N/A"/>
    <s v="N/A"/>
    <s v="Jā"/>
    <s v="N/A"/>
    <s v="N/A"/>
    <s v="N/A"/>
    <s v="Jā"/>
    <s v="(gandrīz) katru dienu"/>
    <s v="(gandrīz) katru dienu"/>
    <s v="(gandrīz) katru dienu"/>
    <s v="(gandrīz) katru dienu"/>
    <s v="(gandrīz) katru dienu"/>
    <s v="(gandrīz) katru dienu"/>
    <s v="(gandrīz) katru dienu"/>
    <s v="(gandrīz) nekad"/>
    <s v="(gandrīz) nekad"/>
    <s v="(gandrīz) nekad"/>
    <s v="pāris reižu mēnesī"/>
    <s v="(gandrīz) nekad"/>
    <s v="pāris reižu mēnesī"/>
    <s v="pāris reižu mēnesī"/>
    <s v="pilsoniskās brīvības (vārda brīvība, tiesības uz tiesisko aizsardzību)"/>
    <s v="vienlīdz pieejama izglītība, veselības aprūpe, sociālais nodrošinājums"/>
    <s v="brīvas vēlēšanas un plurālisms"/>
    <m/>
    <m/>
    <s v="nezinu"/>
    <s v="citreiz labi, citreiz slikti"/>
    <s v="citreiz labi, citreiz slikti"/>
    <s v="citreiz labi, citreiz slikti"/>
    <s v="nezinu"/>
    <s v="arodskolu/ profesionālo izglītību"/>
    <m/>
    <s v="N/A"/>
    <s v="N/A"/>
    <s v="N/A"/>
    <s v="Jā"/>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Jā"/>
    <s v="Nē"/>
    <s v="Jā"/>
    <s v="Nē"/>
    <s v="Nē"/>
    <s v="Jā"/>
    <s v="Nē"/>
    <s v="Nē"/>
    <s v="Nē"/>
    <s v="Nē"/>
    <m/>
    <s v="Paldies !"/>
    <m/>
    <m/>
    <m/>
    <m/>
    <m/>
    <m/>
    <m/>
    <m/>
    <m/>
    <m/>
    <m/>
  </r>
  <r>
    <x v="1"/>
    <n v="166"/>
    <s v="2023-05-10 15:47:59"/>
    <n v="14"/>
    <s v="lv"/>
    <n v="1151650283"/>
    <s v="2023-05-10 15:33:45"/>
    <s v="2023-05-10 15:47:59"/>
    <s v="cirvis"/>
    <n v="21"/>
    <s v="vīriešu"/>
    <m/>
    <x v="1"/>
    <x v="1"/>
    <x v="0"/>
    <x v="0"/>
    <x v="0"/>
    <x v="0"/>
    <s v="Kurzemē"/>
    <m/>
    <s v="pareizticīgo"/>
    <m/>
    <s v="Nē"/>
    <s v="Nē"/>
    <s v="Nē"/>
    <s v="Nē"/>
    <s v="Jā"/>
    <s v="Nē"/>
    <s v="Nē"/>
    <s v="Jā"/>
    <s v="Nē"/>
    <s v="Nē"/>
    <s v="Nē"/>
    <s v="Nē"/>
    <s v="Nē"/>
    <s v="Nē"/>
    <s v="Jā"/>
    <s v="Nē"/>
    <s v="Nē"/>
    <s v="Nē"/>
    <s v="Nē"/>
    <s v="Nē"/>
    <s v="Nē"/>
    <s v="Jā"/>
    <s v="Nē"/>
    <s v="Nē"/>
    <s v="Nē"/>
    <s v="Nē"/>
    <s v="Nē"/>
    <s v="Nē"/>
    <s v="ne a, ne b"/>
    <s v="a un b"/>
    <s v="nezinu"/>
    <s v="tikai a"/>
    <s v="tikai a"/>
    <s v="tikai a"/>
    <s v="Vienlīdzīgi"/>
    <s v="Lielākoties vienlīdzīgi"/>
    <s v="Vienlīdzīgi"/>
    <s v="Vienlīdzīgi"/>
    <s v="Lielākoties nevienlīdzīgi"/>
    <s v="Jaunā Vienotība"/>
    <s v="&quot;Progresīvie&quot;"/>
    <s v="&quot;Latvija pirmajā vietā&quot;"/>
    <s v="Politiskā partija &quot;Stabilitātei&quot;"/>
    <s v="&quot;Apvienotais saraksts&quot;"/>
    <s v="Zaļo un Zemnieku savienība"/>
    <s v="Nacionālā Apvienība"/>
    <s v="Cīņai ar klimata pārmaiņām būtu jābūt vairumam pasaules valstu galvenajai prioritātei."/>
    <s v="jā, lielāko daļu no tā, ko iespējams šķirot"/>
    <s v="Nacionālā Apvienība"/>
    <s v="&quot;Progresīvie&quot;"/>
    <s v="Jaunā Vienotība"/>
    <s v="Politiskā partija &quot;Stabilitātei&quot;"/>
    <s v="&quot;Apvienotais saraksts&quot;"/>
    <s v="nezinu"/>
    <s v="&quot;Latvija pirmajā vietā&quot;"/>
    <s v="&quot;Progresīvie&quot;"/>
    <s v="&quot;Latvija pirmajā vietā&quot;"/>
    <s v="&quot;Apvienotais saraksts&quot;"/>
    <s v="Nacionālā Apvienība"/>
    <s v="Jaunā Vienotība"/>
    <s v="Politiskā partija &quot;Stabilitātei&quot;"/>
    <s v="Zaļo un Zemnieku savienība"/>
    <s v="Ļoti"/>
    <s v="Neinteresē"/>
    <s v="Viduvēji"/>
    <s v="Viduvēji"/>
    <s v="nav ne mazāko nojausmu"/>
    <s v="Nē"/>
    <s v="Nē"/>
    <s v="Nē"/>
    <s v="Jā"/>
    <s v="Nē"/>
    <s v="Nē"/>
    <s v="2.."/>
    <n v="100"/>
    <n v="100"/>
    <m/>
    <m/>
    <s v="Ļoti saspīlētas"/>
    <s v="Mazliet saspīlētas"/>
    <s v="Ļoti saspīlētas"/>
    <s v="Bieži"/>
    <s v="(Gandrīz) nekad"/>
    <s v="(Gandrīz) nekad"/>
    <s v="(Gandrīz) nekad"/>
    <s v="Dažreiz"/>
    <m/>
    <m/>
    <m/>
    <m/>
    <m/>
    <s v="neizmantoju krievu valodu vispār, jo nezinu to"/>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 pieejama izglītība, veselības aprūpe, sociālais nodrošinājums"/>
    <m/>
    <m/>
    <s v="ļoti labi"/>
    <s v="labi"/>
    <s v="citreiz labi, citreiz slikti"/>
    <s v="nezinu"/>
    <s v="citreiz labi, citreiz slikti"/>
    <s v="vidējo 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Krieviski/latviski spēju izlasīt ēdienkarti restorānā."/>
    <m/>
    <m/>
    <m/>
    <m/>
    <m/>
    <m/>
    <m/>
    <m/>
    <m/>
    <m/>
    <m/>
    <m/>
    <m/>
    <m/>
    <m/>
    <m/>
    <m/>
    <s v="N/A"/>
    <s v="N/A"/>
    <s v="N/A"/>
    <s v="N/A"/>
    <s v="N/A"/>
    <s v="N/A"/>
    <m/>
    <m/>
    <m/>
    <m/>
    <m/>
    <s v="Nē"/>
    <s v="Nē"/>
    <s v="Nē"/>
    <s v="Jā"/>
    <s v="Jā"/>
    <s v="Nē"/>
    <s v="Nē"/>
    <s v="Nē"/>
    <s v="Nē"/>
    <s v="Nē"/>
    <s v="Jā"/>
    <s v="Jā"/>
    <s v="Nē"/>
    <s v="Nē"/>
    <s v="Nē"/>
    <m/>
    <s v="Nē"/>
    <m/>
    <s v="Nē"/>
    <m/>
    <s v="Nē"/>
    <m/>
    <s v="Nē"/>
    <m/>
    <s v="Jā"/>
    <s v="Jā"/>
    <s v="Nē"/>
    <s v="Nē"/>
    <s v="Nē"/>
    <s v="Nē"/>
    <s v="Nē"/>
    <s v="Nē"/>
    <s v="Nē"/>
    <s v="Nē"/>
    <s v="Nē"/>
    <s v="Jā"/>
    <s v="Nē"/>
    <s v="Nē"/>
    <s v="Nē"/>
    <m/>
    <s v="Jā"/>
    <s v="liepajniekiem.lv"/>
    <s v="Nē"/>
    <m/>
    <s v="Nē"/>
    <m/>
    <s v="Nē"/>
    <m/>
    <s v="Jā"/>
    <s v="Jā"/>
    <s v="Nē"/>
    <s v="Nē"/>
    <s v="Jā"/>
    <s v="Nē"/>
    <s v="Nē"/>
    <s v="Jā"/>
    <s v="Nē"/>
    <s v="Nē"/>
    <s v="Jā"/>
    <s v="Nē"/>
    <m/>
    <m/>
    <m/>
    <m/>
    <m/>
    <m/>
    <m/>
    <m/>
    <m/>
    <m/>
    <m/>
    <m/>
    <m/>
  </r>
  <r>
    <x v="1"/>
    <n v="167"/>
    <s v="2023-05-10 15:53:48"/>
    <n v="14"/>
    <s v="lv"/>
    <n v="1304846449"/>
    <s v="2023-05-10 15:33:56"/>
    <s v="2023-05-10 15:53:48"/>
    <s v="cirvis"/>
    <n v="34"/>
    <s v="vīriešu"/>
    <m/>
    <x v="1"/>
    <x v="1"/>
    <x v="0"/>
    <x v="0"/>
    <x v="0"/>
    <x v="0"/>
    <s v="Kurzemē"/>
    <m/>
    <s v="protestantu(ti)"/>
    <m/>
    <s v="Jā"/>
    <s v="Nē"/>
    <s v="Nē"/>
    <s v="Nē"/>
    <s v="Nē"/>
    <s v="Nē"/>
    <s v="Nē"/>
    <s v="Nē"/>
    <s v="Jā"/>
    <s v="Nē"/>
    <s v="Nē"/>
    <s v="Nē"/>
    <s v="Nē"/>
    <s v="Nē"/>
    <s v="Nē"/>
    <s v="Nē"/>
    <s v="Jā"/>
    <s v="Nē"/>
    <s v="Nē"/>
    <s v="Nē"/>
    <s v="Nē"/>
    <s v="Nē"/>
    <s v="Nē"/>
    <s v="Jā"/>
    <s v="Nē"/>
    <s v="Nē"/>
    <s v="Nē"/>
    <s v="Nē"/>
    <s v="tikai a"/>
    <m/>
    <m/>
    <m/>
    <m/>
    <m/>
    <s v="Vienlīdzīgi"/>
    <s v="Vienlīdzīgi"/>
    <s v="Vienlīdzīgi"/>
    <s v="Vienlīdzīgi"/>
    <s v="Lielākoties vienlīdzīgi"/>
    <s v="&quot;Apvienotais saraksts&quot;"/>
    <s v="Jaunā Vienotība"/>
    <s v="&quot;Latvija pirmajā vietā&quot;"/>
    <s v="Nacionālā Apvienība"/>
    <s v="Zaļo un Zemnieku savienība"/>
    <s v="Jaunā Vienotība"/>
    <s v="Nacionālā Apvienība"/>
    <s v="Cīņai ar klimata pārmaiņām būtu jābūt vairumam pasaules valstu galvenajai prioritātei."/>
    <s v="jā, lielāko daļu no tā, ko iespējams šķirot"/>
    <s v="Jaunā Vienotība"/>
    <s v="&quot;Apvienotais saraksts&quot;"/>
    <s v="&quot;Apvienotais saraksts&quot;"/>
    <s v="&quot;Apvienotais saraksts&quot;"/>
    <s v="Politiskā partija &quot;Stabilitātei&quot;"/>
    <s v="Nacionālā Apvienība"/>
    <s v="Politiskā partija &quot;Stabilitātei&quot;"/>
    <s v="Jaunā Vienotība"/>
    <s v="&quot;Apvienotais saraksts&quot;"/>
    <s v="&quot;Apvienotais saraksts&quot;"/>
    <s v="&quot;Apvienotais saraksts&quot;"/>
    <s v="&quot;Latvija pirmajā vietā&quot;"/>
    <s v="Zaļo un Zemnieku savienība"/>
    <s v="Jaunā Vienotība"/>
    <s v="Ļoti"/>
    <s v="Neinteresē"/>
    <s v="Viduvēji"/>
    <s v="Viduvēji"/>
    <s v="Pēc maniem ieskatiem, par populistu var uzskatīt tādu  politiķi, kurš runā vai apsola lietas, kuras ir grūti, vai neiespējami realizēt it kā tās ir vienkāršas un tikai Viņam pa spēkam."/>
    <s v="Nē"/>
    <s v="Nē"/>
    <s v="Nē"/>
    <s v="Jā"/>
    <s v="Nē"/>
    <s v="Nē"/>
    <s v="2.."/>
    <n v="80"/>
    <n v="100"/>
    <m/>
    <m/>
    <s v="Es nezinu"/>
    <s v="Nav saspīlētas"/>
    <s v="Drīzāk saspīlētas"/>
    <s v="(Gandrīz) nekad"/>
    <s v="(Gandrīz) nekad"/>
    <s v="(Gandrīz) nekad"/>
    <s v="(Gandrīz) nekad"/>
    <s v="Reti"/>
    <m/>
    <m/>
    <m/>
    <m/>
    <m/>
    <m/>
    <s v="jā, pašvaldības iestādē"/>
    <s v="Jā"/>
    <s v="Jā"/>
    <s v="Jā"/>
    <s v="Nē"/>
    <s v="N/A"/>
    <s v="N/A"/>
    <s v="N/A"/>
    <s v="Jā"/>
    <s v="Jā"/>
    <s v="Nē"/>
    <s v="Jā"/>
    <s v="Nē"/>
    <s v="(gandrīz) katru dienu"/>
    <s v="(gandrīz) katru dienu"/>
    <s v="(gandrīz) katru dienu"/>
    <s v="(gandrīz) katru dienu"/>
    <s v="(gandrīz) katru dienu"/>
    <s v="(gandrīz) katru dienu"/>
    <s v="(gandrīz) katru dienu"/>
    <s v="reizi nedēļā"/>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labi"/>
    <s v="labi"/>
    <s v="citreiz labi, citreiz slikti"/>
    <s v="citreiz labi, citreiz slikti"/>
    <s v="labi"/>
    <s v="universitātes līmeni: maģistru"/>
    <m/>
    <s v="N/A"/>
    <s v="N/A"/>
    <s v="N/A"/>
    <s v="Jā"/>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Nē"/>
    <s v="Nē"/>
    <s v="Nē"/>
    <s v="Nē"/>
    <s v="Jā"/>
    <s v="Nē"/>
    <s v="Nē"/>
    <s v="Jā"/>
    <s v="Nē"/>
    <s v="Nē"/>
    <s v="Nē"/>
    <s v="Nē"/>
    <m/>
    <m/>
    <m/>
    <m/>
    <m/>
    <m/>
    <m/>
    <m/>
    <m/>
    <m/>
    <m/>
    <m/>
    <m/>
  </r>
  <r>
    <x v="1"/>
    <n v="168"/>
    <s v="2023-05-10 15:43:34"/>
    <n v="14"/>
    <s v="lv"/>
    <n v="873750368"/>
    <s v="2023-05-10 15:34:38"/>
    <s v="2023-05-10 15:43:34"/>
    <s v="cirvis"/>
    <n v="22"/>
    <s v="vīriešu"/>
    <m/>
    <x v="1"/>
    <x v="1"/>
    <x v="0"/>
    <x v="0"/>
    <x v="0"/>
    <x v="0"/>
    <s v="Kurzemē"/>
    <m/>
    <s v="ateistu(ti), nereliģiozu"/>
    <m/>
    <s v="N/A"/>
    <s v="N/A"/>
    <s v="N/A"/>
    <s v="N/A"/>
    <s v="N/A"/>
    <s v="N/A"/>
    <s v="Jā"/>
    <s v="N/A"/>
    <s v="N/A"/>
    <s v="N/A"/>
    <s v="N/A"/>
    <s v="N/A"/>
    <s v="N/A"/>
    <s v="Jā"/>
    <s v="N/A"/>
    <s v="N/A"/>
    <s v="N/A"/>
    <s v="N/A"/>
    <s v="N/A"/>
    <s v="N/A"/>
    <s v="Jā"/>
    <s v="N/A"/>
    <s v="N/A"/>
    <s v="N/A"/>
    <s v="N/A"/>
    <s v="N/A"/>
    <s v="N/A"/>
    <s v="Jā"/>
    <m/>
    <m/>
    <m/>
    <m/>
    <m/>
    <m/>
    <s v="Vienlīdzīgi"/>
    <s v="Lielākoties nevienlīdzīgi"/>
    <s v="Lielākoties nevienlīdzīgi"/>
    <s v="Lielākoties nevienlīdzīgi"/>
    <s v="Lielākoties ne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Neinteresē"/>
    <s v="Neinteresē"/>
    <s v="Neinteresē"/>
    <s v="Neinteresē"/>
    <s v="&quot;nezinu&quot;"/>
    <s v="Nē"/>
    <s v="Nē"/>
    <s v="Nē"/>
    <s v="Jā"/>
    <s v="Jā"/>
    <s v="Jā"/>
    <s v="1.."/>
    <n v="83"/>
    <n v="100"/>
    <m/>
    <m/>
    <s v="Ļoti saspīlētas"/>
    <s v="Mazliet saspīlētas"/>
    <s v="Drīzāk saspīlētas"/>
    <s v="(Gandrīz) nekad"/>
    <s v="(Gandrīz) nekad"/>
    <s v="(Gandrīz) nekad"/>
    <s v="(Gandrīz) nekad"/>
    <s v="(Gandrīz) nekad"/>
    <m/>
    <m/>
    <m/>
    <m/>
    <m/>
    <m/>
    <s v="jā, valsts iestādē"/>
    <s v="N/A"/>
    <s v="N/A"/>
    <s v="N/A"/>
    <s v="Jā"/>
    <s v="N/A"/>
    <s v="N/A"/>
    <s v="N/A"/>
    <s v="Jā"/>
    <s v="N/A"/>
    <s v="N/A"/>
    <s v="N/A"/>
    <s v="Jā"/>
    <s v="(gandrīz) katru dienu"/>
    <s v="(gandrīz) katru dienu"/>
    <s v="(gandrīz) nekad"/>
    <s v="(gandrīz) katru dienu"/>
    <s v="(gandrīz) katru dienu"/>
    <s v="(gandrīz) katru dienu"/>
    <s v="(gandrīz) katru dienu"/>
    <s v="(gandrīz) nekad"/>
    <s v="(gandrīz) nekad"/>
    <s v="pāris reižu nedēļā"/>
    <s v="(gandrīz) nekad"/>
    <s v="(gandrīz) nekad"/>
    <s v="(gandrīz) nekad"/>
    <s v="pāris reižu nedēļā"/>
    <s v="vienlīdz pieejama izglītība, veselības aprūpe, sociālais nodrošinājums"/>
    <s v="pilsoniskās brīvības (vārda brīvība, tiesības uz tiesisko aizsardzību)"/>
    <s v="brīvas vēlēšanas un plurālisms"/>
    <m/>
    <m/>
    <s v="slikti"/>
    <s v="slikti"/>
    <s v="slikti"/>
    <s v="slikti"/>
    <s v="slikti"/>
    <s v="arodskolu/ profesionālo izglītību"/>
    <m/>
    <s v="N/A"/>
    <s v="N/A"/>
    <s v="N/A"/>
    <s v="Jā"/>
    <s v="latviešu"/>
    <m/>
    <s v="latviešu"/>
    <m/>
    <s v="Spēju ilgstoši sarunāties ar vienaudžiem/piedalīties darba pārrunās."/>
    <s v="Spēju uzrakstīt vēstuli draugam."/>
    <s v="Viegli saprotu televīzijas pārraides vai Youtube video par saviem hobijiem/darbības sfēru."/>
    <s v="Krieviski/latviski spēju izlasīt ēdienkarti restorānā."/>
    <m/>
    <m/>
    <m/>
    <m/>
    <m/>
    <m/>
    <m/>
    <m/>
    <m/>
    <m/>
    <m/>
    <m/>
    <m/>
    <m/>
    <m/>
    <m/>
    <m/>
    <s v="N/A"/>
    <s v="N/A"/>
    <s v="N/A"/>
    <s v="N/A"/>
    <s v="N/A"/>
    <s v="N/A"/>
    <m/>
    <m/>
    <m/>
    <m/>
    <m/>
    <s v="Nē"/>
    <s v="Nē"/>
    <s v="Nē"/>
    <s v="Nē"/>
    <s v="Nē"/>
    <s v="Nē"/>
    <s v="Nē"/>
    <s v="Nē"/>
    <s v="Jā"/>
    <s v="Nē"/>
    <s v="Nē"/>
    <s v="Jā"/>
    <s v="Nē"/>
    <s v="Nē"/>
    <s v="Nē"/>
    <m/>
    <s v="Nē"/>
    <m/>
    <s v="Nē"/>
    <m/>
    <s v="Nē"/>
    <m/>
    <s v="Nē"/>
    <m/>
    <s v="Jā"/>
    <s v="Nē"/>
    <s v="Nē"/>
    <s v="Nē"/>
    <s v="Nē"/>
    <s v="Nē"/>
    <s v="Jā"/>
    <s v="Nē"/>
    <s v="Nē"/>
    <s v="Nē"/>
    <s v="Nē"/>
    <s v="Nē"/>
    <s v="Jā"/>
    <s v="Nē"/>
    <s v="Nē"/>
    <m/>
    <s v="Nē"/>
    <m/>
    <s v="Nē"/>
    <m/>
    <s v="Nē"/>
    <m/>
    <s v="Nē"/>
    <m/>
    <s v="Jā"/>
    <s v="Jā"/>
    <s v="Jā"/>
    <s v="Nē"/>
    <s v="Jā"/>
    <s v="Jā"/>
    <s v="Nē"/>
    <s v="Jā"/>
    <s v="Jā"/>
    <s v="Nē"/>
    <s v="Jā"/>
    <s v="Nē"/>
    <m/>
    <m/>
    <m/>
    <m/>
    <m/>
    <m/>
    <m/>
    <m/>
    <m/>
    <m/>
    <m/>
    <m/>
    <m/>
  </r>
  <r>
    <x v="1"/>
    <n v="169"/>
    <s v="2023-05-10 15:57:20"/>
    <n v="14"/>
    <s v="ru"/>
    <n v="552820639"/>
    <s v="2023-05-10 15:37:08"/>
    <s v="2023-05-10 15:57:20"/>
    <s v="молот"/>
    <n v="19"/>
    <s v="vīriešu"/>
    <m/>
    <x v="1"/>
    <x v="0"/>
    <x v="0"/>
    <x v="0"/>
    <x v="0"/>
    <x v="0"/>
    <s v="Kurzemē"/>
    <m/>
    <s v="ateistu(ti), nereliģiozu"/>
    <m/>
    <s v="Nē"/>
    <s v="Nē"/>
    <s v="Jā"/>
    <s v="Nē"/>
    <s v="Jā"/>
    <s v="Jā"/>
    <s v="Nē"/>
    <s v="Jā"/>
    <s v="Nē"/>
    <s v="Jā"/>
    <s v="Nē"/>
    <s v="Jā"/>
    <s v="Nē"/>
    <s v="Nē"/>
    <s v="Jā"/>
    <s v="Nē"/>
    <s v="Nē"/>
    <s v="Jā"/>
    <s v="Nē"/>
    <s v="Nē"/>
    <s v="Nē"/>
    <s v="Jā"/>
    <s v="Jā"/>
    <s v="Jā"/>
    <s v="Jā"/>
    <s v="Jā"/>
    <s v="Jā"/>
    <s v="Nē"/>
    <m/>
    <s v="a un b"/>
    <s v="nezinu"/>
    <s v="tikai a"/>
    <s v="tikai b"/>
    <s v="a un b"/>
    <s v="Vienlīdzīgi"/>
    <s v="Lielākoties vienlīdzīgi"/>
    <s v="Vienlīdzīgi"/>
    <s v="Vienlīdzīgi"/>
    <s v="Vienlīdzīgi"/>
    <s v="&quot;Progresīvie&quot;"/>
    <s v="Nacionālā Apvienība"/>
    <s v="&quot;Latvija pirmajā vietā&quot;"/>
    <s v="Politiskā partija &quot;Stabilitātei&quot;"/>
    <s v="Zaļo un Zemnieku savienība"/>
    <s v="Nacionālā Apvienība"/>
    <s v="Jaunā Vienotība"/>
    <s v="Cīņai ar klimata pārmaiņām būtu jābūt vairumam pasaules valstu galvenajai prioritātei."/>
    <s v="jā, lielāko daļu no tā, ko iespējams šķirot"/>
    <s v="Nacionālā Apvienība"/>
    <s v="Jaunā Vienotība"/>
    <s v="&quot;Progresīvie&quot;"/>
    <s v="&quot;Latvija pirmajā vietā&quot;"/>
    <s v="Politiskā partija &quot;Stabilitātei&quot;"/>
    <s v="Zaļo un Zemnieku savienība"/>
    <s v="&quot;Apvienotais saraksts&quot;"/>
    <s v="&quot;Latvija pirmajā vietā&quot;"/>
    <s v="&quot;Progresīvie&quot;"/>
    <s v="Politiskā partija &quot;Stabilitātei&quot;"/>
    <s v="Jaunā Vienotība"/>
    <s v="Jaunā Vienotība"/>
    <s v="Nacionālā Apvienība"/>
    <s v="&quot;Apvienotais saraksts&quot;"/>
    <s v="Viduvēji"/>
    <s v="Ne sevišķi"/>
    <s v="Ļoti"/>
    <s v="Viduvēji"/>
    <s v="не знаю"/>
    <s v="Nē"/>
    <s v="Nē"/>
    <s v="Nē"/>
    <s v="Nē"/>
    <s v="Jā"/>
    <s v="Nē"/>
    <s v="1.."/>
    <n v="1"/>
    <n v="60"/>
    <n v="100"/>
    <n v="1"/>
    <s v="Mazliet saspīlētas"/>
    <s v="Mazliet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katru dienu"/>
    <s v="(gandrīz) katru dienu"/>
    <s v="(gandrīz) nekad"/>
    <s v="(gandrīz) nekad"/>
    <s v="(gandrīz) nekad"/>
    <s v="(gandrīz) katru dienu"/>
    <s v="(gandrīz) katru dienu"/>
    <s v="(gandrīz) katru dienu"/>
    <s v="(gandrīz) nekad"/>
    <s v="(gandrīz) katru dienu"/>
    <s v="(gandrīz) katru dienu"/>
    <s v="(gandrīz) nekad"/>
    <s v="pāris reižu nedēļā"/>
    <s v="brīvas vēlēšanas un plurālisms"/>
    <s v="varas līdzsvars starp parlamentu, prezidentu un tiesām, lai neviena no institūcijām nespētu sevī koncentrēt lielāko daļu varas"/>
    <s v="vienlīdzīgas tiesības minoritātēm un ievainojamām sabiedrības grupām"/>
    <m/>
    <m/>
    <s v="citreiz labi, citreiz slikti"/>
    <s v="labi"/>
    <s v="citreiz labi, citreiz slikti"/>
    <s v="labi"/>
    <s v="labi"/>
    <s v="universitātes līmeni: bakalauru"/>
    <m/>
    <s v="Nē"/>
    <s v="Jā"/>
    <s v="Nē"/>
    <s v="Nē"/>
    <s v="vienlīdz latviešu un krievu"/>
    <m/>
    <s v="vienlīdz latviešu un krievu"/>
    <m/>
    <m/>
    <m/>
    <m/>
    <m/>
    <m/>
    <m/>
    <m/>
    <m/>
    <m/>
    <m/>
    <m/>
    <m/>
    <m/>
    <m/>
    <m/>
    <m/>
    <m/>
    <m/>
    <m/>
    <m/>
    <m/>
    <s v="N/A"/>
    <s v="N/A"/>
    <s v="N/A"/>
    <s v="N/A"/>
    <s v="N/A"/>
    <s v="N/A"/>
    <m/>
    <m/>
    <m/>
    <m/>
    <m/>
    <s v="Nē"/>
    <s v="Nē"/>
    <s v="Nē"/>
    <s v="Nē"/>
    <s v="Nē"/>
    <s v="Nē"/>
    <s v="Jā"/>
    <s v="Nē"/>
    <s v="Jā"/>
    <s v="Nē"/>
    <s v="Nē"/>
    <s v="Nē"/>
    <s v="Nē"/>
    <s v="Nē"/>
    <s v="Nē"/>
    <m/>
    <s v="Nē"/>
    <m/>
    <s v="Nē"/>
    <m/>
    <s v="Nē"/>
    <m/>
    <s v="Nē"/>
    <m/>
    <s v="Jā"/>
    <s v="Nē"/>
    <s v="Nē"/>
    <s v="Nē"/>
    <s v="Nē"/>
    <s v="Nē"/>
    <s v="Nē"/>
    <s v="Nē"/>
    <s v="Jā"/>
    <s v="Nē"/>
    <s v="Nē"/>
    <s v="Nē"/>
    <s v="Nē"/>
    <s v="Nē"/>
    <s v="Nē"/>
    <m/>
    <s v="Nē"/>
    <m/>
    <s v="Nē"/>
    <m/>
    <s v="Nē"/>
    <m/>
    <s v="Nē"/>
    <m/>
    <s v="Nē"/>
    <s v="Jā"/>
    <s v="Jā"/>
    <s v="Nē"/>
    <s v="Jā"/>
    <s v="Jā"/>
    <s v="Nē"/>
    <s v="Jā"/>
    <s v="Nē"/>
    <s v="Nē"/>
    <s v="Nē"/>
    <s v="Nē"/>
    <m/>
    <m/>
    <m/>
    <m/>
    <m/>
    <m/>
    <m/>
    <m/>
    <m/>
    <m/>
    <m/>
    <m/>
    <m/>
  </r>
  <r>
    <x v="2"/>
    <n v="170"/>
    <s v="2023-05-11 11:32:21"/>
    <n v="14"/>
    <s v="ru"/>
    <n v="476576537"/>
    <s v="2023-05-11 11:14:14"/>
    <s v="2023-05-11 11:32:21"/>
    <s v="кот"/>
    <n v="17"/>
    <s v="vīriešu"/>
    <m/>
    <x v="1"/>
    <x v="0"/>
    <x v="0"/>
    <x v="0"/>
    <x v="0"/>
    <x v="0"/>
    <s v="Latgalē"/>
    <m/>
    <s v="katoli(ieti)"/>
    <m/>
    <s v="Nē"/>
    <s v="Jā"/>
    <s v="Nē"/>
    <s v="Nē"/>
    <s v="Nē"/>
    <s v="Nē"/>
    <s v="Nē"/>
    <s v="Nē"/>
    <s v="Jā"/>
    <s v="Nē"/>
    <s v="Nē"/>
    <s v="Nē"/>
    <s v="Nē"/>
    <s v="Nē"/>
    <s v="Nē"/>
    <s v="Nē"/>
    <s v="Nē"/>
    <s v="Jā"/>
    <s v="Nē"/>
    <s v="Nē"/>
    <s v="Nē"/>
    <s v="Jā"/>
    <s v="Nē"/>
    <s v="Nē"/>
    <s v="Jā"/>
    <s v="Nē"/>
    <s v="Nē"/>
    <s v="Nē"/>
    <s v="a un b"/>
    <s v="tikai b"/>
    <s v="tikai b"/>
    <s v="a un b"/>
    <s v="tikai b"/>
    <s v="tikai b"/>
    <s v="Lielākoties nevienlīdzīgi"/>
    <s v="Lielākoties nevienlīdzīgi"/>
    <s v="Lielākoties vienlīdzīgi"/>
    <s v="Vienlīdzīgi"/>
    <s v="Nevienlīdzīgi"/>
    <s v="Jaunā Vienotība"/>
    <s v="&quot;Progresīvie&quot;"/>
    <s v="&quot;Latvija pirmajā vietā&quot;"/>
    <s v="&quot;Apvienotais saraksts&quot;"/>
    <s v="Zaļo un Zemnieku savienība"/>
    <s v="&quot;Progresīvie&quot;"/>
    <s v="Nacionālā Apvienība"/>
    <s v="Klimata pārmaiņas – tas ir ciklisks un dabisks process."/>
    <s v="nē"/>
    <s v="Politiskā partija &quot;Stabilitātei&quot;"/>
    <s v="&quot;Apvienotais saraksts&quot;"/>
    <s v="Zaļo un Zemnieku savienība"/>
    <s v="Nacionālā Apvienība"/>
    <s v="&quot;Progresīvie&quot;"/>
    <s v="Jaunā Vienotība"/>
    <s v="&quot;Latvija pirmajā vietā&quot;"/>
    <s v="Zaļo un Zemnieku savienība"/>
    <s v="Politiskā partija &quot;Stabilitātei&quot;"/>
    <s v="&quot;Progresīvie&quot;"/>
    <s v="&quot;Apvienotais saraksts&quot;"/>
    <s v="Politiskā partija &quot;Stabilitātei&quot;"/>
    <s v="Jaunā Vienotība"/>
    <s v="&quot;Latvija pirmajā vietā&quot;"/>
    <s v="Ne sevišķi"/>
    <s v="Neinteresē"/>
    <s v="Ne sevišķi"/>
    <s v="Ne sevišķi"/>
    <s v="не знаю"/>
    <s v="Jā"/>
    <s v="Nē"/>
    <s v="Nē"/>
    <s v="Nē"/>
    <s v="Jā"/>
    <s v="Nē"/>
    <s v="2.."/>
    <n v="30"/>
    <n v="35"/>
    <n v="100"/>
    <n v="1"/>
    <s v="Drīzāk saspīlētas"/>
    <s v="Nav saspīlētas"/>
    <s v="Ļoti saspīlētas"/>
    <s v="Reti"/>
    <s v="(Gandrīz) nekad"/>
    <s v="Reti"/>
    <s v="Dažreiz"/>
    <s v="(Gandrīz) nekad"/>
    <s v="Reti"/>
    <s v="(Gandrīz) nekad"/>
    <s v="Reti"/>
    <s v="Dažreiz"/>
    <s v="(Gandrīz) nekad"/>
    <m/>
    <s v="nē"/>
    <s v="N/A"/>
    <s v="N/A"/>
    <s v="N/A"/>
    <s v="N/A"/>
    <s v="N/A"/>
    <s v="N/A"/>
    <s v="N/A"/>
    <s v="Jā"/>
    <s v="N/A"/>
    <s v="N/A"/>
    <s v="N/A"/>
    <s v="Jā"/>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labi"/>
    <s v="labi"/>
    <s v="citreiz labi, citreiz slikti"/>
    <s v="citreiz labi, citreiz slikti"/>
    <s v="labi"/>
    <s v="pamatizglītību"/>
    <m/>
    <s v="N/A"/>
    <s v="N/A"/>
    <s v="N/A"/>
    <s v="Jā"/>
    <s v="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Nē"/>
    <s v="Nē"/>
    <s v="Jā"/>
    <s v="Jā"/>
    <s v="Jā"/>
    <s v="Nē"/>
    <s v="Jā"/>
    <s v="Nē"/>
    <s v="Nē"/>
    <s v="Nē"/>
    <s v="Nē"/>
    <m/>
    <m/>
    <m/>
    <m/>
    <m/>
    <m/>
    <m/>
    <m/>
    <m/>
    <m/>
    <m/>
    <m/>
    <m/>
  </r>
  <r>
    <x v="2"/>
    <n v="171"/>
    <s v="2023-05-11 11:33:02"/>
    <n v="14"/>
    <s v="ru"/>
    <n v="1259513912"/>
    <s v="2023-05-11 11:14:30"/>
    <s v="2023-05-11 11:33:02"/>
    <s v="кот"/>
    <n v="18"/>
    <s v="sieviešu"/>
    <m/>
    <x v="0"/>
    <x v="0"/>
    <x v="0"/>
    <x v="0"/>
    <x v="0"/>
    <x v="0"/>
    <s v="Latgalē"/>
    <m/>
    <s v="pareizticīgo"/>
    <m/>
    <s v="Jā"/>
    <s v="Nē"/>
    <s v="Nē"/>
    <s v="Nē"/>
    <s v="Nē"/>
    <s v="Nē"/>
    <s v="Nē"/>
    <s v="Jā"/>
    <s v="Nē"/>
    <s v="Nē"/>
    <s v="Nē"/>
    <s v="Jā"/>
    <s v="Nē"/>
    <s v="Nē"/>
    <s v="Nē"/>
    <s v="Nē"/>
    <s v="Nē"/>
    <s v="Jā"/>
    <s v="Nē"/>
    <s v="Nē"/>
    <s v="Nē"/>
    <s v="Jā"/>
    <s v="Nē"/>
    <s v="Nē"/>
    <s v="Nē"/>
    <s v="Nē"/>
    <s v="Nē"/>
    <s v="Nē"/>
    <s v="nezinu"/>
    <s v="a un b"/>
    <s v="a un b"/>
    <s v="a un b"/>
    <s v="tikai b"/>
    <s v="nezinu"/>
    <s v="Lielākoties nevienlīdzīgi"/>
    <s v="Lielākoties nevienlīdzīgi"/>
    <s v="Vienlīdzīgi"/>
    <s v="Lielākoties vienlīdzīgi"/>
    <s v="Lielākoties vienlīdzīgi"/>
    <s v="Jaunā Vienotība"/>
    <s v="Nacionālā Apvienība"/>
    <s v="Politiskā partija &quot;Stabilitātei&quot;"/>
    <s v="&quot;Apvienotais saraksts&quot;"/>
    <s v="Zaļo un Zemnieku savienība"/>
    <s v="&quot;Progresīvie&quot;"/>
    <s v="&quot;Latvija pirmajā vietā&quot;"/>
    <s v="Cīņai ar klimata pārmaiņām būtu jābūt vairumam pasaules valstu galvenajai prioritātei."/>
    <s v="nē"/>
    <s v="Nacionālā Apvienība"/>
    <s v="&quot;Progresīvie&quot;"/>
    <s v="Jaunā Vienotība"/>
    <s v="&quot;Latvija pirmajā vietā&quot;"/>
    <s v="nezinu"/>
    <s v="Zaļo un Zemnieku savienība"/>
    <s v="nezinu"/>
    <s v="Jaunā Vienotība"/>
    <s v="Nacionālā Apvienība"/>
    <s v="nezinu"/>
    <s v="nezinu"/>
    <s v="Zaļo un Zemnieku savienība"/>
    <s v="&quot;Latvija pirmajā vietā&quot;"/>
    <s v="Nacionālā Apvienība"/>
    <s v="Neinteresē"/>
    <s v="Ļoti"/>
    <s v="Neinteresē"/>
    <s v="Ļoti"/>
    <s v="не знаю"/>
    <s v="Nē"/>
    <s v="Nē"/>
    <s v="Nē"/>
    <s v="Nē"/>
    <s v="Jā"/>
    <s v="Nē"/>
    <s v="1.."/>
    <n v="75"/>
    <n v="50"/>
    <n v="100"/>
    <n v="1"/>
    <s v="Drīzāk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pāris reižu mēnesī"/>
    <s v="(gandrīz) nekad"/>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vienlīdz pieejama izglītība, veselības aprūpe, sociālais nodrošinājums"/>
    <m/>
    <m/>
    <s v="labi"/>
    <s v="labi"/>
    <s v="citreiz labi, citreiz slikti"/>
    <s v="nezinu"/>
    <s v="nezinu"/>
    <s v="vidējo izglītību"/>
    <m/>
    <s v="N/A"/>
    <s v="N/A"/>
    <s v="N/A"/>
    <s v="Jā"/>
    <s v="vienlīdz latviešu un krievu"/>
    <m/>
    <s v="latvieš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Nē"/>
    <s v="Nē"/>
    <s v="Nē"/>
    <s v="Jā"/>
    <s v="Nē"/>
    <m/>
    <m/>
    <m/>
    <m/>
    <m/>
    <m/>
    <m/>
    <m/>
    <m/>
    <m/>
    <m/>
    <m/>
    <m/>
  </r>
  <r>
    <x v="2"/>
    <n v="172"/>
    <s v="2023-05-11 11:36:56"/>
    <n v="14"/>
    <s v="ru"/>
    <n v="387377433"/>
    <s v="2023-05-11 11:14:39"/>
    <s v="2023-05-11 11:36:56"/>
    <s v="кот"/>
    <n v="17"/>
    <s v="sieviešu"/>
    <m/>
    <x v="0"/>
    <x v="0"/>
    <x v="0"/>
    <x v="0"/>
    <x v="0"/>
    <x v="0"/>
    <s v="Latgalē"/>
    <m/>
    <s v="pareizticīgo"/>
    <m/>
    <s v="Jā"/>
    <s v="Nē"/>
    <s v="Nē"/>
    <s v="Nē"/>
    <s v="Nē"/>
    <s v="Nē"/>
    <s v="Nē"/>
    <s v="Jā"/>
    <s v="Nē"/>
    <s v="Nē"/>
    <s v="Nē"/>
    <s v="Nē"/>
    <s v="Nē"/>
    <s v="Nē"/>
    <s v="Jā"/>
    <s v="Nē"/>
    <s v="Nē"/>
    <s v="Jā"/>
    <s v="Nē"/>
    <s v="Nē"/>
    <s v="Nē"/>
    <s v="Nē"/>
    <s v="Nē"/>
    <s v="Jā"/>
    <s v="Nē"/>
    <s v="Jā"/>
    <s v="Nē"/>
    <s v="Nē"/>
    <s v="tikai a"/>
    <s v="a un b"/>
    <s v="ne a, ne b"/>
    <s v="tikai a"/>
    <s v="tikai a"/>
    <s v="tikai b"/>
    <s v="Vienlīdzīgi"/>
    <s v="Vienlīdzīgi"/>
    <s v="Vienlīdzīgi"/>
    <s v="Vienlīdzīgi"/>
    <s v="Vienlīdzīgi"/>
    <s v="Jaunā Vienotība"/>
    <s v="&quot;Progresīvie&quot;"/>
    <s v="&quot;Latvija pirmajā vietā&quot;"/>
    <s v="Politiskā partija &quot;Stabilitātei&quot;"/>
    <s v="&quot;Apvienotais saraksts&quot;"/>
    <s v="&quot;Progresīvie&quot;"/>
    <s v="Nacionālā Apvienība"/>
    <s v="Reizēm ekonomiskā un valsts stabilitāte varētu nozīmēt, ka atsevišķi ekoloģiskās politikas aspekti ir uz brīdi jāiepauzē."/>
    <s v="nē"/>
    <s v="Jaunā Vienotība"/>
    <s v="&quot;Progresīvie&quot;"/>
    <s v="Zaļo un Zemnieku savienība"/>
    <s v="Politiskā partija &quot;Stabilitātei&quot;"/>
    <s v="Politiskā partija &quot;Stabilitātei&quot;"/>
    <s v="Zaļo un Zemnieku savienība"/>
    <s v="Politiskā partija &quot;Stabilitātei&quot;"/>
    <s v="Nacionālā Apvienība"/>
    <s v="&quot;Progresīvie&quot;"/>
    <s v="&quot;Latvija pirmajā vietā&quot;"/>
    <s v="Jaunā Vienotība"/>
    <s v="Politiskā partija &quot;Stabilitātei&quot;"/>
    <s v="&quot;Apvienotais saraksts&quot;"/>
    <s v="Jaunā Vienotība"/>
    <s v="Ļoti"/>
    <s v="Viduvēji"/>
    <s v="Ļoti"/>
    <s v="Ļoti"/>
    <s v="Партия &quot;Stabilitātei&quot; и партия &quot;Saskaņa''"/>
    <s v="Nē"/>
    <s v="Nē"/>
    <s v="Jā"/>
    <s v="Nē"/>
    <s v="Jā"/>
    <s v="Jā"/>
    <s v="2.."/>
    <n v="55"/>
    <n v="1"/>
    <n v="100"/>
    <n v="1"/>
    <s v="Ļoti saspīlētas"/>
    <s v="Nav saspīlētas"/>
    <s v="Mazliet saspīlētas"/>
    <s v="(Gandrīz) nekad"/>
    <s v="(Gandrīz) nekad"/>
    <s v="(Gandrīz) nekad"/>
    <s v="(Gandrīz) nekad"/>
    <s v="(Gandrīz) nekad"/>
    <s v="(Gandrīz) nekad"/>
    <s v="Reti"/>
    <s v="(Gandrīz) nekad"/>
    <s v="(Gandrīz) nekad"/>
    <s v="Dažreiz"/>
    <m/>
    <s v="nē"/>
    <s v="N/A"/>
    <s v="N/A"/>
    <s v="N/A"/>
    <s v="N/A"/>
    <s v="N/A"/>
    <s v="N/A"/>
    <s v="N/A"/>
    <s v="Jā"/>
    <s v="Jā"/>
    <s v="Nē"/>
    <s v="Nē"/>
    <s v="Nē"/>
    <s v="(gandrīz) nekad"/>
    <s v="(gandrīz) nekad"/>
    <s v="(gandrīz) nekad"/>
    <s v="(gandrīz) nekad"/>
    <s v="(gandrīz) nekad"/>
    <s v="(gandrīz) nekad"/>
    <s v="reizi nedēļā"/>
    <s v="(gandrīz) katru dienu"/>
    <s v="(gandrīz) katru dienu"/>
    <s v="(gandrīz) katru dienu"/>
    <s v="(gandrīz) katru dienu"/>
    <s v="(gandrīz) katru dienu"/>
    <s v="(gandrīz) katru dienu"/>
    <s v="(gandrīz) katru dienu"/>
    <s v="varas līdzsvars starp parlamentu, prezidentu un tiesām, lai neviena no institūcijām nespētu sevī koncentrēt lielāko daļu varas"/>
    <s v="pilsoniskās brīvības (vārda brīvība, tiesības uz tiesisko aizsardzību)"/>
    <s v="brīvas vēlēšanas un plurālisms"/>
    <m/>
    <m/>
    <s v="ļoti labi"/>
    <s v="knapi/gandrīz necik"/>
    <s v="labi"/>
    <s v="citreiz labi, citreiz slikti"/>
    <s v="knapi/gandrīz necik"/>
    <s v="vidējo izglītību"/>
    <m/>
    <s v="N/A"/>
    <s v="N/A"/>
    <s v="N/A"/>
    <s v="Jā"/>
    <s v="Cita atbilde"/>
    <s v="Образование до 4 класса -  полностью на русском. с 5 до 9 класса биллингвально на обоих языках с приемуществом у латышского"/>
    <s v="latviešu"/>
    <m/>
    <s v="Spēju pastāstīt par savu hobiju / darbu."/>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Jā"/>
    <s v="Nē"/>
    <s v="Jā"/>
    <s v="Nē"/>
    <s v="Nē"/>
    <s v="Nē"/>
    <s v="Nē"/>
    <s v="Nē"/>
    <s v="Nē"/>
    <s v="Nē"/>
    <s v="Jā"/>
    <s v="Nē"/>
    <s v="Nē"/>
    <s v="Nē"/>
    <m/>
    <s v="Jā"/>
    <s v="TV3"/>
    <s v="Nē"/>
    <m/>
    <s v="Jā"/>
    <s v="Супер+"/>
    <s v="Nē"/>
    <m/>
    <s v="Jā"/>
    <s v="Nē"/>
    <s v="Nē"/>
    <s v="Jā"/>
    <s v="Nē"/>
    <s v="Jā"/>
    <s v="Nē"/>
    <s v="Nē"/>
    <s v="Nē"/>
    <s v="Nē"/>
    <s v="Nē"/>
    <s v="Nē"/>
    <s v="Jā"/>
    <s v="Nē"/>
    <s v="Nē"/>
    <m/>
    <s v="Nē"/>
    <m/>
    <s v="Nē"/>
    <m/>
    <s v="Nē"/>
    <m/>
    <s v="Nē"/>
    <m/>
    <s v="Jā"/>
    <s v="Jā"/>
    <s v="Jā"/>
    <s v="Nē"/>
    <s v="Jā"/>
    <s v="Jā"/>
    <s v="Jā"/>
    <s v="Jā"/>
    <s v="Nē"/>
    <s v="Nē"/>
    <s v="Jā"/>
    <s v="Nē"/>
    <m/>
    <m/>
    <m/>
    <m/>
    <m/>
    <m/>
    <m/>
    <m/>
    <m/>
    <m/>
    <m/>
    <m/>
    <m/>
  </r>
  <r>
    <x v="2"/>
    <n v="173"/>
    <s v="2023-05-11 11:33:47"/>
    <n v="14"/>
    <s v="ru"/>
    <n v="284216881"/>
    <s v="2023-05-11 11:14:41"/>
    <s v="2023-05-11 11:33:47"/>
    <s v="кот"/>
    <n v="18"/>
    <s v="sieviešu"/>
    <m/>
    <x v="1"/>
    <x v="0"/>
    <x v="0"/>
    <x v="0"/>
    <x v="0"/>
    <x v="0"/>
    <s v="Latgalē"/>
    <m/>
    <s v="katoli(ieti)"/>
    <m/>
    <s v="Jā"/>
    <s v="Nē"/>
    <s v="Nē"/>
    <s v="Nē"/>
    <s v="Nē"/>
    <s v="Nē"/>
    <s v="Nē"/>
    <s v="Nē"/>
    <s v="Jā"/>
    <s v="Nē"/>
    <s v="Nē"/>
    <s v="Jā"/>
    <s v="Nē"/>
    <s v="Nē"/>
    <s v="Nē"/>
    <s v="Nē"/>
    <s v="Jā"/>
    <s v="Nē"/>
    <s v="Nē"/>
    <s v="Nē"/>
    <s v="Nē"/>
    <s v="Jā"/>
    <s v="Nē"/>
    <s v="Jā"/>
    <s v="Nē"/>
    <s v="Jā"/>
    <s v="Nē"/>
    <s v="Nē"/>
    <s v="tikai b"/>
    <s v="a un b"/>
    <s v="a un b"/>
    <s v="tikai a"/>
    <s v="tikai b"/>
    <s v="a un b"/>
    <s v="Nevienlīdzīgi"/>
    <s v="Nevienlīdzīgi"/>
    <s v="Lielākoties vienlīdzīgi"/>
    <s v="Lielākoties vienlīdzīgi"/>
    <s v="Nevienlīdzīgi"/>
    <s v="Jaunā Vienotība"/>
    <s v="Nacionālā Apvienība"/>
    <s v="Politiskā partija &quot;Stabilitātei&quot;"/>
    <s v="&quot;Apvienotais saraksts&quot;"/>
    <s v="nezinu"/>
    <s v="nezinu"/>
    <s v="nezinu"/>
    <s v="Cīņai ar klimata pārmaiņām būtu jābūt vairumam pasaules valstu galvenajai prioritātei."/>
    <s v="jā, lielāko daļu no tā, ko iespējams šķirot"/>
    <s v="Politiskā partija &quot;Stabilitātei&quot;"/>
    <s v="Jaunā Vienotība"/>
    <s v="&quot;Latvija pirmajā vietā&quot;"/>
    <s v="Zaļo un Zemnieku savienība"/>
    <s v="&quot;Progresīvie&quot;"/>
    <s v="&quot;Apvienotais saraksts&quot;"/>
    <s v="Nacionālā Apvienība"/>
    <s v="Nacionālā Apvienība"/>
    <s v="Politiskā partija &quot;Stabilitātei&quot;"/>
    <s v="Zaļo un Zemnieku savienība"/>
    <s v="Jaunā Vienotība"/>
    <s v="&quot;Progresīvie&quot;"/>
    <s v="&quot;Latvija pirmajā vietā&quot;"/>
    <s v="&quot;Apvienotais saraksts&quot;"/>
    <s v="Ļoti"/>
    <s v="Neinteresē"/>
    <s v="Neinteresē"/>
    <s v="Viduvēji"/>
    <s v="Понятие не имею, что это вообще такое."/>
    <s v="Nē"/>
    <s v="Nē"/>
    <s v="Nē"/>
    <s v="Nē"/>
    <s v="Jā"/>
    <s v="Nē"/>
    <s v="2.."/>
    <n v="100"/>
    <n v="38"/>
    <n v="64"/>
    <n v="1"/>
    <s v="Mazliet saspīlētas"/>
    <s v="Nav saspīlētas"/>
    <s v="Nav saspīlētas"/>
    <s v="(Gandrīz) nekad"/>
    <s v="(Gandrīz) nekad"/>
    <s v="(Gandrīz) nekad"/>
    <s v="(Gandrīz) nekad"/>
    <s v="(Gandrīz) nekad"/>
    <s v="Reti"/>
    <s v="Dažreiz"/>
    <s v="(Gandrīz) nekad"/>
    <s v="(Gandrīz) nekad"/>
    <s v="Reti"/>
    <m/>
    <s v="nē"/>
    <s v="N/A"/>
    <s v="N/A"/>
    <s v="N/A"/>
    <s v="N/A"/>
    <s v="N/A"/>
    <s v="N/A"/>
    <s v="N/A"/>
    <s v="Jā"/>
    <s v="N/A"/>
    <s v="N/A"/>
    <s v="N/A"/>
    <s v="Jā"/>
    <s v="(gandrīz) nekad"/>
    <s v="pāris reižu mēnesī"/>
    <s v="pāris reižu nedēļā"/>
    <s v="pāris reižu nedēļā"/>
    <s v="(gandrīz) nekad"/>
    <s v="(gandrīz) nekad"/>
    <s v="pāris reižu nedēļā"/>
    <s v="(gandrīz) katru dienu"/>
    <s v="(gandrīz) katru dienu"/>
    <s v="reizi nedēļā"/>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nezinu"/>
    <s v="citreiz labi, citreiz slikti"/>
    <s v="citreiz labi, citreiz slikti"/>
    <s v="nezinu"/>
    <s v="citreiz labi, citreiz slikti"/>
    <s v="vidējo izglītību"/>
    <m/>
    <s v="Nē"/>
    <s v="Jā"/>
    <s v="Nē"/>
    <s v="Nē"/>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Nē"/>
    <s v="Nē"/>
    <s v="Nē"/>
    <s v="Jā"/>
    <s v="Jā"/>
    <s v="Nē"/>
    <s v="Jā"/>
    <s v="Jā"/>
    <s v="Nē"/>
    <s v="Jā"/>
    <s v="Nē"/>
    <m/>
    <m/>
    <m/>
    <m/>
    <m/>
    <m/>
    <m/>
    <m/>
    <m/>
    <m/>
    <m/>
    <m/>
    <m/>
  </r>
  <r>
    <x v="2"/>
    <n v="174"/>
    <s v="2023-05-11 11:31:34"/>
    <n v="14"/>
    <s v="ru"/>
    <n v="340390749"/>
    <s v="2023-05-11 11:14:53"/>
    <s v="2023-05-11 11:31:34"/>
    <s v="кот"/>
    <n v="18"/>
    <s v="vīriešu"/>
    <m/>
    <x v="1"/>
    <x v="0"/>
    <x v="0"/>
    <x v="0"/>
    <x v="0"/>
    <x v="0"/>
    <s v="Rīgā/ Rīgas rajonā"/>
    <m/>
    <s v="pareizticīgo"/>
    <m/>
    <s v="Nē"/>
    <s v="Nē"/>
    <s v="Nē"/>
    <s v="Nē"/>
    <s v="Jā"/>
    <s v="Nē"/>
    <s v="Nē"/>
    <s v="Jā"/>
    <s v="Nē"/>
    <s v="Nē"/>
    <s v="Nē"/>
    <s v="Nē"/>
    <s v="Jā"/>
    <s v="Nē"/>
    <s v="Nē"/>
    <s v="Nē"/>
    <s v="Nē"/>
    <s v="Nē"/>
    <s v="Nē"/>
    <s v="Jā"/>
    <s v="Nē"/>
    <s v="Nē"/>
    <s v="Nē"/>
    <s v="Nē"/>
    <s v="Jā"/>
    <s v="Nē"/>
    <s v="Nē"/>
    <s v="Nē"/>
    <s v="a un b"/>
    <s v="tikai a"/>
    <s v="tikai b"/>
    <s v="ne a, ne b"/>
    <s v="tikai b"/>
    <s v="tikai b"/>
    <s v="Vienlīdzīgi"/>
    <s v="Nevienlīdzīgi"/>
    <s v="Lielākoties vienlīdzīgi"/>
    <s v="Lielākoties vienlīdzīgi"/>
    <s v="Lielākoties nevienlīdzīgi"/>
    <s v="nezinu"/>
    <s v="nezinu"/>
    <s v="nezinu"/>
    <s v="nezinu"/>
    <s v="nezinu"/>
    <s v="nezinu"/>
    <s v="nezinu"/>
    <s v="Klimata pārmaiņām nav nekādu pārliecinošu pierādījumu."/>
    <s v="nē"/>
    <s v="nezinu"/>
    <s v="nezinu"/>
    <s v="nezinu"/>
    <s v="nezinu"/>
    <s v="nezinu"/>
    <s v="nezinu"/>
    <s v="nezinu"/>
    <s v="nezinu"/>
    <s v="nezinu"/>
    <s v="nezinu"/>
    <s v="nezinu"/>
    <s v="nezinu"/>
    <s v="nezinu"/>
    <s v="nezinu"/>
    <s v="Neinteresē"/>
    <s v="Neinteresē"/>
    <s v="Neinteresē"/>
    <s v="Neinteresē"/>
    <s v="не интересует"/>
    <s v="Nē"/>
    <s v="Nē"/>
    <s v="Nē"/>
    <s v="Nē"/>
    <s v="Nē"/>
    <s v="Jā"/>
    <s v="2....."/>
    <n v="100"/>
    <n v="76"/>
    <n v="100"/>
    <n v="100"/>
    <s v="Nav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katru dienu"/>
    <s v="pāris reižu nedēļā"/>
    <s v="(gandrīz) katru dienu"/>
    <s v="(gandrīz) nekad"/>
    <s v="pāris reižu nedēļā"/>
    <s v="pāris reižu nedēļā"/>
    <s v="(gandrīz) nekad"/>
    <s v="(gandrīz) katru dienu"/>
    <s v="(gandrīz) katru dienu"/>
    <s v="(gandrīz) katru dienu"/>
    <s v="(gandrīz) katru dienu"/>
    <s v="(gandrīz) katru dienu"/>
    <s v="(gandrīz) katru dienu"/>
    <s v="(gandrīz) katru dienu"/>
    <s v="brīvas vēlēšanas un plurālisms"/>
    <s v="vienlīdz pieejama izglītība, veselības aprūpe, sociālais nodrošinājums"/>
    <s v="varas līdzsvars starp parlamentu, prezidentu un tiesām, lai neviena no institūcijām nespētu sevī koncentrēt lielāko daļu varas"/>
    <m/>
    <m/>
    <s v="nezinu"/>
    <s v="nezinu"/>
    <s v="nezinu"/>
    <s v="nezinu"/>
    <s v="nezinu"/>
    <s v="vidēj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Nē"/>
    <s v="Jā"/>
    <s v="Nē"/>
    <s v="Nē"/>
    <s v="Nē"/>
    <s v="Jā"/>
    <s v="Nē"/>
    <s v="Jā"/>
    <s v="Nē"/>
    <s v="Nē"/>
    <s v="Nē"/>
    <s v="Nē"/>
    <m/>
    <m/>
    <m/>
    <m/>
    <m/>
    <m/>
    <m/>
    <m/>
    <m/>
    <m/>
    <m/>
    <m/>
    <m/>
  </r>
  <r>
    <x v="2"/>
    <n v="175"/>
    <s v="2023-05-11 11:38:42"/>
    <n v="14"/>
    <s v="ru"/>
    <n v="2094928507"/>
    <s v="2023-05-11 11:14:55"/>
    <s v="2023-05-11 11:38:42"/>
    <s v="кот"/>
    <n v="18"/>
    <s v="vīriešu"/>
    <m/>
    <x v="0"/>
    <x v="0"/>
    <x v="0"/>
    <x v="0"/>
    <x v="0"/>
    <x v="0"/>
    <s v="Latgalē"/>
    <m/>
    <s v="vecticībnieku(ci)"/>
    <m/>
    <s v="Jā"/>
    <s v="Nē"/>
    <s v="Nē"/>
    <s v="Jā"/>
    <s v="Nē"/>
    <s v="Nē"/>
    <s v="Nē"/>
    <s v="Nē"/>
    <s v="Jā"/>
    <s v="Nē"/>
    <s v="Jā"/>
    <s v="Nē"/>
    <s v="Jā"/>
    <s v="Nē"/>
    <s v="Nē"/>
    <s v="Nē"/>
    <s v="Jā"/>
    <s v="Jā"/>
    <s v="Jā"/>
    <s v="Nē"/>
    <s v="Nē"/>
    <s v="Nē"/>
    <s v="Nē"/>
    <s v="Jā"/>
    <s v="Jā"/>
    <s v="Nē"/>
    <s v="Nē"/>
    <s v="Nē"/>
    <s v="tikai a"/>
    <s v="tikai b"/>
    <s v="tikai a"/>
    <s v="a un b"/>
    <s v="tikai a"/>
    <s v="tikai a"/>
    <s v="Lielākoties vienlīdzīgi"/>
    <s v="Lielākoties vienlīdzīgi"/>
    <s v="Lielākoties nevienlīdzīgi"/>
    <s v="Vienlīdzīgi"/>
    <s v="Lielākoties vienlīdzīgi"/>
    <s v="Zaļo un Zemnieku savienība"/>
    <s v="&quot;Progresīvie&quot;"/>
    <s v="Nacionālā Apvienība"/>
    <s v="Politiskā partija &quot;Stabilitātei&quot;"/>
    <s v="Politiskā partija &quot;Stabilitātei&quot;"/>
    <s v="Jaunā Vienotība"/>
    <s v="Nacionālā Apvienība"/>
    <s v="Reizēm ekonomiskā un valsts stabilitāte varētu nozīmēt, ka atsevišķi ekoloģiskās politikas aspekti ir uz brīdi jāiepauzē."/>
    <s v="jā, daļu no tā, ko iespējams šķirot"/>
    <s v="Jaunā Vienotība"/>
    <s v="&quot;Apvienotais saraksts&quot;"/>
    <s v="Zaļo un Zemnieku savienība"/>
    <s v="Politiskā partija &quot;Stabilitātei&quot;"/>
    <s v="Nacionālā Apvienība"/>
    <s v="&quot;Latvija pirmajā vietā&quot;"/>
    <s v="Politiskā partija &quot;Stabilitātei&quot;"/>
    <s v="&quot;Apvienotais saraksts&quot;"/>
    <s v="Jaunā Vienotība"/>
    <s v="Nacionālā Apvienība"/>
    <s v="&quot;Latvija pirmajā vietā&quot;"/>
    <s v="Politiskā partija &quot;Stabilitātei&quot;"/>
    <s v="Zaļo un Zemnieku savienība"/>
    <s v="&quot;Progresīvie&quot;"/>
    <s v="Viduvēji"/>
    <s v="Ne sevišķi"/>
    <s v="Viduvēji"/>
    <s v="Ne sevišķi"/>
    <s v="...."/>
    <s v="Nē"/>
    <s v="Nē"/>
    <s v="Nē"/>
    <s v="Jā"/>
    <s v="Jā"/>
    <s v="Nē"/>
    <s v="2.."/>
    <n v="10"/>
    <n v="81"/>
    <n v="81"/>
    <n v="1"/>
    <s v="Mazliet saspīlētas"/>
    <s v="Nav saspīlētas"/>
    <s v="Nav saspīlētas"/>
    <s v="(Gandrīz) nekad"/>
    <s v="(Gandrīz) nekad"/>
    <s v="(Gandrīz) nekad"/>
    <s v="(Gandrīz) nekad"/>
    <s v="Reti"/>
    <s v="(Gandrīz) nekad"/>
    <s v="(Gandrīz) nekad"/>
    <s v="(Gandrīz) nekad"/>
    <s v="(Gandrīz) nekad"/>
    <s v="(Gandrīz) nekad"/>
    <s v="..."/>
    <s v="nē"/>
    <s v="N/A"/>
    <s v="N/A"/>
    <s v="N/A"/>
    <s v="N/A"/>
    <s v="Nē"/>
    <s v="Jā"/>
    <s v="Nē"/>
    <s v="Nē"/>
    <s v="N/A"/>
    <s v="N/A"/>
    <s v="N/A"/>
    <s v="Jā"/>
    <s v="pāris reižu mēnesī"/>
    <s v="reizi nedēļā"/>
    <s v="(gandrīz) katru dienu"/>
    <s v="(gandrīz) nekad"/>
    <s v="(gandrīz) nekad"/>
    <s v="(gandrīz) katru dienu"/>
    <s v="pāris reižu nedēļā"/>
    <s v="(gandrīz) katru dienu"/>
    <s v="(gandrīz) katru dienu"/>
    <s v="(gandrīz) nekad"/>
    <s v="pāris reižu nedēļā"/>
    <s v="(gandrīz) nekad"/>
    <s v="pāris reižu mēnesī"/>
    <s v="reizi nedēļā"/>
    <s v="pilsoniskās brīvības (vārda brīvība, tiesības uz tiesisko aizsardzību)"/>
    <s v="vienlīdz pieejama izglītība, veselības aprūpe, sociālais nodrošinājums"/>
    <s v="brīvas vēlēšanas un plurālisms"/>
    <m/>
    <m/>
    <s v="labi"/>
    <s v="labi"/>
    <s v="ļoti labi"/>
    <s v="labi"/>
    <s v="ļoti labi"/>
    <s v="pamatizglītību"/>
    <m/>
    <s v="Nē"/>
    <s v="Jā"/>
    <s v="Nē"/>
    <s v="Nē"/>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Jā"/>
    <s v="Nē"/>
    <s v="Nē"/>
    <s v="Nē"/>
    <s v="Nē"/>
    <s v="Nē"/>
    <s v="Jā"/>
    <s v="Nē"/>
    <s v="Nē"/>
    <s v="Nē"/>
    <s v="Nē"/>
    <s v="Nē"/>
    <s v="Nē"/>
    <m/>
    <s v="Nē"/>
    <m/>
    <s v="Nē"/>
    <m/>
    <s v="Nē"/>
    <m/>
    <s v="Nē"/>
    <m/>
    <s v="Nē"/>
    <s v="Nē"/>
    <s v="Nē"/>
    <s v="Jā"/>
    <s v="Nē"/>
    <s v="Nē"/>
    <s v="Nē"/>
    <s v="Nē"/>
    <s v="Nē"/>
    <s v="Nē"/>
    <s v="Nē"/>
    <s v="Nē"/>
    <s v="Nē"/>
    <s v="Nē"/>
    <s v="Nē"/>
    <m/>
    <s v="Nē"/>
    <m/>
    <s v="Nē"/>
    <m/>
    <s v="Nē"/>
    <m/>
    <s v="Nē"/>
    <m/>
    <s v="Nē"/>
    <s v="Nē"/>
    <s v="Nē"/>
    <s v="Nē"/>
    <s v="Jā"/>
    <s v="Nē"/>
    <s v="Nē"/>
    <s v="Jā"/>
    <s v="Nē"/>
    <s v="Nē"/>
    <s v="Nē"/>
    <s v="Nē"/>
    <m/>
    <m/>
    <m/>
    <m/>
    <m/>
    <m/>
    <m/>
    <m/>
    <m/>
    <m/>
    <m/>
    <m/>
    <m/>
  </r>
  <r>
    <x v="2"/>
    <n v="176"/>
    <s v="2023-05-11 11:30:11"/>
    <n v="14"/>
    <s v="ru"/>
    <n v="720145131"/>
    <s v="2023-05-11 11:15:05"/>
    <s v="2023-05-11 11:30:11"/>
    <s v="кот"/>
    <n v="17"/>
    <s v="vīriešu"/>
    <m/>
    <x v="1"/>
    <x v="0"/>
    <x v="0"/>
    <x v="0"/>
    <x v="0"/>
    <x v="0"/>
    <s v="Latgalē"/>
    <m/>
    <s v="katoli(ieti)"/>
    <m/>
    <s v="Nē"/>
    <s v="Nē"/>
    <s v="Nē"/>
    <s v="Nē"/>
    <s v="Jā"/>
    <s v="Nē"/>
    <s v="Nē"/>
    <s v="Jā"/>
    <s v="Nē"/>
    <s v="Nē"/>
    <s v="Nē"/>
    <s v="Nē"/>
    <s v="Nē"/>
    <s v="Nē"/>
    <s v="Nē"/>
    <s v="Nē"/>
    <s v="Nē"/>
    <s v="Jā"/>
    <s v="Nē"/>
    <s v="Nē"/>
    <s v="Nē"/>
    <s v="Nē"/>
    <s v="Jā"/>
    <s v="Jā"/>
    <s v="Jā"/>
    <s v="Jā"/>
    <s v="Nē"/>
    <s v="Nē"/>
    <m/>
    <m/>
    <m/>
    <m/>
    <m/>
    <m/>
    <s v="Lielākoties nevienlīdzīgi"/>
    <s v="Lielākoties vienlīdzīgi"/>
    <s v="Lielākoties vienlīdzīgi"/>
    <s v="Lielākoties vienlīdzīgi"/>
    <s v="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Viduvēji"/>
    <s v="Neinteresē"/>
    <s v="Ne sevišķi"/>
    <s v="Neinteresē"/>
    <s v="Не знаю"/>
    <s v="Nē"/>
    <s v="Nē"/>
    <s v="Nē"/>
    <s v="Nē"/>
    <s v="Jā"/>
    <s v="Nē"/>
    <s v="1.."/>
    <n v="53"/>
    <n v="60"/>
    <n v="73"/>
    <n v="57"/>
    <s v="Nav saspīlētas"/>
    <s v="Nav saspīlētas"/>
    <s v="Nav saspīlētas"/>
    <s v="Reti"/>
    <s v="Dažreiz"/>
    <s v="Reti"/>
    <s v="Bieži"/>
    <s v="Reti"/>
    <s v="Reti"/>
    <s v="Dažreiz"/>
    <s v="Reti"/>
    <s v="Dažreiz"/>
    <s v="Reti"/>
    <s v="Не юыло такого"/>
    <s v="jā, privāta darba devēja labā"/>
    <s v="N/A"/>
    <s v="N/A"/>
    <s v="N/A"/>
    <s v="Jā"/>
    <s v="N/A"/>
    <s v="N/A"/>
    <s v="N/A"/>
    <s v="Jā"/>
    <s v="N/A"/>
    <s v="N/A"/>
    <s v="N/A"/>
    <s v="Jā"/>
    <s v="(gandrīz) nekad"/>
    <s v="(gandrīz) katru dienu"/>
    <s v="pāris reižu nedēļā"/>
    <s v="(gandrīz) nekad"/>
    <s v="(gandrīz) nekad"/>
    <s v="pāris reižu nedēļā"/>
    <s v="pāris reižu mēnesī"/>
    <s v="(gandrīz) katru dienu"/>
    <s v="(gandrīz) katru dienu"/>
    <s v="(gandrīz) katru dienu"/>
    <s v="(gandrīz) katru dienu"/>
    <s v="(gandrīz) katru dienu"/>
    <s v="(gandrīz) katru dienu"/>
    <s v="(gandrīz) katru dienu"/>
    <s v="varas līdzsvars starp parlamentu, prezidentu un tiesām, lai neviena no institūcijām nespētu sevī koncentrēt lielāko daļu varas"/>
    <s v="vienlīdzīgas tiesības minoritātēm un ievainojamām sabiedrības grupām"/>
    <s v="brīvas vēlēšanas un plurālisms"/>
    <m/>
    <m/>
    <s v="slikti"/>
    <s v="slikti"/>
    <s v="slikti"/>
    <s v="nezinu"/>
    <s v="slikti"/>
    <s v="vidējo izglītību"/>
    <m/>
    <s v="Nē"/>
    <s v="Jā"/>
    <s v="Nē"/>
    <s v="Nē"/>
    <s v="krievu"/>
    <m/>
    <s v="kriev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Nē"/>
    <s v="Nē"/>
    <s v="Nē"/>
    <m/>
    <s v="Nē"/>
    <m/>
    <s v="Nē"/>
    <m/>
    <s v="Nē"/>
    <m/>
    <s v="Nē"/>
    <m/>
    <s v="Jā"/>
    <s v="Jā"/>
    <s v="Jā"/>
    <s v="Jā"/>
    <s v="Jā"/>
    <s v="Jā"/>
    <s v="Nē"/>
    <s v="Jā"/>
    <s v="Nē"/>
    <s v="Nē"/>
    <s v="Nē"/>
    <s v="Nē"/>
    <m/>
    <s v="Не за что!"/>
    <m/>
    <m/>
    <m/>
    <m/>
    <m/>
    <m/>
    <m/>
    <m/>
    <m/>
    <m/>
    <m/>
  </r>
  <r>
    <x v="2"/>
    <n v="177"/>
    <s v="2023-05-11 11:29:12"/>
    <n v="14"/>
    <s v="ru"/>
    <n v="529365430"/>
    <s v="2023-05-11 11:15:09"/>
    <s v="2023-05-11 11:29:12"/>
    <s v="кот"/>
    <n v="18"/>
    <s v="vīriešu"/>
    <m/>
    <x v="1"/>
    <x v="0"/>
    <x v="0"/>
    <x v="0"/>
    <x v="0"/>
    <x v="0"/>
    <s v="Latgalē"/>
    <m/>
    <s v="pareizticīgo"/>
    <m/>
    <s v="N/A"/>
    <s v="N/A"/>
    <s v="N/A"/>
    <s v="N/A"/>
    <s v="N/A"/>
    <s v="N/A"/>
    <s v="Jā"/>
    <s v="N/A"/>
    <s v="N/A"/>
    <s v="N/A"/>
    <s v="N/A"/>
    <s v="N/A"/>
    <s v="N/A"/>
    <s v="Jā"/>
    <s v="N/A"/>
    <s v="N/A"/>
    <s v="N/A"/>
    <s v="N/A"/>
    <s v="N/A"/>
    <s v="N/A"/>
    <s v="Jā"/>
    <s v="N/A"/>
    <s v="N/A"/>
    <s v="N/A"/>
    <s v="N/A"/>
    <s v="N/A"/>
    <s v="N/A"/>
    <s v="Jā"/>
    <s v="nezinu"/>
    <s v="nezinu"/>
    <s v="nezinu"/>
    <s v="nezinu"/>
    <s v="nezinu"/>
    <s v="nezinu"/>
    <s v="Nevienlīdzīgi"/>
    <s v="Lielākoties nevienlīdzīgi"/>
    <s v="Lielākoties vienlīdzīgi"/>
    <s v="Lielākoties vienlīdzīgi"/>
    <s v="Lielākoties 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Ļoti"/>
    <s v="Neinteresē"/>
    <s v="Ne sevišķi"/>
    <s v="Neinteresē"/>
    <s v="не знаю"/>
    <s v="Nē"/>
    <s v="Nē"/>
    <s v="Nē"/>
    <s v="Jā"/>
    <s v="Jā"/>
    <s v="Nē"/>
    <s v="1.."/>
    <n v="80"/>
    <n v="20"/>
    <n v="100"/>
    <n v="65"/>
    <s v="Ļoti saspīlētas"/>
    <s v="Mazliet saspīlētas"/>
    <s v="Nav saspīlētas"/>
    <s v="(Gandrīz) nekad"/>
    <s v="(Gandrīz) nekad"/>
    <s v="(Gandrīz) nekad"/>
    <s v="(Gandrīz) nekad"/>
    <s v="(Gandrīz) nekad"/>
    <s v="Bieži"/>
    <s v="Bieži"/>
    <s v="(Gandrīz) nekad"/>
    <s v="(Gandrīz) nekad"/>
    <s v="Reti"/>
    <s v="Русский так как вся семья говорит только на русском"/>
    <s v="nē"/>
    <s v="N/A"/>
    <s v="N/A"/>
    <s v="N/A"/>
    <s v="N/A"/>
    <s v="N/A"/>
    <s v="N/A"/>
    <s v="N/A"/>
    <s v="Jā"/>
    <s v="N/A"/>
    <s v="N/A"/>
    <s v="N/A"/>
    <s v="Jā"/>
    <s v="(gandrīz) nekad"/>
    <s v="(gandrīz) nekad"/>
    <s v="reizi nedēļā"/>
    <s v="(gandrīz) nekad"/>
    <s v="(gandrīz) nekad"/>
    <s v="(gandrīz) nekad"/>
    <s v="pāris reižu mēnesī"/>
    <s v="(gandrīz) katru dienu"/>
    <s v="(gandrīz) katru dienu"/>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brīvas vēlēšanas un plurālisms"/>
    <m/>
    <m/>
    <s v="citreiz labi, citreiz slikti"/>
    <s v="citreiz labi, citreiz slikti"/>
    <s v="citreiz labi, citreiz slikti"/>
    <s v="citreiz labi, citreiz slikti"/>
    <s v="citreiz labi, citreiz slikti"/>
    <s v="Cita atbilde"/>
    <s v="еще учусь"/>
    <s v="N/A"/>
    <s v="N/A"/>
    <s v="N/A"/>
    <s v="Jā"/>
    <s v="latviešu"/>
    <m/>
    <s v="latviešu"/>
    <m/>
    <m/>
    <m/>
    <m/>
    <m/>
    <m/>
    <m/>
    <m/>
    <m/>
    <m/>
    <m/>
    <m/>
    <m/>
    <m/>
    <m/>
    <m/>
    <m/>
    <m/>
    <m/>
    <m/>
    <m/>
    <m/>
    <s v="N/A"/>
    <s v="N/A"/>
    <s v="N/A"/>
    <s v="N/A"/>
    <s v="N/A"/>
    <s v="N/A"/>
    <m/>
    <m/>
    <m/>
    <m/>
    <m/>
    <s v="Nē"/>
    <s v="Nē"/>
    <s v="Nē"/>
    <s v="Nē"/>
    <s v="Nē"/>
    <s v="Nē"/>
    <s v="Jā"/>
    <s v="Jā"/>
    <s v="Nē"/>
    <s v="Jā"/>
    <s v="Jā"/>
    <s v="Jā"/>
    <s v="Jā"/>
    <s v="Nē"/>
    <s v="Nē"/>
    <m/>
    <s v="Nē"/>
    <m/>
    <s v="Nē"/>
    <m/>
    <s v="Nē"/>
    <m/>
    <s v="Nē"/>
    <m/>
    <s v="Nē"/>
    <s v="Nē"/>
    <s v="Nē"/>
    <s v="Nē"/>
    <s v="Nē"/>
    <s v="Nē"/>
    <s v="Nē"/>
    <s v="Nē"/>
    <s v="Nē"/>
    <s v="Nē"/>
    <s v="Nē"/>
    <s v="Nē"/>
    <s v="Nē"/>
    <s v="Nē"/>
    <s v="Jā"/>
    <m/>
    <s v="Nē"/>
    <m/>
    <s v="Nē"/>
    <m/>
    <s v="Nē"/>
    <m/>
    <s v="Nē"/>
    <m/>
    <s v="Jā"/>
    <s v="Jā"/>
    <s v="Nē"/>
    <s v="Jā"/>
    <s v="Jā"/>
    <s v="Jā"/>
    <s v="Nē"/>
    <s v="Jā"/>
    <s v="Nē"/>
    <s v="Nē"/>
    <s v="Nē"/>
    <s v="Nē"/>
    <m/>
    <m/>
    <m/>
    <m/>
    <m/>
    <m/>
    <m/>
    <m/>
    <m/>
    <m/>
    <m/>
    <m/>
    <m/>
  </r>
  <r>
    <x v="2"/>
    <n v="178"/>
    <s v="2023-05-11 11:32:00"/>
    <n v="14"/>
    <s v="ru"/>
    <n v="305740472"/>
    <s v="2023-05-11 11:15:46"/>
    <s v="2023-05-11 11:32:00"/>
    <s v="кот"/>
    <n v="17"/>
    <s v="sieviešu"/>
    <m/>
    <x v="0"/>
    <x v="0"/>
    <x v="0"/>
    <x v="0"/>
    <x v="0"/>
    <x v="0"/>
    <s v="Latgalē"/>
    <m/>
    <s v="ateistu(ti), nereliģiozu"/>
    <m/>
    <s v="Jā"/>
    <s v="Nē"/>
    <s v="Nē"/>
    <s v="Nē"/>
    <s v="Nē"/>
    <s v="Jā"/>
    <s v="Nē"/>
    <s v="Jā"/>
    <s v="Jā"/>
    <s v="Nē"/>
    <s v="Nē"/>
    <s v="Jā"/>
    <s v="Nē"/>
    <s v="Nē"/>
    <s v="Jā"/>
    <s v="Nē"/>
    <s v="Nē"/>
    <s v="Nē"/>
    <s v="Jā"/>
    <s v="Nē"/>
    <s v="Nē"/>
    <s v="Nē"/>
    <s v="Nē"/>
    <s v="Jā"/>
    <s v="Jā"/>
    <s v="Nē"/>
    <s v="Jā"/>
    <s v="Nē"/>
    <s v="tikai b"/>
    <s v="a un b"/>
    <s v="a un b"/>
    <s v="tikai b"/>
    <s v="tikai b"/>
    <s v="a un b"/>
    <s v="Lielākoties nevienlīdzīgi"/>
    <s v="Lielākoties nevienlīdzīgi"/>
    <s v="Lielākoties vienlīdzīgi"/>
    <s v="Nevienlīdzīgi"/>
    <s v="Ne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nezinu"/>
    <s v="nezinu"/>
    <s v="nezinu"/>
    <s v="Viduvēji"/>
    <s v="Ļoti"/>
    <s v="Ļoti"/>
    <s v="Ārkārtīgi"/>
    <s v="-"/>
    <s v="Nē"/>
    <s v="Nē"/>
    <s v="Nē"/>
    <s v="Jā"/>
    <s v="Jā"/>
    <s v="Nē"/>
    <s v="2.."/>
    <n v="60"/>
    <n v="30"/>
    <n v="100"/>
    <n v="10"/>
    <s v="Drīzāk saspīlētas"/>
    <s v="Nav saspīlētas"/>
    <s v="Mazliet saspīlētas"/>
    <s v="(Gandrīz) nekad"/>
    <s v="(Gandrīz) nekad"/>
    <s v="(Gandrīz) nekad"/>
    <s v="(Gandrīz) nekad"/>
    <s v="(Gandrīz) nekad"/>
    <s v="(Gandrīz) nekad"/>
    <s v="Reti"/>
    <s v="(Gandrīz) nekad"/>
    <s v="(Gandrīz) nekad"/>
    <s v="(Gandrīz) nekad"/>
    <s v="-"/>
    <s v="nē"/>
    <s v="N/A"/>
    <s v="N/A"/>
    <s v="N/A"/>
    <s v="N/A"/>
    <s v="Nē"/>
    <s v="Nē"/>
    <s v="Jā"/>
    <s v="Nē"/>
    <s v="Nē"/>
    <s v="Jā"/>
    <s v="Nē"/>
    <s v="Nē"/>
    <s v="(gandrīz) nekad"/>
    <s v="(gandrīz) nekad"/>
    <s v="(gandrīz) nekad"/>
    <s v="(gandrīz) nekad"/>
    <s v="(gandrīz) nekad"/>
    <s v="(gandrīz) nekad"/>
    <s v="pāris reižu mēnesī"/>
    <s v="(gandrīz) katru dienu"/>
    <s v="(gandrīz) katru dienu"/>
    <s v="(gandrīz) katru dienu"/>
    <s v="(gandrīz) katru dienu"/>
    <s v="(gandrīz) katru dienu"/>
    <s v="(gandrīz) katru dienu"/>
    <s v="(gandrīz) katru dienu"/>
    <s v="vienlīdz pieejama izglītība, veselības aprūpe, sociālais nodrošinājums"/>
    <s v="vienlīdzīgas tiesības minoritātēm un ievainojamām sabiedrības grupām"/>
    <s v="pilsoniskās brīvības (vārda brīvība, tiesības uz tiesisko aizsardzību)"/>
    <m/>
    <m/>
    <s v="citreiz labi, citreiz slikti"/>
    <s v="labi"/>
    <s v="knapi/gandrīz necik"/>
    <s v="knapi/gandrīz necik"/>
    <s v="slikti"/>
    <s v="Cita atbilde"/>
    <s v="в процессе получения среднего образования"/>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Jā"/>
    <s v="twitter, tiktok"/>
    <s v="Nē"/>
    <m/>
    <s v="Nē"/>
    <m/>
    <s v="Jā"/>
    <s v="Nē"/>
    <s v="Nē"/>
    <s v="Nē"/>
    <s v="Jā"/>
    <s v="Nē"/>
    <s v="Nē"/>
    <s v="Jā"/>
    <s v="Nē"/>
    <s v="Nē"/>
    <s v="Jā"/>
    <s v="Nē"/>
    <m/>
    <m/>
    <m/>
    <m/>
    <m/>
    <m/>
    <m/>
    <m/>
    <m/>
    <m/>
    <m/>
    <m/>
    <m/>
  </r>
  <r>
    <x v="2"/>
    <n v="179"/>
    <s v="2023-05-11 11:37:34"/>
    <n v="14"/>
    <s v="ru"/>
    <n v="1922022380"/>
    <s v="2023-05-11 11:17:03"/>
    <s v="2023-05-11 11:37:34"/>
    <s v="кот"/>
    <n v="17"/>
    <s v="vīriešu"/>
    <m/>
    <x v="0"/>
    <x v="0"/>
    <x v="0"/>
    <x v="0"/>
    <x v="0"/>
    <x v="0"/>
    <s v="Latgalē"/>
    <m/>
    <s v="ateistu(ti), nereliģiozu"/>
    <m/>
    <s v="Nē"/>
    <s v="Nē"/>
    <s v="Nē"/>
    <s v="Nē"/>
    <s v="Nē"/>
    <s v="Jā"/>
    <s v="Nē"/>
    <s v="Nē"/>
    <s v="Jā"/>
    <s v="Nē"/>
    <s v="Nē"/>
    <s v="Nē"/>
    <s v="Jā"/>
    <s v="Nē"/>
    <s v="Jā"/>
    <s v="Nē"/>
    <s v="Nē"/>
    <s v="Jā"/>
    <s v="Jā"/>
    <s v="Nē"/>
    <s v="Nē"/>
    <s v="Jā"/>
    <s v="Nē"/>
    <s v="Jā"/>
    <s v="Nē"/>
    <s v="Nē"/>
    <s v="Nē"/>
    <s v="Nē"/>
    <s v="tikai b"/>
    <s v="tikai a"/>
    <s v="a un b"/>
    <s v="ne a, ne b"/>
    <s v="tikai b"/>
    <s v="ne a, ne b"/>
    <s v="Lielākoties vienlīdzīgi"/>
    <s v="Lielākoties vienlīdzīgi"/>
    <s v="Vienlīdzīgi"/>
    <s v="Vienlīdzīgi"/>
    <s v="Vienlīdzīgi"/>
    <s v="Jaunā Vienotība"/>
    <s v="&quot;Progresīvie&quot;"/>
    <s v="Nacionālā Apvienība"/>
    <s v="Politiskā partija &quot;Stabilitātei&quot;"/>
    <s v="nezinu"/>
    <s v="&quot;Latvija pirmajā vietā&quot;"/>
    <s v="&quot;Apvienotais saraksts&quot;"/>
    <s v="Klimata pārmaiņas – tas ir ciklisks un dabisks process."/>
    <s v="jā, lielāko daļu no tā, ko iespējams šķirot"/>
    <s v="&quot;Progresīvie&quot;"/>
    <s v="&quot;Latvija pirmajā vietā&quot;"/>
    <s v="Jaunā Vienotība"/>
    <s v="Nacionālā Apvienība"/>
    <s v="Politiskā partija &quot;Stabilitātei&quot;"/>
    <s v="Zaļo un Zemnieku savienība"/>
    <s v="&quot;Apvienotais saraksts&quot;"/>
    <s v="Jaunā Vienotība"/>
    <s v="Politiskā partija &quot;Stabilitātei&quot;"/>
    <s v="&quot;Progresīvie&quot;"/>
    <s v="Nacionālā Apvienība"/>
    <s v="&quot;Latvija pirmajā vietā&quot;"/>
    <s v="Zaļo un Zemnieku savienība"/>
    <s v="&quot;Apvienotais saraksts&quot;"/>
    <s v="Ļoti"/>
    <s v="Neinteresē"/>
    <s v="Ārkārtīgi"/>
    <s v="Viduvēji"/>
    <s v="Все и всем"/>
    <s v="Nē"/>
    <s v="Nē"/>
    <s v="Jā"/>
    <s v="Nē"/>
    <s v="Nē"/>
    <s v="Nē"/>
    <s v="2.."/>
    <n v="15"/>
    <n v="50"/>
    <n v="55"/>
    <n v="10"/>
    <s v="Nav saspīlētas"/>
    <s v="Drīzāk saspīlētas"/>
    <s v="Nav saspīlētas"/>
    <s v="(Gandrīz) nekad"/>
    <s v="(Gandrīz) nekad"/>
    <s v="(Gandrīz) nekad"/>
    <s v="(Gandrīz) nekad"/>
    <s v="(Gandrīz) nekad"/>
    <s v="(Gandrīz) nekad"/>
    <s v="(Gandrīz) nekad"/>
    <s v="(Gandrīz) nekad"/>
    <s v="(Gandrīz) nekad"/>
    <s v="(Gandrīz) nekad"/>
    <m/>
    <s v="nē"/>
    <s v="N/A"/>
    <s v="N/A"/>
    <s v="N/A"/>
    <s v="N/A"/>
    <s v="N/A"/>
    <s v="N/A"/>
    <s v="N/A"/>
    <s v="Jā"/>
    <s v="Jā"/>
    <s v="Nē"/>
    <s v="Nē"/>
    <s v="Nē"/>
    <s v="(gandrīz) nekad"/>
    <s v="(gandrīz) katru dienu"/>
    <s v="(gandrīz) nekad"/>
    <s v="pāris reižu nedēļā"/>
    <s v="(gandrīz) nekad"/>
    <s v="(gandrīz) nekad"/>
    <s v="reizi nedēļā"/>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nezinu"/>
    <s v="citreiz labi, citreiz slikti"/>
    <s v="labi"/>
    <s v="nezinu"/>
    <s v="labi"/>
    <s v="vidējo izglītību"/>
    <m/>
    <s v="N/A"/>
    <s v="N/A"/>
    <s v="N/A"/>
    <s v="Jā"/>
    <s v="krievu"/>
    <m/>
    <s v="latviešu"/>
    <m/>
    <s v="Spēju ilgstoši sarunāties ar vienaudžiem/piedalīties darba pārrunās."/>
    <s v="Spēju uzrakstīt motivācijas vēstuli darbam/ par savu darba pieredzi."/>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Nē"/>
    <s v="Nē"/>
    <s v="Nē"/>
    <s v="Nē"/>
    <s v="Jā"/>
    <s v="Jā"/>
    <s v="Nē"/>
    <s v="Nē"/>
    <s v="Nē"/>
    <s v="Nē"/>
    <s v="Nē"/>
    <s v="Nē"/>
    <m/>
    <m/>
    <m/>
    <m/>
    <m/>
    <m/>
    <m/>
    <m/>
    <m/>
    <m/>
    <m/>
    <m/>
    <m/>
  </r>
  <r>
    <x v="2"/>
    <n v="180"/>
    <s v="2023-05-11 11:41:44"/>
    <n v="14"/>
    <s v="ru"/>
    <n v="346132662"/>
    <s v="2023-05-11 11:17:12"/>
    <s v="2023-05-11 11:41:44"/>
    <s v="кот"/>
    <n v="18"/>
    <s v="vīriešu"/>
    <m/>
    <x v="1"/>
    <x v="0"/>
    <x v="0"/>
    <x v="0"/>
    <x v="0"/>
    <x v="0"/>
    <s v="Latgalē"/>
    <m/>
    <s v="katoli(ieti)"/>
    <m/>
    <s v="Jā"/>
    <s v="Nē"/>
    <s v="Nē"/>
    <s v="Nē"/>
    <s v="Nē"/>
    <s v="Nē"/>
    <s v="Nē"/>
    <s v="Nē"/>
    <s v="Jā"/>
    <s v="Nē"/>
    <s v="Jā"/>
    <s v="Nē"/>
    <s v="Nē"/>
    <s v="Nē"/>
    <s v="Jā"/>
    <s v="Nē"/>
    <s v="Nē"/>
    <s v="Jā"/>
    <s v="Nē"/>
    <s v="Nē"/>
    <s v="Nē"/>
    <s v="Nē"/>
    <s v="Nē"/>
    <s v="Jā"/>
    <s v="Nē"/>
    <s v="Jā"/>
    <s v="Jā"/>
    <s v="Nē"/>
    <s v="tikai b"/>
    <s v="tikai a"/>
    <s v="a un b"/>
    <s v="tikai b"/>
    <s v="tikai a"/>
    <s v="a un b"/>
    <s v="Vienlīdzīgi"/>
    <s v="Vienlīdzīgi"/>
    <s v="Vienlīdzīgi"/>
    <s v="Lielākoties vienlīdzīgi"/>
    <s v="Lielākoties vienlīdzīgi"/>
    <s v="Jaunā Vienotība"/>
    <s v="Jaunā Vienotība"/>
    <s v="&quot;Apvienotais saraksts&quot;"/>
    <s v="Nacionālā Apvienība"/>
    <s v="Politiskā partija &quot;Stabilitātei&quot;"/>
    <s v="Jaunā Vienotība"/>
    <s v="&quot;Apvienotais saraksts&quot;"/>
    <s v="Reizēm ekonomiskā un valsts stabilitāte varētu nozīmēt, ka atsevišķi ekoloģiskās politikas aspekti ir uz brīdi jāiepauzē."/>
    <s v="jā, daļu no tā, ko iespējams šķirot"/>
    <s v="Jaunā Vienotība"/>
    <s v="Zaļo un Zemnieku savienība"/>
    <s v="Politiskā partija &quot;Stabilitātei&quot;"/>
    <s v="Zaļo un Zemnieku savienība"/>
    <s v="Politiskā partija &quot;Stabilitātei&quot;"/>
    <s v="Zaļo un Zemnieku savienība"/>
    <s v="Jaunā Vienotība"/>
    <s v="Jaunā Vienotība"/>
    <s v="&quot;Apvienotais saraksts&quot;"/>
    <s v="Politiskā partija &quot;Stabilitātei&quot;"/>
    <s v="Politiskā partija &quot;Stabilitātei&quot;"/>
    <s v="Politiskā partija &quot;Stabilitātei&quot;"/>
    <s v="Zaļo un Zemnieku savienība"/>
    <s v="nezinu"/>
    <s v="Viduvēji"/>
    <s v="Ne sevišķi"/>
    <s v="Ļoti"/>
    <s v="Ne sevišķi"/>
    <s v="популизм - процесс , когда что-то популизируется - обретает не совсем точный смысл самой идеи , нет конкретной информации про определенную тему"/>
    <s v="Nē"/>
    <s v="Nē"/>
    <s v="Jā"/>
    <s v="Nē"/>
    <s v="Jā"/>
    <s v="Nē"/>
    <s v="1.."/>
    <n v="10"/>
    <n v="65"/>
    <n v="77"/>
    <n v="1"/>
    <s v="Mazliet saspīlētas"/>
    <s v="Nav saspīlētas"/>
    <s v="Nav saspīlētas"/>
    <s v="(Gandrīz) nekad"/>
    <s v="(Gandrīz) nekad"/>
    <s v="(Gandrīz) nekad"/>
    <s v="(Gandrīz) nekad"/>
    <s v="(Gandrīz) nekad"/>
    <s v="(Gandrīz) nekad"/>
    <s v="Reti"/>
    <s v="(Gandrīz) nekad"/>
    <s v="(Gandrīz) nekad"/>
    <s v="(Gandrīz) nekad"/>
    <m/>
    <s v="nē"/>
    <s v="N/A"/>
    <s v="N/A"/>
    <s v="N/A"/>
    <s v="N/A"/>
    <s v="N/A"/>
    <s v="N/A"/>
    <s v="N/A"/>
    <s v="Jā"/>
    <s v="Jā"/>
    <s v="Jā"/>
    <s v="Jā"/>
    <s v="Nē"/>
    <s v="pāris reižu nedēļā"/>
    <s v="pāris reižu nedēļā"/>
    <s v="(gandrīz) nekad"/>
    <s v="pāris reižu mēnesī"/>
    <s v="(gandrīz) katru dienu"/>
    <s v="(gandrīz) nekad"/>
    <s v="pāris reižu mēnesī"/>
    <s v="(gandrīz) katru dienu"/>
    <s v="(gandrīz) katru dienu"/>
    <s v="(gandrīz) nekad"/>
    <s v="(gandrīz) katru dienu"/>
    <s v="(gandrīz) katru dienu"/>
    <s v="(gandrīz) katru dienu"/>
    <s v="(gandrīz) katru dienu"/>
    <s v="brīvas vēlēšanas un plurālisms"/>
    <s v="vienlīdz pieejama izglītība, veselības aprūpe, sociālais nodrošinājums"/>
    <s v="pilsoniskās brīvības (vārda brīvība, tiesības uz tiesisko aizsardzību)"/>
    <m/>
    <m/>
    <s v="labi"/>
    <s v="citreiz labi, citreiz slikti"/>
    <s v="citreiz labi, citreiz slikti"/>
    <s v="slikti"/>
    <s v="labi"/>
    <s v="vidēj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Jā"/>
    <s v="Nē"/>
    <s v="Nē"/>
    <m/>
    <s v="Nē"/>
    <m/>
    <s v="Nē"/>
    <m/>
    <s v="Nē"/>
    <m/>
    <s v="Nē"/>
    <m/>
    <s v="Nē"/>
    <s v="Jā"/>
    <s v="Nē"/>
    <s v="Nē"/>
    <s v="Jā"/>
    <s v="Jā"/>
    <s v="Nē"/>
    <s v="Nē"/>
    <s v="Nē"/>
    <s v="Nē"/>
    <s v="Nē"/>
    <s v="Nē"/>
    <m/>
    <s v="много вопросов , котоые не доходят под возрастную категорию"/>
    <m/>
    <m/>
    <m/>
    <m/>
    <m/>
    <m/>
    <m/>
    <m/>
    <m/>
    <m/>
    <m/>
  </r>
  <r>
    <x v="2"/>
    <n v="181"/>
    <s v="2023-05-11 11:38:46"/>
    <n v="14"/>
    <s v="ru"/>
    <n v="315840760"/>
    <s v="2023-05-11 11:17:32"/>
    <s v="2023-05-11 11:38:46"/>
    <s v="кот"/>
    <n v="17"/>
    <s v="vīriešu"/>
    <m/>
    <x v="0"/>
    <x v="0"/>
    <x v="0"/>
    <x v="0"/>
    <x v="0"/>
    <x v="0"/>
    <s v="Latgalē"/>
    <m/>
    <s v="katoli(ieti)"/>
    <m/>
    <s v="Jā"/>
    <s v="Jā"/>
    <s v="Nē"/>
    <s v="Nē"/>
    <s v="Nē"/>
    <s v="Nē"/>
    <s v="Nē"/>
    <s v="Nē"/>
    <s v="Jā"/>
    <s v="Nē"/>
    <s v="Nē"/>
    <s v="Nē"/>
    <s v="Jā"/>
    <s v="Nē"/>
    <s v="Jā"/>
    <s v="Nē"/>
    <s v="Nē"/>
    <s v="Jā"/>
    <s v="Nē"/>
    <s v="Nē"/>
    <s v="Nē"/>
    <s v="Nē"/>
    <s v="Jā"/>
    <s v="Nē"/>
    <s v="Nē"/>
    <s v="Nē"/>
    <s v="Jā"/>
    <s v="Nē"/>
    <s v="a un b"/>
    <s v="tikai b"/>
    <s v="tikai a"/>
    <s v="tikai b"/>
    <s v="ne a, ne b"/>
    <s v="tikai a"/>
    <s v="Lielākoties vienlīdzīgi"/>
    <s v="Vienlīdzīgi"/>
    <s v="Vienlīdzīgi"/>
    <s v="Vienlīdzīgi"/>
    <s v="Vienlīdzīgi"/>
    <s v="nezinu"/>
    <s v="&quot;Progresīvie&quot;"/>
    <s v="&quot;Latvija pirmajā vietā&quot;"/>
    <s v="Nacionālā Apvienība"/>
    <s v="nezinu"/>
    <s v="Politiskā partija &quot;Stabilitātei&quot;"/>
    <s v="nezinu"/>
    <s v="Cīņai ar klimata pārmaiņām būtu jābūt vairumam pasaules valstu galvenajai prioritātei."/>
    <s v="nē"/>
    <s v="&quot;Progresīvie&quot;"/>
    <s v="nezinu"/>
    <s v="nezinu"/>
    <s v="nezinu"/>
    <s v="Zaļo un Zemnieku savienība"/>
    <s v="Jaunā Vienotība"/>
    <s v="&quot;Latvija pirmajā vietā&quot;"/>
    <s v="Zaļo un Zemnieku savienība"/>
    <s v="&quot;Progresīvie&quot;"/>
    <s v="&quot;Latvija pirmajā vietā&quot;"/>
    <s v="Jaunā Vienotība"/>
    <s v="Nacionālā Apvienība"/>
    <s v="Politiskā partija &quot;Stabilitātei&quot;"/>
    <s v="nezinu"/>
    <s v="Viduvēji"/>
    <s v="Neinteresē"/>
    <s v="Viduvēji"/>
    <s v="Neinteresē"/>
    <s v="популисты по моему мнению пытаются угодить всем и следуют популярной точке зрения"/>
    <s v="Nē"/>
    <s v="Nē"/>
    <s v="Nē"/>
    <s v="Nē"/>
    <s v="Jā"/>
    <s v="Jā"/>
    <s v="2.."/>
    <n v="32"/>
    <n v="85"/>
    <n v="100"/>
    <n v="1"/>
    <s v="Drīzāk saspīlētas"/>
    <s v="Mazliet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nekad"/>
    <s v="(gandrīz) nekad"/>
    <s v="(gandrīz) nekad"/>
    <s v="(gandrīz) nekad"/>
    <s v="(gandrīz) nekad"/>
    <s v="pāris reižu mēnesī"/>
    <s v="(gandrīz) katru dienu"/>
    <s v="(gandrīz) katru dienu"/>
    <s v="(gandrīz) katru dienu"/>
    <s v="(gandrīz) katru dienu"/>
    <s v="(gandrīz) katru dienu"/>
    <s v="(gandrīz) katru dienu"/>
    <s v="(gandrīz) katru dienu"/>
    <s v="brīvas vēlēšanas un plurālisms"/>
    <s v="vienlīdz pieejama izglītība, veselības aprūpe, sociālais nodrošinājums"/>
    <s v="pilsoniskās brīvības (vārda brīvība, tiesības uz tiesisko aizsardzību)"/>
    <m/>
    <m/>
    <s v="ļoti labi"/>
    <s v="labi"/>
    <s v="ļoti labi"/>
    <s v="nezinu"/>
    <s v="knapi/gandrīz necik"/>
    <s v="pamatizglītību"/>
    <m/>
    <s v="N/A"/>
    <s v="N/A"/>
    <s v="N/A"/>
    <s v="Jā"/>
    <s v="krievu"/>
    <m/>
    <s v="latviešu"/>
    <m/>
    <s v="Spēju veikt pasūtījumu restorānā."/>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Jā"/>
    <s v="Nē"/>
    <s v="Nē"/>
    <s v="Nē"/>
    <s v="Nē"/>
    <m/>
    <m/>
    <m/>
    <m/>
    <m/>
    <m/>
    <m/>
    <m/>
    <m/>
    <m/>
    <m/>
    <m/>
    <m/>
  </r>
  <r>
    <x v="2"/>
    <n v="182"/>
    <s v="2023-05-11 11:40:01"/>
    <n v="14"/>
    <s v="ru"/>
    <n v="197622078"/>
    <s v="2023-05-11 11:17:37"/>
    <s v="2023-05-11 11:40:01"/>
    <s v="кот"/>
    <n v="17"/>
    <s v="sieviešu"/>
    <m/>
    <x v="0"/>
    <x v="0"/>
    <x v="0"/>
    <x v="0"/>
    <x v="0"/>
    <x v="0"/>
    <s v="Latgalē"/>
    <m/>
    <s v="pareizticīgo"/>
    <m/>
    <s v="N/A"/>
    <s v="N/A"/>
    <s v="N/A"/>
    <s v="N/A"/>
    <s v="N/A"/>
    <s v="N/A"/>
    <s v="Jā"/>
    <s v="Jā"/>
    <s v="Nē"/>
    <s v="Nē"/>
    <s v="Nē"/>
    <s v="Nē"/>
    <s v="Nē"/>
    <s v="Nē"/>
    <s v="Nē"/>
    <s v="Nē"/>
    <s v="Nē"/>
    <s v="Nē"/>
    <s v="Nē"/>
    <s v="Jā"/>
    <s v="Nē"/>
    <s v="Nē"/>
    <s v="Nē"/>
    <s v="Nē"/>
    <s v="Nē"/>
    <s v="Nē"/>
    <s v="Jā"/>
    <s v="Nē"/>
    <s v="tikai a"/>
    <s v="tikai a"/>
    <s v="ne a, ne b"/>
    <s v="tikai b"/>
    <s v="tikai a"/>
    <s v="a un b"/>
    <s v="Vienlīdzīgi"/>
    <s v="Lielākoties vienlīdzīgi"/>
    <s v="Vienlīdzīgi"/>
    <s v="Vienlīdzīgi"/>
    <s v="Vienlīdzīgi"/>
    <s v="Zaļo un Zemnieku savienība"/>
    <s v="Zaļo un Zemnieku savienība"/>
    <s v="Politiskā partija &quot;Stabilitātei&quot;"/>
    <s v="Politiskā partija &quot;Stabilitātei&quot;"/>
    <s v="Politiskā partija &quot;Stabilitātei&quot;"/>
    <s v="Zaļo un Zemnieku savienība"/>
    <s v="Politiskā partija &quot;Stabilitātei&quot;"/>
    <s v="Reizēm ekonomiskā un valsts stabilitāte varētu nozīmēt, ka atsevišķi ekoloģiskās politikas aspekti ir uz brīdi jāiepauzē."/>
    <s v="nē"/>
    <s v="nezinu"/>
    <s v="Politiskā partija &quot;Stabilitātei&quot;"/>
    <s v="Politiskā partija &quot;Stabilitātei&quot;"/>
    <s v="nezinu"/>
    <s v="Zaļo un Zemnieku savienība"/>
    <s v="Politiskā partija &quot;Stabilitātei&quot;"/>
    <s v="Politiskā partija &quot;Stabilitātei&quot;"/>
    <s v="Politiskā partija &quot;Stabilitātei&quot;"/>
    <s v="Jaunā Vienotība"/>
    <s v="&quot;Progresīvie&quot;"/>
    <s v="Zaļo un Zemnieku savienība"/>
    <s v="&quot;Progresīvie&quot;"/>
    <s v="Zaļo un Zemnieku savienība"/>
    <s v="Zaļo un Zemnieku savienība"/>
    <s v="Ārkārtīgi"/>
    <s v="Neinteresē"/>
    <s v="Viduvēji"/>
    <s v="Ārkārtīgi"/>
    <s v="не знаю"/>
    <s v="Jā"/>
    <s v="Nē"/>
    <s v="Nē"/>
    <s v="Nē"/>
    <s v="Nē"/>
    <s v="Nē"/>
    <s v="1.."/>
    <n v="100"/>
    <n v="1"/>
    <n v="1"/>
    <n v="100"/>
    <s v="Ļoti saspīlētas"/>
    <s v="Mazliet saspīlētas"/>
    <s v="Ļoti saspīlētas"/>
    <s v="Dažreiz"/>
    <s v="Bieži"/>
    <s v="Dažreiz"/>
    <s v="Bieži"/>
    <s v="Bieži"/>
    <s v="Bieži"/>
    <s v="Bieži"/>
    <s v="Bieži"/>
    <s v="Bieži"/>
    <s v="Bieži"/>
    <s v="работодатели школа"/>
    <s v="nē"/>
    <s v="N/A"/>
    <s v="N/A"/>
    <s v="N/A"/>
    <s v="N/A"/>
    <s v="Nē"/>
    <s v="Nē"/>
    <s v="Jā"/>
    <s v="Nē"/>
    <s v="Nē"/>
    <s v="Nē"/>
    <s v="Jā"/>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knapi/gandrīz necik"/>
    <s v="knapi/gandrīz necik"/>
    <s v="knapi/gandrīz necik"/>
    <s v="knapi/gandrīz necik"/>
    <s v="knapi/gandrīz necik"/>
    <s v="pamatizglītību"/>
    <m/>
    <s v="N/A"/>
    <s v="N/A"/>
    <s v="N/A"/>
    <s v="Jā"/>
    <s v="kriev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Jā"/>
    <s v="Nē"/>
    <s v="Nē"/>
    <s v="Jā"/>
    <s v="Nē"/>
    <s v="Nē"/>
    <m/>
    <s v="Nē"/>
    <m/>
    <s v="Nē"/>
    <m/>
    <s v="Nē"/>
    <m/>
    <s v="Nē"/>
    <m/>
    <s v="Nē"/>
    <s v="Nē"/>
    <s v="Nē"/>
    <s v="Nē"/>
    <s v="Nē"/>
    <s v="Nē"/>
    <s v="Nē"/>
    <s v="Nē"/>
    <s v="Nē"/>
    <s v="Nē"/>
    <s v="Nē"/>
    <s v="Nē"/>
    <s v="Nē"/>
    <s v="Nē"/>
    <s v="Jā"/>
    <m/>
    <s v="Nē"/>
    <m/>
    <s v="Nē"/>
    <m/>
    <s v="Nē"/>
    <m/>
    <s v="Nē"/>
    <m/>
    <s v="Jā"/>
    <s v="Jā"/>
    <s v="Jā"/>
    <s v="Jā"/>
    <s v="Jā"/>
    <s v="Jā"/>
    <s v="Jā"/>
    <s v="Jā"/>
    <s v="Nē"/>
    <s v="Nē"/>
    <s v="Jā"/>
    <s v="Nē"/>
    <m/>
    <s v="для чего этот тест"/>
    <m/>
    <m/>
    <m/>
    <m/>
    <m/>
    <m/>
    <m/>
    <m/>
    <m/>
    <m/>
    <m/>
  </r>
  <r>
    <x v="2"/>
    <n v="183"/>
    <s v="2023-05-11 11:39:00"/>
    <n v="14"/>
    <s v="ru"/>
    <n v="939730762"/>
    <s v="2023-05-11 11:17:37"/>
    <s v="2023-05-11 11:39:00"/>
    <s v="кот"/>
    <n v="18"/>
    <s v="sieviešu"/>
    <m/>
    <x v="0"/>
    <x v="0"/>
    <x v="0"/>
    <x v="0"/>
    <x v="0"/>
    <x v="0"/>
    <s v="Latgalē"/>
    <m/>
    <s v="vecticībnieku(ci)"/>
    <m/>
    <s v="Jā"/>
    <s v="Nē"/>
    <s v="Nē"/>
    <s v="Nē"/>
    <s v="Nē"/>
    <s v="Nē"/>
    <s v="Nē"/>
    <s v="Jā"/>
    <s v="Jā"/>
    <s v="Nē"/>
    <s v="Nē"/>
    <s v="Nē"/>
    <s v="Nē"/>
    <s v="Nē"/>
    <s v="Jā"/>
    <s v="Nē"/>
    <s v="Nē"/>
    <s v="Nē"/>
    <s v="Jā"/>
    <s v="Nē"/>
    <s v="Nē"/>
    <s v="Nē"/>
    <s v="Jā"/>
    <s v="Jā"/>
    <s v="Jā"/>
    <s v="Nē"/>
    <s v="Nē"/>
    <s v="Nē"/>
    <s v="a un b"/>
    <m/>
    <m/>
    <s v="a un b"/>
    <m/>
    <s v="tikai b"/>
    <s v="Lielākoties vienlīdzīgi"/>
    <s v="Lielākoties nevienlīdzīgi"/>
    <s v="Lielākoties vienlīdzīgi"/>
    <s v="Vienlīdzīgi"/>
    <s v="Lielākoties vienlīdzīgi"/>
    <s v="Politiskā partija &quot;Stabilitātei&quot;"/>
    <s v="Politiskā partija &quot;Stabilitātei&quot;"/>
    <s v="Politiskā partija &quot;Stabilitātei&quot;"/>
    <s v="Zaļo un Zemnieku savienība"/>
    <s v="Zaļo un Zemnieku savienība"/>
    <s v="Politiskā partija &quot;Stabilitātei&quot;"/>
    <s v="Zaļo un Zemnieku savienība"/>
    <s v="Cīņai ar klimata pārmaiņām būtu jābūt vairumam pasaules valstu galvenajai prioritātei."/>
    <s v="jā, daļu no tā, ko iespējams šķirot"/>
    <s v="Politiskā partija &quot;Stabilitātei&quot;"/>
    <s v="&quot;Progresīvie&quot;"/>
    <s v="Politiskā partija &quot;Stabilitātei&quot;"/>
    <s v="Nacionālā Apvienība"/>
    <s v="Zaļo un Zemnieku savienība"/>
    <s v="Politiskā partija &quot;Stabilitātei&quot;"/>
    <s v="&quot;Apvienotais saraksts&quot;"/>
    <s v="Politiskā partija &quot;Stabilitātei&quot;"/>
    <s v="&quot;Progresīvie&quot;"/>
    <s v="&quot;Progresīvie&quot;"/>
    <s v="Politiskā partija &quot;Stabilitātei&quot;"/>
    <s v="Politiskā partija &quot;Stabilitātei&quot;"/>
    <s v="Jaunā Vienotība"/>
    <s v="Nacionālā Apvienība"/>
    <s v="Ļoti"/>
    <s v="Viduvēji"/>
    <s v="Ārkārtīgi"/>
    <s v="Ārkārtīgi"/>
    <s v="не знаю"/>
    <s v="Nē"/>
    <s v="Nē"/>
    <s v="Nē"/>
    <s v="Nē"/>
    <s v="Jā"/>
    <s v="Nē"/>
    <s v="2.."/>
    <n v="95"/>
    <n v="1"/>
    <n v="83"/>
    <n v="100"/>
    <s v="Ļoti saspīlētas"/>
    <s v="Ļoti saspīlētas"/>
    <s v="Mazliet saspīlētas"/>
    <s v="Reti"/>
    <s v="Dažreiz"/>
    <s v="(Gandrīz) nekad"/>
    <s v="(Gandrīz) nekad"/>
    <s v="Bieži"/>
    <s v="Dažreiz"/>
    <s v="Bieži"/>
    <s v="Reti"/>
    <s v="Reti"/>
    <s v="Bieži"/>
    <s v="школа"/>
    <s v="jā, nevalstiskā organizācijā"/>
    <s v="Jā"/>
    <s v="Jā"/>
    <s v="Jā"/>
    <s v="Nē"/>
    <s v="Jā"/>
    <s v="Jā"/>
    <s v="Jā"/>
    <s v="Nē"/>
    <s v="Jā"/>
    <s v="Jā"/>
    <s v="Jā"/>
    <s v="Nē"/>
    <s v="(gandrīz) nekad"/>
    <s v="(gandrīz) nekad"/>
    <s v="pāris reižu mēnesī"/>
    <s v="(gandrīz) nekad"/>
    <s v="(gandrīz) nekad"/>
    <s v="(gandrīz) nekad"/>
    <s v="pāris reižu mēnesī"/>
    <s v="(gandrīz) katru dienu"/>
    <s v="(gandrīz) katru dienu"/>
    <s v="pāris reižu nedēļā"/>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knapi/gandrīz necik"/>
    <s v="knapi/gandrīz necik"/>
    <s v="labi"/>
    <s v="citreiz labi, citreiz slikti"/>
    <s v="knapi/gandrīz necik"/>
    <s v="pamatizglītību"/>
    <m/>
    <s v="Jā"/>
    <s v="Jā"/>
    <s v="Nē"/>
    <s v="Nē"/>
    <s v="krievu"/>
    <m/>
    <s v="vienlīdz latviešu un kriev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Jā"/>
    <s v="Nē"/>
    <s v="Nē"/>
    <s v="Nē"/>
    <s v="Nē"/>
    <s v="Nē"/>
    <m/>
    <s v="Nē"/>
    <m/>
    <s v="Nē"/>
    <m/>
    <s v="Nē"/>
    <m/>
    <s v="Nē"/>
    <m/>
    <s v="Nē"/>
    <s v="Nē"/>
    <s v="Nē"/>
    <s v="Nē"/>
    <s v="Nē"/>
    <s v="Nē"/>
    <s v="Nē"/>
    <s v="Nē"/>
    <s v="Nē"/>
    <s v="Nē"/>
    <s v="Nē"/>
    <s v="Nē"/>
    <s v="Nē"/>
    <s v="Nē"/>
    <s v="Nē"/>
    <s v="не читаю газеты"/>
    <s v="Nē"/>
    <m/>
    <s v="Nē"/>
    <m/>
    <s v="Nē"/>
    <m/>
    <s v="Nē"/>
    <m/>
    <s v="Jā"/>
    <s v="Jā"/>
    <s v="Jā"/>
    <s v="Nē"/>
    <s v="Jā"/>
    <s v="Jā"/>
    <s v="Nē"/>
    <s v="Jā"/>
    <s v="Nē"/>
    <s v="Nē"/>
    <s v="Nē"/>
    <s v="Nē"/>
    <m/>
    <m/>
    <m/>
    <m/>
    <m/>
    <m/>
    <m/>
    <m/>
    <m/>
    <m/>
    <m/>
    <m/>
    <m/>
  </r>
  <r>
    <x v="2"/>
    <n v="184"/>
    <s v="2023-05-11 11:47:09"/>
    <n v="14"/>
    <s v="ru"/>
    <n v="1956462706"/>
    <s v="2023-05-11 11:19:24"/>
    <s v="2023-05-11 11:47:09"/>
    <s v="кот"/>
    <n v="17"/>
    <s v="vīriešu"/>
    <m/>
    <x v="0"/>
    <x v="0"/>
    <x v="0"/>
    <x v="0"/>
    <x v="0"/>
    <x v="0"/>
    <s v="Latgalē"/>
    <m/>
    <s v="pareizticīgo"/>
    <m/>
    <s v="Nē"/>
    <s v="Nē"/>
    <s v="Jā"/>
    <s v="Jā"/>
    <s v="Nē"/>
    <s v="Nē"/>
    <s v="Nē"/>
    <s v="Jā"/>
    <s v="Jā"/>
    <s v="Nē"/>
    <s v="Nē"/>
    <s v="Nē"/>
    <s v="Nē"/>
    <s v="Nē"/>
    <s v="Jā"/>
    <s v="Nē"/>
    <s v="Nē"/>
    <s v="Jā"/>
    <s v="Jā"/>
    <s v="Nē"/>
    <s v="Nē"/>
    <s v="Jā"/>
    <s v="Nē"/>
    <s v="Jā"/>
    <s v="Jā"/>
    <s v="Jā"/>
    <s v="Nē"/>
    <s v="Nē"/>
    <s v="tikai a"/>
    <s v="tikai b"/>
    <s v="tikai a"/>
    <s v="tikai b"/>
    <s v="tikai a"/>
    <s v="tikai b"/>
    <s v="Lielākoties vienlīdzīgi"/>
    <s v="Vienlīdzīgi"/>
    <s v="Vienlīdzīgi"/>
    <s v="Lielākoties vienlīdzīgi"/>
    <s v="Lielākoties nevienlīdzīgi"/>
    <s v="Nacionālā Apvienība"/>
    <s v="Politiskā partija &quot;Stabilitātei&quot;"/>
    <s v="&quot;Apvienotais saraksts&quot;"/>
    <s v="Zaļo un Zemnieku savienība"/>
    <s v="&quot;Latvija pirmajā vietā&quot;"/>
    <s v="&quot;Progresīvie&quot;"/>
    <s v="Jaunā Vienotība"/>
    <s v="Cīņai ar klimata pārmaiņām būtu jābūt vairumam pasaules valstu galvenajai prioritātei."/>
    <s v="jā, daļu no tā, ko iespējams šķirot"/>
    <s v="Jaunā Vienotība"/>
    <s v="Politiskā partija &quot;Stabilitātei&quot;"/>
    <s v="&quot;Progresīvie&quot;"/>
    <s v="&quot;Latvija pirmajā vietā&quot;"/>
    <s v="Nacionālā Apvienība"/>
    <s v="Zaļo un Zemnieku savienība"/>
    <s v="&quot;Apvienotais saraksts&quot;"/>
    <s v="&quot;Latvija pirmajā vietā&quot;"/>
    <s v="&quot;Progresīvie&quot;"/>
    <s v="Zaļo un Zemnieku savienība"/>
    <s v="Politiskā partija &quot;Stabilitātei&quot;"/>
    <s v="Nacionālā Apvienība"/>
    <s v="&quot;Apvienotais saraksts&quot;"/>
    <s v="Jaunā Vienotība"/>
    <s v="Ļoti"/>
    <s v="Ne sevišķi"/>
    <s v="Ārkārtīgi"/>
    <s v="Viduvēji"/>
    <s v="не знаю"/>
    <s v="Nē"/>
    <s v="Jā"/>
    <s v="Nē"/>
    <s v="Nē"/>
    <s v="Nē"/>
    <s v="Nē"/>
    <s v="1.."/>
    <n v="100"/>
    <n v="20"/>
    <n v="30"/>
    <n v="60"/>
    <s v="Ļoti saspīlētas"/>
    <s v="Mazliet saspīlētas"/>
    <s v="Drīzāk saspīlētas"/>
    <s v="Dažreiz"/>
    <s v="Reti"/>
    <s v="Dažreiz"/>
    <s v="Reti"/>
    <s v="Dažreiz"/>
    <s v="Dažreiz"/>
    <s v="Bieži"/>
    <s v="Dažreiz"/>
    <s v="Bieži"/>
    <s v="Dažreiz"/>
    <s v="Русский"/>
    <s v="nē"/>
    <s v="N/A"/>
    <s v="N/A"/>
    <s v="N/A"/>
    <s v="N/A"/>
    <s v="Jā"/>
    <s v="Jā"/>
    <s v="Jā"/>
    <s v="Nē"/>
    <s v="Jā"/>
    <s v="Jā"/>
    <s v="Nē"/>
    <s v="Nē"/>
    <s v="(gandrīz) nekad"/>
    <s v="(gandrīz) katru dienu"/>
    <s v="pāris reižu nedēļā"/>
    <s v="(gandrīz) nekad"/>
    <s v="pāris reižu nedēļā"/>
    <s v="(gandrīz) nekad"/>
    <s v="reizi nedēļā"/>
    <s v="(gandrīz) katru dienu"/>
    <s v="pāris reižu mēnesī"/>
    <s v="pāris reižu nedēļā"/>
    <s v="(gandrīz) katru dienu"/>
    <s v="pāris reižu nedēļā"/>
    <s v="(gandrīz) katru dienu"/>
    <s v="pāris reižu nedēļā"/>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citreiz labi, citreiz slikti"/>
    <s v="citreiz labi, citreiz slikti"/>
    <s v="slikti"/>
    <s v="pamatizglītību"/>
    <m/>
    <s v="N/A"/>
    <s v="N/A"/>
    <s v="N/A"/>
    <s v="Jā"/>
    <s v="krievu"/>
    <m/>
    <s v="latviešu"/>
    <m/>
    <s v="Spēju ilgstoši sarunāties ar vienaudžiem/piedalīties darba pārrunās."/>
    <s v="Spēju uzrakstīt vēstuli draugam."/>
    <s v="Viegli saprotu televīzijas pārraides vai Youtube video par saviem hobijiem/darbības sfēru."/>
    <s v="Krieviski/latviski spēju izlasīt ēdienkarti restorānā."/>
    <m/>
    <m/>
    <m/>
    <m/>
    <m/>
    <m/>
    <m/>
    <m/>
    <m/>
    <m/>
    <m/>
    <m/>
    <m/>
    <m/>
    <m/>
    <m/>
    <m/>
    <s v="N/A"/>
    <s v="N/A"/>
    <s v="N/A"/>
    <s v="N/A"/>
    <s v="N/A"/>
    <s v="N/A"/>
    <m/>
    <m/>
    <m/>
    <m/>
    <m/>
    <s v="Nē"/>
    <s v="Nē"/>
    <s v="Nē"/>
    <s v="Nē"/>
    <s v="Nē"/>
    <s v="Nē"/>
    <s v="Nē"/>
    <s v="Nē"/>
    <s v="Nē"/>
    <s v="Nē"/>
    <s v="Nē"/>
    <s v="Nē"/>
    <s v="Nē"/>
    <s v="Nē"/>
    <s v="Jā"/>
    <m/>
    <s v="Nē"/>
    <m/>
    <s v="Nē"/>
    <m/>
    <s v="Nē"/>
    <m/>
    <s v="Nē"/>
    <m/>
    <s v="Nē"/>
    <s v="Nē"/>
    <s v="Nē"/>
    <s v="Jā"/>
    <s v="Nē"/>
    <s v="Nē"/>
    <s v="Nē"/>
    <s v="Nē"/>
    <s v="Nē"/>
    <s v="Nē"/>
    <s v="Nē"/>
    <s v="Nē"/>
    <s v="Jā"/>
    <s v="Nē"/>
    <s v="Nē"/>
    <m/>
    <s v="Nē"/>
    <m/>
    <s v="Nē"/>
    <m/>
    <s v="Nē"/>
    <m/>
    <s v="Nē"/>
    <m/>
    <s v="Nē"/>
    <s v="Nē"/>
    <s v="Nē"/>
    <s v="Nē"/>
    <s v="Jā"/>
    <s v="Nē"/>
    <s v="Nē"/>
    <s v="Jā"/>
    <s v="Jā"/>
    <s v="Nē"/>
    <s v="Nē"/>
    <s v="Nē"/>
    <m/>
    <m/>
    <m/>
    <m/>
    <m/>
    <m/>
    <m/>
    <m/>
    <m/>
    <m/>
    <m/>
    <m/>
    <m/>
  </r>
  <r>
    <x v="2"/>
    <n v="185"/>
    <s v="2023-05-11 13:30:31"/>
    <n v="14"/>
    <s v="lv"/>
    <n v="1329258506"/>
    <s v="2023-05-11 13:08:57"/>
    <s v="2023-05-11 13:30:31"/>
    <s v="bebrs"/>
    <n v="21"/>
    <s v="sieviešu"/>
    <m/>
    <x v="1"/>
    <x v="1"/>
    <x v="0"/>
    <x v="0"/>
    <x v="0"/>
    <x v="0"/>
    <s v="Zemgalē"/>
    <m/>
    <s v="ateistu(ti), nereliģiozu"/>
    <m/>
    <s v="Nē"/>
    <s v="Nē"/>
    <s v="Nē"/>
    <s v="Nē"/>
    <s v="Jā"/>
    <s v="Nē"/>
    <s v="Nē"/>
    <s v="Jā"/>
    <s v="Nē"/>
    <s v="Nē"/>
    <s v="Nē"/>
    <s v="Nē"/>
    <s v="Nē"/>
    <s v="Nē"/>
    <s v="Nē"/>
    <s v="Jā"/>
    <s v="Nē"/>
    <s v="Nē"/>
    <s v="Nē"/>
    <s v="Nē"/>
    <s v="Nē"/>
    <s v="Nē"/>
    <s v="Nē"/>
    <s v="Nē"/>
    <s v="Nē"/>
    <s v="Nē"/>
    <s v="Jā"/>
    <s v="Nē"/>
    <s v="ne a, ne b"/>
    <s v="ne a, ne b"/>
    <s v="ne a, ne b"/>
    <s v="a un b"/>
    <s v="tikai a"/>
    <s v="tikai a"/>
    <s v="Lielākoties nevienlīdzīgi"/>
    <s v="Nevienlīdzīgi"/>
    <s v="Lielākoties nevienlīdzīgi"/>
    <s v="Lielākoties vienlīdzīgi"/>
    <s v="Lielākoties nevienlīdzīgi"/>
    <s v="Zaļo un Zemnieku savienība"/>
    <s v="&quot;Progresīvie&quot;"/>
    <s v="&quot;Latvija pirmajā vietā&quot;"/>
    <s v="Politiskā partija &quot;Stabilitātei&quot;"/>
    <s v="&quot;Latvija pirmajā vietā&quot;"/>
    <s v="&quot;Progresīvie&quot;"/>
    <s v="Politiskā partija &quot;Stabilitātei&quot;"/>
    <s v="Globālā sasilšana ir šķērsojusi robežu, pēc kuras nav iespējams atgriezties, un cilvēkiem būs jāpielāgojas."/>
    <s v="jā, daļu no tā, ko iespējams šķirot"/>
    <s v="Jaunā Vienotība"/>
    <s v="Jaunā Vienotība"/>
    <s v="Nacionālā Apvienība"/>
    <s v="&quot;Apvienotais saraksts&quot;"/>
    <s v="Politiskā partija &quot;Stabilitātei&quot;"/>
    <s v="Zaļo un Zemnieku savienība"/>
    <s v="&quot;Latvija pirmajā vietā&quot;"/>
    <s v="&quot;Progresīvie&quot;"/>
    <s v="&quot;Apvienotais saraksts&quot;"/>
    <s v="&quot;Apvienotais saraksts&quot;"/>
    <s v="Zaļo un Zemnieku savienība"/>
    <s v="Politiskā partija &quot;Stabilitātei&quot;"/>
    <s v="&quot;Apvienotais saraksts&quot;"/>
    <s v="nezinu"/>
    <s v="Ārkārtīgi"/>
    <s v="Neinteresē"/>
    <s v="Ļoti"/>
    <s v="Ārkārtīgi"/>
    <s v="nezinu"/>
    <s v="Nē"/>
    <s v="Nē"/>
    <s v="Nē"/>
    <s v="Nē"/>
    <s v="Jā"/>
    <s v="Nē"/>
    <s v="1.."/>
    <n v="100"/>
    <n v="100"/>
    <m/>
    <m/>
    <s v="Ļoti saspīlētas"/>
    <s v="Nav saspīlētas"/>
    <s v="Mazliet saspīlētas"/>
    <s v="(Gandrīz) nekad"/>
    <s v="Bieži"/>
    <s v="(Gandrīz) nekad"/>
    <s v="(Gandrīz) nekad"/>
    <s v="Bieži"/>
    <m/>
    <m/>
    <m/>
    <m/>
    <m/>
    <s v="Latvijā izmantoju tikai latviešu valodu, kas jebkurā ikdienišķā situācijā noteiktā Latvijas pilsētā tiek uzskatīta par nepareizu valodu."/>
    <s v="jā, pašvaldības iestādē"/>
    <s v="N/A"/>
    <s v="N/A"/>
    <s v="N/A"/>
    <s v="Jā"/>
    <s v="Jā"/>
    <s v="Nē"/>
    <s v="Jā"/>
    <s v="Nē"/>
    <s v="Jā"/>
    <s v="Jā"/>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citreiz labi, citreiz slikti"/>
    <s v="slikti"/>
    <s v="knapi/gandrīz necik"/>
    <s v="slikti"/>
    <s v="slikti"/>
    <s v="vidējo izglītību"/>
    <m/>
    <s v="N/A"/>
    <s v="N/A"/>
    <s v="N/A"/>
    <s v="Jā"/>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Jā"/>
    <s v="Nē"/>
    <s v="Nē"/>
    <s v="Nē"/>
    <s v="Nē"/>
    <s v="Nē"/>
    <s v="Nē"/>
    <s v="Nē"/>
    <s v="Nē"/>
    <s v="Nē"/>
    <s v="Nē"/>
    <s v="Nē"/>
    <s v="Nē"/>
    <m/>
    <s v="Nē"/>
    <m/>
    <s v="Nē"/>
    <m/>
    <s v="Nē"/>
    <m/>
    <s v="Nē"/>
    <m/>
    <s v="Nē"/>
    <s v="Nē"/>
    <s v="Nē"/>
    <s v="Nē"/>
    <s v="Nē"/>
    <s v="Nē"/>
    <s v="Nē"/>
    <s v="Nē"/>
    <s v="Jā"/>
    <s v="Nē"/>
    <s v="Jā"/>
    <s v="Nē"/>
    <s v="Nē"/>
    <s v="Nē"/>
    <s v="Nē"/>
    <m/>
    <s v="Nē"/>
    <m/>
    <s v="Nē"/>
    <m/>
    <s v="Nē"/>
    <m/>
    <s v="Nē"/>
    <m/>
    <s v="Jā"/>
    <s v="Jā"/>
    <s v="Jā"/>
    <s v="Nē"/>
    <s v="Jā"/>
    <s v="Nē"/>
    <s v="Nē"/>
    <s v="Jā"/>
    <s v="Nē"/>
    <s v="Nē"/>
    <s v="Jā"/>
    <s v="Nē"/>
    <m/>
    <m/>
    <m/>
    <m/>
    <m/>
    <m/>
    <m/>
    <m/>
    <m/>
    <m/>
    <m/>
    <m/>
    <m/>
  </r>
  <r>
    <x v="2"/>
    <n v="186"/>
    <s v="2023-05-11 13:34:34"/>
    <n v="14"/>
    <s v="lv"/>
    <n v="2052089495"/>
    <s v="2023-05-11 13:09:10"/>
    <s v="2023-05-11 13:34:34"/>
    <s v="bebrs"/>
    <n v="28"/>
    <s v="vīriešu"/>
    <m/>
    <x v="1"/>
    <x v="1"/>
    <x v="0"/>
    <x v="0"/>
    <x v="0"/>
    <x v="0"/>
    <s v="Latgalē"/>
    <m/>
    <s v="ateistu(ti), nereliģiozu"/>
    <m/>
    <s v="Nē"/>
    <s v="Nē"/>
    <s v="Jā"/>
    <s v="Nē"/>
    <s v="Jā"/>
    <s v="Nē"/>
    <s v="Nē"/>
    <s v="Jā"/>
    <s v="Nē"/>
    <s v="Jā"/>
    <s v="Nē"/>
    <s v="Nē"/>
    <s v="Nē"/>
    <s v="Nē"/>
    <s v="Nē"/>
    <s v="Nē"/>
    <s v="Nē"/>
    <s v="Nē"/>
    <s v="Nē"/>
    <s v="Jā"/>
    <s v="Nē"/>
    <s v="Nē"/>
    <s v="Nē"/>
    <s v="Nē"/>
    <s v="Jā"/>
    <s v="Jā"/>
    <s v="Nē"/>
    <s v="Nē"/>
    <s v="tikai a"/>
    <s v="tikai b"/>
    <s v="tikai a"/>
    <s v="a un b"/>
    <s v="tikai a"/>
    <s v="tikai a"/>
    <s v="Vienlīdzīgi"/>
    <s v="Vienlīdzīgi"/>
    <s v="Vienlīdzīgi"/>
    <s v="Vienlīdzīgi"/>
    <s v="Vienlīdzīgi"/>
    <s v="Nacionālā Apvienība"/>
    <s v="&quot;Progresīvie&quot;"/>
    <s v="Politiskā partija &quot;Stabilitātei&quot;"/>
    <s v="Politiskā partija &quot;Stabilitātei&quot;"/>
    <s v="Politiskā partija &quot;Stabilitātei&quot;"/>
    <s v="Jaunā Vienotība"/>
    <s v="&quot;Latvija pirmajā vietā&quot;"/>
    <s v="Cīņai ar klimata pārmaiņām būtu jābūt vairumam pasaules valstu galvenajai prioritātei."/>
    <s v="jā, daļu no tā, ko iespējams šķirot"/>
    <s v="Jaunā Vienotība"/>
    <s v="Zaļo un Zemnieku savienība"/>
    <s v="Zaļo un Zemnieku savienība"/>
    <s v="Jaunā Vienotība"/>
    <s v="Politiskā partija &quot;Stabilitātei&quot;"/>
    <s v="Zaļo un Zemnieku savienība"/>
    <s v="Politiskā partija &quot;Stabilitātei&quot;"/>
    <s v="&quot;Progresīvie&quot;"/>
    <s v="&quot;Progresīvie&quot;"/>
    <s v="Nacionālā Apvienība"/>
    <s v="Jaunā Vienotība"/>
    <s v="Politiskā partija &quot;Stabilitātei&quot;"/>
    <s v="Jaunā Vienotība"/>
    <s v="&quot;Latvija pirmajā vietā&quot;"/>
    <s v="Ārkārtīgi"/>
    <s v="Neinteresē"/>
    <s v="Ārkārtīgi"/>
    <s v="Ļoti"/>
    <s v="Jebkāda rīcība, kas vērsta uz to, lai izmantotu sabierības vairākumā valdošos uzskatus sevis ievēlēšanai. Populisms izmanto sabiedrības vairākuma viedokli, lai izvairītos no valstī nepieciešamu un nepopulāru izmaiņu veikšanas."/>
    <s v="Jā"/>
    <s v="Nē"/>
    <s v="Nē"/>
    <s v="Nē"/>
    <s v="Jā"/>
    <s v="Nē"/>
    <s v="2.."/>
    <n v="10"/>
    <n v="100"/>
    <m/>
    <m/>
    <s v="Mazliet saspīlētas"/>
    <s v="Mazliet saspīlētas"/>
    <s v="Nav saspīlētas"/>
    <s v="Dažreiz"/>
    <s v="(Gandrīz) nekad"/>
    <s v="(Gandrīz) nekad"/>
    <s v="(Gandrīz) nekad"/>
    <s v="Dažreiz"/>
    <m/>
    <m/>
    <m/>
    <m/>
    <m/>
    <s v="Darbs, ja lielākā daļa kolektīva ir krievvalodīgie."/>
    <s v="jā, valsts iestādē"/>
    <s v="N/A"/>
    <s v="N/A"/>
    <s v="N/A"/>
    <s v="Jā"/>
    <s v="N/A"/>
    <s v="N/A"/>
    <s v="N/A"/>
    <s v="Jā"/>
    <s v="Jā"/>
    <s v="Jā"/>
    <s v="Jā"/>
    <s v="Nē"/>
    <s v="(gandrīz) katru dienu"/>
    <s v="(gandrīz) katru dienu"/>
    <s v="(gandrīz) nekad"/>
    <s v="(gandrīz) katru dienu"/>
    <s v="(gandrīz) katru dienu"/>
    <s v="(gandrīz) katru dienu"/>
    <s v="(gandrīz) katru dienu"/>
    <s v="reizi nedēļā"/>
    <s v="pāris reižu nedēļā"/>
    <s v="pāris reižu nedēļā"/>
    <s v="pāris reižu nedēļā"/>
    <s v="pāris reižu nedēļā"/>
    <s v="pāris reižu nedēļā"/>
    <s v="pāris reižu nedēļā"/>
    <s v="pilsoniskās brīvības (vārda brīvība, tiesības uz tiesisko aizsardzību)"/>
    <s v="varas līdzsvars starp parlamentu, prezidentu un tiesām, lai neviena no institūcijām nespētu sevī koncentrēt lielāko daļu varas"/>
    <s v="brīvas vēlēšanas un plurālisms"/>
    <m/>
    <m/>
    <s v="labi"/>
    <s v="labi"/>
    <s v="labi"/>
    <s v="labi"/>
    <s v="citreiz labi, citreiz slikti"/>
    <s v="universitātes līmeni: bakalauru"/>
    <m/>
    <s v="Nē"/>
    <s v="Jā"/>
    <s v="Nē"/>
    <s v="Nē"/>
    <s v="latviešu"/>
    <m/>
    <s v="Cita atbilde"/>
    <s v="angļu"/>
    <s v="Spēju ilgstoši sarunāties ar vienaudžiem/piedalīties darba pārrunās."/>
    <s v="Spēju uzrakstīt vēstuli draugam."/>
    <s v="Viegli saprotu radio programmas / podkāstus par saviem hobijiem/darbības sfēru."/>
    <s v="Spēju izlasīt garus tekstus par vēstures, politikas un zinātnes tēmām."/>
    <m/>
    <m/>
    <m/>
    <m/>
    <m/>
    <m/>
    <m/>
    <m/>
    <m/>
    <m/>
    <m/>
    <m/>
    <m/>
    <m/>
    <m/>
    <m/>
    <m/>
    <s v="N/A"/>
    <s v="N/A"/>
    <s v="N/A"/>
    <s v="N/A"/>
    <s v="N/A"/>
    <s v="N/A"/>
    <m/>
    <m/>
    <m/>
    <m/>
    <m/>
    <s v="Nē"/>
    <s v="Nē"/>
    <s v="Nē"/>
    <s v="Jā"/>
    <s v="Nē"/>
    <s v="Nē"/>
    <s v="Nē"/>
    <s v="Nē"/>
    <s v="Nē"/>
    <s v="Nē"/>
    <s v="Jā"/>
    <s v="Nē"/>
    <s v="Nē"/>
    <s v="Nē"/>
    <s v="Nē"/>
    <m/>
    <s v="Nē"/>
    <m/>
    <s v="Jā"/>
    <s v="DW"/>
    <s v="Nē"/>
    <m/>
    <s v="Nē"/>
    <m/>
    <s v="Nē"/>
    <s v="Nē"/>
    <s v="Nē"/>
    <s v="Jā"/>
    <s v="Nē"/>
    <s v="Nē"/>
    <s v="Jā"/>
    <s v="Nē"/>
    <s v="Nē"/>
    <s v="Nē"/>
    <s v="Nē"/>
    <s v="Nē"/>
    <s v="Nē"/>
    <s v="Nē"/>
    <s v="Nē"/>
    <m/>
    <s v="Nē"/>
    <m/>
    <s v="Nē"/>
    <m/>
    <s v="Nē"/>
    <m/>
    <s v="Nē"/>
    <m/>
    <s v="Nē"/>
    <s v="Nē"/>
    <s v="Jā"/>
    <s v="Nē"/>
    <s v="Jā"/>
    <s v="Nē"/>
    <s v="Nē"/>
    <s v="Jā"/>
    <s v="Nē"/>
    <s v="Nē"/>
    <s v="Nē"/>
    <s v="Nē"/>
    <m/>
    <m/>
    <m/>
    <m/>
    <m/>
    <m/>
    <m/>
    <m/>
    <m/>
    <m/>
    <m/>
    <m/>
    <m/>
  </r>
  <r>
    <x v="2"/>
    <n v="188"/>
    <s v="2023-05-11 13:25:36"/>
    <n v="14"/>
    <s v="lv"/>
    <n v="1630705599"/>
    <s v="2023-05-11 13:09:13"/>
    <s v="2023-05-11 13:25:36"/>
    <s v="bebrs"/>
    <n v="21"/>
    <s v="sieviešu"/>
    <m/>
    <x v="1"/>
    <x v="0"/>
    <x v="0"/>
    <x v="0"/>
    <x v="0"/>
    <x v="0"/>
    <s v="Latgalē"/>
    <m/>
    <s v="ateistu(ti), nereliģiozu"/>
    <m/>
    <s v="Nē"/>
    <s v="Nē"/>
    <s v="Nē"/>
    <s v="Nē"/>
    <s v="Jā"/>
    <s v="Nē"/>
    <s v="Nē"/>
    <s v="Jā"/>
    <s v="Jā"/>
    <s v="Nē"/>
    <s v="Nē"/>
    <s v="Nē"/>
    <s v="Nē"/>
    <s v="Nē"/>
    <s v="Nē"/>
    <s v="Nē"/>
    <s v="Nē"/>
    <s v="Jā"/>
    <s v="Jā"/>
    <s v="Jā"/>
    <s v="Nē"/>
    <s v="Jā"/>
    <s v="Jā"/>
    <s v="Jā"/>
    <s v="Jā"/>
    <s v="Jā"/>
    <s v="Jā"/>
    <s v="Nē"/>
    <s v="tikai b"/>
    <s v="tikai a"/>
    <s v="tikai b"/>
    <s v="a un b"/>
    <s v="tikai a"/>
    <s v="tikai a"/>
    <s v="Lielākoties nevienlīdzīgi"/>
    <s v="Lielākoties vienlīdzīgi"/>
    <s v="Vienlīdzīgi"/>
    <s v="Lielākoties nevienlīdzīgi"/>
    <s v="Lielākoties 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Ļoti"/>
    <s v="Viduvēji"/>
    <s v="Ļoti"/>
    <s v="Viduvēji"/>
    <s v="Diemžēl nezinu."/>
    <s v="Nē"/>
    <s v="Nē"/>
    <s v="Jā"/>
    <s v="Nē"/>
    <s v="Jā"/>
    <s v="Nē"/>
    <s v="1.."/>
    <n v="16"/>
    <n v="90"/>
    <n v="67"/>
    <n v="51"/>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Nē"/>
    <s v="Nē"/>
    <s v="N/A"/>
    <s v="N/A"/>
    <s v="N/A"/>
    <s v="Jā"/>
    <s v="(gandrīz) katru dienu"/>
    <s v="(gandrīz) katru dienu"/>
    <s v="(gandrīz) katru dienu"/>
    <s v="(gandrīz) nekad"/>
    <s v="(gandrīz) katru dienu"/>
    <s v="(gandrīz) katru dienu"/>
    <s v="pāris reižu nedēļā"/>
    <s v="pāris reižu mēnesī"/>
    <s v="(gandrīz) katru dienu"/>
    <s v="(gandrīz) nekad"/>
    <s v="(gandrīz) katru dienu"/>
    <s v="(gandrīz) nekad"/>
    <s v="reizi nedēļā"/>
    <s v="pāris reižu mēnesī"/>
    <s v="vienlīdz pieejama izglītība, veselības aprūpe, sociālais nodrošinājums"/>
    <s v="pilsoniskās brīvības (vārda brīvība, tiesības uz tiesisko aizsardzību)"/>
    <s v="vienlīdzīgas tiesības minoritātēm un ievainojamām sabiedrības grupām"/>
    <m/>
    <m/>
    <s v="citreiz labi, citreiz slikti"/>
    <s v="nezinu"/>
    <s v="citreiz labi, citreiz slikti"/>
    <s v="slikti"/>
    <s v="nezinu"/>
    <s v="vidēj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Nē"/>
    <s v="Nē"/>
    <s v="Jā"/>
    <s v="Nē"/>
    <s v="Nē"/>
    <s v="Jā"/>
    <s v="Nē"/>
    <m/>
    <m/>
    <m/>
    <m/>
    <m/>
    <m/>
    <m/>
    <m/>
    <m/>
    <m/>
    <m/>
    <m/>
    <m/>
  </r>
  <r>
    <x v="2"/>
    <n v="189"/>
    <s v="2023-05-11 13:38:25"/>
    <n v="14"/>
    <s v="lv"/>
    <n v="2065321632"/>
    <s v="2023-05-11 13:09:15"/>
    <s v="2023-05-11 13:38:25"/>
    <s v="bebrs"/>
    <n v="21"/>
    <s v="sieviešu"/>
    <m/>
    <x v="1"/>
    <x v="0"/>
    <x v="0"/>
    <x v="0"/>
    <x v="0"/>
    <x v="0"/>
    <s v="Latgalē"/>
    <m/>
    <s v="ateistu(ti), nereliģiozu"/>
    <m/>
    <s v="Nē"/>
    <s v="Nē"/>
    <s v="Nē"/>
    <s v="Nē"/>
    <s v="Jā"/>
    <s v="Nē"/>
    <s v="Nē"/>
    <s v="Jā"/>
    <s v="Nē"/>
    <s v="Jā"/>
    <s v="Nē"/>
    <s v="Jā"/>
    <s v="Nē"/>
    <s v="Nē"/>
    <s v="Jā"/>
    <s v="Nē"/>
    <s v="Nē"/>
    <s v="Nē"/>
    <s v="Nē"/>
    <s v="Nē"/>
    <s v="Nē"/>
    <s v="Jā"/>
    <s v="Nē"/>
    <s v="Nē"/>
    <s v="Jā"/>
    <s v="Nē"/>
    <s v="Nē"/>
    <s v="Nē"/>
    <s v="tikai b"/>
    <s v="tikai b"/>
    <s v="a un b"/>
    <s v="tikai a"/>
    <s v="tikai a"/>
    <s v="tikai a"/>
    <s v="Lielākoties nevienlīdzīgi"/>
    <s v="Lielākoties vienlīdzīgi"/>
    <s v="Vienlīdzīgi"/>
    <s v="Lielākoties vienlīdzīgi"/>
    <s v="Lielākoties nevienlīdzīgi"/>
    <s v="nezinu"/>
    <s v="nezinu"/>
    <s v="nezinu"/>
    <s v="Politiskā partija &quot;Stabilitātei&quot;"/>
    <s v="Zaļo un Zemnieku savienība"/>
    <s v="&quot;Progresīvie&quot;"/>
    <s v="nezinu"/>
    <s v="Cīņai ar klimata pārmaiņām būtu jābūt vairumam pasaules valstu galvenajai prioritātei."/>
    <s v="jā, daļu no tā, ko iespējams šķirot"/>
    <s v="Politiskā partija &quot;Stabilitātei&quot;"/>
    <s v="nezinu"/>
    <s v="&quot;Apvienotais saraksts&quot;"/>
    <s v="Zaļo un Zemnieku savienība"/>
    <s v="nezinu"/>
    <s v="nezinu"/>
    <s v="nezinu"/>
    <s v="Nacionālā Apvienība"/>
    <s v="Politiskā partija &quot;Stabilitātei&quot;"/>
    <s v="&quot;Latvija pirmajā vietā&quot;"/>
    <s v="&quot;Progresīvie&quot;"/>
    <s v="&quot;Apvienotais saraksts&quot;"/>
    <s v="&quot;Latvija pirmajā vietā&quot;"/>
    <s v="&quot;Progresīvie&quot;"/>
    <s v="Viduvēji"/>
    <s v="Viduvēji"/>
    <s v="Ļoti"/>
    <s v="Ļoti"/>
    <s v="Nezinu"/>
    <s v="Nē"/>
    <s v="Nē"/>
    <s v="Nē"/>
    <s v="Jā"/>
    <s v="Jā"/>
    <s v="Nē"/>
    <s v="2.."/>
    <n v="77"/>
    <n v="85"/>
    <n v="76"/>
    <n v="63"/>
    <s v="Drīzāk saspīlētas"/>
    <s v="Mazliet saspīlētas"/>
    <s v="Nav saspīlētas"/>
    <s v="(Gandrīz) nekad"/>
    <s v="(Gandrīz) nekad"/>
    <s v="(Gandrīz) nekad"/>
    <s v="(Gandrīz) nekad"/>
    <s v="(Gandrīz) nekad"/>
    <s v="Reti"/>
    <s v="(Gandrīz) nekad"/>
    <s v="(Gandrīz) nekad"/>
    <s v="(Gandrīz) nekad"/>
    <s v="Reti"/>
    <s v="Runāju skolā krievu valodā, kas nepatika pasniedzējam un tika veikts aizrādījums."/>
    <s v="jā, pašvaldības iestādē"/>
    <s v="N/A"/>
    <s v="N/A"/>
    <s v="N/A"/>
    <s v="Jā"/>
    <s v="Jā"/>
    <s v="Nē"/>
    <s v="Nē"/>
    <s v="Nē"/>
    <s v="Jā"/>
    <s v="Nē"/>
    <s v="Nē"/>
    <s v="Nē"/>
    <s v="(gandrīz) katru dienu"/>
    <s v="(gandrīz) katru dienu"/>
    <s v="pāris reižu nedēļā"/>
    <s v="(gandrīz) katru dienu"/>
    <s v="(gandrīz) nekad"/>
    <s v="(gandrīz) katru dienu"/>
    <s v="(gandrīz) katru dienu"/>
    <s v="(gandrīz) katru dienu"/>
    <s v="reizi nedēļā"/>
    <s v="(gandrīz) katru dienu"/>
    <s v="pāris reižu nedēļā"/>
    <s v="(gandrīz) nekad"/>
    <s v="(gandrīz) katru dienu"/>
    <s v="(gandrīz) katru dienu"/>
    <s v="pilsoniskās brīvības (vārda brīvība, tiesības uz tiesisko aizsardzību)"/>
    <s v="vienlīdzīgas tiesības minoritātēm un ievainojamām sabiedrības grupām"/>
    <s v="vienlīdz pieejama izglītība, veselības aprūpe, sociālais nodrošinājums"/>
    <m/>
    <m/>
    <s v="slikti"/>
    <s v="slikti"/>
    <s v="labi"/>
    <s v="slikti"/>
    <s v="citreiz labi, citreiz slikti"/>
    <s v="vidējo izglītību"/>
    <m/>
    <s v="N/A"/>
    <s v="N/A"/>
    <s v="N/A"/>
    <s v="Jā"/>
    <s v="vienlīdz latviešu un krievu"/>
    <m/>
    <s v="vienlīdz latviešu un krievu"/>
    <m/>
    <m/>
    <m/>
    <m/>
    <m/>
    <m/>
    <m/>
    <m/>
    <m/>
    <m/>
    <m/>
    <m/>
    <m/>
    <m/>
    <m/>
    <m/>
    <m/>
    <m/>
    <m/>
    <m/>
    <m/>
    <m/>
    <s v="N/A"/>
    <s v="N/A"/>
    <s v="N/A"/>
    <s v="N/A"/>
    <s v="N/A"/>
    <s v="N/A"/>
    <m/>
    <m/>
    <m/>
    <m/>
    <m/>
    <s v="Nē"/>
    <s v="Nē"/>
    <s v="Nē"/>
    <s v="Nē"/>
    <s v="Nē"/>
    <s v="Nē"/>
    <s v="Nē"/>
    <s v="Nē"/>
    <s v="Nē"/>
    <s v="Nē"/>
    <s v="Nē"/>
    <s v="Jā"/>
    <s v="Nē"/>
    <s v="Nē"/>
    <s v="Nē"/>
    <m/>
    <s v="Nē"/>
    <m/>
    <s v="Nē"/>
    <m/>
    <s v="Nē"/>
    <m/>
    <s v="Nē"/>
    <m/>
    <s v="Nē"/>
    <s v="Nē"/>
    <s v="Nē"/>
    <s v="Nē"/>
    <s v="Nē"/>
    <s v="Nē"/>
    <s v="Jā"/>
    <s v="Nē"/>
    <s v="Nē"/>
    <s v="Nē"/>
    <s v="Nē"/>
    <s v="Jā"/>
    <s v="Nē"/>
    <s v="Nē"/>
    <s v="Nē"/>
    <m/>
    <s v="Nē"/>
    <m/>
    <s v="Nē"/>
    <m/>
    <s v="Nē"/>
    <m/>
    <s v="Nē"/>
    <m/>
    <s v="Jā"/>
    <s v="Jā"/>
    <s v="Nē"/>
    <s v="Nē"/>
    <s v="Jā"/>
    <s v="Jā"/>
    <s v="Nē"/>
    <s v="Jā"/>
    <s v="Nē"/>
    <s v="Nē"/>
    <s v="Nē"/>
    <s v="Nē"/>
    <m/>
    <m/>
    <m/>
    <m/>
    <m/>
    <m/>
    <m/>
    <m/>
    <m/>
    <m/>
    <m/>
    <m/>
    <m/>
  </r>
  <r>
    <x v="2"/>
    <n v="190"/>
    <s v="2023-05-11 13:37:39"/>
    <n v="14"/>
    <s v="ru"/>
    <n v="1951765859"/>
    <s v="2023-05-11 13:09:18"/>
    <s v="2023-05-11 13:37:39"/>
    <s v="рыба"/>
    <n v="20"/>
    <s v="vīriešu"/>
    <m/>
    <x v="1"/>
    <x v="0"/>
    <x v="1"/>
    <x v="0"/>
    <x v="0"/>
    <x v="0"/>
    <s v="Kurzemē"/>
    <m/>
    <s v="ateistu(ti), nereliģiozu"/>
    <m/>
    <s v="Nē"/>
    <s v="Nē"/>
    <s v="Jā"/>
    <s v="Nē"/>
    <s v="Jā"/>
    <s v="Jā"/>
    <s v="Nē"/>
    <s v="Nē"/>
    <s v="Jā"/>
    <s v="Jā"/>
    <s v="Nē"/>
    <s v="Jā"/>
    <s v="Nē"/>
    <s v="Nē"/>
    <s v="Nē"/>
    <s v="Jā"/>
    <s v="Nē"/>
    <s v="Nē"/>
    <s v="Nē"/>
    <s v="Jā"/>
    <s v="Nē"/>
    <s v="Nē"/>
    <s v="Nē"/>
    <s v="Jā"/>
    <s v="Jā"/>
    <s v="Jā"/>
    <s v="Nē"/>
    <s v="Nē"/>
    <s v="a un b"/>
    <s v="tikai b"/>
    <s v="tikai a"/>
    <s v="a un b"/>
    <s v="tikai a"/>
    <s v="tikai b"/>
    <s v="Vienlīdzīgi"/>
    <s v="Lielākoties nevienlīdzīgi"/>
    <s v="Vienlīdzīgi"/>
    <s v="Lielākoties vienlīdzīgi"/>
    <s v="Vienlīdzīgi"/>
    <s v="Jaunā Vienotība"/>
    <s v="&quot;Progresīvie&quot;"/>
    <s v="Politiskā partija &quot;Stabilitātei&quot;"/>
    <s v="Nacionālā Apvienība"/>
    <s v="nezinu"/>
    <s v="&quot;Apvienotais saraksts&quot;"/>
    <s v="Politiskā partija &quot;Stabilitātei&quot;"/>
    <s v="Klimata pārmaiņas – tas ir ciklisks un dabisks process."/>
    <s v="jā, lielāko daļu no tā, ko iespējams šķirot"/>
    <s v="Zaļo un Zemnieku savienība"/>
    <s v="Nacionālā Apvienība"/>
    <s v="&quot;Latvija pirmajā vietā&quot;"/>
    <s v="&quot;Latvija pirmajā vietā&quot;"/>
    <s v="Nacionālā Apvienība"/>
    <s v="Zaļo un Zemnieku savienība"/>
    <s v="Politiskā partija &quot;Stabilitātei&quot;"/>
    <s v="Jaunā Vienotība"/>
    <s v="&quot;Progresīvie&quot;"/>
    <s v="Nacionālā Apvienība"/>
    <s v="Politiskā partija &quot;Stabilitātei&quot;"/>
    <s v="&quot;Progresīvie&quot;"/>
    <s v="Politiskā partija &quot;Stabilitātei&quot;"/>
    <s v="&quot;Latvija pirmajā vietā&quot;"/>
    <s v="Viduvēji"/>
    <s v="Ne sevišķi"/>
    <s v="Viduvēji"/>
    <s v="Viduvēji"/>
    <s v="Просто слова ради слов, за которыми не подразумевается никаких реальных действий."/>
    <s v="Nē"/>
    <s v="Nē"/>
    <s v="Nē"/>
    <s v="Jā"/>
    <s v="Jā"/>
    <s v="Nē"/>
    <s v="1.."/>
    <n v="23"/>
    <n v="70"/>
    <n v="70"/>
    <n v="24"/>
    <s v="Mazliet saspīlētas"/>
    <s v="Nav saspīlētas"/>
    <s v="Nav saspīlētas"/>
    <s v="(Gandrīz) nekad"/>
    <s v="(Gandrīz) nekad"/>
    <s v="(Gandrīz) nekad"/>
    <s v="(Gandrīz) nekad"/>
    <s v="Reti"/>
    <s v="Reti"/>
    <s v="Reti"/>
    <s v="Reti"/>
    <s v="(Gandrīz) nekad"/>
    <s v="Reti"/>
    <s v="Говорил с русскоговорящим товарищем по команде, в которой большая часть игроков была латышами."/>
    <s v="nē"/>
    <s v="N/A"/>
    <s v="N/A"/>
    <s v="N/A"/>
    <s v="N/A"/>
    <s v="Jā"/>
    <s v="Nē"/>
    <s v="Jā"/>
    <s v="Nē"/>
    <s v="Jā"/>
    <s v="Nē"/>
    <s v="Jā"/>
    <s v="Nē"/>
    <s v="pāris reižu nedēļā"/>
    <s v="pāris reižu nedēļā"/>
    <s v="(gandrīz) katru dienu"/>
    <s v="pāris reižu nedēļā"/>
    <s v="(gandrīz) katru dienu"/>
    <s v="(gandrīz) nekad"/>
    <s v="pāris reižu nedēļā"/>
    <s v="(gandrīz) katru dienu"/>
    <s v="(gandrīz) katru dienu"/>
    <s v="pāris reižu nedēļā"/>
    <s v="(gandrīz) katru dienu"/>
    <s v="pāris reižu nedēļā"/>
    <s v="(gandrīz) nekad"/>
    <s v="pāris reižu nedēļā"/>
    <s v="pilsoniskās brīvības (vārda brīvība, tiesības uz tiesisko aizsardzību)"/>
    <s v="vienlīdz pieejama izglītība, veselības aprūpe, sociālais nodrošinājums"/>
    <s v="vienlīdzīgas tiesības minoritātēm un ievainojamām sabiedrības grupām"/>
    <m/>
    <m/>
    <s v="labi"/>
    <s v="citreiz labi, citreiz slikti"/>
    <s v="citreiz labi, citreiz slikti"/>
    <s v="labi"/>
    <s v="citreiz labi, citreiz slikti"/>
    <s v="vidējo izglītību"/>
    <m/>
    <s v="N/A"/>
    <s v="N/A"/>
    <s v="N/A"/>
    <s v="Jā"/>
    <s v="vienlīdz latviešu un krievu"/>
    <m/>
    <s v="vienlīdz latviešu un krievu"/>
    <m/>
    <m/>
    <m/>
    <m/>
    <m/>
    <m/>
    <m/>
    <m/>
    <m/>
    <m/>
    <m/>
    <m/>
    <m/>
    <m/>
    <m/>
    <m/>
    <m/>
    <m/>
    <m/>
    <m/>
    <m/>
    <m/>
    <s v="N/A"/>
    <s v="N/A"/>
    <s v="N/A"/>
    <s v="N/A"/>
    <s v="N/A"/>
    <s v="N/A"/>
    <m/>
    <m/>
    <m/>
    <m/>
    <m/>
    <s v="Nē"/>
    <s v="Nē"/>
    <s v="Nē"/>
    <s v="Nē"/>
    <s v="Nē"/>
    <s v="Nē"/>
    <s v="Nē"/>
    <s v="Nē"/>
    <s v="Nē"/>
    <s v="Nē"/>
    <s v="Jā"/>
    <s v="Nē"/>
    <s v="Nē"/>
    <s v="Jā"/>
    <s v="Nē"/>
    <m/>
    <s v="Nē"/>
    <m/>
    <s v="Nē"/>
    <m/>
    <s v="Nē"/>
    <m/>
    <s v="Nē"/>
    <m/>
    <s v="Jā"/>
    <s v="Nē"/>
    <s v="Nē"/>
    <s v="Nē"/>
    <s v="Jā"/>
    <s v="Nē"/>
    <s v="Nē"/>
    <s v="Nē"/>
    <s v="Nē"/>
    <s v="Nē"/>
    <s v="Nē"/>
    <s v="Nē"/>
    <s v="Nē"/>
    <s v="Nē"/>
    <s v="Nē"/>
    <m/>
    <s v="Nē"/>
    <m/>
    <s v="Nē"/>
    <m/>
    <s v="Nē"/>
    <m/>
    <s v="Nē"/>
    <m/>
    <s v="Nē"/>
    <s v="Jā"/>
    <s v="Jā"/>
    <s v="Nē"/>
    <s v="Jā"/>
    <s v="Jā"/>
    <s v="Nē"/>
    <s v="Jā"/>
    <s v="Nē"/>
    <s v="Nē"/>
    <s v="Nē"/>
    <s v="Nē"/>
    <m/>
    <m/>
    <m/>
    <m/>
    <m/>
    <m/>
    <m/>
    <m/>
    <m/>
    <m/>
    <m/>
    <m/>
    <m/>
  </r>
  <r>
    <x v="2"/>
    <n v="191"/>
    <s v="2023-05-11 13:38:46"/>
    <n v="14"/>
    <s v="lv"/>
    <n v="363856132"/>
    <s v="2023-05-11 13:09:40"/>
    <s v="2023-05-11 13:38:46"/>
    <s v="bebrs"/>
    <n v="27"/>
    <s v="vīriešu"/>
    <m/>
    <x v="1"/>
    <x v="0"/>
    <x v="0"/>
    <x v="0"/>
    <x v="0"/>
    <x v="0"/>
    <s v="citviet: ārzemēs"/>
    <m/>
    <s v="ateistu(ti), nereliģiozu"/>
    <m/>
    <s v="Jā"/>
    <s v="Jā"/>
    <s v="Nē"/>
    <s v="Nē"/>
    <s v="Jā"/>
    <s v="Nē"/>
    <s v="Nē"/>
    <s v="Jā"/>
    <s v="Nē"/>
    <s v="Nē"/>
    <s v="Jā"/>
    <s v="Jā"/>
    <s v="Nē"/>
    <s v="Nē"/>
    <s v="Nē"/>
    <s v="Nē"/>
    <s v="Jā"/>
    <s v="Nē"/>
    <s v="Jā"/>
    <s v="Nē"/>
    <s v="Nē"/>
    <s v="Jā"/>
    <s v="Jā"/>
    <s v="Jā"/>
    <s v="Jā"/>
    <s v="Jā"/>
    <s v="Jā"/>
    <s v="Nē"/>
    <s v="a un b"/>
    <s v="tikai b"/>
    <s v="a un b"/>
    <s v="tikai b"/>
    <s v="a un b"/>
    <s v="tikai b"/>
    <s v="Lielākoties nevienlīdzīgi"/>
    <s v="Lielākoties nevienlīdzīgi"/>
    <s v="Vienlīdzīgi"/>
    <s v="Nevienlīdzīgi"/>
    <s v="Vienlīdzīgi"/>
    <s v="&quot;Latvija pirmajā vietā&quot;"/>
    <s v="Jaunā Vienotība"/>
    <s v="&quot;Latvija pirmajā vietā&quot;"/>
    <s v="Nacionālā Apvienība"/>
    <s v="&quot;Apvienotais saraksts&quot;"/>
    <s v="Jaunā Vienotība"/>
    <s v="Nacionālā Apvienība"/>
    <s v="Cīņai ar klimata pārmaiņām būtu jābūt vairumam pasaules valstu galvenajai prioritātei."/>
    <s v="jā, lielāko daļu no tā, ko iespējams šķirot"/>
    <s v="&quot;Apvienotais saraksts&quot;"/>
    <s v="Zaļo un Zemnieku savienība"/>
    <s v="Jaunā Vienotība"/>
    <s v="Nacionālā Apvienība"/>
    <s v="Politiskā partija &quot;Stabilitātei&quot;"/>
    <s v="&quot;Progresīvie&quot;"/>
    <s v="&quot;Latvija pirmajā vietā&quot;"/>
    <s v="Nacionālā Apvienība"/>
    <s v="&quot;Latvija pirmajā vietā&quot;"/>
    <s v="Politiskā partija &quot;Stabilitātei&quot;"/>
    <s v="&quot;Progresīvie&quot;"/>
    <s v="&quot;Apvienotais saraksts&quot;"/>
    <s v="Zaļo un Zemnieku savienība"/>
    <s v="Jaunā Vienotība"/>
    <s v="Ne sevišķi"/>
    <s v="Neinteresē"/>
    <s v="Ļoti"/>
    <s v="Viduvēji"/>
    <s v="Darbi nesakrit ar vardiem."/>
    <s v="Nē"/>
    <s v="Nē"/>
    <s v="Nē"/>
    <s v="Jā"/>
    <s v="Jā"/>
    <s v="Nē"/>
    <s v="1.."/>
    <n v="1"/>
    <n v="24"/>
    <n v="82"/>
    <n v="24"/>
    <s v="Ļoti saspīlētas"/>
    <s v="Nav saspīlētas"/>
    <s v="Nav saspīlētas"/>
    <s v="(Gandrīz) nekad"/>
    <s v="Dažreiz"/>
    <s v="(Gandrīz) nekad"/>
    <s v="(Gandrīz) nekad"/>
    <s v="(Gandrīz) nekad"/>
    <s v="(Gandrīz) nekad"/>
    <s v="Dažreiz"/>
    <s v="(Gandrīz) nekad"/>
    <s v="(Gandrīz) nekad"/>
    <s v="(Gandrīz) nekad"/>
    <s v="Lai nebutu nepatikamu situaciju izmantoju anglu valodu."/>
    <s v="jā, privāta darba devēja labā"/>
    <s v="N/A"/>
    <s v="N/A"/>
    <s v="N/A"/>
    <s v="Jā"/>
    <s v="N/A"/>
    <s v="N/A"/>
    <s v="N/A"/>
    <s v="Jā"/>
    <s v="Nē"/>
    <s v="Nē"/>
    <s v="Jā"/>
    <s v="Nē"/>
    <s v="pāris reižu nedēļā"/>
    <s v="pāris reižu nedēļā"/>
    <s v="(gandrīz) katru dienu"/>
    <s v="pāris reižu nedēļā"/>
    <s v="(gandrīz) nekad"/>
    <s v="pāris reižu mēnesī"/>
    <s v="(gandrīz) katru dienu"/>
    <s v="(gandrīz) katru dienu"/>
    <s v="pāris reižu nedēļā"/>
    <s v="(gandrīz) nekad"/>
    <s v="pāris reižu nedēļā"/>
    <s v="(gandrīz) nekad"/>
    <s v="pāris reižu nedēļā"/>
    <s v="(gandrīz) nekad"/>
    <s v="pilsoniskās brīvības (vārda brīvība, tiesības uz tiesisko aizsardzību)"/>
    <s v="vienlīdzīgas tiesības minoritātēm un ievainojamām sabiedrības grupām"/>
    <s v="vienlīdz pieejama izglītība, veselības aprūpe, sociālais nodrošinājums"/>
    <m/>
    <m/>
    <s v="nezinu"/>
    <s v="knapi/gandrīz necik"/>
    <s v="slikti"/>
    <s v="nezinu"/>
    <s v="knapi/gandrīz necik"/>
    <s v="universitātes līmeni: bakalauru"/>
    <m/>
    <s v="N/A"/>
    <s v="N/A"/>
    <s v="N/A"/>
    <s v="Jā"/>
    <s v="latviešu"/>
    <m/>
    <s v="latviešu"/>
    <m/>
    <m/>
    <m/>
    <m/>
    <m/>
    <m/>
    <m/>
    <m/>
    <m/>
    <m/>
    <m/>
    <m/>
    <m/>
    <m/>
    <m/>
    <m/>
    <m/>
    <m/>
    <m/>
    <m/>
    <m/>
    <m/>
    <s v="N/A"/>
    <s v="N/A"/>
    <s v="N/A"/>
    <s v="N/A"/>
    <s v="N/A"/>
    <s v="N/A"/>
    <m/>
    <m/>
    <m/>
    <m/>
    <m/>
    <s v="Nē"/>
    <s v="Nē"/>
    <s v="Jā"/>
    <s v="Nē"/>
    <s v="Nē"/>
    <s v="Nē"/>
    <s v="Nē"/>
    <s v="Nē"/>
    <s v="Nē"/>
    <s v="Nē"/>
    <s v="Nē"/>
    <s v="Nē"/>
    <s v="Nē"/>
    <s v="Jā"/>
    <s v="Nē"/>
    <m/>
    <s v="Nē"/>
    <m/>
    <s v="Jā"/>
    <s v="Fox news"/>
    <s v="Nē"/>
    <m/>
    <s v="Nē"/>
    <m/>
    <s v="Nē"/>
    <s v="Nē"/>
    <s v="Nē"/>
    <s v="Nē"/>
    <s v="Nē"/>
    <s v="Nē"/>
    <s v="Nē"/>
    <s v="Nē"/>
    <s v="Nē"/>
    <s v="Nē"/>
    <s v="Nē"/>
    <s v="Nē"/>
    <s v="Nē"/>
    <s v="Nē"/>
    <s v="Jā"/>
    <m/>
    <s v="Nē"/>
    <m/>
    <s v="Nē"/>
    <m/>
    <s v="Nē"/>
    <m/>
    <s v="Nē"/>
    <m/>
    <s v="Nē"/>
    <s v="Nē"/>
    <s v="Jā"/>
    <s v="Nē"/>
    <s v="Jā"/>
    <s v="Nē"/>
    <s v="Nē"/>
    <s v="Jā"/>
    <s v="Nē"/>
    <s v="Nē"/>
    <s v="Nē"/>
    <s v="Nē"/>
    <m/>
    <m/>
    <m/>
    <m/>
    <m/>
    <m/>
    <m/>
    <m/>
    <m/>
    <m/>
    <m/>
    <m/>
    <m/>
  </r>
  <r>
    <x v="2"/>
    <n v="192"/>
    <s v="2023-05-11 13:31:07"/>
    <n v="14"/>
    <s v="lv"/>
    <n v="2102045357"/>
    <s v="2023-05-11 13:09:43"/>
    <s v="2023-05-11 13:31:07"/>
    <s v="bebrs"/>
    <n v="20"/>
    <s v="sieviešu"/>
    <m/>
    <x v="0"/>
    <x v="0"/>
    <x v="0"/>
    <x v="0"/>
    <x v="0"/>
    <x v="0"/>
    <s v="Latgalē"/>
    <m/>
    <s v="pareizticīgo"/>
    <m/>
    <s v="N/A"/>
    <s v="N/A"/>
    <s v="N/A"/>
    <s v="N/A"/>
    <s v="N/A"/>
    <s v="N/A"/>
    <s v="Jā"/>
    <s v="Jā"/>
    <s v="Jā"/>
    <s v="Nē"/>
    <s v="Nē"/>
    <s v="Nē"/>
    <s v="Nē"/>
    <s v="Nē"/>
    <s v="Jā"/>
    <s v="Nē"/>
    <s v="Nē"/>
    <s v="Nē"/>
    <s v="Nē"/>
    <s v="Nē"/>
    <s v="Nē"/>
    <s v="N/A"/>
    <s v="N/A"/>
    <s v="N/A"/>
    <s v="N/A"/>
    <s v="N/A"/>
    <s v="N/A"/>
    <s v="Jā"/>
    <s v="a un b"/>
    <s v="a un b"/>
    <s v="a un b"/>
    <s v="nezinu"/>
    <s v="tikai a"/>
    <s v="a un b"/>
    <s v="Vienlīdzīgi"/>
    <s v="Lielākoties vienlīdzīgi"/>
    <s v="Vienlīdzīgi"/>
    <s v="Lielākoties 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Neinteresē"/>
    <s v="Viduvēji"/>
    <s v="Ļoti"/>
    <s v="nezinu"/>
    <s v="Nē"/>
    <s v="Nē"/>
    <s v="Nē"/>
    <s v="Jā"/>
    <s v="Jā"/>
    <s v="Jā"/>
    <s v="1.."/>
    <n v="37"/>
    <n v="51"/>
    <n v="51"/>
    <n v="8"/>
    <s v="Drīzāk saspīlētas"/>
    <s v="Mazliet saspīlētas"/>
    <s v="Nav saspīlētas"/>
    <s v="(Gandrīz) nekad"/>
    <s v="(Gandrīz) nekad"/>
    <s v="(Gandrīz) nekad"/>
    <s v="(Gandrīz) nekad"/>
    <s v="(Gandrīz) nekad"/>
    <s v="(Gandrīz) nekad"/>
    <s v="Reti"/>
    <s v="(Gandrīz) nekad"/>
    <s v="(Gandrīz) nekad"/>
    <s v="Dažreiz"/>
    <s v="Vai tad ir &quot; nepareizas valodas&quot;?"/>
    <s v="jā, valsts iestādē"/>
    <s v="N/A"/>
    <s v="N/A"/>
    <s v="N/A"/>
    <s v="Jā"/>
    <s v="N/A"/>
    <s v="N/A"/>
    <s v="N/A"/>
    <s v="Jā"/>
    <s v="N/A"/>
    <s v="N/A"/>
    <s v="N/A"/>
    <s v="Jā"/>
    <s v="(gandrīz) nekad"/>
    <s v="pāris reižu nedēļā"/>
    <s v="(gandrīz) katru dienu"/>
    <s v="(gandrīz) katru dienu"/>
    <s v="(gandrīz) nekad"/>
    <s v="(gandrīz) nekad"/>
    <s v="pāris reižu nedēļā"/>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nezinu"/>
    <s v="citreiz labi, citreiz slikti"/>
    <s v="citreiz labi, citreiz slikti"/>
    <s v="nezinu"/>
    <s v="citreiz labi, citreiz slikti"/>
    <s v="vidējo 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Nē"/>
    <s v="Панорама Резекне"/>
    <s v="Nē"/>
    <m/>
    <s v="Nē"/>
    <m/>
    <s v="Nē"/>
    <m/>
    <s v="Nē"/>
    <m/>
    <s v="Nē"/>
    <s v="Nē"/>
    <s v="Jā"/>
    <s v="Jā"/>
    <s v="Jā"/>
    <s v="Jā"/>
    <s v="Nē"/>
    <s v="Jā"/>
    <s v="Nē"/>
    <s v="Nē"/>
    <s v="Nē"/>
    <s v="Nē"/>
    <m/>
    <m/>
    <m/>
    <m/>
    <m/>
    <m/>
    <m/>
    <m/>
    <m/>
    <m/>
    <m/>
    <m/>
    <m/>
  </r>
  <r>
    <x v="2"/>
    <n v="193"/>
    <s v="2023-05-11 13:25:13"/>
    <n v="14"/>
    <s v="lv"/>
    <n v="2098775314"/>
    <s v="2023-05-11 13:09:47"/>
    <s v="2023-05-11 13:25:13"/>
    <s v="bebrs"/>
    <n v="20"/>
    <s v="vīriešu"/>
    <m/>
    <x v="0"/>
    <x v="0"/>
    <x v="0"/>
    <x v="0"/>
    <x v="0"/>
    <x v="0"/>
    <s v="Latgalē"/>
    <m/>
    <s v="ateistu(ti), nereliģiozu"/>
    <m/>
    <s v="Jā"/>
    <s v="Jā"/>
    <s v="Nē"/>
    <s v="Nē"/>
    <s v="Nē"/>
    <s v="Nē"/>
    <s v="Nē"/>
    <s v="Nē"/>
    <s v="Jā"/>
    <s v="Nē"/>
    <s v="Nē"/>
    <s v="Nē"/>
    <s v="Nē"/>
    <s v="Nē"/>
    <s v="Jā"/>
    <s v="Nē"/>
    <s v="Nē"/>
    <s v="Nē"/>
    <s v="Nē"/>
    <s v="Nē"/>
    <s v="Nē"/>
    <s v="Nē"/>
    <s v="Nē"/>
    <s v="Jā"/>
    <s v="Nē"/>
    <s v="Jā"/>
    <s v="Nē"/>
    <s v="Nē"/>
    <s v="tikai b"/>
    <s v="tikai b"/>
    <s v="tikai b"/>
    <s v="a un b"/>
    <s v="a un b"/>
    <s v="tikai b"/>
    <s v="Lielākoties vienlīdzīgi"/>
    <s v="Vienlīdzīgi"/>
    <s v="Vienlīdzīgi"/>
    <s v="Lielākoties nevienlīdzīgi"/>
    <s v="Lielākoties vienlīdzīgi"/>
    <s v="nezinu"/>
    <s v="nezinu"/>
    <s v="nezinu"/>
    <s v="nezinu"/>
    <s v="nezinu"/>
    <s v="nezinu"/>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Ārkārtīgi"/>
    <s v="Ārkārtīgi"/>
    <s v="Ārkārtīgi"/>
    <s v="Ārkārtīgi"/>
    <s v="Ideoloğija"/>
    <s v="Nē"/>
    <s v="Nē"/>
    <s v="Nē"/>
    <s v="Jā"/>
    <s v="Nē"/>
    <s v="Nē"/>
    <s v="1.."/>
    <n v="36"/>
    <n v="51"/>
    <n v="74"/>
    <n v="20"/>
    <s v="Nav saspīlētas"/>
    <s v="Nav saspīlētas"/>
    <s v="Nav saspīlētas"/>
    <s v="(Gandrīz) nekad"/>
    <s v="(Gandrīz) nekad"/>
    <s v="(Gandrīz) nekad"/>
    <s v="(Gandrīz) nekad"/>
    <s v="(Gandrīz) nekad"/>
    <s v="(Gandrīz) nekad"/>
    <s v="(Gandrīz) nekad"/>
    <s v="(Gandrīz) nekad"/>
    <s v="(Gandrīz) nekad"/>
    <s v="(Gandrīz) nekad"/>
    <m/>
    <s v="nē"/>
    <s v="N/A"/>
    <s v="N/A"/>
    <s v="N/A"/>
    <s v="N/A"/>
    <s v="Jā"/>
    <s v="Jā"/>
    <s v="Jā"/>
    <s v="Nē"/>
    <s v="Jā"/>
    <s v="Nē"/>
    <s v="Nē"/>
    <s v="Nē"/>
    <s v="(gandrīz) nekad"/>
    <s v="(gandrīz) katru dienu"/>
    <s v="(gandrīz) katru dienu"/>
    <s v="(gandrīz) nekad"/>
    <s v="(gandrīz) nekad"/>
    <s v="(gandrīz) nekad"/>
    <s v="(gandrīz) nekad"/>
    <s v="(gandrīz) katru dienu"/>
    <s v="(gandrīz) katru dienu"/>
    <s v="(gandrīz) katru dienu"/>
    <s v="(gandrīz) katru dienu"/>
    <s v="(gandrīz) katru dienu"/>
    <s v="(gandrīz) katru dienu"/>
    <s v="(gandrīz) katru dienu"/>
    <s v="vienlīdz pieejama izglītība, veselības aprūpe, sociālais nodrošinājums"/>
    <s v="varas līdzsvars starp parlamentu, prezidentu un tiesām, lai neviena no institūcijām nespētu sevī koncentrēt lielāko daļu varas"/>
    <s v="vienlīdzīgas tiesības minoritātēm un ievainojamām sabiedrības grupām"/>
    <m/>
    <m/>
    <s v="citreiz labi, citreiz slikti"/>
    <s v="slikti"/>
    <s v="slikti"/>
    <s v="slikti"/>
    <s v="citreiz labi, citreiz slikti"/>
    <s v="vidējo izglītību"/>
    <m/>
    <s v="N/A"/>
    <s v="N/A"/>
    <s v="N/A"/>
    <s v="Jā"/>
    <s v="latviešu"/>
    <m/>
    <s v="latviešu"/>
    <m/>
    <s v="Spēju pastāstīt par savu hobiju / darbu."/>
    <s v="Spēju uzrakstīt motivācijas vēstuli darbam/ par savu darba pieredzi."/>
    <s v="Viegli saprotu televīzijas pārraides vai Youtube video par saviem hobijiem/darbības sfēru."/>
    <s v="Spēju izlasīt garus tekstus par vēstures, politikas un zinātnes tēmām."/>
    <m/>
    <m/>
    <m/>
    <m/>
    <m/>
    <m/>
    <m/>
    <m/>
    <m/>
    <m/>
    <m/>
    <m/>
    <m/>
    <m/>
    <m/>
    <m/>
    <m/>
    <s v="N/A"/>
    <s v="N/A"/>
    <s v="N/A"/>
    <s v="N/A"/>
    <s v="N/A"/>
    <s v="N/A"/>
    <m/>
    <m/>
    <m/>
    <m/>
    <m/>
    <s v="Nē"/>
    <s v="Nē"/>
    <s v="Nē"/>
    <s v="Jā"/>
    <s v="Nē"/>
    <s v="Nē"/>
    <s v="Nē"/>
    <s v="Nē"/>
    <s v="Nē"/>
    <s v="Nē"/>
    <s v="Nē"/>
    <s v="Jā"/>
    <s v="Nē"/>
    <s v="Jā"/>
    <s v="Nē"/>
    <m/>
    <s v="Nē"/>
    <m/>
    <s v="Nē"/>
    <m/>
    <s v="Nē"/>
    <m/>
    <s v="Nē"/>
    <m/>
    <s v="Jā"/>
    <s v="Jā"/>
    <s v="Nē"/>
    <s v="Nē"/>
    <s v="Nē"/>
    <s v="Nē"/>
    <s v="Nē"/>
    <s v="Nē"/>
    <s v="Nē"/>
    <s v="Nē"/>
    <s v="Nē"/>
    <s v="Jā"/>
    <s v="Jā"/>
    <s v="Nē"/>
    <s v="Nē"/>
    <m/>
    <s v="Nē"/>
    <m/>
    <s v="Nē"/>
    <m/>
    <s v="Nē"/>
    <m/>
    <s v="Nē"/>
    <m/>
    <s v="Nē"/>
    <s v="Jā"/>
    <s v="Nē"/>
    <s v="Nē"/>
    <s v="Jā"/>
    <s v="Jā"/>
    <s v="Nē"/>
    <s v="Jā"/>
    <s v="Nē"/>
    <s v="Nē"/>
    <s v="Nē"/>
    <s v="Nē"/>
    <m/>
    <m/>
    <m/>
    <m/>
    <m/>
    <m/>
    <m/>
    <m/>
    <m/>
    <m/>
    <m/>
    <m/>
    <m/>
  </r>
  <r>
    <x v="2"/>
    <n v="194"/>
    <s v="2023-05-11 13:32:32"/>
    <n v="14"/>
    <s v="ru"/>
    <n v="38975850"/>
    <s v="2023-05-11 13:09:48"/>
    <s v="2023-05-11 13:32:32"/>
    <s v="рыба"/>
    <n v="19"/>
    <s v="sieviešu"/>
    <m/>
    <x v="0"/>
    <x v="0"/>
    <x v="0"/>
    <x v="0"/>
    <x v="0"/>
    <x v="2"/>
    <s v="Latgalē"/>
    <m/>
    <s v="ateistu(ti), nereliģiozu"/>
    <m/>
    <s v="Jā"/>
    <s v="Nē"/>
    <s v="Nē"/>
    <s v="Nē"/>
    <s v="Nē"/>
    <s v="Nē"/>
    <s v="Nē"/>
    <s v="Nē"/>
    <s v="Nē"/>
    <s v="Nē"/>
    <s v="Nē"/>
    <s v="Nē"/>
    <s v="Jā"/>
    <s v="Nē"/>
    <s v="Jā"/>
    <s v="Nē"/>
    <s v="Nē"/>
    <s v="Nē"/>
    <s v="Nē"/>
    <s v="Nē"/>
    <s v="Nē"/>
    <s v="Nē"/>
    <s v="Nē"/>
    <s v="Nē"/>
    <s v="Nē"/>
    <s v="Nē"/>
    <s v="Jā"/>
    <s v="Nē"/>
    <s v="tikai b"/>
    <s v="tikai a"/>
    <s v="tikai b"/>
    <s v="tikai a"/>
    <s v="tikai a"/>
    <s v="tikai b"/>
    <s v="Lielākoties vienlīdzīgi"/>
    <s v="Lielākoties vienlīdzīgi"/>
    <s v="Lielākoties vienlīdzīgi"/>
    <s v="Vienlīdzīgi"/>
    <s v="Lielākoties vienlīdzīgi"/>
    <s v="nezinu"/>
    <s v="nezinu"/>
    <s v="nezinu"/>
    <s v="&quot;Progresīvie&quot;"/>
    <s v="&quot;Progresīvie&quot;"/>
    <s v="Jaunā Vienotība"/>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Ļoti"/>
    <s v="Viduvēji"/>
    <s v="Ne sevišķi"/>
    <s v="Ļoti"/>
    <s v="Не знаю"/>
    <s v="Nē"/>
    <s v="Nē"/>
    <s v="Nē"/>
    <s v="Nē"/>
    <s v="Jā"/>
    <s v="Jā"/>
    <s v="2.."/>
    <n v="17"/>
    <n v="55"/>
    <n v="87"/>
    <n v="13"/>
    <s v="Drīzāk saspīlētas"/>
    <s v="Nav saspīlētas"/>
    <s v="Nav saspīlētas"/>
    <s v="(Gandrīz) nekad"/>
    <s v="(Gandrīz) nekad"/>
    <s v="(Gandrīz) nekad"/>
    <s v="(Gandrīz) nekad"/>
    <s v="(Gandrīz) nekad"/>
    <s v="(Gandrīz) nekad"/>
    <s v="Reti"/>
    <s v="(Gandrīz) nekad"/>
    <s v="Reti"/>
    <s v="(Gandrīz) nekad"/>
    <s v="Не могу вспомнить такую ситуацию"/>
    <s v="jā, privāta darba devēja labā"/>
    <s v="N/A"/>
    <s v="N/A"/>
    <s v="N/A"/>
    <s v="Jā"/>
    <s v="Jā"/>
    <s v="Nē"/>
    <s v="Nē"/>
    <s v="Nē"/>
    <s v="Jā"/>
    <s v="Jā"/>
    <s v="Jā"/>
    <s v="Nē"/>
    <s v="(gandrīz) nekad"/>
    <s v="pāris reižu nedēļā"/>
    <s v="(gandrīz) katru dienu"/>
    <s v="pāris reižu mēnesī"/>
    <s v="(gandrīz) nekad"/>
    <s v="(gandrīz) nekad"/>
    <s v="pāris reižu nedēļā"/>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labi"/>
    <s v="nezinu"/>
    <s v="labi"/>
    <s v="citreiz labi, citreiz slikti"/>
    <s v="citreiz labi, citreiz slikti"/>
    <s v="vidējo 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Jā"/>
    <s v="Nē"/>
    <s v="Nē"/>
    <m/>
    <s v="Nē"/>
    <m/>
    <s v="Nē"/>
    <m/>
    <s v="Nē"/>
    <m/>
    <s v="Jā"/>
    <s v="Pro 7"/>
    <s v="Nē"/>
    <s v="Nē"/>
    <s v="Nē"/>
    <s v="Nē"/>
    <s v="Nē"/>
    <s v="Nē"/>
    <s v="Nē"/>
    <s v="Nē"/>
    <s v="Nē"/>
    <s v="Nē"/>
    <s v="Nē"/>
    <s v="Nē"/>
    <s v="Nē"/>
    <s v="Nē"/>
    <s v="Jā"/>
    <m/>
    <s v="Nē"/>
    <m/>
    <s v="Nē"/>
    <m/>
    <s v="Nē"/>
    <m/>
    <s v="Nē"/>
    <m/>
    <s v="Nē"/>
    <s v="Jā"/>
    <s v="Nē"/>
    <s v="Nē"/>
    <s v="Nē"/>
    <s v="Jā"/>
    <s v="Nē"/>
    <s v="Jā"/>
    <s v="Nē"/>
    <s v="Nē"/>
    <s v="Nē"/>
    <s v="Nē"/>
    <m/>
    <m/>
    <m/>
    <m/>
    <m/>
    <m/>
    <m/>
    <m/>
    <m/>
    <m/>
    <m/>
    <m/>
    <m/>
  </r>
  <r>
    <x v="2"/>
    <n v="195"/>
    <s v="2023-05-11 13:44:32"/>
    <n v="14"/>
    <s v="ru"/>
    <n v="1148754694"/>
    <s v="2023-05-11 13:09:50"/>
    <s v="2023-05-11 13:44:32"/>
    <s v="рыба"/>
    <n v="35"/>
    <s v="sieviešu"/>
    <m/>
    <x v="0"/>
    <x v="0"/>
    <x v="0"/>
    <x v="0"/>
    <x v="0"/>
    <x v="0"/>
    <s v="Latgalē"/>
    <m/>
    <s v="pareizticīgo"/>
    <m/>
    <s v="Nē"/>
    <s v="Nē"/>
    <s v="Jā"/>
    <s v="Nē"/>
    <s v="Nē"/>
    <s v="Nē"/>
    <s v="Nē"/>
    <s v="Nē"/>
    <s v="Nē"/>
    <s v="Nē"/>
    <s v="Jā"/>
    <s v="Nē"/>
    <s v="Nē"/>
    <s v="Nē"/>
    <s v="Nē"/>
    <s v="Nē"/>
    <s v="Jā"/>
    <s v="Nē"/>
    <s v="Nē"/>
    <s v="Nē"/>
    <s v="Nē"/>
    <s v="Nē"/>
    <s v="Nē"/>
    <s v="Nē"/>
    <s v="Nē"/>
    <s v="Jā"/>
    <s v="Nē"/>
    <s v="Nē"/>
    <s v="a un b"/>
    <s v="tikai b"/>
    <s v="tikai a"/>
    <s v="tikai a"/>
    <s v="tikai a"/>
    <s v="tikai a"/>
    <s v="Lielākoties vienlīdzīgi"/>
    <s v="Lielākoties vienlīdzīgi"/>
    <s v="Lielākoties vienlīdzīgi"/>
    <s v="Lielākoties vienlīdzīgi"/>
    <s v="Lielākoties vienlīdzīgi"/>
    <s v="&quot;Progresīvie&quot;"/>
    <s v="&quot;Apvienotais saraksts&quot;"/>
    <s v="Politiskā partija &quot;Stabilitātei&quot;"/>
    <s v="&quot;Latvija pirmajā vietā&quot;"/>
    <s v="Zaļo un Zemnieku savienība"/>
    <s v="Jaunā Vienotība"/>
    <s v="Nacionālā Apvienība"/>
    <s v="Cīņai ar klimata pārmaiņām būtu jābūt vairumam pasaules valstu galvenajai prioritātei."/>
    <s v="jā, daļu no tā, ko iespējams šķirot"/>
    <s v="&quot;Progresīvie&quot;"/>
    <s v="Jaunā Vienotība"/>
    <s v="&quot;Latvija pirmajā vietā&quot;"/>
    <s v="Politiskā partija &quot;Stabilitātei&quot;"/>
    <s v="Nacionālā Apvienība"/>
    <s v="Zaļo un Zemnieku savienība"/>
    <s v="&quot;Progresīvie&quot;"/>
    <s v="&quot;Latvija pirmajā vietā&quot;"/>
    <s v="&quot;Progresīvie&quot;"/>
    <s v="&quot;Apvienotais saraksts&quot;"/>
    <s v="Nacionālā Apvienība"/>
    <s v="Politiskā partija &quot;Stabilitātei&quot;"/>
    <s v="Zaļo un Zemnieku savienība"/>
    <s v="Jaunā Vienotība"/>
    <s v="Ļoti"/>
    <s v="Ārkārtīgi"/>
    <s v="Viduvēji"/>
    <s v="Ne sevišķi"/>
    <s v="Trump"/>
    <s v="Nē"/>
    <s v="Nē"/>
    <s v="Jā"/>
    <s v="Jā"/>
    <s v="Jā"/>
    <s v="Nē"/>
    <s v="2.."/>
    <n v="90"/>
    <n v="1"/>
    <n v="100"/>
    <n v="1"/>
    <s v="Mazliet saspīlētas"/>
    <s v="Drīzāk saspīlētas"/>
    <s v="Ļoti saspīlētas"/>
    <s v="(Gandrīz) nekad"/>
    <s v="(Gandrīz) nekad"/>
    <s v="(Gandrīz) nekad"/>
    <s v="(Gandrīz) nekad"/>
    <s v="(Gandrīz) nekad"/>
    <s v="(Gandrīz) nekad"/>
    <s v="(Gandrīz) nekad"/>
    <s v="Reti"/>
    <s v="Dažreiz"/>
    <s v="Dažreiz"/>
    <s v="Man ir divas sarunvalodas. Mājās - krieviski, kaut arī vīrs latvietis pēc dzimšanas. Darbā - ar kolēģiem vairāk krieviski, ar klientiem - krieviski un latviski. Rakstiski darbā - latviršu valodā. Veikalos, kafeinicās savā pilsētā - krieviski, bet citās pilsētās - parasti latviski. Universitātē - ar pasniedzējiem nodarbību laikā - latviski. Ārpus mācību procesa - bilingvāli. Ar kursabiedriem - krieviski."/>
    <s v="jā, pašvaldības iestādē"/>
    <s v="Jā"/>
    <s v="Nē"/>
    <s v="Jā"/>
    <s v="Nē"/>
    <s v="N/A"/>
    <s v="N/A"/>
    <s v="N/A"/>
    <s v="Jā"/>
    <s v="Jā"/>
    <s v="Nē"/>
    <s v="Jā"/>
    <s v="Nē"/>
    <s v="(gandrīz) nekad"/>
    <s v="(gandrīz) nekad"/>
    <s v="(gandrīz) katru dienu"/>
    <s v="pāris reižu nedēļā"/>
    <s v="(gandrīz) nekad"/>
    <s v="(gandrīz) nekad"/>
    <s v="pāris reižu mēnesī"/>
    <s v="(gandrīz) katru dienu"/>
    <s v="(gandrīz) katru dienu"/>
    <s v="(gandrīz) katru dienu"/>
    <s v="(gandrīz) katru dienu"/>
    <s v="(gandrīz) nekad"/>
    <s v="(gandrīz) katru dienu"/>
    <s v="(gandrīz) katru dienu"/>
    <s v="pilsoniskās brīvības (vārda brīvība, tiesības uz tiesisko aizsardzību)"/>
    <s v="vienlīdz pieejama izglītība, veselības aprūpe, sociālais nodrošinājums"/>
    <s v="brīvas vēlēšanas un plurālisms"/>
    <m/>
    <m/>
    <s v="citreiz labi, citreiz slikti"/>
    <s v="knapi/gandrīz necik"/>
    <s v="slikti"/>
    <s v="slikti"/>
    <s v="citreiz labi, citreiz slikti"/>
    <s v="universitātes līmeni: bakalauru"/>
    <m/>
    <s v="N/A"/>
    <s v="N/A"/>
    <s v="N/A"/>
    <s v="Jā"/>
    <s v="krievu"/>
    <m/>
    <s v="vienlīdz latviešu un kriev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Youtube"/>
    <s v="Nē"/>
    <m/>
    <s v="Nē"/>
    <m/>
    <s v="Jā"/>
    <s v="Пятница"/>
    <s v="Nē"/>
    <m/>
    <s v="Jā"/>
    <s v="Nē"/>
    <s v="Nē"/>
    <s v="Nē"/>
    <s v="Nē"/>
    <s v="Nē"/>
    <s v="Nē"/>
    <s v="Nē"/>
    <s v="Nē"/>
    <s v="Nē"/>
    <s v="Nē"/>
    <s v="Nē"/>
    <s v="Nē"/>
    <s v="Nē"/>
    <s v="Nē"/>
    <s v="grani.lv"/>
    <s v="Nē"/>
    <m/>
    <s v="Nē"/>
    <m/>
    <s v="Nē"/>
    <m/>
    <s v="Nē"/>
    <m/>
    <s v="Nē"/>
    <s v="Jā"/>
    <s v="Jā"/>
    <s v="Nē"/>
    <s v="Jā"/>
    <s v="Nē"/>
    <s v="Nē"/>
    <s v="Jā"/>
    <s v="Nē"/>
    <s v="Nē"/>
    <s v="Nē"/>
    <s v="Nē"/>
    <m/>
    <s v="Vienīga doma par demokrātiju Latvijā...Mūsu pašreizēja valde NOGALINA mūsu Dzimtenes nākotni!"/>
    <m/>
    <m/>
    <m/>
    <m/>
    <m/>
    <m/>
    <m/>
    <m/>
    <m/>
    <m/>
    <m/>
  </r>
  <r>
    <x v="2"/>
    <n v="196"/>
    <s v="2023-05-11 13:30:30"/>
    <n v="14"/>
    <s v="lv"/>
    <n v="2071545722"/>
    <s v="2023-05-11 13:10:06"/>
    <s v="2023-05-11 13:30:30"/>
    <s v="bebrs"/>
    <n v="20"/>
    <s v="vīriešu"/>
    <m/>
    <x v="1"/>
    <x v="0"/>
    <x v="0"/>
    <x v="0"/>
    <x v="0"/>
    <x v="0"/>
    <s v="Latgalē"/>
    <m/>
    <s v="ateistu(ti), nereliģiozu"/>
    <m/>
    <s v="Jā"/>
    <s v="Jā"/>
    <s v="Nē"/>
    <s v="Nē"/>
    <s v="Nē"/>
    <s v="Nē"/>
    <s v="Nē"/>
    <s v="Nē"/>
    <s v="Jā"/>
    <s v="Nē"/>
    <s v="Nē"/>
    <s v="Nē"/>
    <s v="Nē"/>
    <s v="Nē"/>
    <s v="Jā"/>
    <s v="Nē"/>
    <s v="Jā"/>
    <s v="Jā"/>
    <s v="Nē"/>
    <s v="Nē"/>
    <s v="Nē"/>
    <s v="Jā"/>
    <s v="Jā"/>
    <s v="Nē"/>
    <s v="Nē"/>
    <s v="Nē"/>
    <s v="Nē"/>
    <s v="Nē"/>
    <s v="nezinu"/>
    <s v="tikai b"/>
    <s v="ne a, ne b"/>
    <s v="a un b"/>
    <s v="a un b"/>
    <s v="tikai b"/>
    <s v="Lielākoties nevienlīdzīgi"/>
    <s v="Lielākoties nevienlīdzīgi"/>
    <s v="Lielākoties vienlīdzīgi"/>
    <s v="Lielākoties nevienlīdzīgi"/>
    <s v="Lielākoties nevienlīdzīgi"/>
    <s v="Nacionālā Apvienība"/>
    <s v="Jaunā Vienotība"/>
    <s v="&quot;Latvija pirmajā vietā&quot;"/>
    <s v="Politiskā partija &quot;Stabilitātei&quot;"/>
    <s v="Zaļo un Zemnieku savienība"/>
    <s v="&quot;Progresīvie&quot;"/>
    <s v="&quot;Apvienotais saraksts&quot;"/>
    <s v="Cīņai ar klimata pārmaiņām būtu jābūt vairumam pasaules valstu galvenajai prioritātei."/>
    <s v="jā, lielāko daļu no tā, ko iespējams šķirot"/>
    <s v="Jaunā Vienotība"/>
    <s v="Zaļo un Zemnieku savienība"/>
    <s v="&quot;Progresīvie&quot;"/>
    <s v="Nacionālā Apvienība"/>
    <s v="Politiskā partija &quot;Stabilitātei&quot;"/>
    <s v="&quot;Latvija pirmajā vietā&quot;"/>
    <s v="Politiskā partija &quot;Stabilitātei&quot;"/>
    <s v="Jaunā Vienotība"/>
    <s v="&quot;Progresīvie&quot;"/>
    <s v="Nacionālā Apvienība"/>
    <s v="&quot;Latvija pirmajā vietā&quot;"/>
    <s v="Zaļo un Zemnieku savienība"/>
    <s v="Politiskā partija &quot;Stabilitātei&quot;"/>
    <s v="&quot;Apvienotais saraksts&quot;"/>
    <s v="Ļoti"/>
    <s v="Ļoti"/>
    <s v="Ļoti"/>
    <s v="Ļoti"/>
    <s v="Visintuitīvakais skaidrojums un risinājums problēmam, kurš balstas uz emocijam nevis faktiem, statistiku, zinātniskiem metodiem"/>
    <s v="Jā"/>
    <s v="Nē"/>
    <s v="Nē"/>
    <s v="Nē"/>
    <s v="Nē"/>
    <s v="Nē"/>
    <s v="2.."/>
    <n v="50"/>
    <n v="55"/>
    <n v="33"/>
    <n v="10"/>
    <s v="Drīzāk saspīlētas"/>
    <s v="Drīzāk saspīlētas"/>
    <s v="Nav saspīlētas"/>
    <s v="(Gandrīz) nekad"/>
    <s v="(Gandrīz) nekad"/>
    <s v="(Gandrīz) nekad"/>
    <s v="(Gandrīz) nekad"/>
    <s v="(Gandrīz) nekad"/>
    <s v="(Gandrīz) nekad"/>
    <s v="(Gandrīz) nekad"/>
    <s v="(Gandrīz) nekad"/>
    <s v="(Gandrīz) nekad"/>
    <s v="(Gandrīz) nekad"/>
    <m/>
    <s v="nē"/>
    <s v="N/A"/>
    <s v="N/A"/>
    <s v="N/A"/>
    <s v="N/A"/>
    <s v="Jā"/>
    <s v="Nē"/>
    <s v="Jā"/>
    <s v="Nē"/>
    <s v="Nē"/>
    <s v="Jā"/>
    <s v="Nē"/>
    <s v="Nē"/>
    <s v="(gandrīz) nekad"/>
    <s v="(gandrīz) katru dienu"/>
    <s v="(gandrīz) nekad"/>
    <s v="(gandrīz) nekad"/>
    <s v="(gandrīz) nekad"/>
    <s v="pāris reižu nedēļā"/>
    <s v="pāris reižu nedēļā"/>
    <s v="(gandrīz) katru dienu"/>
    <s v="pāris reižu nedēļā"/>
    <s v="(gandrīz) nekad"/>
    <s v="(gandrīz) katru dienu"/>
    <s v="(gandrīz) katru dienu"/>
    <s v="(gandrīz) katru dienu"/>
    <s v="pāris reižu nedēļā"/>
    <s v="brīvas vēlēšanas un plurālisms"/>
    <s v="pilsoniskās brīvības (vārda brīvība, tiesības uz tiesisko aizsardzību)"/>
    <s v="vienlīdz pieejama izglītība, veselības aprūpe, sociālais nodrošinājums"/>
    <m/>
    <m/>
    <s v="labi"/>
    <s v="citreiz labi, citreiz slikti"/>
    <s v="slikti"/>
    <s v="citreiz labi, citreiz slikti"/>
    <s v="citreiz labi, citreiz slikti"/>
    <s v="vidējo izglītību"/>
    <m/>
    <s v="Nē"/>
    <s v="Jā"/>
    <s v="Nē"/>
    <s v="Nē"/>
    <s v="vienlīdz latviešu un krievu"/>
    <m/>
    <s v="latviešu"/>
    <m/>
    <m/>
    <m/>
    <m/>
    <m/>
    <m/>
    <m/>
    <m/>
    <m/>
    <m/>
    <m/>
    <m/>
    <m/>
    <m/>
    <m/>
    <m/>
    <m/>
    <m/>
    <m/>
    <m/>
    <m/>
    <m/>
    <s v="N/A"/>
    <s v="N/A"/>
    <s v="N/A"/>
    <s v="N/A"/>
    <s v="N/A"/>
    <s v="N/A"/>
    <m/>
    <m/>
    <m/>
    <m/>
    <m/>
    <s v="Nē"/>
    <s v="Nē"/>
    <s v="Nē"/>
    <s v="Jā"/>
    <s v="Nē"/>
    <s v="Nē"/>
    <s v="Nē"/>
    <s v="Nē"/>
    <s v="Nē"/>
    <s v="Nē"/>
    <s v="Nē"/>
    <s v="Nē"/>
    <s v="Nē"/>
    <s v="Nē"/>
    <s v="Nē"/>
    <m/>
    <s v="Nē"/>
    <m/>
    <s v="Nē"/>
    <m/>
    <s v="Jā"/>
    <s v="Рабкор"/>
    <s v="Nē"/>
    <m/>
    <s v="Jā"/>
    <s v="Nē"/>
    <s v="Nē"/>
    <s v="Jā"/>
    <s v="Nē"/>
    <s v="Nē"/>
    <s v="Nē"/>
    <s v="Nē"/>
    <s v="Nē"/>
    <s v="Nē"/>
    <s v="Nē"/>
    <s v="Nē"/>
    <s v="Jā"/>
    <s v="Nē"/>
    <s v="Nē"/>
    <m/>
    <s v="Nē"/>
    <m/>
    <s v="Nē"/>
    <m/>
    <s v="Nē"/>
    <m/>
    <s v="Nē"/>
    <m/>
    <s v="Nē"/>
    <s v="Jā"/>
    <s v="Jā"/>
    <s v="Nē"/>
    <s v="Jā"/>
    <s v="Jā"/>
    <s v="Nē"/>
    <s v="Jā"/>
    <s v="Nē"/>
    <s v="Nē"/>
    <s v="Jā"/>
    <s v="Nē"/>
    <m/>
    <m/>
    <m/>
    <m/>
    <m/>
    <m/>
    <m/>
    <m/>
    <m/>
    <m/>
    <m/>
    <m/>
    <m/>
  </r>
  <r>
    <x v="2"/>
    <n v="197"/>
    <s v="2023-05-11 13:27:50"/>
    <n v="14"/>
    <s v="lv"/>
    <n v="285257263"/>
    <s v="2023-05-11 13:10:10"/>
    <s v="2023-05-11 13:27:50"/>
    <s v="bebrs"/>
    <n v="39"/>
    <s v="vīriešu"/>
    <m/>
    <x v="1"/>
    <x v="0"/>
    <x v="0"/>
    <x v="1"/>
    <x v="0"/>
    <x v="0"/>
    <s v="Latgalē"/>
    <m/>
    <s v="katoli(ieti)"/>
    <m/>
    <s v="Jā"/>
    <s v="Nē"/>
    <s v="Nē"/>
    <s v="Nē"/>
    <s v="Nē"/>
    <s v="Nē"/>
    <s v="Nē"/>
    <s v="Nē"/>
    <s v="Jā"/>
    <s v="Nē"/>
    <s v="Nē"/>
    <s v="Nē"/>
    <s v="Nē"/>
    <s v="Nē"/>
    <s v="N/A"/>
    <s v="N/A"/>
    <s v="N/A"/>
    <s v="N/A"/>
    <s v="N/A"/>
    <s v="N/A"/>
    <s v="Jā"/>
    <s v="Nē"/>
    <s v="Nē"/>
    <s v="Nē"/>
    <s v="Jā"/>
    <s v="Nē"/>
    <s v="Nē"/>
    <s v="Nē"/>
    <s v="ne a, ne b"/>
    <s v="ne a, ne b"/>
    <s v="ne a, ne b"/>
    <s v="tikai a"/>
    <s v="ne a, ne b"/>
    <s v="tikai b"/>
    <s v="Vienlīdzīgi"/>
    <s v="Lielākoties vienlīdzīgi"/>
    <s v="Vienlīdzīgi"/>
    <s v="Vienlīdzīgi"/>
    <s v="Vienlīdzīgi"/>
    <s v="nezinu"/>
    <s v="Jaunā Vienotība"/>
    <s v="Nacionālā Apvienība"/>
    <s v="Nacionālā Apvienība"/>
    <s v="Nacionālā Apvienība"/>
    <s v="Jaunā Vienotība"/>
    <s v="Nacionālā Apvienība"/>
    <s v="Cīņai ar klimata pārmaiņām būtu jābūt vairumam pasaules valstu galvenajai prioritātei."/>
    <s v="jā, visu, ko iespējams šķirot"/>
    <s v="Zaļo un Zemnieku savienība"/>
    <s v="&quot;Progresīvie&quot;"/>
    <s v="&quot;Progresīvie&quot;"/>
    <s v="Nacionālā Apvienība"/>
    <s v="&quot;Apvienotais saraksts&quot;"/>
    <s v="Zaļo un Zemnieku savienība"/>
    <s v="nezinu"/>
    <s v="Jaunā Vienotība"/>
    <s v="Jaunā Vienotība"/>
    <s v="Nacionālā Apvienība"/>
    <s v="Jaunā Vienotība"/>
    <s v="&quot;Progresīvie&quot;"/>
    <s v="Nacionālā Apvienība"/>
    <s v="&quot;Progresīvie&quot;"/>
    <s v="Ļoti"/>
    <s v="Viduvēji"/>
    <s v="Ļoti"/>
    <s v="Ļoti"/>
    <s v="Naida kurināšana"/>
    <s v="Nē"/>
    <s v="Nē"/>
    <s v="Nē"/>
    <s v="Nē"/>
    <s v="Jā"/>
    <s v="Nē"/>
    <s v="1.."/>
    <n v="1"/>
    <n v="78"/>
    <n v="76"/>
    <n v="59"/>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Nē"/>
    <s v="Nē"/>
    <s v="Jā"/>
    <s v="Nē"/>
    <s v="Jā"/>
    <s v="Nē"/>
    <s v="pāris reižu nedēļā"/>
    <s v="(gandrīz) katru dienu"/>
    <s v="(gandrīz) katru dienu"/>
    <s v="reizi nedēļā"/>
    <s v="reizi nedēļā"/>
    <s v="pāris reižu nedēļā"/>
    <s v="pāris reižu nedēļā"/>
    <s v="(gandrīz) katru dienu"/>
    <s v="reizi nedēļā"/>
    <s v="(gandrīz) katru dienu"/>
    <s v="(gandrīz) katru dienu"/>
    <s v="(gandrīz) katru dienu"/>
    <s v="(gandrīz) katru dienu"/>
    <s v="(gandrīz) katru dienu"/>
    <s v="pilsoniskās brīvības (vārda brīvība, tiesības uz tiesisko aizsardzību)"/>
    <s v="brīvas vēlēšanas un plurālisms"/>
    <s v="varas līdzsvars starp parlamentu, prezidentu un tiesām, lai neviena no institūcijām nespētu sevī koncentrēt lielāko daļu varas"/>
    <m/>
    <m/>
    <s v="labi"/>
    <s v="labi"/>
    <s v="citreiz labi, citreiz slikti"/>
    <s v="citreiz labi, citreiz slikti"/>
    <s v="citreiz labi, citreiz slikti"/>
    <s v="arodskolu/ profesionāl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Jā"/>
    <s v="Jā"/>
    <s v="Nē"/>
    <s v="Jā"/>
    <s v="Nē"/>
    <s v="Nē"/>
    <s v="Nē"/>
    <s v="Nē"/>
    <s v="Jā"/>
    <s v="Nē"/>
    <s v="Nē"/>
    <s v="Nē"/>
    <m/>
    <s v="Nē"/>
    <m/>
    <s v="Nē"/>
    <m/>
    <s v="Nē"/>
    <m/>
    <s v="Nē"/>
    <m/>
    <s v="Nē"/>
    <s v="Nē"/>
    <s v="Nē"/>
    <s v="Nē"/>
    <s v="Jā"/>
    <s v="Nē"/>
    <s v="Nē"/>
    <s v="Jā"/>
    <s v="Nē"/>
    <s v="Nē"/>
    <s v="Nē"/>
    <s v="Nē"/>
    <m/>
    <m/>
    <m/>
    <m/>
    <m/>
    <m/>
    <m/>
    <m/>
    <m/>
    <m/>
    <m/>
    <m/>
    <m/>
  </r>
  <r>
    <x v="2"/>
    <n v="199"/>
    <s v="2023-05-11 13:53:57"/>
    <n v="14"/>
    <s v="lv"/>
    <n v="88183043"/>
    <s v="2023-05-11 13:11:44"/>
    <s v="2023-05-11 13:53:57"/>
    <s v="рыба"/>
    <n v="20"/>
    <s v="vīriešu"/>
    <m/>
    <x v="1"/>
    <x v="0"/>
    <x v="0"/>
    <x v="0"/>
    <x v="0"/>
    <x v="0"/>
    <s v="Latgalē"/>
    <m/>
    <s v="vecticībnieku(ci)"/>
    <m/>
    <s v="Nē"/>
    <s v="Jā"/>
    <s v="Nē"/>
    <s v="Nē"/>
    <s v="Nē"/>
    <s v="Nē"/>
    <s v="Nē"/>
    <s v="Jā"/>
    <s v="Nē"/>
    <s v="Nē"/>
    <s v="Nē"/>
    <s v="Nē"/>
    <s v="Nē"/>
    <s v="Nē"/>
    <s v="Nē"/>
    <s v="Jā"/>
    <s v="Nē"/>
    <s v="Jā"/>
    <s v="Nē"/>
    <s v="Nē"/>
    <s v="Nē"/>
    <s v="Nē"/>
    <s v="Jā"/>
    <s v="Jā"/>
    <s v="Nē"/>
    <s v="Nē"/>
    <s v="Jā"/>
    <s v="Nē"/>
    <s v="ne a, ne b"/>
    <s v="a un b"/>
    <s v="tikai a"/>
    <s v="a un b"/>
    <s v="a un b"/>
    <s v="tikai b"/>
    <s v="Lielākoties nevienlīdzīgi"/>
    <s v="Vienlīdzīgi"/>
    <s v="Vienlīdzīgi"/>
    <s v="Vienlīdzīgi"/>
    <s v="Lielākoties vienlīdzīgi"/>
    <s v="nezinu"/>
    <s v="nezinu"/>
    <s v="Jaunā Vienotība"/>
    <s v="Jaunā Vienotība"/>
    <s v="nezinu"/>
    <s v="nezinu"/>
    <s v="nezinu"/>
    <s v="Reizēm ekonomiskā un valsts stabilitāte varētu nozīmēt, ka atsevišķi ekoloģiskās politikas aspekti ir uz brīdi jāiepauzē."/>
    <s v="jā, lielāko daļu no tā, ko iespējams šķirot"/>
    <s v="Zaļo un Zemnieku savienība"/>
    <s v="&quot;Latvija pirmajā vietā&quot;"/>
    <s v="Zaļo un Zemnieku savienība"/>
    <s v="Jaunā Vienotība"/>
    <s v="Jaunā Vienotība"/>
    <s v="Zaļo un Zemnieku savienība"/>
    <s v="nezinu"/>
    <s v="Jaunā Vienotība"/>
    <s v="Politiskā partija &quot;Stabilitātei&quot;"/>
    <s v="Jaunā Vienotība"/>
    <s v="nezinu"/>
    <s v="nezinu"/>
    <s v="&quot;Apvienotais saraksts&quot;"/>
    <s v="nezinu"/>
    <s v="Viduvēji"/>
    <s v="Neinteresē"/>
    <s v="Viduvēji"/>
    <s v="Ne sevišķi"/>
    <s v="Способ политики основанный на доверии граждан к правящему лицу и реализация им данных обещаний"/>
    <s v="Jā"/>
    <s v="Nē"/>
    <s v="Nē"/>
    <s v="Jā"/>
    <s v="Nē"/>
    <s v="Jā"/>
    <s v="1.."/>
    <n v="27"/>
    <n v="54"/>
    <n v="71"/>
    <n v="10"/>
    <s v="Mazliet saspīlētas"/>
    <s v="Nav saspīlētas"/>
    <s v="Nav saspīlētas"/>
    <s v="(Gandrīz) nekad"/>
    <s v="(Gandrīz) nekad"/>
    <s v="(Gandrīz) nekad"/>
    <s v="(Gandrīz) nekad"/>
    <s v="(Gandrīz) nekad"/>
    <s v="(Gandrīz) nekad"/>
    <s v="(Gandrīz) nekad"/>
    <s v="(Gandrīz) nekad"/>
    <s v="(Gandrīz) nekad"/>
    <s v="(Gandrīz) nekad"/>
    <m/>
    <s v="jā, nevalstiskā organizācijā"/>
    <s v="N/A"/>
    <s v="N/A"/>
    <s v="N/A"/>
    <s v="Jā"/>
    <s v="Nē"/>
    <s v="Jā"/>
    <s v="Nē"/>
    <s v="Nē"/>
    <s v="N/A"/>
    <s v="N/A"/>
    <s v="N/A"/>
    <s v="Jā"/>
    <s v="reizi nedēļā"/>
    <s v="(gandrīz) katru dienu"/>
    <s v="(gandrīz) katru dienu"/>
    <s v="pāris reižu mēnesī"/>
    <s v="pāris reižu nedēļā"/>
    <s v="(gandrīz) nekad"/>
    <s v="reizi nedēļā"/>
    <s v="(gandrīz) katru dienu"/>
    <s v="(gandrīz) katru dienu"/>
    <s v="pāris reižu nedēļā"/>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slikti"/>
    <s v="slikti"/>
    <s v="citreiz labi, citreiz slikti"/>
    <s v="knapi/gandrīz necik"/>
    <s v="nezinu"/>
    <s v="universitātes līmeni: bakalauru"/>
    <m/>
    <s v="N/A"/>
    <s v="N/A"/>
    <s v="N/A"/>
    <s v="Jā"/>
    <s v="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Nē"/>
    <s v="Jā"/>
    <s v="Nē"/>
    <s v="Jā"/>
    <s v="Nē"/>
    <s v="Nē"/>
    <s v="Jā"/>
    <s v="Nē"/>
    <s v="Nē"/>
    <s v="Nē"/>
    <s v="Nē"/>
    <m/>
    <m/>
    <m/>
    <m/>
    <m/>
    <m/>
    <m/>
    <m/>
    <m/>
    <m/>
    <m/>
    <m/>
    <m/>
  </r>
  <r>
    <x v="2"/>
    <n v="209"/>
    <s v="2023-05-11 13:36:14"/>
    <n v="14"/>
    <s v="ru"/>
    <n v="1796893213"/>
    <s v="2023-05-11 13:16:54"/>
    <s v="2023-05-11 13:36:14"/>
    <s v="рыба"/>
    <n v="20"/>
    <s v="sieviešu"/>
    <m/>
    <x v="1"/>
    <x v="0"/>
    <x v="0"/>
    <x v="0"/>
    <x v="0"/>
    <x v="0"/>
    <s v="Latgalē"/>
    <m/>
    <s v="vecticībnieku(ci)"/>
    <m/>
    <s v="Jā"/>
    <s v="Nē"/>
    <s v="Nē"/>
    <s v="Nē"/>
    <s v="Nē"/>
    <s v="Nē"/>
    <s v="Nē"/>
    <s v="Nē"/>
    <s v="Jā"/>
    <s v="Nē"/>
    <s v="Jā"/>
    <s v="Nē"/>
    <s v="Nē"/>
    <s v="Nē"/>
    <s v="Jā"/>
    <s v="Nē"/>
    <s v="Nē"/>
    <s v="Jā"/>
    <s v="Nē"/>
    <s v="Nē"/>
    <s v="Nē"/>
    <s v="Nē"/>
    <s v="Nē"/>
    <s v="Nē"/>
    <s v="Jā"/>
    <s v="Nē"/>
    <s v="Nē"/>
    <s v="Nē"/>
    <s v="tikai a"/>
    <s v="tikai a"/>
    <s v="tikai b"/>
    <s v="tikai b"/>
    <s v="tikai a"/>
    <s v="tikai a"/>
    <s v="Lielākoties vienlīdzīgi"/>
    <s v="Lielākoties vienlīdzīgi"/>
    <s v="Vienlīdzīgi"/>
    <s v="Lielākoties vienlīdzīgi"/>
    <s v="Lielākoties vienlīdzīgi"/>
    <s v="Nacionālā Apvienība"/>
    <s v="&quot;Progresīvie&quot;"/>
    <s v="Politiskā partija &quot;Stabilitātei&quot;"/>
    <s v="Nacionālā Apvienība"/>
    <s v="Nacionālā Apvienība"/>
    <s v="nezinu"/>
    <s v="&quot;Apvienotais saraksts&quot;"/>
    <s v="Cīņai ar klimata pārmaiņām būtu jābūt vairumam pasaules valstu galvenajai prioritātei."/>
    <s v="jā, daļu no tā, ko iespējams šķirot"/>
    <s v="Zaļo un Zemnieku savienība"/>
    <s v="Zaļo un Zemnieku savienība"/>
    <s v="Zaļo un Zemnieku savienība"/>
    <s v="Zaļo un Zemnieku savienība"/>
    <s v="Zaļo un Zemnieku savienība"/>
    <s v="Zaļo un Zemnieku savienība"/>
    <s v="&quot;Latvija pirmajā vietā&quot;"/>
    <s v="&quot;Apvienotais saraksts&quot;"/>
    <s v="&quot;Progresīvie&quot;"/>
    <s v="Nacionālā Apvienība"/>
    <s v="Jaunā Vienotība"/>
    <s v="&quot;Apvienotais saraksts&quot;"/>
    <s v="Nacionālā Apvienība"/>
    <s v="&quot;Progresīvie&quot;"/>
    <s v="Ļoti"/>
    <s v="Ne sevišķi"/>
    <s v="Ārkārtīgi"/>
    <s v="Ļoti"/>
    <s v="Populisms- propaganda"/>
    <s v="Nē"/>
    <s v="Nē"/>
    <s v="Nē"/>
    <s v="Jā"/>
    <s v="Nē"/>
    <s v="Nē"/>
    <s v="2.."/>
    <n v="63"/>
    <n v="65"/>
    <n v="100"/>
    <n v="27"/>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Jā"/>
    <s v="Nē"/>
    <s v="Nē"/>
    <s v="Nē"/>
    <s v="(gandrīz) katru dienu"/>
    <s v="(gandrīz) katru dienu"/>
    <s v="(gandrīz) katru dienu"/>
    <s v="pāris reižu mēnesī"/>
    <s v="(gandrīz) nekad"/>
    <s v="(gandrīz) nekad"/>
    <s v="reizi nedēļā"/>
    <s v="(gandrīz) katru dienu"/>
    <s v="(gandrīz) nekad"/>
    <s v="(gandrīz) nekad"/>
    <s v="(gandrīz) katru dienu"/>
    <s v="pāris reižu nedēļā"/>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ļoti labi"/>
    <s v="ļoti labi"/>
    <s v="ļoti labi"/>
    <s v="labi"/>
    <s v="citreiz labi, citreiz slikti"/>
    <s v="vidējo izglītību"/>
    <m/>
    <s v="N/A"/>
    <s v="N/A"/>
    <s v="N/A"/>
    <s v="Jā"/>
    <s v="latviešu"/>
    <m/>
    <s v="latviešu"/>
    <m/>
    <m/>
    <m/>
    <m/>
    <m/>
    <m/>
    <m/>
    <m/>
    <m/>
    <m/>
    <m/>
    <m/>
    <m/>
    <m/>
    <m/>
    <m/>
    <m/>
    <m/>
    <m/>
    <m/>
    <m/>
    <m/>
    <s v="N/A"/>
    <s v="N/A"/>
    <s v="N/A"/>
    <s v="N/A"/>
    <s v="N/A"/>
    <s v="N/A"/>
    <m/>
    <m/>
    <m/>
    <m/>
    <m/>
    <s v="Nē"/>
    <s v="Nē"/>
    <s v="Nē"/>
    <s v="Nē"/>
    <s v="Nē"/>
    <s v="Nē"/>
    <s v="Nē"/>
    <s v="Nē"/>
    <s v="Jā"/>
    <s v="Nē"/>
    <s v="Nē"/>
    <s v="Nē"/>
    <s v="Nē"/>
    <s v="Nē"/>
    <s v="Nē"/>
    <m/>
    <s v="Nē"/>
    <m/>
    <s v="Nē"/>
    <m/>
    <s v="Nē"/>
    <m/>
    <s v="Nē"/>
    <m/>
    <s v="Nē"/>
    <s v="Nē"/>
    <s v="Nē"/>
    <s v="Jā"/>
    <s v="Nē"/>
    <s v="Nē"/>
    <s v="Nē"/>
    <s v="Nē"/>
    <s v="Nē"/>
    <s v="Nē"/>
    <s v="Nē"/>
    <s v="Nē"/>
    <s v="Jā"/>
    <s v="Nē"/>
    <s v="Nē"/>
    <m/>
    <s v="Nē"/>
    <m/>
    <s v="Nē"/>
    <m/>
    <s v="Nē"/>
    <m/>
    <s v="Nē"/>
    <m/>
    <s v="Jā"/>
    <s v="Jā"/>
    <s v="Jā"/>
    <s v="Nē"/>
    <s v="Nē"/>
    <s v="Nē"/>
    <s v="Nē"/>
    <s v="Nē"/>
    <s v="Nē"/>
    <s v="Nē"/>
    <s v="Nē"/>
    <s v="Nē"/>
    <m/>
    <m/>
    <m/>
    <m/>
    <m/>
    <m/>
    <m/>
    <m/>
    <m/>
    <m/>
    <m/>
    <m/>
    <m/>
  </r>
  <r>
    <x v="2"/>
    <n v="210"/>
    <s v="2023-05-11 13:31:38"/>
    <n v="14"/>
    <s v="lv"/>
    <n v="2060172334"/>
    <s v="2023-05-11 13:18:22"/>
    <s v="2023-05-11 13:31:38"/>
    <s v="bebrs"/>
    <n v="21"/>
    <s v="vīriešu"/>
    <m/>
    <x v="1"/>
    <x v="1"/>
    <x v="0"/>
    <x v="0"/>
    <x v="0"/>
    <x v="0"/>
    <s v="Latgalē"/>
    <m/>
    <s v="ateistu(ti), nereliģiozu"/>
    <m/>
    <s v="Jā"/>
    <s v="Jā"/>
    <s v="Nē"/>
    <s v="Nē"/>
    <s v="Jā"/>
    <s v="Nē"/>
    <s v="Nē"/>
    <s v="Jā"/>
    <s v="Jā"/>
    <s v="Jā"/>
    <s v="Nē"/>
    <s v="Jā"/>
    <s v="Nē"/>
    <s v="Nē"/>
    <s v="Nē"/>
    <s v="Nē"/>
    <s v="Jā"/>
    <s v="Nē"/>
    <s v="Jā"/>
    <s v="Nē"/>
    <s v="Nē"/>
    <s v="Jā"/>
    <s v="Jā"/>
    <s v="Nē"/>
    <s v="Nē"/>
    <s v="Nē"/>
    <s v="Nē"/>
    <s v="Nē"/>
    <s v="nezinu"/>
    <s v="nezinu"/>
    <s v="nezinu"/>
    <s v="nezinu"/>
    <s v="nezinu"/>
    <s v="nezinu"/>
    <s v="Vienlīdzīgi"/>
    <s v="Vienlīdzīgi"/>
    <s v="Vienlīdzīgi"/>
    <s v="Vienlīdzīgi"/>
    <s v="Vienlīdzīgi"/>
    <s v="Jaunā Vienotība"/>
    <s v="&quot;Progresīvie&quot;"/>
    <s v="Jaunā Vienotība"/>
    <s v="&quot;Latvija pirmajā vietā&quot;"/>
    <s v="nezinu"/>
    <s v="nezinu"/>
    <s v="nezinu"/>
    <s v="Globālā sasilšana ir šķērsojusi robežu, pēc kuras nav iespējams atgriezties, un cilvēkiem būs jāpielāgojas."/>
    <s v="jā, visu, ko iespējams šķirot"/>
    <s v="nezinu"/>
    <s v="nezinu"/>
    <s v="nezinu"/>
    <s v="nezinu"/>
    <s v="nezinu"/>
    <s v="nezinu"/>
    <s v="nezinu"/>
    <s v="nezinu"/>
    <s v="nezinu"/>
    <s v="nezinu"/>
    <s v="nezinu"/>
    <s v="nezinu"/>
    <s v="nezinu"/>
    <s v="nezinu"/>
    <s v="Ļoti"/>
    <s v="Neinteresē"/>
    <s v="Viduvēji"/>
    <s v="Neinteresē"/>
    <s v="Nezinu"/>
    <s v="Nē"/>
    <s v="Nē"/>
    <s v="Nē"/>
    <s v="Nē"/>
    <s v="Jā"/>
    <s v="Nē"/>
    <s v="1.."/>
    <n v="31"/>
    <n v="100"/>
    <m/>
    <m/>
    <s v="Mazliet saspīlētas"/>
    <s v="Nav saspīlētas"/>
    <s v="Nav saspīlētas"/>
    <s v="Dažreiz"/>
    <s v="(Gandrīz) nekad"/>
    <s v="(Gandrīz) nekad"/>
    <s v="Reti"/>
    <s v="Reti"/>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pāris reižu mēnesī"/>
    <s v="pāris reižu mēnesī"/>
    <s v="(gandrīz) nekad"/>
    <s v="(gandrīz) nekad"/>
    <s v="pāris reižu mēnesī"/>
    <s v="(gandrīz) nekad"/>
    <s v="pilsoniskās brīvības (vārda brīvība, tiesības uz tiesisko aizsardzību)"/>
    <s v="brīvas vēlēšanas un plurālisms"/>
    <s v="vienlīdz pieejama izglītība, veselības aprūpe, sociālais nodrošinājums"/>
    <m/>
    <m/>
    <s v="ļoti labi"/>
    <s v="citreiz labi, citreiz slikti"/>
    <s v="slikti"/>
    <s v="slikti"/>
    <s v="ļoti labi"/>
    <s v="vidējo izglītību"/>
    <m/>
    <s v="N/A"/>
    <s v="N/A"/>
    <s v="N/A"/>
    <s v="Jā"/>
    <s v="latviešu"/>
    <m/>
    <s v="latviešu"/>
    <m/>
    <s v="Spēju pastāstīt par savu hobiju / darbu."/>
    <s v="Spēju uzrakstīt vēstuli draugam."/>
    <s v="Saprotu norādes, kur iet."/>
    <s v="Krieviski/latviski spēju izlasīt ēdienkarti restorānā."/>
    <m/>
    <m/>
    <m/>
    <m/>
    <m/>
    <m/>
    <m/>
    <m/>
    <m/>
    <m/>
    <m/>
    <m/>
    <m/>
    <m/>
    <m/>
    <m/>
    <m/>
    <s v="N/A"/>
    <s v="N/A"/>
    <s v="N/A"/>
    <s v="N/A"/>
    <s v="N/A"/>
    <s v="N/A"/>
    <m/>
    <m/>
    <m/>
    <m/>
    <m/>
    <s v="Nē"/>
    <s v="Nē"/>
    <s v="Nē"/>
    <s v="Jā"/>
    <s v="Nē"/>
    <s v="Nē"/>
    <s v="Nē"/>
    <s v="Nē"/>
    <s v="Nē"/>
    <s v="Nē"/>
    <s v="Nē"/>
    <s v="Nē"/>
    <s v="Nē"/>
    <s v="Nē"/>
    <s v="Nē"/>
    <m/>
    <s v="Nē"/>
    <m/>
    <s v="Nē"/>
    <m/>
    <s v="Nē"/>
    <m/>
    <s v="Nē"/>
    <m/>
    <s v="Nē"/>
    <s v="Nē"/>
    <s v="Nē"/>
    <s v="Jā"/>
    <s v="Nē"/>
    <s v="Nē"/>
    <s v="Nē"/>
    <s v="Nē"/>
    <s v="Nē"/>
    <s v="Nē"/>
    <s v="Nē"/>
    <s v="Nē"/>
    <s v="Nē"/>
    <s v="Nē"/>
    <s v="Nē"/>
    <m/>
    <s v="Nē"/>
    <m/>
    <s v="Nē"/>
    <m/>
    <s v="Nē"/>
    <m/>
    <s v="Nē"/>
    <m/>
    <s v="Jā"/>
    <s v="Nē"/>
    <s v="Nē"/>
    <s v="Nē"/>
    <s v="Jā"/>
    <s v="Nē"/>
    <s v="Nē"/>
    <s v="Jā"/>
    <s v="Nē"/>
    <s v="Nē"/>
    <s v="Jā"/>
    <s v="Nē"/>
    <s v="discord"/>
    <m/>
    <m/>
    <m/>
    <m/>
    <m/>
    <m/>
    <m/>
    <m/>
    <m/>
    <m/>
    <m/>
    <m/>
  </r>
  <r>
    <x v="2"/>
    <n v="211"/>
    <s v="2023-05-11 13:41:11"/>
    <n v="14"/>
    <s v="lv"/>
    <n v="1892709570"/>
    <s v="2023-05-11 13:19:10"/>
    <s v="2023-05-11 13:41:11"/>
    <s v="bebrs"/>
    <n v="20"/>
    <s v="sieviešu"/>
    <m/>
    <x v="0"/>
    <x v="0"/>
    <x v="0"/>
    <x v="0"/>
    <x v="0"/>
    <x v="0"/>
    <s v="Latgalē"/>
    <m/>
    <s v="ateistu(ti), nereliģiozu"/>
    <m/>
    <s v="Jā"/>
    <s v="Jā"/>
    <s v="Nē"/>
    <s v="Nē"/>
    <s v="Nē"/>
    <s v="Jā"/>
    <s v="Nē"/>
    <s v="Jā"/>
    <s v="Jā"/>
    <s v="Jā"/>
    <s v="Nē"/>
    <s v="Jā"/>
    <s v="Nē"/>
    <s v="Nē"/>
    <s v="Jā"/>
    <s v="Nē"/>
    <s v="Nē"/>
    <s v="Jā"/>
    <s v="Jā"/>
    <s v="Jā"/>
    <s v="Nē"/>
    <s v="Jā"/>
    <s v="Jā"/>
    <s v="Jā"/>
    <s v="Jā"/>
    <s v="Jā"/>
    <s v="Jā"/>
    <s v="Nē"/>
    <s v="tikai b"/>
    <s v="tikai a"/>
    <s v="tikai b"/>
    <s v="a un b"/>
    <s v="tikai b"/>
    <s v="tikai b"/>
    <s v="Nevienlīdzīgi"/>
    <s v="Lielākoties vienlīdzīgi"/>
    <s v="Vienlīdzīgi"/>
    <s v="Lielākoties nevienlīdzīgi"/>
    <s v="Nevienlīdzīgi"/>
    <s v="&quot;Apvienotais saraksts&quot;"/>
    <s v="Jaunā Vienotība"/>
    <s v="nezinu"/>
    <s v="Politiskā partija &quot;Stabilitātei&quot;"/>
    <s v="Zaļo un Zemnieku savienība"/>
    <s v="&quot;Progresīvie&quot;"/>
    <s v="&quot;Latvija pirmajā vietā&quot;"/>
    <s v="Cīņai ar klimata pārmaiņām būtu jābūt vairumam pasaules valstu galvenajai prioritātei."/>
    <s v="jā, lielāko daļu no tā, ko iespējams šķirot"/>
    <s v="Nacionālā Apvienība"/>
    <s v="Zaļo un Zemnieku savienība"/>
    <s v="&quot;Progresīvie&quot;"/>
    <s v="Jaunā Vienotība"/>
    <s v="&quot;Latvija pirmajā vietā&quot;"/>
    <s v="&quot;Apvienotais saraksts&quot;"/>
    <s v="Politiskā partija &quot;Stabilitātei&quot;"/>
    <s v="Nacionālā Apvienība"/>
    <s v="Jaunā Vienotība"/>
    <s v="Politiskā partija &quot;Stabilitātei&quot;"/>
    <s v="Zaļo un Zemnieku savienība"/>
    <s v="&quot;Progresīvie&quot;"/>
    <s v="&quot;Latvija pirmajā vietā&quot;"/>
    <s v="nezinu"/>
    <s v="Ārkārtīgi"/>
    <s v="Ārkārtīgi"/>
    <s v="Ārkārtīgi"/>
    <s v="Ārkārtīgi"/>
    <s v="Populisms kā termins, manuprāt, mūsdienās ir izmantots vairāk negatīvā ziņā. Populisma piemēri - Lukašenko, Putins, Bulsanaro utt."/>
    <s v="Nē"/>
    <s v="Jā"/>
    <s v="Nē"/>
    <s v="Jā"/>
    <s v="Jā"/>
    <s v="Nē"/>
    <s v="1.."/>
    <n v="20"/>
    <n v="80"/>
    <n v="80"/>
    <n v="21"/>
    <s v="Drīzāk saspīlētas"/>
    <s v="Nav saspīlētas"/>
    <s v="Nav saspīlētas"/>
    <s v="(Gandrīz) nekad"/>
    <s v="(Gandrīz) nekad"/>
    <s v="(Gandrīz) nekad"/>
    <s v="(Gandrīz) nekad"/>
    <s v="(Gandrīz) nekad"/>
    <s v="(Gandrīz) nekad"/>
    <s v="Dažreiz"/>
    <s v="(Gandrīz) nekad"/>
    <s v="(Gandrīz) nekad"/>
    <s v="Dažreiz"/>
    <m/>
    <s v="jā, nevalstiskā organizācijā"/>
    <s v="Jā"/>
    <s v="Nē"/>
    <s v="Nē"/>
    <s v="Nē"/>
    <s v="Jā"/>
    <s v="Jā"/>
    <s v="Jā"/>
    <s v="Nē"/>
    <s v="Jā"/>
    <s v="Nē"/>
    <s v="Nē"/>
    <s v="Nē"/>
    <s v="(gandrīz) nekad"/>
    <s v="(gandrīz) katru dienu"/>
    <s v="(gandrīz) katru dienu"/>
    <s v="reizi nedēļā"/>
    <s v="pāris reižu mēnesī"/>
    <s v="pāris reižu nedēļā"/>
    <s v="pāris reižu nedēļā"/>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ienlīdzīgas tiesības minoritātēm un ievainojamām sabiedrības grupām"/>
    <m/>
    <m/>
    <s v="citreiz labi, citreiz slikti"/>
    <s v="ļoti labi"/>
    <s v="ļoti labi"/>
    <s v="slikti"/>
    <s v="labi"/>
    <s v="vidējo izglītību"/>
    <m/>
    <s v="Nē"/>
    <s v="Jā"/>
    <s v="Nē"/>
    <s v="Nē"/>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Jā"/>
    <s v="Nē"/>
    <s v="Jā"/>
    <s v="Jā"/>
    <s v="Nē"/>
    <s v="Jā"/>
    <s v="Jā"/>
    <s v="Nē"/>
    <s v="Nē"/>
    <s v="Nē"/>
    <m/>
    <m/>
    <m/>
    <m/>
    <m/>
    <m/>
    <m/>
    <m/>
    <m/>
    <m/>
    <m/>
    <m/>
    <m/>
  </r>
  <r>
    <x v="1"/>
    <n v="214"/>
    <s v="2023-05-16 10:27:59"/>
    <n v="14"/>
    <s v="lv"/>
    <n v="161630161"/>
    <s v="2023-05-16 10:11:55"/>
    <s v="2023-05-16 10:27:59"/>
    <s v="desa"/>
    <n v="16"/>
    <s v="vīriešu"/>
    <m/>
    <x v="1"/>
    <x v="0"/>
    <x v="0"/>
    <x v="0"/>
    <x v="0"/>
    <x v="0"/>
    <s v="Rīgā/ Rīgas rajonā"/>
    <m/>
    <s v="pareizticīgo"/>
    <m/>
    <s v="Nē"/>
    <s v="Nē"/>
    <s v="Nē"/>
    <s v="Jā"/>
    <s v="Nē"/>
    <s v="Nē"/>
    <s v="Nē"/>
    <s v="Nē"/>
    <s v="Nē"/>
    <s v="Jā"/>
    <s v="Nē"/>
    <s v="Jā"/>
    <s v="Nē"/>
    <s v="Nē"/>
    <s v="Nē"/>
    <s v="Nē"/>
    <s v="Jā"/>
    <s v="Nē"/>
    <s v="Nē"/>
    <s v="Nē"/>
    <s v="Nē"/>
    <s v="Nē"/>
    <s v="Jā"/>
    <s v="Jā"/>
    <s v="Nē"/>
    <s v="Nē"/>
    <s v="Nē"/>
    <s v="Nē"/>
    <s v="a un b"/>
    <s v="tikai a"/>
    <s v="tikai b"/>
    <s v="a un b"/>
    <s v="tikai b"/>
    <s v="tikai a"/>
    <s v="Lielākoties vienlīdzīgi"/>
    <s v="Lielākoties nevienlīdzīgi"/>
    <s v="Vienlīdzīgi"/>
    <s v="Vienlīdzīgi"/>
    <s v="Vienlīdzīgi"/>
    <s v="Nacionālā Apvienība"/>
    <s v="nezinu"/>
    <s v="Zaļo un Zemnieku savienība"/>
    <s v="nezinu"/>
    <s v="Nacionālā Apvienība"/>
    <s v="nezinu"/>
    <s v="nezinu"/>
    <s v="Globālā sasilšana ir šķērsojusi robežu, pēc kuras nav iespējams atgriezties, un cilvēkiem būs jāpielāgojas."/>
    <s v="jā, lielāko daļu no tā, ko iespējams šķirot"/>
    <s v="&quot;Latvija pirmajā vietā&quot;"/>
    <s v="&quot;Progresīvie&quot;"/>
    <s v="Zaļo un Zemnieku savienība"/>
    <s v="Zaļo un Zemnieku savienība"/>
    <s v="nezinu"/>
    <s v="Zaļo un Zemnieku savienība"/>
    <s v="Politiskā partija &quot;Stabilitātei&quot;"/>
    <s v="Nacionālā Apvienība"/>
    <s v="Nacionālā Apvienība"/>
    <s v="nezinu"/>
    <s v="Politiskā partija &quot;Stabilitātei&quot;"/>
    <s v="Politiskā partija &quot;Stabilitātei&quot;"/>
    <s v="Politiskā partija &quot;Stabilitātei&quot;"/>
    <s v="nezinu"/>
    <s v="Ārkārtīgi"/>
    <s v="Neinteresē"/>
    <s v="Viduvēji"/>
    <s v="Neinteresē"/>
    <s v="nezinu"/>
    <s v="Nē"/>
    <s v="Nē"/>
    <s v="Nē"/>
    <s v="Jā"/>
    <s v="Jā"/>
    <s v="Nē"/>
    <s v="2.."/>
    <n v="10"/>
    <n v="100"/>
    <n v="100"/>
    <n v="100"/>
    <s v="Nav saspīlētas"/>
    <s v="Nav saspīlētas"/>
    <s v="Nav saspīlētas"/>
    <s v="Dažreiz"/>
    <s v="Dažreiz"/>
    <s v="(Gandrīz) nekad"/>
    <s v="(Gandrīz) nekad"/>
    <s v="Dažreiz"/>
    <s v="Dažreiz"/>
    <s v="(Gandrīz) nekad"/>
    <s v="(Gandrīz) nekad"/>
    <s v="Bieži"/>
    <s v="(Gandrīz) nekad"/>
    <s v="es māku runād 3 valodas tapēc runāju ar katru valodu brīvi lietoju ka kuram ērti un ka kuram vajag"/>
    <s v="nē"/>
    <s v="N/A"/>
    <s v="N/A"/>
    <s v="N/A"/>
    <s v="N/A"/>
    <s v="N/A"/>
    <s v="N/A"/>
    <s v="N/A"/>
    <s v="Jā"/>
    <s v="N/A"/>
    <s v="N/A"/>
    <s v="N/A"/>
    <s v="Jā"/>
    <s v="(gandrīz) nekad"/>
    <s v="(gandrīz) katru dienu"/>
    <s v="pāris reižu mēnesī"/>
    <s v="pāris reižu nedēļā"/>
    <s v="(gandrīz) katru dienu"/>
    <s v="(gandrīz) katru dienu"/>
    <s v="(gandrīz) katru dienu"/>
    <s v="(gandrīz) katru dienu"/>
    <s v="(gandrīz) katru dienu"/>
    <s v="(gandrīz) katru dienu"/>
    <s v="(gandrīz) katru dienu"/>
    <s v="(gandrīz) katru dienu"/>
    <s v="(gandrīz) katru dienu"/>
    <s v="(gandrīz) katru dienu"/>
    <s v="brīvas vēlēšanas un plurālisms"/>
    <s v="varas līdzsvars starp parlamentu, prezidentu un tiesām, lai neviena no institūcijām nespētu sevī koncentrēt lielāko daļu varas"/>
    <s v="vienlīdzīgas tiesības minoritātēm un ievainojamām sabiedrības grupām"/>
    <m/>
    <m/>
    <s v="slikti"/>
    <s v="ļoti labi"/>
    <s v="citreiz labi, citreiz slikti"/>
    <s v="citreiz labi, citreiz slikti"/>
    <s v="citreiz labi, citreiz slikti"/>
    <s v="pamatizglītību"/>
    <m/>
    <s v="Nē"/>
    <s v="Jā"/>
    <s v="Nē"/>
    <s v="Nē"/>
    <s v="latviešu"/>
    <m/>
    <s v="latviešu"/>
    <m/>
    <m/>
    <m/>
    <m/>
    <m/>
    <m/>
    <m/>
    <m/>
    <m/>
    <m/>
    <m/>
    <m/>
    <m/>
    <m/>
    <m/>
    <m/>
    <m/>
    <m/>
    <m/>
    <m/>
    <m/>
    <m/>
    <s v="N/A"/>
    <s v="N/A"/>
    <s v="N/A"/>
    <s v="N/A"/>
    <s v="N/A"/>
    <s v="N/A"/>
    <m/>
    <m/>
    <m/>
    <m/>
    <m/>
    <s v="Nē"/>
    <s v="Nē"/>
    <s v="Nē"/>
    <s v="Nē"/>
    <s v="Nē"/>
    <s v="Nē"/>
    <s v="Nē"/>
    <s v="Nē"/>
    <s v="Nē"/>
    <s v="Nē"/>
    <s v="Nē"/>
    <s v="Nē"/>
    <s v="Nē"/>
    <s v="Nē"/>
    <s v="Jā"/>
    <m/>
    <s v="Jā"/>
    <s v="youtube"/>
    <s v="Jā"/>
    <s v="youtube"/>
    <s v="Jā"/>
    <s v="youtube"/>
    <s v="Nē"/>
    <m/>
    <s v="Nē"/>
    <s v="Nē"/>
    <s v="Nē"/>
    <s v="Nē"/>
    <s v="Nē"/>
    <s v="Nē"/>
    <s v="Nē"/>
    <s v="Nē"/>
    <s v="Nē"/>
    <s v="Nē"/>
    <s v="Nē"/>
    <s v="Nē"/>
    <s v="Nē"/>
    <s v="Nē"/>
    <s v="Jā"/>
    <m/>
    <s v="Nē"/>
    <m/>
    <s v="Nē"/>
    <m/>
    <s v="Nē"/>
    <m/>
    <s v="Nē"/>
    <m/>
    <s v="Nē"/>
    <s v="Jā"/>
    <s v="Jā"/>
    <s v="Nē"/>
    <s v="Jā"/>
    <s v="Jā"/>
    <s v="Nē"/>
    <s v="Jā"/>
    <s v="Nē"/>
    <s v="Nē"/>
    <s v="Nē"/>
    <s v="Nē"/>
    <m/>
    <m/>
    <m/>
    <m/>
    <m/>
    <m/>
    <m/>
    <m/>
    <m/>
    <m/>
    <m/>
    <m/>
    <m/>
  </r>
  <r>
    <x v="1"/>
    <n v="215"/>
    <s v="2023-05-16 10:37:25"/>
    <n v="14"/>
    <s v="ru"/>
    <n v="26347713"/>
    <s v="2023-05-16 10:12:36"/>
    <s v="2023-05-16 10:37:25"/>
    <s v="хлеб"/>
    <n v="16"/>
    <s v="vīriešu"/>
    <m/>
    <x v="1"/>
    <x v="0"/>
    <x v="0"/>
    <x v="0"/>
    <x v="0"/>
    <x v="0"/>
    <s v="Cita atbilde"/>
    <s v="Лиепая"/>
    <s v="pareizticīgo"/>
    <m/>
    <s v="Nē"/>
    <s v="Nē"/>
    <s v="Nē"/>
    <s v="Nē"/>
    <s v="Jā"/>
    <s v="Nē"/>
    <s v="Nē"/>
    <s v="Jā"/>
    <s v="Nē"/>
    <s v="Jā"/>
    <s v="Nē"/>
    <s v="Jā"/>
    <s v="Nē"/>
    <s v="Nē"/>
    <s v="Nē"/>
    <s v="Nē"/>
    <s v="Jā"/>
    <s v="Nē"/>
    <s v="Jā"/>
    <s v="Jā"/>
    <s v="Nē"/>
    <s v="Jā"/>
    <s v="Jā"/>
    <s v="Jā"/>
    <s v="Jā"/>
    <s v="Jā"/>
    <s v="Jā"/>
    <s v="Nē"/>
    <s v="nezinu"/>
    <s v="tikai a"/>
    <s v="ne a, ne b"/>
    <s v="nezinu"/>
    <s v="tikai a"/>
    <s v="tikai b"/>
    <s v="Lielākoties nevienlīdzīgi"/>
    <s v="Nevienlīdzīgi"/>
    <s v="Lielākoties nevienlīdzīgi"/>
    <s v="Lielākoties nevienlīdzīgi"/>
    <s v="Nevienlīdzīgi"/>
    <s v="Jaunā Vienotība"/>
    <s v="&quot;Latvija pirmajā vietā&quot;"/>
    <s v="Nacionālā Apvienība"/>
    <s v="&quot;Apvienotais saraksts&quot;"/>
    <s v="Zaļo un Zemnieku savienība"/>
    <s v="&quot;Progresīvie&quot;"/>
    <s v="Politiskā partija &quot;Stabilitātei&quot;"/>
    <s v="Klimata pārmaiņas – tas ir ciklisks un dabisks process."/>
    <s v="nē"/>
    <s v="Zaļo un Zemnieku savienība"/>
    <s v="&quot;Progresīvie&quot;"/>
    <s v="Nacionālā Apvienība"/>
    <s v="nezinu"/>
    <s v="Politiskā partija &quot;Stabilitātei&quot;"/>
    <s v="Jaunā Vienotība"/>
    <s v="&quot;Latvija pirmajā vietā&quot;"/>
    <s v="Jaunā Vienotība"/>
    <s v="Nacionālā Apvienība"/>
    <s v="&quot;Latvija pirmajā vietā&quot;"/>
    <s v="Politiskā partija &quot;Stabilitātei&quot;"/>
    <s v="&quot;Apvienotais saraksts&quot;"/>
    <s v="Zaļo un Zemnieku savienība"/>
    <s v="&quot;Progresīvie&quot;"/>
    <s v="Neinteresē"/>
    <s v="Neinteresē"/>
    <s v="Neinteresē"/>
    <s v="Neinteresē"/>
    <s v="политика"/>
    <s v="Nē"/>
    <s v="Nē"/>
    <s v="Nē"/>
    <s v="Jā"/>
    <s v="Jā"/>
    <s v="Jā"/>
    <s v="1.."/>
    <n v="27"/>
    <n v="100"/>
    <n v="100"/>
    <n v="100"/>
    <s v="Nav saspīlētas"/>
    <s v="Nav saspīlētas"/>
    <s v="Nav saspīlētas"/>
    <s v="(Gandrīz) nekad"/>
    <s v="(Gandrīz) nekad"/>
    <s v="(Gandrīz) nekad"/>
    <s v="(Gandrīz) nekad"/>
    <s v="(Gandrīz) nekad"/>
    <s v="Bieži"/>
    <s v="Bieži"/>
    <s v="Dažreiz"/>
    <s v="Bieži"/>
    <s v="Bieži"/>
    <s v="Я незнаю"/>
    <s v="nē"/>
    <s v="N/A"/>
    <s v="N/A"/>
    <s v="N/A"/>
    <s v="N/A"/>
    <s v="N/A"/>
    <s v="N/A"/>
    <s v="N/A"/>
    <s v="Jā"/>
    <s v="N/A"/>
    <s v="N/A"/>
    <s v="N/A"/>
    <s v="Jā"/>
    <s v="(gandrīz) nekad"/>
    <s v="(gandrīz) katru dienu"/>
    <s v="(gandrīz) katru dienu"/>
    <s v="(gandrīz) nekad"/>
    <s v="(gandrīz) katru dienu"/>
    <s v="(gandrīz) katru dienu"/>
    <s v="(gandrīz) katru dienu"/>
    <s v="(gandrīz) katru dienu"/>
    <s v="pāris reižu mēnesī"/>
    <s v="(gandrīz) nekad"/>
    <s v="(gandrīz) katru dienu"/>
    <s v="(gandrīz) nekad"/>
    <s v="(gandrīz) nekad"/>
    <s v="(gandrīz) nekad"/>
    <s v="brīvas vēlēšanas un plurālisms"/>
    <s v="varas līdzsvars starp parlamentu, prezidentu un tiesām, lai neviena no institūcijām nespētu sevī koncentrēt lielāko daļu varas"/>
    <s v="pilsoniskās brīvības (vārda brīvība, tiesības uz tiesisko aizsardzību)"/>
    <m/>
    <m/>
    <s v="knapi/gandrīz necik"/>
    <s v="slikti"/>
    <s v="citreiz labi, citreiz slikti"/>
    <s v="knapi/gandrīz necik"/>
    <s v="nezinu"/>
    <s v="pamatizglītību"/>
    <m/>
    <s v="Jā"/>
    <s v="Jā"/>
    <s v="Nē"/>
    <s v="Nē"/>
    <s v="Cita atbilde"/>
    <s v="латышский и русский"/>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Jā"/>
    <s v="Nē"/>
    <s v="Nē"/>
    <s v="Nē"/>
    <s v="Nē"/>
    <s v="discord"/>
    <m/>
    <m/>
    <m/>
    <m/>
    <m/>
    <m/>
    <m/>
    <m/>
    <m/>
    <m/>
    <m/>
    <m/>
  </r>
  <r>
    <x v="1"/>
    <n v="216"/>
    <s v="2023-05-16 10:30:12"/>
    <n v="14"/>
    <s v="lv"/>
    <n v="2058388166"/>
    <s v="2023-05-16 10:12:38"/>
    <s v="2023-05-16 10:30:12"/>
    <s v="desa"/>
    <n v="16"/>
    <s v="vīriešu"/>
    <m/>
    <x v="0"/>
    <x v="0"/>
    <x v="0"/>
    <x v="0"/>
    <x v="0"/>
    <x v="0"/>
    <s v="Kurzemē"/>
    <m/>
    <s v="pareizticīgo"/>
    <m/>
    <s v="Jā"/>
    <s v="Nē"/>
    <s v="Jā"/>
    <s v="Nē"/>
    <s v="Nē"/>
    <s v="Nē"/>
    <s v="Nē"/>
    <s v="Nē"/>
    <s v="Nē"/>
    <s v="Nē"/>
    <s v="Jā"/>
    <s v="Nē"/>
    <s v="Nē"/>
    <s v="Nē"/>
    <s v="Nē"/>
    <s v="Jā"/>
    <s v="Nē"/>
    <s v="Nē"/>
    <s v="Nē"/>
    <s v="Nē"/>
    <s v="Nē"/>
    <s v="Nē"/>
    <s v="Nē"/>
    <s v="Jā"/>
    <s v="Jā"/>
    <s v="Nē"/>
    <s v="Nē"/>
    <s v="Nē"/>
    <s v="nezinu"/>
    <s v="tikai a"/>
    <s v="tikai b"/>
    <s v="a un b"/>
    <s v="a un b"/>
    <s v="tikai a"/>
    <s v="Nevienlīdzīgi"/>
    <s v="Nevienlīdzīgi"/>
    <s v="Nevienlīdzīgi"/>
    <s v="Nevienlīdzīgi"/>
    <s v="Ne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Neinteresē"/>
    <s v="Neinteresē"/>
    <s v="Ārkārtīgi"/>
    <s v="Neinteresē"/>
    <s v="sociālā nodaļa"/>
    <s v="Nē"/>
    <s v="Nē"/>
    <s v="Nē"/>
    <s v="Jā"/>
    <s v="Jā"/>
    <s v="Nē"/>
    <s v="1.."/>
    <n v="1"/>
    <n v="100"/>
    <n v="100"/>
    <n v="1"/>
    <s v="Nav saspīlētas"/>
    <s v="Nav saspīlētas"/>
    <s v="Nav saspīlētas"/>
    <s v="(Gandrīz) nekad"/>
    <s v="(Gandrīz) nekad"/>
    <s v="(Gandrīz) nekad"/>
    <s v="Reti"/>
    <s v="(Gandrīz) nekad"/>
    <s v="(Gandrīz) nekad"/>
    <s v="Reti"/>
    <s v="(Gandrīz) nekad"/>
    <s v="(Gandrīz) nekad"/>
    <s v="(Gandrīz) nekad"/>
    <s v="es izmantoju to valodu, kura man ir ērta un uz apkārtējiem man ir apsolūti vienalga"/>
    <s v="nē"/>
    <s v="N/A"/>
    <s v="N/A"/>
    <s v="N/A"/>
    <s v="N/A"/>
    <s v="Jā"/>
    <s v="Nē"/>
    <s v="Jā"/>
    <s v="Nē"/>
    <s v="N/A"/>
    <s v="N/A"/>
    <s v="N/A"/>
    <s v="Jā"/>
    <s v="(gandrīz) katru dienu"/>
    <s v="(gandrīz) katru dienu"/>
    <s v="(gandrīz) katru dienu"/>
    <s v="(gandrīz) katru dienu"/>
    <s v="(gandrīz) katru dienu"/>
    <s v="(gandrīz) katru dienu"/>
    <s v="(gandrīz) katru dienu"/>
    <s v="(gandrīz) katru dienu"/>
    <s v="pāris reižu nedēļā"/>
    <s v="(gandrīz) nekad"/>
    <s v="(gandrīz) katru dienu"/>
    <s v="pāris reižu nedēļā"/>
    <s v="(gandrīz) katru dienu"/>
    <s v="pāris reižu mēnesī"/>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labi"/>
    <s v="citreiz labi, citreiz slikti"/>
    <s v="slikt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TV7"/>
    <s v="Jā"/>
    <s v="TV7"/>
    <s v="Nē"/>
    <m/>
    <s v="Nē"/>
    <m/>
    <s v="Nē"/>
    <m/>
    <s v="Nē"/>
    <s v="Nē"/>
    <s v="Nē"/>
    <s v="Nē"/>
    <s v="Nē"/>
    <s v="Nē"/>
    <s v="Nē"/>
    <s v="Nē"/>
    <s v="Nē"/>
    <s v="Nē"/>
    <s v="Nē"/>
    <s v="Nē"/>
    <s v="Nē"/>
    <s v="Nē"/>
    <s v="Jā"/>
    <m/>
    <s v="Nē"/>
    <m/>
    <s v="Nē"/>
    <m/>
    <s v="Nē"/>
    <m/>
    <s v="Nē"/>
    <m/>
    <s v="Jā"/>
    <s v="Jā"/>
    <s v="Nē"/>
    <s v="Nē"/>
    <s v="Nē"/>
    <s v="Jā"/>
    <s v="Nē"/>
    <s v="Jā"/>
    <s v="Nē"/>
    <s v="Nē"/>
    <s v="Nē"/>
    <s v="Nē"/>
    <m/>
    <m/>
    <m/>
    <m/>
    <m/>
    <m/>
    <m/>
    <m/>
    <m/>
    <m/>
    <m/>
    <m/>
    <m/>
  </r>
  <r>
    <x v="1"/>
    <n v="217"/>
    <s v="2023-05-16 10:49:37"/>
    <n v="14"/>
    <s v="lv"/>
    <n v="523813041"/>
    <s v="2023-05-16 10:12:40"/>
    <s v="2023-05-16 10:49:37"/>
    <s v="desa"/>
    <n v="17"/>
    <s v="vīriešu"/>
    <m/>
    <x v="1"/>
    <x v="0"/>
    <x v="0"/>
    <x v="0"/>
    <x v="0"/>
    <x v="0"/>
    <s v="Kurzemē"/>
    <m/>
    <s v="katoli(ieti)"/>
    <m/>
    <s v="Jā"/>
    <s v="Jā"/>
    <s v="Nē"/>
    <s v="Nē"/>
    <s v="Nē"/>
    <s v="Nē"/>
    <s v="Nē"/>
    <s v="Jā"/>
    <s v="Jā"/>
    <s v="Nē"/>
    <s v="Jā"/>
    <s v="Nē"/>
    <s v="Nē"/>
    <s v="Nē"/>
    <s v="Nē"/>
    <s v="Jā"/>
    <s v="Jā"/>
    <s v="Nē"/>
    <s v="Nē"/>
    <s v="Jā"/>
    <s v="Nē"/>
    <s v="Nē"/>
    <s v="Nē"/>
    <s v="Jā"/>
    <s v="Nē"/>
    <s v="Jā"/>
    <s v="Jā"/>
    <s v="Nē"/>
    <s v="tikai a"/>
    <s v="nezinu"/>
    <s v="ne a, ne b"/>
    <s v="ne a, ne b"/>
    <s v="tikai a"/>
    <s v="a un b"/>
    <s v="Vienlīdzīgi"/>
    <s v="Lielākoties nevienlīdzīgi"/>
    <s v="Vienlīdzīgi"/>
    <s v="Nevienlīdzīgi"/>
    <s v="Lielākoties nevienlīdzīgi"/>
    <s v="&quot;Latvija pirmajā vietā&quot;"/>
    <s v="nezinu"/>
    <s v="Jaunā Vienotība"/>
    <s v="Jaunā Vienotība"/>
    <s v="Nacionālā Apvienība"/>
    <s v="Jaunā Vienotība"/>
    <s v="Jaunā Vienotība"/>
    <s v="Globālā sasilšana ir šķērsojusi robežu, pēc kuras nav iespējams atgriezties, un cilvēkiem būs jāpielāgojas."/>
    <s v="jā, daļu no tā, ko iespējams šķirot"/>
    <s v="Jaunā Vienotība"/>
    <s v="Jaunā Vienotība"/>
    <s v="Politiskā partija &quot;Stabilitātei&quot;"/>
    <s v="Jaunā Vienotība"/>
    <s v="Jaunā Vienotība"/>
    <s v="&quot;Latvija pirmajā vietā&quot;"/>
    <s v="nezinu"/>
    <s v="Jaunā Vienotība"/>
    <s v="&quot;Latvija pirmajā vietā&quot;"/>
    <s v="Jaunā Vienotība"/>
    <s v="Jaunā Vienotība"/>
    <s v="Jaunā Vienotība"/>
    <s v="nezinu"/>
    <s v="nezinu"/>
    <s v="Neinteresē"/>
    <s v="Neinteresē"/>
    <s v="Viduvēji"/>
    <s v="Ne sevišķi"/>
    <s v="Sadzirdot vārdu ''populisms'', pirmais, par ko man šis vārds liek domāt, ir - apsūdzību, negatīvas domas par indivīdu vai partiju, kad viņi(-as) pieņem lēmumus, kuri leik muldināt tautu un tml."/>
    <s v="Nē"/>
    <s v="Nē"/>
    <s v="Nē"/>
    <s v="Jā"/>
    <s v="Jā"/>
    <s v="Nē"/>
    <s v="1.."/>
    <n v="1"/>
    <n v="100"/>
    <n v="50"/>
    <n v="10"/>
    <s v="Mazliet saspīlētas"/>
    <s v="Mazliet saspīlētas"/>
    <s v="Nav saspīlētas"/>
    <s v="(Gandrīz) nekad"/>
    <s v="(Gandrīz) nekad"/>
    <s v="(Gandrīz) nekad"/>
    <s v="(Gandrīz) nekad"/>
    <s v="(Gandrīz) nekad"/>
    <s v="(Gandrīz) nekad"/>
    <s v="(Gandrīz) nekad"/>
    <s v="(Gandrīz) nekad"/>
    <s v="(Gandrīz) nekad"/>
    <s v="(Gandrīz) nekad"/>
    <m/>
    <s v="nē"/>
    <s v="N/A"/>
    <s v="N/A"/>
    <s v="N/A"/>
    <s v="N/A"/>
    <s v="N/A"/>
    <s v="N/A"/>
    <s v="N/A"/>
    <s v="Jā"/>
    <s v="Nē"/>
    <s v="Jā"/>
    <s v="Jā"/>
    <s v="Nē"/>
    <s v="(gandrīz) katru dienu"/>
    <s v="(gandrīz) katru dienu"/>
    <s v="(gandrīz) nekad"/>
    <s v="(gandrīz) katru dienu"/>
    <s v="(gandrīz) katru dienu"/>
    <s v="(gandrīz) katru dienu"/>
    <s v="(gandrīz) katru dienu"/>
    <s v="(gandrīz) katru dienu"/>
    <s v="pāris reižu nedēļā"/>
    <s v="(gandrīz) nekad"/>
    <s v="pāris reižu mēnesī"/>
    <s v="pāris reižu mēnesī"/>
    <s v="pāris reižu mēnesī"/>
    <s v="pāris reižu mēnesī"/>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labi"/>
    <s v="labi"/>
    <s v="citreiz labi, citreiz slikti"/>
    <s v="citreiz labi, citreiz slikti"/>
    <s v="slikti"/>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Jā"/>
    <s v="Nē"/>
    <s v="Nē"/>
    <s v="Nē"/>
    <s v="Nē"/>
    <s v="Nē"/>
    <s v="Nē"/>
    <s v="Nē"/>
    <s v="Jā"/>
    <s v="Nē"/>
    <s v="Nē"/>
    <s v="Nē"/>
    <m/>
    <s v="Jā"/>
    <s v="liepajniekuem.lv"/>
    <s v="Nē"/>
    <m/>
    <s v="Nē"/>
    <m/>
    <s v="Nē"/>
    <m/>
    <s v="Jā"/>
    <s v="Jā"/>
    <s v="Nē"/>
    <s v="Nē"/>
    <s v="Jā"/>
    <s v="Nē"/>
    <s v="Nē"/>
    <s v="Jā"/>
    <s v="Nē"/>
    <s v="Nē"/>
    <s v="Nē"/>
    <s v="Nē"/>
    <m/>
    <s v="Paldies Jums par aptauju, tiešām lika piedomāt pie katra jautājuma un tās nozīmes."/>
    <m/>
    <m/>
    <m/>
    <m/>
    <m/>
    <m/>
    <m/>
    <m/>
    <m/>
    <m/>
    <m/>
  </r>
  <r>
    <x v="1"/>
    <n v="218"/>
    <s v="2023-05-16 10:27:13"/>
    <n v="14"/>
    <s v="lv"/>
    <n v="1779699892"/>
    <s v="2023-05-16 10:12:43"/>
    <s v="2023-05-16 10:27:13"/>
    <s v="desa"/>
    <n v="16"/>
    <s v="vīriešu"/>
    <m/>
    <x v="1"/>
    <x v="1"/>
    <x v="0"/>
    <x v="0"/>
    <x v="0"/>
    <x v="0"/>
    <s v="Kurzemē"/>
    <m/>
    <s v="ateistu(ti), nereliģiozu"/>
    <m/>
    <s v="Nē"/>
    <s v="Jā"/>
    <s v="Jā"/>
    <s v="Jā"/>
    <s v="Nē"/>
    <s v="Nē"/>
    <s v="Nē"/>
    <s v="Jā"/>
    <s v="Nē"/>
    <s v="Nē"/>
    <s v="Nē"/>
    <s v="Nē"/>
    <s v="Nē"/>
    <s v="Nē"/>
    <s v="Nē"/>
    <s v="Nē"/>
    <s v="Jā"/>
    <s v="Nē"/>
    <s v="Nē"/>
    <s v="Jā"/>
    <s v="Nē"/>
    <s v="Nē"/>
    <s v="Jā"/>
    <s v="Nē"/>
    <s v="Nē"/>
    <s v="Nē"/>
    <s v="Jā"/>
    <s v="Nē"/>
    <s v="tikai a"/>
    <s v="ne a, ne b"/>
    <s v="a un b"/>
    <s v="tikai a"/>
    <s v="tikai a"/>
    <s v="tikai a"/>
    <s v="Lielākoties vienlīdzīgi"/>
    <s v="Lielākoties vienlīdzīgi"/>
    <s v="Lielākoties vienlīdzīgi"/>
    <s v="Lielākoties vienlīdzīgi"/>
    <s v="Lielākoties ne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nezinu"/>
    <s v="nezinu"/>
    <s v="nezinu"/>
    <s v="Ne sevišķi"/>
    <s v="Neinteresē"/>
    <s v="Viduvēji"/>
    <s v="Ne sevišķi"/>
    <s v="nezinu"/>
    <s v="Nē"/>
    <s v="Nē"/>
    <s v="Nē"/>
    <s v="Nē"/>
    <s v="Jā"/>
    <s v="Nē"/>
    <s v="1.."/>
    <n v="40"/>
    <n v="100"/>
    <m/>
    <m/>
    <s v="Mazliet saspīlētas"/>
    <s v="Nav saspīlētas"/>
    <s v="Mazliet saspīlētas"/>
    <s v="(Gandrīz) nekad"/>
    <s v="(Gandrīz) nekad"/>
    <s v="(Gandrīz) nekad"/>
    <s v="(Gandrīz) nekad"/>
    <s v="Reti"/>
    <m/>
    <m/>
    <m/>
    <m/>
    <m/>
    <s v="dzērājam darīt nebija ko"/>
    <s v="nē"/>
    <s v="N/A"/>
    <s v="N/A"/>
    <s v="N/A"/>
    <s v="N/A"/>
    <s v="Nē"/>
    <s v="Jā"/>
    <s v="Nē"/>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pāris reižu mēnesī"/>
    <s v="brīvas vēlēšanas un plurālisms"/>
    <s v="pilsoniskās brīvības (vārda brīvība, tiesības uz tiesisko aizsardzību)"/>
    <s v="vienlīdz pieejama izglītība, veselības aprūpe, sociālais nodrošinājums"/>
    <m/>
    <m/>
    <s v="labi"/>
    <s v="labi"/>
    <s v="citreiz labi, citreiz slikti"/>
    <s v="slikti"/>
    <s v="slikti"/>
    <s v="pamatizglītību"/>
    <m/>
    <s v="N/A"/>
    <s v="N/A"/>
    <s v="N/A"/>
    <s v="Jā"/>
    <s v="latviešu"/>
    <m/>
    <s v="latviešu"/>
    <m/>
    <s v="{if(is_empty(tongueLAT_SQ001.NAOK), 'latviski','krieviski')} nerunāju it nemaz."/>
    <s v="{if(is_empty(tongueLAT_SQ001.NAOK), 'latviski','krieviski')} nemāku rakstīt."/>
    <s v="Saprotu norādes, kur iet."/>
    <s v="Krieviski/latviski spēju izlasīt ēdienkarti restorānā."/>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Nē"/>
    <s v="Nē"/>
    <s v="Jā"/>
    <s v="Jā"/>
    <s v="Nē"/>
    <s v="Nē"/>
    <s v="Nē"/>
    <m/>
    <m/>
    <m/>
    <m/>
    <m/>
    <m/>
    <m/>
    <m/>
    <m/>
    <m/>
    <m/>
    <m/>
    <m/>
  </r>
  <r>
    <x v="1"/>
    <n v="220"/>
    <s v="2023-05-16 10:26:35"/>
    <n v="14"/>
    <s v="lv"/>
    <n v="576000968"/>
    <s v="2023-05-16 10:13:01"/>
    <s v="2023-05-16 10:26:35"/>
    <s v="desa"/>
    <n v="17"/>
    <s v="vīriešu"/>
    <m/>
    <x v="1"/>
    <x v="1"/>
    <x v="0"/>
    <x v="0"/>
    <x v="0"/>
    <x v="0"/>
    <s v="Rīgā/ Rīgas rajonā"/>
    <m/>
    <s v="ateistu(ti), nereliģiozu"/>
    <m/>
    <s v="Jā"/>
    <s v="Nē"/>
    <s v="Nē"/>
    <s v="Nē"/>
    <s v="Jā"/>
    <s v="Jā"/>
    <s v="Nē"/>
    <s v="Nē"/>
    <s v="Jā"/>
    <s v="Jā"/>
    <s v="Nē"/>
    <s v="Nē"/>
    <s v="Jā"/>
    <s v="Nē"/>
    <s v="Jā"/>
    <s v="Jā"/>
    <s v="Nē"/>
    <s v="Nē"/>
    <s v="Jā"/>
    <s v="Nē"/>
    <s v="Nē"/>
    <s v="Jā"/>
    <s v="Jā"/>
    <s v="Nē"/>
    <s v="Nē"/>
    <s v="Jā"/>
    <s v="Nē"/>
    <s v="Nē"/>
    <s v="nezinu"/>
    <s v="tikai b"/>
    <s v="tikai a"/>
    <s v="tikai a"/>
    <s v="tikai a"/>
    <s v="tikai a"/>
    <s v="Lielākoties nevienlīdzīgi"/>
    <s v="Nevienlīdzīgi"/>
    <s v="Lielākoties vienlīdzīgi"/>
    <s v="Lielākoties nevienlīdzīgi"/>
    <s v="Nevienlīdzīgi"/>
    <s v="Zaļo un Zemnieku savienība"/>
    <s v="&quot;Apvienotais saraksts&quot;"/>
    <s v="Nacionālā Apvienība"/>
    <s v="&quot;Latvija pirmajā vietā&quot;"/>
    <s v="Jaunā Vienotība"/>
    <s v="&quot;Progresīvie&quot;"/>
    <s v="Politiskā partija &quot;Stabilitātei&quot;"/>
    <s v="Klimata pārmaiņas – tas ir ciklisks un dabisks process."/>
    <s v="nē"/>
    <s v="Jaunā Vienotība"/>
    <s v="Nacionālā Apvienība"/>
    <s v="&quot;Progresīvie&quot;"/>
    <s v="Politiskā partija &quot;Stabilitātei&quot;"/>
    <s v="&quot;Latvija pirmajā vietā&quot;"/>
    <s v="&quot;Apvienotais saraksts&quot;"/>
    <s v="Zaļo un Zemnieku savienība"/>
    <s v="Nacionālā Apvienība"/>
    <s v="Politiskā partija &quot;Stabilitātei&quot;"/>
    <s v="&quot;Apvienotais saraksts&quot;"/>
    <s v="Jaunā Vienotība"/>
    <s v="&quot;Progresīvie&quot;"/>
    <s v="Zaļo un Zemnieku savienība"/>
    <s v="&quot;Latvija pirmajā vietā&quot;"/>
    <s v="Ne sevišķi"/>
    <s v="Neinteresē"/>
    <s v="Ļoti"/>
    <s v="Ļoti"/>
    <s v="nezinu"/>
    <s v="Nē"/>
    <s v="Nē"/>
    <s v="Jā"/>
    <s v="Nē"/>
    <s v="Jā"/>
    <s v="Jā"/>
    <s v="1.."/>
    <n v="25"/>
    <n v="100"/>
    <m/>
    <m/>
    <s v="Nav saspīlētas"/>
    <s v="Nav saspīlētas"/>
    <s v="Nav saspīlētas"/>
    <s v="(Gandrīz) nekad"/>
    <s v="(Gandrīz) nekad"/>
    <s v="(Gandrīz) nekad"/>
    <s v="Reti"/>
    <s v="Reti"/>
    <m/>
    <m/>
    <m/>
    <m/>
    <m/>
    <s v="Latviski mēģināju runāt ar darbinieku lielveikalā, kura bija ukraiņu imigrants."/>
    <s v="nē"/>
    <s v="N/A"/>
    <s v="N/A"/>
    <s v="N/A"/>
    <s v="N/A"/>
    <s v="Nē"/>
    <s v="Jā"/>
    <s v="Nē"/>
    <s v="Nē"/>
    <s v="Nē"/>
    <s v="Nē"/>
    <s v="Jā"/>
    <s v="Nē"/>
    <s v="(gandrīz) katru dienu"/>
    <s v="(gandrīz) katru dienu"/>
    <s v="(gandrīz) katru dienu"/>
    <s v="(gandrīz) katru dienu"/>
    <s v="(gandrīz) katru dienu"/>
    <s v="(gandrīz) katru dienu"/>
    <s v="(gandrīz) katru dienu"/>
    <s v="(gandrīz) nekad"/>
    <s v="reizi nedēļā"/>
    <s v="(gandrīz) nekad"/>
    <s v="pāris reižu nedēļā"/>
    <s v="(gandrīz) nekad"/>
    <s v="(gandrīz) nekad"/>
    <s v="(gandrīz) nekad"/>
    <s v="vienlīdz pieejama izglītība, veselības aprūpe, sociālais nodrošinājums"/>
    <s v="brīvas vēlēšanas un plurālisms"/>
    <s v="pilsoniskās brīvības (vārda brīvība, tiesības uz tiesisko aizsardzību)"/>
    <m/>
    <m/>
    <s v="ļoti labi"/>
    <s v="ļoti labi"/>
    <s v="labi"/>
    <s v="labi"/>
    <s v="citreiz labi, citreiz slikti"/>
    <s v="pamatizglītību"/>
    <m/>
    <s v="N/A"/>
    <s v="N/A"/>
    <s v="N/A"/>
    <s v="Jā"/>
    <s v="latviešu"/>
    <m/>
    <s v="latviešu"/>
    <m/>
    <s v="Spēju veikt pasūtījumu restorānā."/>
    <s v="Spēju uzrakstīt vēstuli draugam."/>
    <s v="Saprotu norādes, kur iet."/>
    <s v="Krieviski/latviski spēju izlasīt ēdienkarti restorānā."/>
    <m/>
    <m/>
    <m/>
    <m/>
    <m/>
    <m/>
    <m/>
    <m/>
    <m/>
    <m/>
    <m/>
    <m/>
    <m/>
    <m/>
    <m/>
    <m/>
    <m/>
    <s v="N/A"/>
    <s v="N/A"/>
    <s v="N/A"/>
    <s v="N/A"/>
    <s v="N/A"/>
    <s v="N/A"/>
    <m/>
    <m/>
    <m/>
    <m/>
    <m/>
    <s v="Nē"/>
    <s v="Nē"/>
    <s v="Jā"/>
    <s v="Jā"/>
    <s v="Nē"/>
    <s v="Nē"/>
    <s v="Nē"/>
    <s v="Nē"/>
    <s v="Nē"/>
    <s v="Nē"/>
    <s v="Nē"/>
    <s v="Nē"/>
    <s v="Nē"/>
    <s v="Nē"/>
    <s v="Nē"/>
    <m/>
    <s v="Nē"/>
    <m/>
    <s v="Nē"/>
    <m/>
    <s v="Nē"/>
    <m/>
    <s v="Nē"/>
    <m/>
    <s v="Nē"/>
    <s v="Nē"/>
    <s v="Nē"/>
    <s v="Nē"/>
    <s v="Nē"/>
    <s v="Nē"/>
    <s v="Nē"/>
    <s v="Nē"/>
    <s v="Nē"/>
    <s v="Nē"/>
    <s v="Nē"/>
    <s v="Jā"/>
    <s v="Nē"/>
    <s v="Nē"/>
    <s v="Nē"/>
    <m/>
    <s v="Nē"/>
    <m/>
    <s v="Nē"/>
    <m/>
    <s v="Nē"/>
    <m/>
    <s v="Nē"/>
    <m/>
    <s v="Jā"/>
    <s v="Nē"/>
    <s v="Nē"/>
    <s v="Nē"/>
    <s v="Jā"/>
    <s v="Nē"/>
    <s v="Nē"/>
    <s v="Jā"/>
    <s v="Nē"/>
    <s v="Nē"/>
    <s v="Nē"/>
    <s v="Nē"/>
    <m/>
    <m/>
    <m/>
    <m/>
    <m/>
    <m/>
    <m/>
    <m/>
    <m/>
    <m/>
    <m/>
    <m/>
    <m/>
  </r>
  <r>
    <x v="1"/>
    <n v="221"/>
    <s v="2023-05-16 10:30:15"/>
    <n v="14"/>
    <s v="lv"/>
    <n v="443656620"/>
    <s v="2023-05-16 10:13:02"/>
    <s v="2023-05-16 10:30:15"/>
    <s v="desa"/>
    <n v="17"/>
    <s v="vīriešu"/>
    <m/>
    <x v="1"/>
    <x v="1"/>
    <x v="0"/>
    <x v="0"/>
    <x v="0"/>
    <x v="0"/>
    <s v="Kurzemē"/>
    <m/>
    <s v="pareizticīgo"/>
    <m/>
    <s v="Nē"/>
    <s v="Jā"/>
    <s v="Nē"/>
    <s v="Nē"/>
    <s v="Nē"/>
    <s v="Nē"/>
    <s v="Nē"/>
    <s v="Nē"/>
    <s v="Nē"/>
    <s v="Nē"/>
    <s v="Jā"/>
    <s v="Nē"/>
    <s v="Jā"/>
    <s v="Nē"/>
    <s v="Jā"/>
    <s v="Jā"/>
    <s v="Nē"/>
    <s v="Nē"/>
    <s v="Nē"/>
    <s v="Nē"/>
    <s v="Nē"/>
    <s v="Nē"/>
    <s v="Jā"/>
    <s v="Nē"/>
    <s v="Jā"/>
    <s v="Nē"/>
    <s v="Jā"/>
    <s v="Nē"/>
    <s v="nezinu"/>
    <s v="tikai b"/>
    <s v="tikai b"/>
    <s v="tikai a"/>
    <s v="tikai b"/>
    <s v="a un b"/>
    <s v="Lielākoties nevienlīdzīgi"/>
    <s v="Lielākoties nevienlīdzīgi"/>
    <s v="Lielākoties vienlīdzīgi"/>
    <s v="Vienlīdzīgi"/>
    <s v="Vienlīdzīgi"/>
    <s v="&quot;Latvija pirmajā vietā&quot;"/>
    <s v="nezinu"/>
    <s v="nezinu"/>
    <s v="&quot;Latvija pirmajā vietā&quot;"/>
    <s v="nezinu"/>
    <s v="nezinu"/>
    <s v="&quot;Latvija pirmajā vietā&quot;"/>
    <s v="Klimata pārmaiņas – tas ir ciklisks un dabisks process."/>
    <s v="nē"/>
    <s v="nezinu"/>
    <s v="nezinu"/>
    <s v="nezinu"/>
    <s v="nezinu"/>
    <s v="nezinu"/>
    <s v="nezinu"/>
    <s v="nezinu"/>
    <s v="nezinu"/>
    <s v="nezinu"/>
    <s v="nezinu"/>
    <s v="nezinu"/>
    <s v="nezinu"/>
    <s v="nezinu"/>
    <s v="nezinu"/>
    <s v="Ļoti"/>
    <s v="Neinteresē"/>
    <s v="Ļoti"/>
    <s v="Viduvēji"/>
    <s v="Aldis Gobzems"/>
    <s v="Nē"/>
    <s v="Jā"/>
    <s v="Nē"/>
    <s v="Jā"/>
    <s v="Jā"/>
    <s v="Nē"/>
    <s v="2.."/>
    <n v="68"/>
    <n v="90"/>
    <m/>
    <m/>
    <s v="Nav saspīlētas"/>
    <s v="Nav saspīlētas"/>
    <s v="Mazliet saspīlētas"/>
    <s v="(Gandrīz) nekad"/>
    <s v="(Gandrīz) nekad"/>
    <s v="(Gandrīz) nekad"/>
    <s v="(Gandrīz) nekad"/>
    <s v="(Gandrīz) nekad"/>
    <m/>
    <m/>
    <m/>
    <m/>
    <m/>
    <m/>
    <s v="nē"/>
    <s v="N/A"/>
    <s v="N/A"/>
    <s v="N/A"/>
    <s v="N/A"/>
    <s v="Jā"/>
    <s v="Jā"/>
    <s v="Nē"/>
    <s v="Nē"/>
    <s v="N/A"/>
    <s v="N/A"/>
    <s v="N/A"/>
    <s v="Jā"/>
    <s v="(gandrīz) katru dienu"/>
    <s v="(gandrīz) katru dienu"/>
    <s v="(gandrīz) katru dienu"/>
    <s v="(gandrīz) katru dienu"/>
    <s v="(gandrīz) katru dienu"/>
    <s v="(gandrīz) katru dienu"/>
    <s v="(gandrīz) katru dienu"/>
    <s v="(gandrīz) nekad"/>
    <s v="pāris reižu mēnesī"/>
    <s v="(gandrīz) nekad"/>
    <s v="(gandrīz) nekad"/>
    <s v="(gandrīz) nekad"/>
    <s v="pāris reižu mēnesī"/>
    <s v="(gandrīz) nekad"/>
    <s v="vienlīdzīgas tiesības minoritātēm un ievainojamām sabiedrības grupām"/>
    <s v="vienlīdz pieejama izglītība, veselības aprūpe, sociālais nodrošinājums"/>
    <s v="brīvas vēlēšanas un plurālisms"/>
    <m/>
    <m/>
    <s v="ļoti labi"/>
    <s v="labi"/>
    <s v="citreiz labi, citreiz slikti"/>
    <s v="labi"/>
    <s v="labi"/>
    <s v="pamatizglītību"/>
    <m/>
    <s v="N/A"/>
    <s v="N/A"/>
    <s v="N/A"/>
    <s v="Jā"/>
    <s v="latviešu"/>
    <m/>
    <s v="latviešu"/>
    <m/>
    <s v="{if(is_empty(tongueLAT_SQ001.NAOK), 'latviski','krieviski')} nerunāju it nemaz."/>
    <s v="{if(is_empty(tongueLAT_SQ001.NAOK), 'latviski','krieviski')} nemāku rakstīt."/>
    <s v="Saprotu norādes, kur iet."/>
    <s v="Krieviski/latviski spēju izlasīt ēdienkarti restorānā."/>
    <m/>
    <m/>
    <m/>
    <m/>
    <m/>
    <m/>
    <m/>
    <m/>
    <m/>
    <m/>
    <m/>
    <m/>
    <m/>
    <m/>
    <m/>
    <m/>
    <m/>
    <s v="N/A"/>
    <s v="N/A"/>
    <s v="N/A"/>
    <s v="N/A"/>
    <s v="N/A"/>
    <s v="N/A"/>
    <m/>
    <m/>
    <m/>
    <m/>
    <m/>
    <s v="Nē"/>
    <s v="Nē"/>
    <s v="Jā"/>
    <s v="Jā"/>
    <s v="Nē"/>
    <s v="Nē"/>
    <s v="Nē"/>
    <s v="Nē"/>
    <s v="Nē"/>
    <s v="Nē"/>
    <s v="Nē"/>
    <s v="Nē"/>
    <s v="Nē"/>
    <s v="Jā"/>
    <s v="Nē"/>
    <m/>
    <s v="Jā"/>
    <s v="stv"/>
    <s v="Nē"/>
    <m/>
    <s v="Nē"/>
    <m/>
    <s v="Nē"/>
    <m/>
    <s v="Nē"/>
    <s v="Nē"/>
    <s v="Nē"/>
    <s v="Nē"/>
    <s v="Nē"/>
    <s v="Nē"/>
    <s v="Nē"/>
    <s v="Nē"/>
    <s v="Nē"/>
    <s v="Nē"/>
    <s v="Nē"/>
    <s v="Nē"/>
    <s v="Nē"/>
    <s v="Nē"/>
    <s v="Jā"/>
    <m/>
    <s v="Nē"/>
    <m/>
    <s v="Nē"/>
    <m/>
    <s v="Nē"/>
    <m/>
    <s v="Nē"/>
    <m/>
    <s v="Jā"/>
    <s v="Jā"/>
    <s v="Nē"/>
    <s v="Nē"/>
    <s v="Jā"/>
    <s v="Nē"/>
    <s v="Nē"/>
    <s v="Jā"/>
    <s v="Nē"/>
    <s v="Nē"/>
    <s v="Nē"/>
    <s v="Nē"/>
    <m/>
    <m/>
    <m/>
    <m/>
    <m/>
    <m/>
    <m/>
    <m/>
    <m/>
    <m/>
    <m/>
    <m/>
    <m/>
  </r>
  <r>
    <x v="1"/>
    <n v="222"/>
    <s v="2023-05-16 10:48:55"/>
    <n v="14"/>
    <s v="lv"/>
    <n v="493219987"/>
    <s v="2023-05-16 10:13:10"/>
    <s v="2023-05-16 10:48:55"/>
    <s v="desa"/>
    <n v="16"/>
    <s v="vīriešu"/>
    <m/>
    <x v="1"/>
    <x v="1"/>
    <x v="0"/>
    <x v="0"/>
    <x v="0"/>
    <x v="0"/>
    <s v="Kurzemē"/>
    <m/>
    <s v="katoli(ieti)"/>
    <m/>
    <s v="Nē"/>
    <s v="Jā"/>
    <s v="Nē"/>
    <s v="Nē"/>
    <s v="Nē"/>
    <s v="Nē"/>
    <s v="Nē"/>
    <s v="Jā"/>
    <s v="Jā"/>
    <s v="Jā"/>
    <s v="Nē"/>
    <s v="Nē"/>
    <s v="Nē"/>
    <s v="Nē"/>
    <s v="Nē"/>
    <s v="Jā"/>
    <s v="Nē"/>
    <s v="Nē"/>
    <s v="Nē"/>
    <s v="Nē"/>
    <s v="Nē"/>
    <s v="Nē"/>
    <s v="Nē"/>
    <s v="Nē"/>
    <s v="Jā"/>
    <s v="Jā"/>
    <s v="Nē"/>
    <s v="Nē"/>
    <s v="tikai a"/>
    <s v="tikai a"/>
    <s v="tikai a"/>
    <s v="tikai b"/>
    <s v="tikai a"/>
    <s v="tikai a"/>
    <s v="Lielākoties vienlīdzīgi"/>
    <s v="Lielākoties nevienlīdzīgi"/>
    <s v="Lielākoties vienlīdzīgi"/>
    <s v="Nevienlīdzīgi"/>
    <s v="Lielākoties nevienlīdzīgi"/>
    <s v="&quot;Latvija pirmajā vietā&quot;"/>
    <s v="Jaunā Vienotība"/>
    <s v="Zaļo un Zemnieku savienība"/>
    <s v="&quot;Latvija pirmajā vietā&quot;"/>
    <s v="Zaļo un Zemnieku savienība"/>
    <s v="Jaunā Vienotība"/>
    <s v="Jaunā Vienotība"/>
    <s v="Klimata pārmaiņas – tas ir ciklisks un dabisks process."/>
    <s v="jā, lielāko daļu no tā, ko iespējams šķirot"/>
    <s v="Jaunā Vienotība"/>
    <s v="Jaunā Vienotība"/>
    <s v="Jaunā Vienotība"/>
    <s v="&quot;Latvija pirmajā vietā&quot;"/>
    <s v="nezinu"/>
    <s v="&quot;Latvija pirmajā vietā&quot;"/>
    <s v="Zaļo un Zemnieku savienība"/>
    <s v="Jaunā Vienotība"/>
    <s v="Jaunā Vienotība"/>
    <s v="nezinu"/>
    <s v="Politiskā partija &quot;Stabilitātei&quot;"/>
    <s v="Zaļo un Zemnieku savienība"/>
    <s v="&quot;Latvija pirmajā vietā&quot;"/>
    <s v="Nacionālā Apvienība"/>
    <s v="Neinteresē"/>
    <s v="Neinteresē"/>
    <s v="Viduvēji"/>
    <s v="Neinteresē"/>
    <s v="Populisms ir, kaut kas saistīts ar popularitātes gribēšanu kļūt populārs."/>
    <s v="Jā"/>
    <s v="Nē"/>
    <s v="Nē"/>
    <s v="Jā"/>
    <s v="Jā"/>
    <s v="Nē"/>
    <s v="2.."/>
    <n v="50"/>
    <n v="100"/>
    <m/>
    <m/>
    <s v="Nav saspīlētas"/>
    <s v="Mazliet saspīlētas"/>
    <s v="Nav saspīlētas"/>
    <s v="(Gandrīz) nekad"/>
    <s v="(Gandrīz) nekad"/>
    <s v="(Gandrīz) nekad"/>
    <s v="(Gandrīz) nekad"/>
    <s v="Dažreiz"/>
    <m/>
    <m/>
    <m/>
    <m/>
    <m/>
    <s v="ja kāds nezina, kur vajag iet tad varu npteikti runāt krievu valodā"/>
    <s v="nē"/>
    <s v="N/A"/>
    <s v="N/A"/>
    <s v="N/A"/>
    <s v="N/A"/>
    <s v="N/A"/>
    <s v="N/A"/>
    <s v="N/A"/>
    <s v="Jā"/>
    <s v="Nē"/>
    <s v="Jā"/>
    <s v="Nē"/>
    <s v="Nē"/>
    <s v="(gandrīz) katru dienu"/>
    <s v="(gandrīz) katru dienu"/>
    <s v="(gandrīz) nekad"/>
    <s v="(gandrīz) katru dienu"/>
    <s v="(gandrīz) katru dienu"/>
    <s v="(gandrīz) katru dienu"/>
    <s v="(gandrīz) katru dienu"/>
    <s v="(gandrīz) nekad"/>
    <s v="(gandrīz) nekad"/>
    <s v="(gandrīz) nekad"/>
    <s v="(gandrīz) nekad"/>
    <s v="(gandrīz) nekad"/>
    <s v="(gandrīz) nekad"/>
    <s v="pāris reižu mēnesī"/>
    <s v="brīvas vēlēšanas un plurālisms"/>
    <s v="vienlīdz pieejama izglītība, veselības aprūpe, sociālais nodrošinājums"/>
    <s v="pilsoniskās brīvības (vārda brīvība, tiesības uz tiesisko aizsardzību)"/>
    <m/>
    <m/>
    <s v="ļoti labi"/>
    <s v="ļoti labi"/>
    <s v="labi"/>
    <s v="labi"/>
    <s v="slikti"/>
    <s v="pamatizglītību"/>
    <m/>
    <s v="N/A"/>
    <s v="N/A"/>
    <s v="N/A"/>
    <s v="Jā"/>
    <s v="latviešu"/>
    <m/>
    <s v="latviešu"/>
    <m/>
    <s v="Spēju pastāstīt par savu hobiju / darbu."/>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Jā"/>
    <s v="Nē"/>
    <s v="Nē"/>
    <s v="Nē"/>
    <m/>
    <s v="Jā"/>
    <s v="youtube"/>
    <s v="Nē"/>
    <m/>
    <s v="Nē"/>
    <m/>
    <s v="Nē"/>
    <m/>
    <s v="Nē"/>
    <s v="Nē"/>
    <s v="Nē"/>
    <s v="Nē"/>
    <s v="Nē"/>
    <s v="Nē"/>
    <s v="Jā"/>
    <s v="Nē"/>
    <s v="Nē"/>
    <s v="Nē"/>
    <s v="Nē"/>
    <s v="Nē"/>
    <s v="Nē"/>
    <s v="Nē"/>
    <s v="Nē"/>
    <m/>
    <s v="Jā"/>
    <s v="liepajniekiem.lv"/>
    <s v="Nē"/>
    <m/>
    <s v="Nē"/>
    <m/>
    <s v="Nē"/>
    <m/>
    <s v="Jā"/>
    <s v="Jā"/>
    <s v="Nē"/>
    <s v="Nē"/>
    <s v="Jā"/>
    <s v="Nē"/>
    <s v="Nē"/>
    <s v="Jā"/>
    <s v="Nē"/>
    <s v="Nē"/>
    <s v="Nē"/>
    <s v="Nē"/>
    <m/>
    <s v="Parak Daudzi Jautājumi"/>
    <m/>
    <m/>
    <m/>
    <m/>
    <m/>
    <m/>
    <m/>
    <m/>
    <m/>
    <m/>
    <m/>
  </r>
  <r>
    <x v="1"/>
    <n v="223"/>
    <s v="2023-05-16 10:27:42"/>
    <n v="14"/>
    <s v="ru"/>
    <n v="1984849765"/>
    <s v="2023-05-16 10:13:18"/>
    <s v="2023-05-16 10:27:42"/>
    <s v="хлеб"/>
    <n v="16"/>
    <s v="vīriešu"/>
    <m/>
    <x v="0"/>
    <x v="0"/>
    <x v="0"/>
    <x v="0"/>
    <x v="0"/>
    <x v="0"/>
    <s v="Vidzemē"/>
    <m/>
    <s v="pareizticīgo"/>
    <m/>
    <s v="Jā"/>
    <s v="Nē"/>
    <s v="Nē"/>
    <s v="Nē"/>
    <s v="Nē"/>
    <s v="Nē"/>
    <s v="Nē"/>
    <s v="Nē"/>
    <s v="Jā"/>
    <s v="Nē"/>
    <s v="Nē"/>
    <s v="Jā"/>
    <s v="Nē"/>
    <s v="Nē"/>
    <s v="Nē"/>
    <s v="Nē"/>
    <s v="Nē"/>
    <s v="Nē"/>
    <s v="Jā"/>
    <s v="Jā"/>
    <s v="Nē"/>
    <s v="Nē"/>
    <s v="Nē"/>
    <s v="Jā"/>
    <s v="Nē"/>
    <s v="Jā"/>
    <s v="Nē"/>
    <s v="Nē"/>
    <s v="tikai b"/>
    <s v="a un b"/>
    <s v="a un b"/>
    <s v="tikai b"/>
    <s v="tikai a"/>
    <s v="tikai a"/>
    <s v="Vienlīdzīgi"/>
    <s v="Lielākoties vienlīdzīgi"/>
    <s v="Vienlīdzīgi"/>
    <s v="Vienlīdzīgi"/>
    <s v="Vienlīdzīgi"/>
    <s v="Jaunā Vienotība"/>
    <s v="Nacionālā Apvienība"/>
    <s v="&quot;Apvienotais saraksts&quot;"/>
    <s v="Zaļo un Zemnieku savienība"/>
    <s v="&quot;Latvija pirmajā vietā&quot;"/>
    <s v="nezinu"/>
    <s v="nezinu"/>
    <s v="Cīņai ar klimata pārmaiņām būtu jābūt vairumam pasaules valstu galvenajai prioritātei."/>
    <s v="jā, daļu no tā, ko iespējams šķirot"/>
    <s v="nezinu"/>
    <s v="nezinu"/>
    <s v="nezinu"/>
    <s v="nezinu"/>
    <s v="nezinu"/>
    <s v="nezinu"/>
    <s v="nezinu"/>
    <s v="Zaļo un Zemnieku savienība"/>
    <s v="Politiskā partija &quot;Stabilitātei&quot;"/>
    <s v="&quot;Apvienotais saraksts&quot;"/>
    <s v="&quot;Latvija pirmajā vietā&quot;"/>
    <s v="Politiskā partija &quot;Stabilitātei&quot;"/>
    <s v="&quot;Latvija pirmajā vietā&quot;"/>
    <s v="Politiskā partija &quot;Stabilitātei&quot;"/>
    <s v="Viduvēji"/>
    <s v="Neinteresē"/>
    <s v="Neinteresē"/>
    <s v="Neinteresē"/>
    <s v="что то связанное с политикой"/>
    <s v="Nē"/>
    <s v="Nē"/>
    <s v="Nē"/>
    <s v="Nē"/>
    <s v="Jā"/>
    <s v="Nē"/>
    <s v="2.."/>
    <n v="38"/>
    <n v="9"/>
    <n v="100"/>
    <n v="28"/>
    <s v="Mazliet saspīlētas"/>
    <s v="Nav saspīlētas"/>
    <s v="Nav saspīlētas"/>
    <s v="(Gandrīz) nekad"/>
    <s v="(Gandrīz) nekad"/>
    <s v="Dažreiz"/>
    <s v="(Gandrīz) nekad"/>
    <s v="(Gandrīz) nekad"/>
    <s v="Dažreiz"/>
    <s v="Dažreiz"/>
    <s v="Dažreiz"/>
    <s v="(Gandrīz) nekad"/>
    <s v="Reti"/>
    <s v="я использую в общении с учительми,продавцами и одногруппниками"/>
    <s v="nē"/>
    <s v="N/A"/>
    <s v="N/A"/>
    <s v="N/A"/>
    <s v="N/A"/>
    <s v="N/A"/>
    <s v="N/A"/>
    <s v="N/A"/>
    <s v="Jā"/>
    <s v="N/A"/>
    <s v="N/A"/>
    <s v="N/A"/>
    <s v="Jā"/>
    <s v="(gandrīz) nekad"/>
    <s v="(gandrīz) katru dienu"/>
    <s v="(gandrīz) nekad"/>
    <s v="(gandrīz) nekad"/>
    <s v="pāris reižu mēnesī"/>
    <s v="reizi nedēļā"/>
    <s v="pāris reižu nedēļā"/>
    <s v="(gandrīz) katru dienu"/>
    <s v="(gandrīz) katru dienu"/>
    <s v="(gandrīz) nekad"/>
    <s v="(gandrīz) katru dienu"/>
    <s v="(gandrīz) katru dienu"/>
    <s v="(gandrīz) katru dienu"/>
    <s v="(gandrīz) katru dienu"/>
    <s v="vienlīdz pieejama izglītība, veselības aprūpe, sociālais nodrošinājums"/>
    <s v="vienlīdzīgas tiesības minoritātēm un ievainojamām sabiedrības grupām"/>
    <s v="brīvas vēlēšanas un plurālisms"/>
    <m/>
    <m/>
    <s v="nezinu"/>
    <s v="nezinu"/>
    <s v="nezinu"/>
    <s v="nezinu"/>
    <s v="nezinu"/>
    <s v="pamatizglītību"/>
    <m/>
    <s v="N/A"/>
    <s v="N/A"/>
    <s v="N/A"/>
    <s v="Jā"/>
    <s v="krievu"/>
    <m/>
    <s v="kriev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Jā"/>
    <s v="спорт и фильмы"/>
    <s v="Nē"/>
    <m/>
    <s v="Nē"/>
    <s v="Nē"/>
    <s v="Nē"/>
    <s v="Nē"/>
    <s v="Nē"/>
    <s v="Nē"/>
    <s v="Nē"/>
    <s v="Nē"/>
    <s v="Nē"/>
    <s v="Nē"/>
    <s v="Nē"/>
    <s v="Nē"/>
    <s v="Nē"/>
    <s v="Nē"/>
    <s v="Jā"/>
    <m/>
    <s v="Nē"/>
    <m/>
    <s v="Nē"/>
    <m/>
    <s v="Nē"/>
    <m/>
    <s v="Nē"/>
    <m/>
    <s v="Jā"/>
    <s v="Jā"/>
    <s v="Nē"/>
    <s v="Nē"/>
    <s v="Jā"/>
    <s v="Jā"/>
    <s v="Nē"/>
    <s v="Jā"/>
    <s v="Nē"/>
    <s v="Nē"/>
    <s v="Nē"/>
    <s v="Nē"/>
    <m/>
    <m/>
    <m/>
    <m/>
    <m/>
    <m/>
    <m/>
    <m/>
    <m/>
    <m/>
    <m/>
    <m/>
    <m/>
  </r>
  <r>
    <x v="1"/>
    <n v="224"/>
    <s v="2023-05-16 10:36:48"/>
    <n v="14"/>
    <s v="lv"/>
    <n v="699570117"/>
    <s v="2023-05-16 10:14:28"/>
    <s v="2023-05-16 10:36:48"/>
    <s v="desa"/>
    <n v="17"/>
    <s v="vīriešu"/>
    <m/>
    <x v="1"/>
    <x v="1"/>
    <x v="0"/>
    <x v="0"/>
    <x v="0"/>
    <x v="0"/>
    <s v="Vidzemē"/>
    <m/>
    <s v="Cita atbilde"/>
    <s v="man nav reliģijas"/>
    <s v="Jā"/>
    <s v="Nē"/>
    <s v="Nē"/>
    <s v="Nē"/>
    <s v="Nē"/>
    <s v="Nē"/>
    <s v="Nē"/>
    <s v="Nē"/>
    <s v="Nē"/>
    <s v="Nē"/>
    <s v="Jā"/>
    <s v="Nē"/>
    <s v="Nē"/>
    <s v="Nē"/>
    <s v="Nē"/>
    <s v="Nē"/>
    <s v="Jā"/>
    <s v="Nē"/>
    <s v="Nē"/>
    <s v="Nē"/>
    <s v="Nē"/>
    <s v="Jā"/>
    <s v="Nē"/>
    <s v="Nē"/>
    <s v="Nē"/>
    <s v="Nē"/>
    <s v="Nē"/>
    <s v="Nē"/>
    <s v="tikai b"/>
    <s v="tikai a"/>
    <m/>
    <s v="tikai a"/>
    <s v="a un b"/>
    <s v="tikai a"/>
    <s v="Vienlīdzīgi"/>
    <s v="Lielākoties nevienlīdzīgi"/>
    <s v="Lielākoties vienlīdzīgi"/>
    <s v="Lielākoties nevienlīdzīgi"/>
    <s v="Vienlīdzīgi"/>
    <s v="Nacionālā Apvienība"/>
    <s v="nezinu"/>
    <s v="&quot;Progresīvie&quot;"/>
    <s v="&quot;Latvija pirmajā vietā&quot;"/>
    <s v="Jaunā Vienotība"/>
    <s v="nezinu"/>
    <s v="Politiskā partija &quot;Stabilitātei&quot;"/>
    <s v="Reizēm ekonomiskā un valsts stabilitāte varētu nozīmēt, ka atsevišķi ekoloģiskās politikas aspekti ir uz brīdi jāiepauzē."/>
    <s v="jā, lielāko daļu no tā, ko iespējams šķirot"/>
    <s v="Politiskā partija &quot;Stabilitātei&quot;"/>
    <s v="Nacionālā Apvienība"/>
    <s v="Jaunā Vienotība"/>
    <s v="nezinu"/>
    <s v="&quot;Progresīvie&quot;"/>
    <s v="Zaļo un Zemnieku savienība"/>
    <s v="Jaunā Vienotība"/>
    <s v="Jaunā Vienotība"/>
    <s v="Nacionālā Apvienība"/>
    <s v="nezinu"/>
    <s v="nezinu"/>
    <s v="&quot;Progresīvie&quot;"/>
    <s v="nezinu"/>
    <s v="Jaunā Vienotība"/>
    <s v="Ļoti"/>
    <s v="Neinteresē"/>
    <s v="Viduvēji"/>
    <s v="Ne sevišķi"/>
    <s v="Man liekas ka vārds populisms ir tas pats kas populācija"/>
    <s v="Jā"/>
    <s v="Nē"/>
    <s v="Nē"/>
    <s v="Nē"/>
    <s v="Jā"/>
    <s v="Nē"/>
    <s v="1.."/>
    <n v="40"/>
    <n v="55"/>
    <m/>
    <m/>
    <s v="Nav saspīlētas"/>
    <s v="Nav saspīlētas"/>
    <s v="Nav saspīlētas"/>
    <s v="(Gandrīz) nekad"/>
    <s v="(Gandrīz) nekad"/>
    <s v="(Gandrīz) nekad"/>
    <s v="(Gandrīz) nekad"/>
    <s v="(Gandrīz) nekad"/>
    <m/>
    <m/>
    <m/>
    <m/>
    <m/>
    <m/>
    <s v="jā, valsts iestādē"/>
    <s v="N/A"/>
    <s v="N/A"/>
    <s v="N/A"/>
    <s v="Jā"/>
    <s v="N/A"/>
    <s v="N/A"/>
    <s v="N/A"/>
    <s v="Jā"/>
    <s v="N/A"/>
    <s v="N/A"/>
    <s v="N/A"/>
    <s v="Jā"/>
    <s v="(gandrīz) katru dienu"/>
    <s v="(gandrīz) katru dienu"/>
    <s v="(gandrīz) katru dienu"/>
    <s v="(gandrīz) katru dienu"/>
    <s v="(gandrīz) katru dienu"/>
    <s v="reizi nedēļā"/>
    <s v="pāris reižu nedēļā"/>
    <s v="reizi nedēļā"/>
    <s v="(gandrīz) katru dienu"/>
    <s v="(gandrīz) katru dienu"/>
    <s v="(gandrīz) katru dienu"/>
    <s v="(gandrīz) katru dienu"/>
    <s v="pāris reižu nedēļā"/>
    <s v="(gandrīz) katru dienu"/>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labi"/>
    <s v="labi"/>
    <s v="labi"/>
    <s v="labi"/>
    <s v="nezinu"/>
    <s v="pamatizglītību"/>
    <m/>
    <s v="N/A"/>
    <s v="N/A"/>
    <s v="N/A"/>
    <s v="Jā"/>
    <s v="latviešu"/>
    <m/>
    <s v="latviešu"/>
    <m/>
    <s v="Spēju ilgstoši sarunāties ar vienaudžiem/piedalīties darba pārrunās."/>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Jā"/>
    <s v="Nē"/>
    <s v="Nē"/>
    <s v="Nē"/>
    <m/>
    <s v="Nē"/>
    <m/>
    <s v="Jā"/>
    <s v="youtube kanāli"/>
    <s v="Nē"/>
    <m/>
    <s v="Nē"/>
    <m/>
    <s v="Nē"/>
    <s v="Nē"/>
    <s v="Nē"/>
    <s v="Nē"/>
    <s v="Nē"/>
    <s v="Nē"/>
    <s v="Nē"/>
    <s v="Nē"/>
    <s v="Nē"/>
    <s v="Nē"/>
    <s v="Nē"/>
    <s v="Nē"/>
    <s v="Nē"/>
    <s v="Nē"/>
    <s v="Jā"/>
    <m/>
    <s v="Nē"/>
    <m/>
    <s v="Jā"/>
    <m/>
    <s v="Nē"/>
    <m/>
    <s v="Nē"/>
    <m/>
    <s v="Jā"/>
    <s v="Nē"/>
    <s v="Nē"/>
    <s v="Nē"/>
    <s v="Jā"/>
    <s v="Nē"/>
    <s v="Nē"/>
    <s v="Jā"/>
    <s v="Nē"/>
    <s v="Nē"/>
    <s v="Nē"/>
    <s v="Nē"/>
    <m/>
    <m/>
    <m/>
    <m/>
    <m/>
    <m/>
    <m/>
    <m/>
    <m/>
    <m/>
    <m/>
    <m/>
    <m/>
  </r>
  <r>
    <x v="1"/>
    <n v="225"/>
    <s v="2023-05-16 12:23:51"/>
    <n v="14"/>
    <s v="ru"/>
    <n v="1137694752"/>
    <s v="2023-05-16 12:06:00"/>
    <s v="2023-05-16 12:23:51"/>
    <s v="трава"/>
    <n v="18"/>
    <s v="sieviešu"/>
    <m/>
    <x v="1"/>
    <x v="0"/>
    <x v="0"/>
    <x v="0"/>
    <x v="0"/>
    <x v="0"/>
    <s v="Kurzemē"/>
    <m/>
    <s v="ateistu(ti), nereliģiozu"/>
    <m/>
    <s v="N/A"/>
    <s v="N/A"/>
    <s v="N/A"/>
    <s v="N/A"/>
    <s v="N/A"/>
    <s v="N/A"/>
    <s v="Jā"/>
    <s v="N/A"/>
    <s v="N/A"/>
    <s v="N/A"/>
    <s v="N/A"/>
    <s v="N/A"/>
    <s v="N/A"/>
    <s v="Jā"/>
    <s v="N/A"/>
    <s v="N/A"/>
    <s v="N/A"/>
    <s v="N/A"/>
    <s v="N/A"/>
    <s v="N/A"/>
    <s v="Jā"/>
    <s v="N/A"/>
    <s v="N/A"/>
    <s v="N/A"/>
    <s v="N/A"/>
    <s v="N/A"/>
    <s v="N/A"/>
    <s v="Jā"/>
    <s v="nezinu"/>
    <s v="nezinu"/>
    <s v="nezinu"/>
    <s v="tikai b"/>
    <s v="tikai b"/>
    <s v="a un b"/>
    <s v="Lielākoties vienlīdzīgi"/>
    <s v="Lielākoties vienlīdzīgi"/>
    <s v="Vienlīdzīgi"/>
    <s v="Lielākoties vienlīdzīgi"/>
    <s v="Lielākoties nevienlīdzīgi"/>
    <s v="Jaunā Vienotība"/>
    <s v="Politiskā partija &quot;Stabilitātei&quot;"/>
    <s v="Zaļo un Zemnieku savienība"/>
    <s v="Nacionālā Apvienība"/>
    <s v="&quot;Apvienotais saraksts&quot;"/>
    <s v="&quot;Progresīvie&quot;"/>
    <s v="&quot;Latvija pirmajā vietā&quot;"/>
    <s v="Klimata pārmaiņas – tas ir ciklisks un dabisks process."/>
    <s v="nē"/>
    <s v="Jaunā Vienotība"/>
    <s v="&quot;Apvienotais saraksts&quot;"/>
    <s v="&quot;Progresīvie&quot;"/>
    <s v="&quot;Latvija pirmajā vietā&quot;"/>
    <s v="Nacionālā Apvienība"/>
    <s v="Zaļo un Zemnieku savienība"/>
    <s v="Politiskā partija &quot;Stabilitātei&quot;"/>
    <s v="Zaļo un Zemnieku savienība"/>
    <s v="&quot;Progresīvie&quot;"/>
    <s v="Politiskā partija &quot;Stabilitātei&quot;"/>
    <s v="Nacionālā Apvienība"/>
    <s v="Jaunā Vienotība"/>
    <s v="&quot;Latvija pirmajā vietā&quot;"/>
    <s v="&quot;Apvienotais saraksts&quot;"/>
    <s v="Ne sevišķi"/>
    <s v="Ļoti"/>
    <s v="Ļoti"/>
    <s v="Ārkārtīgi"/>
    <s v="не знаю"/>
    <s v="Jā"/>
    <s v="Nē"/>
    <s v="Jā"/>
    <s v="Nē"/>
    <s v="Jā"/>
    <s v="Nē"/>
    <s v="1.."/>
    <n v="1"/>
    <n v="26"/>
    <n v="74"/>
    <n v="1"/>
    <s v="Nav saspīlētas"/>
    <s v="Nav saspīlētas"/>
    <s v="Nav saspīlētas"/>
    <s v="(Gandrīz) nekad"/>
    <s v="(Gandrīz) nekad"/>
    <s v="(Gandrīz) nekad"/>
    <s v="(Gandrīz) nekad"/>
    <s v="(Gandrīz) nekad"/>
    <s v="Dažreiz"/>
    <s v="Dažreiz"/>
    <s v="(Gandrīz) nekad"/>
    <s v="Dažreiz"/>
    <s v="Bieži"/>
    <m/>
    <s v="nē"/>
    <s v="N/A"/>
    <s v="N/A"/>
    <s v="N/A"/>
    <s v="N/A"/>
    <s v="N/A"/>
    <s v="N/A"/>
    <s v="N/A"/>
    <s v="Jā"/>
    <s v="N/A"/>
    <s v="N/A"/>
    <s v="N/A"/>
    <s v="Jā"/>
    <s v="pāris reižu mēnesī"/>
    <s v="(gandrīz) nekad"/>
    <s v="(gandrīz) nekad"/>
    <s v="pāris reižu mēnesī"/>
    <s v="(gandrīz) nekad"/>
    <s v="reizi nedēļā"/>
    <s v="(gandrīz) katru dienu"/>
    <s v="(gandrīz) katru dienu"/>
    <s v="(gandrīz) katru dienu"/>
    <s v="(gandrīz) nekad"/>
    <s v="(gandrīz) katru dienu"/>
    <s v="(gandrīz) nekad"/>
    <s v="(gandrīz) katru dienu"/>
    <s v="pāris reižu mēnesī"/>
    <s v="vienlīdz pieejama izglītība, veselības aprūpe, sociālais nodrošinājums"/>
    <s v="pilsoniskās brīvības (vārda brīvība, tiesības uz tiesisko aizsardzību)"/>
    <s v="vienlīdzīgas tiesības minoritātēm un ievainojamām sabiedrības grupām"/>
    <m/>
    <m/>
    <s v="nezinu"/>
    <s v="citreiz labi, citreiz slikti"/>
    <s v="slikti"/>
    <s v="nezinu"/>
    <s v="citreiz labi, citreiz slikti"/>
    <s v="vidējo izglītību"/>
    <m/>
    <s v="N/A"/>
    <s v="N/A"/>
    <s v="N/A"/>
    <s v="Jā"/>
    <s v="vienlīdz latviešu un krievu"/>
    <m/>
    <s v="vienlīdz latviešu un krievu"/>
    <m/>
    <m/>
    <m/>
    <m/>
    <m/>
    <m/>
    <m/>
    <m/>
    <m/>
    <m/>
    <m/>
    <m/>
    <m/>
    <m/>
    <m/>
    <m/>
    <m/>
    <m/>
    <m/>
    <m/>
    <m/>
    <m/>
    <s v="N/A"/>
    <s v="N/A"/>
    <s v="N/A"/>
    <s v="N/A"/>
    <s v="N/A"/>
    <s v="N/A"/>
    <m/>
    <m/>
    <m/>
    <m/>
    <m/>
    <s v="Nē"/>
    <s v="Nē"/>
    <s v="Nē"/>
    <s v="Nē"/>
    <s v="Nē"/>
    <s v="Nē"/>
    <s v="Nē"/>
    <s v="Nē"/>
    <s v="Nē"/>
    <s v="Nē"/>
    <s v="Nē"/>
    <s v="Nē"/>
    <s v="Nē"/>
    <s v="Nē"/>
    <s v="Jā"/>
    <m/>
    <s v="Nē"/>
    <m/>
    <s v="Nē"/>
    <m/>
    <s v="Nē"/>
    <m/>
    <s v="Nē"/>
    <m/>
    <s v="Nē"/>
    <s v="Nē"/>
    <s v="Jā"/>
    <s v="Jā"/>
    <s v="Nē"/>
    <s v="Nē"/>
    <s v="Nē"/>
    <s v="Nē"/>
    <s v="Nē"/>
    <s v="Nē"/>
    <s v="Nē"/>
    <s v="Nē"/>
    <s v="Jā"/>
    <s v="Nē"/>
    <s v="Nē"/>
    <m/>
    <s v="Nē"/>
    <m/>
    <s v="Nē"/>
    <m/>
    <s v="Nē"/>
    <m/>
    <s v="Nē"/>
    <m/>
    <s v="Jā"/>
    <s v="Jā"/>
    <s v="Nē"/>
    <s v="Jā"/>
    <s v="Jā"/>
    <s v="Jā"/>
    <s v="Nē"/>
    <s v="Jā"/>
    <s v="Nē"/>
    <s v="Nē"/>
    <s v="Nē"/>
    <s v="Nē"/>
    <m/>
    <m/>
    <m/>
    <m/>
    <m/>
    <m/>
    <m/>
    <m/>
    <m/>
    <m/>
    <m/>
    <m/>
    <m/>
  </r>
  <r>
    <x v="1"/>
    <n v="226"/>
    <s v="2023-05-16 12:32:01"/>
    <n v="14"/>
    <s v="ru"/>
    <n v="70200751"/>
    <s v="2023-05-16 12:06:35"/>
    <s v="2023-05-16 12:32:01"/>
    <s v="трава"/>
    <n v="17"/>
    <s v="sieviešu"/>
    <m/>
    <x v="0"/>
    <x v="0"/>
    <x v="0"/>
    <x v="0"/>
    <x v="0"/>
    <x v="0"/>
    <s v="Kurzemē"/>
    <m/>
    <s v="pareizticīgo"/>
    <m/>
    <s v="Jā"/>
    <s v="Jā"/>
    <s v="Nē"/>
    <s v="Nē"/>
    <s v="Nē"/>
    <s v="Nē"/>
    <s v="Nē"/>
    <s v="Jā"/>
    <s v="Nē"/>
    <s v="Nē"/>
    <s v="Nē"/>
    <s v="Nē"/>
    <s v="Nē"/>
    <s v="Nē"/>
    <s v="Jā"/>
    <s v="Nē"/>
    <s v="Nē"/>
    <s v="Nē"/>
    <s v="Nē"/>
    <s v="Nē"/>
    <s v="Nē"/>
    <s v="Nē"/>
    <s v="Jā"/>
    <s v="Jā"/>
    <s v="Nē"/>
    <s v="Jā"/>
    <s v="Nē"/>
    <s v="Nē"/>
    <s v="nezinu"/>
    <s v="nezinu"/>
    <s v="nezinu"/>
    <s v="nezinu"/>
    <s v="nezinu"/>
    <s v="nezinu"/>
    <s v="Lielākoties vienlīdzīgi"/>
    <s v="Lielākoties vienlīdzīgi"/>
    <s v="Lielākoties vienlīdzīgi"/>
    <s v="Vienlīdzīgi"/>
    <s v="Lielākoties nevienlīdzīgi"/>
    <s v="Jaunā Vienotība"/>
    <s v="&quot;Apvienotais saraksts&quot;"/>
    <s v="Zaļo un Zemnieku savienība"/>
    <s v="&quot;Latvija pirmajā vietā&quot;"/>
    <s v="&quot;Latvija pirmajā vietā&quot;"/>
    <s v="&quot;Progresīvie&quot;"/>
    <s v="Nacionālā Apvienība"/>
    <s v="Klimata pārmaiņas – tas ir ciklisks un dabisks process."/>
    <s v="jā, daļu no tā, ko iespējams šķirot"/>
    <s v="Zaļo un Zemnieku savienība"/>
    <s v="Nacionālā Apvienība"/>
    <s v="&quot;Latvija pirmajā vietā&quot;"/>
    <s v="&quot;Latvija pirmajā vietā&quot;"/>
    <s v="Jaunā Vienotība"/>
    <s v="Zaļo un Zemnieku savienība"/>
    <s v="&quot;Progresīvie&quot;"/>
    <s v="Jaunā Vienotība"/>
    <s v="Nacionālā Apvienība"/>
    <s v="Zaļo un Zemnieku savienība"/>
    <s v="&quot;Progresīvie&quot;"/>
    <s v="Politiskā partija &quot;Stabilitātei&quot;"/>
    <s v="Jaunā Vienotība"/>
    <s v="&quot;Progresīvie&quot;"/>
    <s v="Ne sevišķi"/>
    <s v="Viduvēji"/>
    <s v="Ne sevišķi"/>
    <s v="Viduvēji"/>
    <s v="не знаю"/>
    <s v="Nē"/>
    <s v="Nē"/>
    <s v="Nē"/>
    <s v="Jā"/>
    <s v="Jā"/>
    <s v="Nē"/>
    <s v="2.."/>
    <n v="33"/>
    <n v="10"/>
    <n v="100"/>
    <n v="50"/>
    <s v="Ļoti saspīlētas"/>
    <s v="Mazliet saspīlētas"/>
    <s v="Drīzāk saspīlētas"/>
    <s v="Reti"/>
    <s v="(Gandrīz) nekad"/>
    <s v="Reti"/>
    <s v="Reti"/>
    <s v="(Gandrīz) nekad"/>
    <s v="Reti"/>
    <s v="Dažreiz"/>
    <s v="(Gandrīz) nekad"/>
    <s v="Reti"/>
    <s v="Dažreiz"/>
    <s v="на работе, говоря на русском языке, с коллегами или другими людьми"/>
    <s v="nē"/>
    <s v="N/A"/>
    <s v="N/A"/>
    <s v="N/A"/>
    <s v="N/A"/>
    <s v="N/A"/>
    <s v="N/A"/>
    <s v="N/A"/>
    <s v="Jā"/>
    <s v="N/A"/>
    <s v="N/A"/>
    <s v="N/A"/>
    <s v="Jā"/>
    <s v="(gandrīz) nekad"/>
    <s v="(gandrīz) nekad"/>
    <s v="pāris reižu nedēļā"/>
    <s v="(gandrīz) nekad"/>
    <s v="pāris reižu mēnesī"/>
    <s v="(gandrīz) nekad"/>
    <s v="pāris reižu nedēļā"/>
    <s v="(gandrīz) katru dienu"/>
    <s v="(gandrīz) katru dienu"/>
    <s v="pāris reižu nedēļā"/>
    <s v="(gandrīz) katru dienu"/>
    <s v="pāris reižu nedēļā"/>
    <s v="(gandrīz) katru dienu"/>
    <s v="(gandrīz) katru dienu"/>
    <s v="vienlīdz pieejama izglītība, veselības aprūpe, sociālais nodrošinājums"/>
    <s v="pilsoniskās brīvības (vārda brīvība, tiesības uz tiesisko aizsardzību)"/>
    <s v="brīvas vēlēšanas un plurālisms"/>
    <m/>
    <m/>
    <s v="slikti"/>
    <s v="slikti"/>
    <s v="citreiz labi, citreiz slikti"/>
    <s v="citreiz labi, citreiz slikti"/>
    <s v="slikti"/>
    <s v="vidējo izglītību"/>
    <m/>
    <s v="N/A"/>
    <s v="N/A"/>
    <s v="N/A"/>
    <s v="Jā"/>
    <s v="vienlīdz latviešu un krievu"/>
    <m/>
    <s v="vienlīdz latviešu un kriev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1"/>
    <n v="227"/>
    <s v="2023-05-16 12:23:47"/>
    <n v="14"/>
    <s v="ru"/>
    <n v="2032088110"/>
    <s v="2023-05-16 12:06:39"/>
    <s v="2023-05-16 12:23:47"/>
    <s v="трава"/>
    <n v="17"/>
    <s v="sieviešu"/>
    <m/>
    <x v="1"/>
    <x v="1"/>
    <x v="0"/>
    <x v="0"/>
    <x v="0"/>
    <x v="0"/>
    <s v="Cita atbilde"/>
    <s v="Лиепая"/>
    <s v="pareizticīgo"/>
    <m/>
    <s v="Jā"/>
    <s v="Jā"/>
    <s v="Nē"/>
    <s v="Nē"/>
    <s v="Nē"/>
    <s v="Nē"/>
    <s v="Nē"/>
    <s v="Jā"/>
    <s v="Nē"/>
    <s v="Nē"/>
    <s v="Jā"/>
    <s v="Nē"/>
    <s v="Nē"/>
    <s v="Nē"/>
    <s v="N/A"/>
    <s v="N/A"/>
    <s v="N/A"/>
    <s v="N/A"/>
    <s v="N/A"/>
    <s v="N/A"/>
    <s v="Jā"/>
    <s v="Nē"/>
    <s v="Jā"/>
    <s v="Nē"/>
    <s v="Jā"/>
    <s v="Nē"/>
    <s v="Nē"/>
    <s v="Nē"/>
    <s v="a un b"/>
    <s v="ne a, ne b"/>
    <s v="tikai b"/>
    <s v="a un b"/>
    <s v="tikai a"/>
    <s v="a un b"/>
    <s v="Vienlīdzīgi"/>
    <s v="Lielākoties nevienlīdzīgi"/>
    <s v="Vienlīdzīgi"/>
    <s v="Vienlīdzīgi"/>
    <s v="Nevienlīdzīgi"/>
    <s v="nezinu"/>
    <s v="nezinu"/>
    <s v="nezinu"/>
    <s v="nezinu"/>
    <s v="nezinu"/>
    <s v="nezinu"/>
    <s v="nezinu"/>
    <s v="Klimata pārmaiņām nav nekādu pārliecinošu pierādījumu."/>
    <s v="jā, daļu no tā, ko iespējams šķirot"/>
    <s v="nezinu"/>
    <s v="nezinu"/>
    <s v="nezinu"/>
    <s v="nezinu"/>
    <s v="nezinu"/>
    <s v="nezinu"/>
    <s v="nezinu"/>
    <s v="nezinu"/>
    <s v="nezinu"/>
    <s v="nezinu"/>
    <s v="nezinu"/>
    <s v="nezinu"/>
    <s v="Nacionālā Apvienība"/>
    <s v="&quot;Apvienotais saraksts&quot;"/>
    <s v="Viduvēji"/>
    <s v="Viduvēji"/>
    <s v="Ne sevišķi"/>
    <s v="Ārkārtīgi"/>
    <s v="Дональд Трамп"/>
    <s v="Nē"/>
    <s v="Nē"/>
    <s v="Nē"/>
    <s v="Jā"/>
    <s v="Nē"/>
    <s v="Nē"/>
    <s v="1.."/>
    <n v="55"/>
    <n v="70"/>
    <m/>
    <m/>
    <s v="Mazliet saspīlētas"/>
    <s v="Ļoti saspīlētas"/>
    <s v="Nav saspīlētas"/>
    <s v="Dažreiz"/>
    <s v="Reti"/>
    <s v="(Gandrīz) nekad"/>
    <s v="(Gandrīz) nekad"/>
    <s v="Bieži"/>
    <m/>
    <m/>
    <m/>
    <m/>
    <m/>
    <s v="В кругу друзей общаясь на русском языке,прохожие этим недовольствуются,упираясь на то,что мы живем в Латвии где родной язык латышсикий"/>
    <s v="jā, privāta darba devēja labā"/>
    <s v="Jā"/>
    <s v="Nē"/>
    <s v="Nē"/>
    <s v="Nē"/>
    <s v="Jā"/>
    <s v="Nē"/>
    <s v="Nē"/>
    <s v="Nē"/>
    <s v="N/A"/>
    <s v="N/A"/>
    <s v="N/A"/>
    <s v="Jā"/>
    <s v="(gandrīz) nekad"/>
    <s v="pāris reižu nedēļā"/>
    <s v="(gandrīz) katru dienu"/>
    <s v="pāris reižu mēnesī"/>
    <s v="(gandrīz) nekad"/>
    <s v="(gandrīz) nekad"/>
    <s v="(gandrīz) katru dienu"/>
    <s v="(gandrīz) katru dienu"/>
    <s v="(gandrīz) katru dienu"/>
    <s v="pāris reižu nedēļā"/>
    <s v="(gandrīz) katru dienu"/>
    <s v="(gandrīz) katru dienu"/>
    <s v="(gandrīz) katru dienu"/>
    <s v="pāris reižu nedēļā"/>
    <s v="pilsoniskās brīvības (vārda brīvība, tiesības uz tiesisko aizsardzību)"/>
    <s v="vienlīdzīgas tiesības minoritātēm un ievainojamām sabiedrības grupām"/>
    <s v="brīvas vēlēšanas un plurālisms"/>
    <m/>
    <m/>
    <s v="labi"/>
    <s v="labi"/>
    <s v="ļoti labi"/>
    <s v="citreiz labi, citreiz slikti"/>
    <s v="labi"/>
    <s v="vidējo izglītību"/>
    <m/>
    <s v="N/A"/>
    <s v="N/A"/>
    <s v="N/A"/>
    <s v="Jā"/>
    <s v="krievu"/>
    <m/>
    <s v="vienlīdz latviešu un kriev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Jā"/>
    <s v="Nē"/>
    <s v="Nē"/>
    <s v="Nē"/>
    <s v="Nē"/>
    <s v="Nē"/>
    <s v="Nē"/>
    <s v="Nē"/>
    <s v="Nē"/>
    <s v="Nē"/>
    <s v="Nē"/>
    <m/>
    <s v="Nē"/>
    <m/>
    <s v="Nē"/>
    <m/>
    <s v="Nē"/>
    <m/>
    <s v="Nē"/>
    <m/>
    <s v="Nē"/>
    <s v="Nē"/>
    <s v="Nē"/>
    <s v="Nē"/>
    <s v="Nē"/>
    <s v="Nē"/>
    <s v="Nē"/>
    <s v="Nē"/>
    <s v="Nē"/>
    <s v="Nē"/>
    <s v="Nē"/>
    <s v="Nē"/>
    <s v="Nē"/>
    <s v="Nē"/>
    <s v="Jā"/>
    <m/>
    <s v="Nē"/>
    <m/>
    <s v="Nē"/>
    <m/>
    <s v="Nē"/>
    <m/>
    <s v="Nē"/>
    <m/>
    <s v="Jā"/>
    <s v="Jā"/>
    <s v="Jā"/>
    <s v="Jā"/>
    <s v="Jā"/>
    <s v="Jā"/>
    <s v="Nē"/>
    <s v="Jā"/>
    <s v="Nē"/>
    <s v="Nē"/>
    <s v="Nē"/>
    <s v="Nē"/>
    <m/>
    <m/>
    <m/>
    <m/>
    <m/>
    <m/>
    <m/>
    <m/>
    <m/>
    <m/>
    <m/>
    <m/>
    <m/>
  </r>
  <r>
    <x v="1"/>
    <n v="228"/>
    <s v="2023-05-16 12:25:26"/>
    <n v="14"/>
    <s v="ru"/>
    <n v="1102762767"/>
    <s v="2023-05-16 12:06:41"/>
    <s v="2023-05-16 12:25:26"/>
    <s v="трава"/>
    <n v="17"/>
    <s v="sieviešu"/>
    <m/>
    <x v="1"/>
    <x v="0"/>
    <x v="0"/>
    <x v="0"/>
    <x v="0"/>
    <x v="0"/>
    <s v="Cita atbilde"/>
    <s v="Лиепая"/>
    <s v="pareizticīgo"/>
    <m/>
    <s v="Jā"/>
    <s v="Jā"/>
    <s v="Nē"/>
    <s v="Nē"/>
    <s v="Nē"/>
    <s v="Nē"/>
    <s v="Nē"/>
    <s v="Nē"/>
    <s v="Nē"/>
    <s v="Nē"/>
    <s v="Nē"/>
    <s v="Jā"/>
    <s v="Nē"/>
    <s v="Nē"/>
    <s v="N/A"/>
    <s v="N/A"/>
    <s v="N/A"/>
    <s v="N/A"/>
    <s v="N/A"/>
    <s v="N/A"/>
    <s v="Jā"/>
    <s v="Jā"/>
    <s v="Nē"/>
    <s v="Nē"/>
    <s v="Jā"/>
    <s v="Nē"/>
    <s v="Nē"/>
    <s v="Nē"/>
    <s v="nezinu"/>
    <s v="nezinu"/>
    <s v="nezinu"/>
    <s v="nezinu"/>
    <s v="nezinu"/>
    <s v="nezinu"/>
    <s v="Vienlīdzīgi"/>
    <s v="Lielākoties vienlīdzīgi"/>
    <s v="Lielākoties vienlīdzīgi"/>
    <s v="Lielākoties vienlīdzīgi"/>
    <s v="Lielākoties ne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Neinteresē"/>
    <s v="Neinteresē"/>
    <s v="Neinteresē"/>
    <s v="Ne sevišķi"/>
    <m/>
    <s v="Nē"/>
    <s v="Nē"/>
    <s v="Nē"/>
    <s v="Jā"/>
    <s v="Nē"/>
    <s v="Nē"/>
    <s v="2.."/>
    <n v="100"/>
    <n v="40"/>
    <n v="100"/>
    <n v="56"/>
    <s v="Mazliet saspīlētas"/>
    <s v="Nav saspīlētas"/>
    <s v="Mazliet saspīlētas"/>
    <s v="Reti"/>
    <s v="Reti"/>
    <s v="(Gandrīz) nekad"/>
    <s v="(Gandrīz) nekad"/>
    <s v="Reti"/>
    <s v="Reti"/>
    <s v="(Gandrīz) nekad"/>
    <s v="(Gandrīz) nekad"/>
    <s v="(Gandrīz) nekad"/>
    <s v="(Gandrīz) nekad"/>
    <m/>
    <s v="nē"/>
    <s v="N/A"/>
    <s v="N/A"/>
    <s v="N/A"/>
    <s v="N/A"/>
    <s v="N/A"/>
    <s v="N/A"/>
    <s v="N/A"/>
    <s v="Jā"/>
    <s v="N/A"/>
    <s v="N/A"/>
    <s v="N/A"/>
    <s v="Jā"/>
    <s v="(gandrīz) nekad"/>
    <s v="pāris reižu mēnesī"/>
    <s v="(gandrīz) nekad"/>
    <s v="(gandrīz) nekad"/>
    <s v="(gandrīz) nekad"/>
    <s v="(gandrīz) nekad"/>
    <s v="pāris reižu mēnesī"/>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nezinu"/>
    <s v="nezinu"/>
    <s v="nezinu"/>
    <s v="nezinu"/>
    <s v="nezinu"/>
    <s v="vidējo izglītību"/>
    <m/>
    <s v="N/A"/>
    <s v="N/A"/>
    <s v="N/A"/>
    <s v="Jā"/>
    <s v="vienlīdz latviešu un krievu"/>
    <m/>
    <s v="vienlīdz latviešu un krievu"/>
    <m/>
    <m/>
    <m/>
    <m/>
    <m/>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1"/>
    <n v="229"/>
    <s v="2023-05-16 12:31:30"/>
    <n v="14"/>
    <s v="ru"/>
    <n v="1263011051"/>
    <s v="2023-05-16 12:06:44"/>
    <s v="2023-05-16 12:31:30"/>
    <s v="трава"/>
    <n v="18"/>
    <s v="vīriešu"/>
    <m/>
    <x v="0"/>
    <x v="0"/>
    <x v="0"/>
    <x v="0"/>
    <x v="0"/>
    <x v="0"/>
    <s v="Cita atbilde"/>
    <s v="Курземе/ Лиепая"/>
    <s v="pareizticīgo"/>
    <m/>
    <s v="N/A"/>
    <s v="N/A"/>
    <s v="N/A"/>
    <s v="N/A"/>
    <s v="N/A"/>
    <s v="N/A"/>
    <s v="Jā"/>
    <s v="N/A"/>
    <s v="N/A"/>
    <s v="N/A"/>
    <s v="N/A"/>
    <s v="N/A"/>
    <s v="N/A"/>
    <s v="Jā"/>
    <s v="N/A"/>
    <s v="N/A"/>
    <s v="N/A"/>
    <s v="N/A"/>
    <s v="N/A"/>
    <s v="N/A"/>
    <s v="Jā"/>
    <s v="N/A"/>
    <s v="N/A"/>
    <s v="N/A"/>
    <s v="N/A"/>
    <s v="N/A"/>
    <s v="N/A"/>
    <s v="Jā"/>
    <s v="tikai a"/>
    <s v="tikai b"/>
    <s v="ne a, ne b"/>
    <s v="ne a, ne b"/>
    <s v="tikai a"/>
    <s v="tikai a"/>
    <s v="Lielākoties vienlīdzīgi"/>
    <s v="Nevienlīdzīgi"/>
    <s v="Vienlīdzīgi"/>
    <s v="Lielākoties nevienlīdzīgi"/>
    <s v="Lielākoties ne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Ļoti"/>
    <s v="Neinteresē"/>
    <s v="Ne sevišķi"/>
    <s v="Neinteresē"/>
    <s v="Заставить людей/народ адаптироваться к современным потребностям и проблемам насильным путём"/>
    <s v="Nē"/>
    <s v="Nē"/>
    <s v="Nē"/>
    <s v="Nē"/>
    <s v="Jā"/>
    <s v="Jā"/>
    <s v="2.."/>
    <n v="80"/>
    <n v="15"/>
    <n v="85"/>
    <n v="20"/>
    <s v="Ļoti saspīlētas"/>
    <s v="Drīzāk saspīlētas"/>
    <s v="Nav saspīlētas"/>
    <s v="(Gandrīz) nekad"/>
    <s v="(Gandrīz) nekad"/>
    <s v="(Gandrīz) nekad"/>
    <s v="Dažreiz"/>
    <s v="Reti"/>
    <s v="Bieži"/>
    <s v="Bieži"/>
    <s v="Dažreiz"/>
    <s v="(Gandrīz) nekad"/>
    <s v="Reti"/>
    <s v="когда в первые устроился работать в сеть магазинов DEPO и попросил перефразировать то-что мне сказали на латышском на русский, главной по отделению"/>
    <s v="nē"/>
    <s v="N/A"/>
    <s v="N/A"/>
    <s v="N/A"/>
    <s v="N/A"/>
    <s v="N/A"/>
    <s v="N/A"/>
    <s v="N/A"/>
    <s v="Jā"/>
    <s v="N/A"/>
    <s v="N/A"/>
    <s v="N/A"/>
    <s v="Jā"/>
    <s v="(gandrīz) nekad"/>
    <s v="pāris reižu mēnesī"/>
    <s v="(gandrīz) katru dienu"/>
    <s v="pāris reižu mēnesī"/>
    <s v="pāris reižu mēnesī"/>
    <s v="(gandrīz) nekad"/>
    <s v="(gandrīz) nekad"/>
    <s v="(gandrīz) katru dienu"/>
    <s v="(gandrīz) katru dienu"/>
    <s v="pāris reižu mēnesī"/>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nezinu"/>
    <s v="nezinu"/>
    <s v="nezinu"/>
    <s v="nezinu"/>
    <s v="nezinu"/>
    <s v="pamatizglītību"/>
    <m/>
    <s v="N/A"/>
    <s v="N/A"/>
    <s v="N/A"/>
    <s v="Jā"/>
    <s v="krievu"/>
    <m/>
    <s v="Cita atbilde"/>
    <s v="больше на русском чем на латышском (70/30)"/>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s v="liepajniekiem.lv"/>
    <s v="Nē"/>
    <m/>
    <s v="Jā"/>
    <s v="новости на телефоне построенные под мои интересы"/>
    <s v="Jā"/>
    <s v="новости на телефоне построенные под мои интересы"/>
    <s v="Nē"/>
    <m/>
    <s v="Jā"/>
    <s v="Nē"/>
    <s v="Nē"/>
    <s v="Nē"/>
    <s v="Jā"/>
    <s v="Jā"/>
    <s v="Nē"/>
    <s v="Jā"/>
    <s v="Nē"/>
    <s v="Nē"/>
    <s v="Nē"/>
    <s v="Nē"/>
    <s v="discord"/>
    <m/>
    <m/>
    <m/>
    <m/>
    <m/>
    <m/>
    <m/>
    <m/>
    <m/>
    <m/>
    <m/>
    <m/>
  </r>
  <r>
    <x v="1"/>
    <n v="230"/>
    <s v="2023-05-16 12:17:46"/>
    <n v="14"/>
    <s v="ru"/>
    <n v="1839268846"/>
    <s v="2023-05-16 12:06:51"/>
    <s v="2023-05-16 12:17:46"/>
    <s v="трава"/>
    <n v="18"/>
    <s v="sieviešu"/>
    <m/>
    <x v="0"/>
    <x v="0"/>
    <x v="0"/>
    <x v="0"/>
    <x v="0"/>
    <x v="0"/>
    <s v="Kurzemē"/>
    <m/>
    <s v="ateistu(ti), nereliģiozu"/>
    <m/>
    <s v="Nē"/>
    <s v="Nē"/>
    <s v="Jā"/>
    <s v="Nē"/>
    <s v="Nē"/>
    <s v="Nē"/>
    <s v="Nē"/>
    <s v="Nē"/>
    <s v="Nē"/>
    <s v="Nē"/>
    <s v="Nē"/>
    <s v="Jā"/>
    <s v="Nē"/>
    <s v="Nē"/>
    <s v="Nē"/>
    <s v="Nē"/>
    <s v="Nē"/>
    <s v="Jā"/>
    <s v="Nē"/>
    <s v="Nē"/>
    <s v="Nē"/>
    <s v="Nē"/>
    <s v="Nē"/>
    <s v="Nē"/>
    <s v="Nē"/>
    <s v="Nē"/>
    <s v="Jā"/>
    <s v="Nē"/>
    <s v="nezinu"/>
    <s v="tikai b"/>
    <s v="a un b"/>
    <s v="a un b"/>
    <s v="tikai b"/>
    <s v="a un b"/>
    <s v="Vienlīdzīgi"/>
    <s v="Lielākoties vienlīdzīgi"/>
    <s v="Vienlīdzīgi"/>
    <s v="Lielākoties 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Ārkārtīgi"/>
    <s v="Ļoti"/>
    <s v="Ļoti"/>
    <s v="Ļoti"/>
    <m/>
    <s v="Nē"/>
    <s v="Nē"/>
    <s v="Nē"/>
    <s v="Jā"/>
    <s v="Jā"/>
    <s v="Nē"/>
    <s v="2.."/>
    <n v="100"/>
    <n v="25"/>
    <n v="100"/>
    <n v="1"/>
    <s v="Drīzāk saspīlētas"/>
    <s v="Ļoti saspīlētas"/>
    <s v="Mazliet saspīlētas"/>
    <s v="(Gandrīz) nekad"/>
    <s v="(Gandrīz) nekad"/>
    <s v="(Gandrīz) nekad"/>
    <s v="(Gandrīz) nekad"/>
    <s v="(Gandrīz) nekad"/>
    <s v="(Gandrīz) nekad"/>
    <s v="(Gandrīz) nekad"/>
    <s v="(Gandrīz) nekad"/>
    <s v="Dažreiz"/>
    <s v="Bieži"/>
    <m/>
    <s v="nē"/>
    <s v="N/A"/>
    <s v="N/A"/>
    <s v="N/A"/>
    <s v="N/A"/>
    <s v="N/A"/>
    <s v="N/A"/>
    <s v="N/A"/>
    <s v="Jā"/>
    <s v="Jā"/>
    <s v="Nē"/>
    <s v="Nē"/>
    <s v="Nē"/>
    <s v="(gandrīz) nekad"/>
    <s v="pāris reižu nedēļā"/>
    <s v="(gandrīz) katru dienu"/>
    <s v="pāris reižu nedēļā"/>
    <s v="pāris reižu nedēļā"/>
    <s v="(gandrīz) nekad"/>
    <s v="(gandrīz) katru dienu"/>
    <s v="(gandrīz) katru dienu"/>
    <s v="(gandrīz) katru dienu"/>
    <s v="(gandrīz) katru dienu"/>
    <s v="(gandrīz) katru dienu"/>
    <s v="(gandrīz) katru dienu"/>
    <s v="(gandrīz) katru dienu"/>
    <s v="(gandrīz) katru dienu"/>
    <s v="vienlīdz pieejama izglītība, veselības aprūpe, sociālais nodrošinājums"/>
    <s v="vienlīdzīgas tiesības minoritātēm un ievainojamām sabiedrības grupām"/>
    <s v="pilsoniskās brīvības (vārda brīvība, tiesības uz tiesisko aizsardzību)"/>
    <m/>
    <m/>
    <s v="nezinu"/>
    <s v="nezinu"/>
    <s v="nezinu"/>
    <s v="nezinu"/>
    <s v="nezinu"/>
    <s v="vidējo izglītību"/>
    <m/>
    <s v="N/A"/>
    <s v="N/A"/>
    <s v="N/A"/>
    <s v="Jā"/>
    <s v="vienlīdz latviešu un krievu"/>
    <m/>
    <s v="latviešu"/>
    <m/>
    <s v="Spēju pastāstīt par savu hobiju / darbu."/>
    <s v="Spēju uzrakstīt motivācijas vēstuli darbam/ par savu darba pieredzi."/>
    <s v="Viegli saprotu radio programmas / podkāstus par saviem hobijiem/darbības sfēru."/>
    <s v="Spēju izlasīt avīzi/īsstāstus."/>
    <m/>
    <m/>
    <m/>
    <m/>
    <m/>
    <m/>
    <m/>
    <m/>
    <m/>
    <m/>
    <m/>
    <m/>
    <m/>
    <m/>
    <m/>
    <m/>
    <m/>
    <s v="N/A"/>
    <s v="N/A"/>
    <s v="N/A"/>
    <s v="N/A"/>
    <s v="N/A"/>
    <s v="N/A"/>
    <m/>
    <m/>
    <m/>
    <m/>
    <m/>
    <s v="Nē"/>
    <s v="Nē"/>
    <s v="Nē"/>
    <s v="Nē"/>
    <s v="Nē"/>
    <s v="Nē"/>
    <s v="Nē"/>
    <s v="Nē"/>
    <s v="Nē"/>
    <s v="Nē"/>
    <s v="Nē"/>
    <s v="Nē"/>
    <s v="Nē"/>
    <s v="Nē"/>
    <s v="Jā"/>
    <m/>
    <s v="Nē"/>
    <m/>
    <s v="Jā"/>
    <m/>
    <s v="Jā"/>
    <m/>
    <s v="Nē"/>
    <m/>
    <s v="Nē"/>
    <s v="Nē"/>
    <s v="Nē"/>
    <s v="Nē"/>
    <s v="Nē"/>
    <s v="Nē"/>
    <s v="Nē"/>
    <s v="Nē"/>
    <s v="Nē"/>
    <s v="Nē"/>
    <s v="Nē"/>
    <s v="Nē"/>
    <s v="Jā"/>
    <s v="Nē"/>
    <s v="Nē"/>
    <m/>
    <s v="Nē"/>
    <m/>
    <s v="Jā"/>
    <m/>
    <s v="Nē"/>
    <m/>
    <s v="Nē"/>
    <m/>
    <s v="Jā"/>
    <s v="Nē"/>
    <s v="Nē"/>
    <s v="Nē"/>
    <s v="Nē"/>
    <s v="Jā"/>
    <s v="Nē"/>
    <s v="Nē"/>
    <s v="Jā"/>
    <s v="Nē"/>
    <s v="Nē"/>
    <s v="Nē"/>
    <m/>
    <m/>
    <m/>
    <m/>
    <m/>
    <m/>
    <m/>
    <m/>
    <m/>
    <m/>
    <m/>
    <m/>
    <m/>
  </r>
  <r>
    <x v="1"/>
    <n v="231"/>
    <s v="2023-05-16 12:50:22"/>
    <n v="14"/>
    <s v="ru"/>
    <n v="1105037845"/>
    <s v="2023-05-16 12:07:00"/>
    <s v="2023-05-16 12:50:22"/>
    <s v="трава"/>
    <n v="17"/>
    <s v="sieviešu"/>
    <m/>
    <x v="0"/>
    <x v="0"/>
    <x v="0"/>
    <x v="0"/>
    <x v="0"/>
    <x v="0"/>
    <s v="Kurzemē"/>
    <m/>
    <s v="ateistu(ti), nereliģiozu"/>
    <m/>
    <s v="Nē"/>
    <s v="Nē"/>
    <s v="Nē"/>
    <s v="Nē"/>
    <s v="Jā"/>
    <s v="Nē"/>
    <s v="Nē"/>
    <s v="Nē"/>
    <s v="Jā"/>
    <s v="Nē"/>
    <s v="Nē"/>
    <s v="Jā"/>
    <s v="Nē"/>
    <s v="Nē"/>
    <s v="Nē"/>
    <s v="Jā"/>
    <s v="Nē"/>
    <s v="Nē"/>
    <s v="Jā"/>
    <s v="Jā"/>
    <s v="Nē"/>
    <s v="Nē"/>
    <s v="Jā"/>
    <s v="Nē"/>
    <s v="Nē"/>
    <s v="Nē"/>
    <s v="Nē"/>
    <s v="Nē"/>
    <s v="ne a, ne b"/>
    <s v="a un b"/>
    <s v="ne a, ne b"/>
    <s v="a un b"/>
    <s v="tikai a"/>
    <s v="a un b"/>
    <s v="Lielākoties vienlīdzīgi"/>
    <s v="Lielākoties nevienlīdzīgi"/>
    <s v="Vienlīdzīgi"/>
    <s v="Vienlīdzīgi"/>
    <s v="Lielākoties nevienlīdzīgi"/>
    <s v="Politiskā partija &quot;Stabilitātei&quot;"/>
    <s v="&quot;Apvienotais saraksts&quot;"/>
    <s v="&quot;Latvija pirmajā vietā&quot;"/>
    <s v="&quot;Latvija pirmajā vietā&quot;"/>
    <s v="&quot;Latvija pirmajā vietā&quot;"/>
    <s v="Nacionālā Apvienība"/>
    <s v="&quot;Latvija pirmajā vietā&quot;"/>
    <s v="Reizēm ekonomiskā un valsts stabilitāte varētu nozīmēt, ka atsevišķi ekoloģiskās politikas aspekti ir uz brīdi jāiepauzē."/>
    <s v="jā, daļu no tā, ko iespējams šķirot"/>
    <s v="Jaunā Vienotība"/>
    <s v="&quot;Latvija pirmajā vietā&quot;"/>
    <s v="&quot;Progresīvie&quot;"/>
    <s v="Zaļo un Zemnieku savienība"/>
    <s v="Nacionālā Apvienība"/>
    <s v="Zaļo un Zemnieku savienība"/>
    <s v="&quot;Progresīvie&quot;"/>
    <s v="&quot;Progresīvie&quot;"/>
    <s v="&quot;Progresīvie&quot;"/>
    <s v="&quot;Latvija pirmajā vietā&quot;"/>
    <s v="Jaunā Vienotība"/>
    <s v="Jaunā Vienotība"/>
    <s v="Jaunā Vienotība"/>
    <s v="&quot;Latvija pirmajā vietā&quot;"/>
    <s v="Ne sevišķi"/>
    <s v="Ne sevišķi"/>
    <s v="Neinteresē"/>
    <s v="Ne sevišķi"/>
    <s v="Человек по большей мере думает о своей нации и о своих ценностях"/>
    <s v="Nē"/>
    <s v="Nē"/>
    <s v="Nē"/>
    <s v="Nē"/>
    <s v="Jā"/>
    <s v="Nē"/>
    <s v="1.."/>
    <n v="80"/>
    <n v="40"/>
    <n v="80"/>
    <n v="20"/>
    <s v="Drīzāk saspīlētas"/>
    <s v="Mazliet saspīlētas"/>
    <s v="Nav saspīlētas"/>
    <s v="(Gandrīz) nekad"/>
    <s v="Reti"/>
    <s v="Dažreiz"/>
    <s v="(Gandrīz) nekad"/>
    <s v="Dažreiz"/>
    <s v="Dažreiz"/>
    <s v="Bieži"/>
    <s v="Reti"/>
    <s v="Reti"/>
    <s v="Dažreiz"/>
    <s v="чаще всего это с латышским. Ты можешь нормально понимать и говорить на латышском, но если вдруг латышь услышит ошибки и поймет что вы не носитель, то очень часто я сталкивалась с таким что человек не хочет даже слушать и продолжать диалог"/>
    <s v="nē"/>
    <s v="N/A"/>
    <s v="N/A"/>
    <s v="N/A"/>
    <s v="N/A"/>
    <s v="Jā"/>
    <s v="Nē"/>
    <s v="Jā"/>
    <s v="Nē"/>
    <s v="Jā"/>
    <s v="Nē"/>
    <s v="Jā"/>
    <s v="Nē"/>
    <s v="reizi nedēļā"/>
    <s v="(gandrīz) katru dienu"/>
    <s v="pāris reižu nedēļā"/>
    <s v="(gandrīz) katru dienu"/>
    <s v="pāris reižu mēnesī"/>
    <s v="pāris reižu mēnesī"/>
    <s v="(gandrīz) katru dienu"/>
    <s v="(gandrīz) katru dienu"/>
    <s v="(gandrīz) katru dienu"/>
    <s v="(gandrīz) katru dienu"/>
    <s v="(gandrīz) katru dienu"/>
    <s v="(gandrīz) katru dienu"/>
    <s v="(gandrīz) katru dienu"/>
    <s v="(gandrīz) katru dienu"/>
    <s v="varas līdzsvars starp parlamentu, prezidentu un tiesām, lai neviena no institūcijām nespētu sevī koncentrēt lielāko daļu varas"/>
    <s v="vienlīdz pieejama izglītība, veselības aprūpe, sociālais nodrošinājums"/>
    <s v="brīvas vēlēšanas un plurālisms"/>
    <m/>
    <m/>
    <s v="citreiz labi, citreiz slikti"/>
    <s v="slikti"/>
    <s v="citreiz labi, citreiz slikti"/>
    <s v="citreiz labi, citreiz slikti"/>
    <s v="citreiz labi, citreiz slikti"/>
    <s v="vidējo izglītību"/>
    <m/>
    <s v="N/A"/>
    <s v="N/A"/>
    <s v="N/A"/>
    <s v="Jā"/>
    <s v="vienlīdz latviešu un krievu"/>
    <m/>
    <s v="latvieš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Jā"/>
    <s v="Nē"/>
    <s v="Nē"/>
    <m/>
    <s v="Jā"/>
    <m/>
    <s v="Jā"/>
    <m/>
    <s v="Jā"/>
    <m/>
    <s v="Nē"/>
    <m/>
    <s v="Nē"/>
    <s v="Nē"/>
    <s v="Nē"/>
    <s v="Nē"/>
    <s v="Jā"/>
    <s v="Jā"/>
    <s v="Nē"/>
    <s v="Jā"/>
    <s v="Nē"/>
    <s v="Nē"/>
    <s v="Nē"/>
    <s v="Nē"/>
    <m/>
    <m/>
    <m/>
    <m/>
    <m/>
    <m/>
    <m/>
    <m/>
    <m/>
    <m/>
    <m/>
    <m/>
    <m/>
  </r>
  <r>
    <x v="1"/>
    <n v="232"/>
    <s v="2023-05-16 12:37:57"/>
    <n v="14"/>
    <s v="ru"/>
    <n v="1283340731"/>
    <s v="2023-05-16 12:07:00"/>
    <s v="2023-05-16 12:37:57"/>
    <s v="трава"/>
    <n v="17"/>
    <s v="sieviešu"/>
    <m/>
    <x v="0"/>
    <x v="0"/>
    <x v="0"/>
    <x v="0"/>
    <x v="0"/>
    <x v="0"/>
    <s v="Kurzemē"/>
    <m/>
    <s v="pareizticīgo"/>
    <m/>
    <s v="Nē"/>
    <s v="Jā"/>
    <s v="Nē"/>
    <s v="Nē"/>
    <s v="Nē"/>
    <s v="Nē"/>
    <s v="Nē"/>
    <s v="Nē"/>
    <s v="Jā"/>
    <s v="Nē"/>
    <s v="Nē"/>
    <s v="Jā"/>
    <s v="Nē"/>
    <s v="Nē"/>
    <s v="Nē"/>
    <s v="Nē"/>
    <s v="Nē"/>
    <s v="Nē"/>
    <s v="Nē"/>
    <s v="Jā"/>
    <s v="Nē"/>
    <s v="Nē"/>
    <s v="Nē"/>
    <s v="Nē"/>
    <s v="Nē"/>
    <s v="Jā"/>
    <s v="Nē"/>
    <s v="Nē"/>
    <s v="nezinu"/>
    <s v="nezinu"/>
    <s v="nezinu"/>
    <s v="nezinu"/>
    <s v="nezinu"/>
    <s v="nezinu"/>
    <s v="Lielākoties vienlīdzīgi"/>
    <s v="Lielākoties nevienlīdzīgi"/>
    <s v="Lielākoties vienlīdzīgi"/>
    <s v="Lielākoties vienlīdzīgi"/>
    <s v="Lielākoties nevienlīdzīgi"/>
    <s v="Politiskā partija &quot;Stabilitātei&quot;"/>
    <s v="Jaunā Vienotība"/>
    <s v="Zaļo un Zemnieku savienība"/>
    <s v="Zaļo un Zemnieku savienība"/>
    <s v="&quot;Apvienotais saraksts&quot;"/>
    <s v="Jaunā Vienotība"/>
    <s v="Zaļo un Zemnieku savienība"/>
    <s v="Klimata pārmaiņas – tas ir ciklisks un dabisks process."/>
    <s v="jā, daļu no tā, ko iespējams šķirot"/>
    <s v="&quot;Progresīvie&quot;"/>
    <s v="Jaunā Vienotība"/>
    <s v="Politiskā partija &quot;Stabilitātei&quot;"/>
    <s v="&quot;Latvija pirmajā vietā&quot;"/>
    <s v="Zaļo un Zemnieku savienība"/>
    <s v="&quot;Apvienotais saraksts&quot;"/>
    <s v="Nacionālā Apvienība"/>
    <s v="&quot;Apvienotais saraksts&quot;"/>
    <s v="&quot;Latvija pirmajā vietā&quot;"/>
    <s v="Zaļo un Zemnieku savienība"/>
    <s v="Politiskā partija &quot;Stabilitātei&quot;"/>
    <s v="Jaunā Vienotība"/>
    <s v="Nacionālā Apvienība"/>
    <s v="&quot;Progresīvie&quot;"/>
    <s v="Ļoti"/>
    <s v="Ne sevišķi"/>
    <s v="Viduvēji"/>
    <s v="Viduvēji"/>
    <s v="Распространение того или иного события в стране, которое нужно разобрать"/>
    <s v="Nē"/>
    <s v="Nē"/>
    <s v="Nē"/>
    <s v="Nē"/>
    <s v="Jā"/>
    <s v="Nē"/>
    <s v="2.."/>
    <n v="50"/>
    <n v="30"/>
    <n v="100"/>
    <n v="50"/>
    <s v="Drīzāk saspīlētas"/>
    <s v="Mazliet saspīlētas"/>
    <s v="Nav saspīlētas"/>
    <s v="(Gandrīz) nekad"/>
    <s v="(Gandrīz) nekad"/>
    <s v="(Gandrīz) nekad"/>
    <s v="(Gandrīz) nekad"/>
    <s v="(Gandrīz) nekad"/>
    <s v="Dažreiz"/>
    <s v="Dažreiz"/>
    <s v="(Gandrīz) nekad"/>
    <s v="(Gandrīz) nekad"/>
    <s v="Bieži"/>
    <s v="в кафе, русский язык"/>
    <s v="nē"/>
    <s v="N/A"/>
    <s v="N/A"/>
    <s v="N/A"/>
    <s v="N/A"/>
    <s v="N/A"/>
    <s v="N/A"/>
    <s v="N/A"/>
    <s v="Jā"/>
    <s v="N/A"/>
    <s v="N/A"/>
    <s v="N/A"/>
    <s v="Jā"/>
    <s v="(gandrīz) nekad"/>
    <s v="(gandrīz) nekad"/>
    <s v="(gandrīz) nekad"/>
    <s v="(gandrīz) nekad"/>
    <s v="pāris reižu mēnesī"/>
    <s v="reizi nedēļā"/>
    <s v="pāris reižu nedēļā"/>
    <s v="(gandrīz) katru dienu"/>
    <s v="(gandrīz) katru dienu"/>
    <s v="(gandrīz) nekad"/>
    <s v="(gandrīz) katru dienu"/>
    <s v="(gandrīz) katru dienu"/>
    <s v="(gandrīz) katru dienu"/>
    <s v="(gandrīz) katru dienu"/>
    <s v="vienlīdzīgas tiesības minoritātēm un ievainojamām sabiedrības grupām"/>
    <s v="pilsoniskās brīvības (vārda brīvība, tiesības uz tiesisko aizsardzību)"/>
    <s v="varas līdzsvars starp parlamentu, prezidentu un tiesām, lai neviena no institūcijām nespētu sevī koncentrēt lielāko daļu varas"/>
    <m/>
    <m/>
    <s v="citreiz labi, citreiz slikti"/>
    <s v="citreiz labi, citreiz slikti"/>
    <s v="labi"/>
    <s v="citreiz labi, citreiz slikti"/>
    <s v="slikti"/>
    <s v="vidējo izglītību"/>
    <m/>
    <s v="Nē"/>
    <s v="Jā"/>
    <s v="Nē"/>
    <s v="Nē"/>
    <s v="vienlīdz latviešu un krievu"/>
    <m/>
    <s v="krievu"/>
    <m/>
    <s v="Spēju pastāstīt par savu hobiju / darbu."/>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Jā"/>
    <s v="Nē"/>
    <s v="Nē"/>
    <s v="Nē"/>
    <s v="Nē"/>
    <s v="Nē"/>
    <s v="Nē"/>
    <s v="Nē"/>
    <s v="Nē"/>
    <m/>
    <s v="Nē"/>
    <m/>
    <s v="Nē"/>
    <m/>
    <s v="Jā"/>
    <s v="youtube"/>
    <s v="Nē"/>
    <m/>
    <s v="Nē"/>
    <s v="Nē"/>
    <s v="Nē"/>
    <s v="Nē"/>
    <s v="Nē"/>
    <s v="Nē"/>
    <s v="Nē"/>
    <s v="Nē"/>
    <s v="Nē"/>
    <s v="Nē"/>
    <s v="Nē"/>
    <s v="Nē"/>
    <s v="Nē"/>
    <s v="Nē"/>
    <s v="Jā"/>
    <m/>
    <s v="Nē"/>
    <m/>
    <s v="Nē"/>
    <m/>
    <s v="Nē"/>
    <m/>
    <s v="Nē"/>
    <m/>
    <s v="Jā"/>
    <s v="Jā"/>
    <s v="Nē"/>
    <s v="Nē"/>
    <s v="Jā"/>
    <s v="Jā"/>
    <s v="Nē"/>
    <s v="Jā"/>
    <s v="Nē"/>
    <s v="Nē"/>
    <s v="Nē"/>
    <s v="Nē"/>
    <m/>
    <m/>
    <m/>
    <m/>
    <m/>
    <m/>
    <m/>
    <m/>
    <m/>
    <m/>
    <m/>
    <m/>
    <m/>
  </r>
  <r>
    <x v="1"/>
    <n v="233"/>
    <s v="2023-05-16 12:43:19"/>
    <n v="14"/>
    <s v="ru"/>
    <n v="94467966"/>
    <s v="2023-05-16 12:07:03"/>
    <s v="2023-05-16 12:43:19"/>
    <s v="трава"/>
    <n v="17"/>
    <s v="sieviešu"/>
    <m/>
    <x v="0"/>
    <x v="0"/>
    <x v="0"/>
    <x v="0"/>
    <x v="0"/>
    <x v="0"/>
    <s v="Kurzemē"/>
    <m/>
    <s v="ateistu(ti), nereliģiozu"/>
    <m/>
    <s v="N/A"/>
    <s v="N/A"/>
    <s v="N/A"/>
    <s v="N/A"/>
    <s v="N/A"/>
    <s v="N/A"/>
    <s v="Jā"/>
    <s v="Nē"/>
    <s v="Nē"/>
    <s v="Nē"/>
    <s v="Jā"/>
    <s v="Nē"/>
    <s v="Jā"/>
    <s v="Nē"/>
    <s v="N/A"/>
    <s v="N/A"/>
    <s v="N/A"/>
    <s v="N/A"/>
    <s v="N/A"/>
    <s v="N/A"/>
    <s v="Jā"/>
    <s v="Nē"/>
    <s v="Jā"/>
    <s v="Jā"/>
    <s v="Jā"/>
    <s v="Jā"/>
    <s v="Nē"/>
    <s v="Nē"/>
    <s v="nezinu"/>
    <s v="tikai a"/>
    <s v="tikai a"/>
    <s v="a un b"/>
    <s v="tikai a"/>
    <s v="tikai b"/>
    <s v="Lielākoties nevienlīdzīgi"/>
    <s v="Lielākoties nevienlīdzīgi"/>
    <s v="Lielākoties vienlīdzīgi"/>
    <s v="Lielākoties vienlīdzīgi"/>
    <s v="Lielākoties vienlīdzīgi"/>
    <s v="nezinu"/>
    <s v="nezinu"/>
    <s v="nezinu"/>
    <s v="nezinu"/>
    <s v="nezinu"/>
    <s v="nezinu"/>
    <s v="nezinu"/>
    <s v="Cīņai ar klimata pārmaiņām būtu jābūt vairumam pasaules valstu galvenajai prioritātei."/>
    <s v="jā, daļu no tā, ko iespējams šķirot"/>
    <s v="nezinu"/>
    <s v="&quot;Latvija pirmajā vietā&quot;"/>
    <s v="nezinu"/>
    <s v="Zaļo un Zemnieku savienība"/>
    <s v="Jaunā Vienotība"/>
    <s v="&quot;Progresīvie&quot;"/>
    <s v="Politiskā partija &quot;Stabilitātei&quot;"/>
    <s v="&quot;Apvienotais saraksts&quot;"/>
    <s v="&quot;Progresīvie&quot;"/>
    <s v="Politiskā partija &quot;Stabilitātei&quot;"/>
    <s v="Jaunā Vienotība"/>
    <s v="nezinu"/>
    <s v="nezinu"/>
    <s v="nezinu"/>
    <s v="Viduvēji"/>
    <s v="Neinteresē"/>
    <s v="Ļoti"/>
    <s v="Viduvēji"/>
    <s v="обещания"/>
    <s v="Nē"/>
    <s v="Nē"/>
    <s v="Nē"/>
    <s v="Nē"/>
    <s v="Jā"/>
    <s v="Nē"/>
    <s v="1.."/>
    <n v="50"/>
    <n v="10"/>
    <n v="100"/>
    <n v="50"/>
    <s v="Ļoti saspīlētas"/>
    <s v="Mazliet saspīlētas"/>
    <s v="Es nezinu"/>
    <s v="(Gandrīz) nekad"/>
    <s v="(Gandrīz) nekad"/>
    <s v="(Gandrīz) nekad"/>
    <s v="(Gandrīz) nekad"/>
    <s v="(Gandrīz) nekad"/>
    <s v="Dažreiz"/>
    <s v="(Gandrīz) nekad"/>
    <s v="(Gandrīz) nekad"/>
    <s v="(Gandrīz) nekad"/>
    <s v="(Gandrīz) nekad"/>
    <m/>
    <s v="nē"/>
    <s v="N/A"/>
    <s v="N/A"/>
    <s v="N/A"/>
    <s v="N/A"/>
    <s v="N/A"/>
    <s v="N/A"/>
    <s v="N/A"/>
    <s v="Jā"/>
    <s v="N/A"/>
    <s v="N/A"/>
    <s v="N/A"/>
    <s v="Jā"/>
    <s v="(gandrīz) nekad"/>
    <s v="(gandrīz) katru dienu"/>
    <s v="(gandrīz) nekad"/>
    <s v="pāris reižu mēnesī"/>
    <s v="(gandrīz) nekad"/>
    <s v="pāris reižu nedēļā"/>
    <s v="pāris reižu nedēļā"/>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ienlīdzīgas tiesības minoritātēm un ievainojamām sabiedrības grupām"/>
    <m/>
    <m/>
    <s v="citreiz labi, citreiz slikti"/>
    <s v="citreiz labi, citreiz slikti"/>
    <s v="nezinu"/>
    <s v="nezinu"/>
    <s v="nezinu"/>
    <s v="pamatizglītību"/>
    <m/>
    <s v="N/A"/>
    <s v="N/A"/>
    <s v="N/A"/>
    <s v="Jā"/>
    <s v="vienlīdz latviešu un krievu"/>
    <m/>
    <s v="vienlīdz latviešu un krievu"/>
    <m/>
    <s v="Spēju ilgstoši sarunāties ar vienaudžiem/piedalīties darba pārrunās."/>
    <s v="Spēju uzrakstīt garāku sacerējumu/ kursa darbu"/>
    <s v="Viegli saprotu radio programmas / podkāstus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Nē"/>
    <s v="Nē"/>
    <s v="Nē"/>
    <s v="Nē"/>
    <s v="Nē"/>
    <m/>
    <m/>
    <m/>
    <m/>
    <m/>
    <m/>
    <m/>
    <m/>
    <m/>
    <m/>
    <m/>
    <m/>
    <m/>
  </r>
  <r>
    <x v="1"/>
    <n v="234"/>
    <s v="2023-05-16 12:39:05"/>
    <n v="14"/>
    <s v="ru"/>
    <n v="1958945734"/>
    <s v="2023-05-16 12:08:28"/>
    <s v="2023-05-16 12:39:05"/>
    <s v="трава"/>
    <n v="17"/>
    <s v="sieviešu"/>
    <m/>
    <x v="0"/>
    <x v="0"/>
    <x v="0"/>
    <x v="0"/>
    <x v="0"/>
    <x v="0"/>
    <s v="Kurzemē"/>
    <m/>
    <s v="pareizticīgo"/>
    <m/>
    <s v="Jā"/>
    <s v="Nē"/>
    <s v="Nē"/>
    <s v="Nē"/>
    <s v="Nē"/>
    <s v="Nē"/>
    <s v="Nē"/>
    <s v="Nē"/>
    <s v="Jā"/>
    <s v="Nē"/>
    <s v="Nē"/>
    <s v="Nē"/>
    <s v="Nē"/>
    <s v="Nē"/>
    <s v="Jā"/>
    <s v="Nē"/>
    <s v="Nē"/>
    <s v="Nē"/>
    <s v="Nē"/>
    <s v="Nē"/>
    <s v="Nē"/>
    <s v="Jā"/>
    <s v="Nē"/>
    <s v="Nē"/>
    <s v="Nē"/>
    <s v="Nē"/>
    <s v="Nē"/>
    <s v="Nē"/>
    <s v="tikai a"/>
    <s v="tikai b"/>
    <s v="tikai a"/>
    <s v="nezinu"/>
    <s v="tikai a"/>
    <s v="tikai a"/>
    <s v="Vienlīdzīgi"/>
    <s v="Vienlīdzīgi"/>
    <s v="Vienlīdzīgi"/>
    <s v="Vienlīdzīgi"/>
    <s v="Vienlīdzīgi"/>
    <s v="Jaunā Vienotība"/>
    <s v="Nacionālā Apvienība"/>
    <s v="Politiskā partija &quot;Stabilitātei&quot;"/>
    <s v="&quot;Progresīvie&quot;"/>
    <s v="nezinu"/>
    <s v="Zaļo un Zemnieku savienība"/>
    <s v="&quot;Apvienotais saraksts&quot;"/>
    <s v="Klimata pārmaiņas – tas ir ciklisks un dabisks process."/>
    <s v="jā, daļu no tā, ko iespējams šķirot"/>
    <s v="&quot;Apvienotais saraksts&quot;"/>
    <s v="Zaļo un Zemnieku savienība"/>
    <s v="Jaunā Vienotība"/>
    <s v="&quot;Progresīvie&quot;"/>
    <s v="&quot;Latvija pirmajā vietā&quot;"/>
    <s v="Politiskā partija &quot;Stabilitātei&quot;"/>
    <s v="Nacionālā Apvienība"/>
    <s v="Nacionālā Apvienība"/>
    <s v="&quot;Latvija pirmajā vietā&quot;"/>
    <s v="&quot;Apvienotais saraksts&quot;"/>
    <s v="Jaunā Vienotība"/>
    <s v="Zaļo un Zemnieku savienība"/>
    <s v="&quot;Progresīvie&quot;"/>
    <s v="Politiskā partija &quot;Stabilitātei&quot;"/>
    <s v="Viduvēji"/>
    <s v="Viduvēji"/>
    <s v="Ļoti"/>
    <s v="Ļoti"/>
    <s v="возможнобкогда человек бореца за определенную проблему и пытается превлечь как можно больше внимания к ней."/>
    <s v="Nē"/>
    <s v="Nē"/>
    <s v="Jā"/>
    <s v="Nē"/>
    <s v="Jā"/>
    <s v="Nē"/>
    <s v="2.."/>
    <n v="50"/>
    <n v="29"/>
    <n v="90"/>
    <n v="30"/>
    <s v="Mazliet saspīlētas"/>
    <s v="Nav saspīlētas"/>
    <s v="Nav saspīlētas"/>
    <s v="(Gandrīz) nekad"/>
    <s v="(Gandrīz) nekad"/>
    <s v="(Gandrīz) nekad"/>
    <s v="Reti"/>
    <s v="Reti"/>
    <s v="(Gandrīz) nekad"/>
    <s v="(Gandrīz) nekad"/>
    <s v="(Gandrīz) nekad"/>
    <s v="Reti"/>
    <s v="Reti"/>
    <s v="дома, в семье и с друзьями я говорю на русском.В магазине я разговариваю с продовцами на латышском или на руском."/>
    <s v="nē"/>
    <s v="N/A"/>
    <s v="N/A"/>
    <s v="N/A"/>
    <s v="N/A"/>
    <s v="Jā"/>
    <s v="Nē"/>
    <s v="Nē"/>
    <s v="Nē"/>
    <s v="Jā"/>
    <s v="Jā"/>
    <s v="Nē"/>
    <s v="Nē"/>
    <s v="(gandrīz) nekad"/>
    <s v="pāris reižu nedēļā"/>
    <s v="(gandrīz) nekad"/>
    <s v="(gandrīz) nekad"/>
    <s v="(gandrīz) nekad"/>
    <s v="(gandrīz) nekad"/>
    <s v="pāris reižu nedēļā"/>
    <s v="(gandrīz) katru dienu"/>
    <s v="(gandrīz) katru dienu"/>
    <s v="(gandrīz) nekad"/>
    <s v="(gandrīz) katru dienu"/>
    <s v="(gandrīz) katru dienu"/>
    <s v="(gandrīz) katru dienu"/>
    <s v="(gandrīz) katru dienu"/>
    <s v="vienlīdzīgas tiesības minoritātēm un ievainojamām sabiedrības grupām"/>
    <s v="brīvas vēlēšanas un plurālisms"/>
    <s v="pilsoniskās brīvības (vārda brīvība, tiesības uz tiesisko aizsardzību)"/>
    <m/>
    <m/>
    <s v="citreiz labi, citreiz slikti"/>
    <s v="slikti"/>
    <s v="citreiz labi, citreiz slikti"/>
    <s v="nezinu"/>
    <s v="slikti"/>
    <s v="vidējo izglītību"/>
    <m/>
    <s v="N/A"/>
    <s v="N/A"/>
    <s v="N/A"/>
    <s v="Jā"/>
    <s v="krievu"/>
    <m/>
    <s v="krievu"/>
    <m/>
    <s v="Spēju pastāstīt par savu hobiju / darbu."/>
    <s v="Spēju uzrakstīt motivācijas vēstuli darbam/ par savu darba pieredzi."/>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Jā"/>
    <s v="Nē"/>
    <s v="Nē"/>
    <s v="Nē"/>
    <s v="Nē"/>
    <s v="Nē"/>
    <s v="Nē"/>
    <s v="Nē"/>
    <s v="Nē"/>
    <s v="Nē"/>
    <s v="Nē"/>
    <s v="Nē"/>
    <m/>
    <s v="Nē"/>
    <m/>
    <s v="Nē"/>
    <m/>
    <s v="Nē"/>
    <m/>
    <s v="Nē"/>
    <m/>
    <s v="Jā"/>
    <s v="Jā"/>
    <s v="Nē"/>
    <s v="Nē"/>
    <s v="Jā"/>
    <s v="Nē"/>
    <s v="Nē"/>
    <s v="Jā"/>
    <s v="Nē"/>
    <s v="Nē"/>
    <s v="Nē"/>
    <s v="Nē"/>
    <m/>
    <s v="Спасибо за опрос!"/>
    <m/>
    <m/>
    <m/>
    <m/>
    <m/>
    <m/>
    <m/>
    <m/>
    <m/>
    <m/>
    <m/>
  </r>
  <r>
    <x v="1"/>
    <n v="235"/>
    <s v="2023-05-16 12:41:34"/>
    <n v="14"/>
    <s v="ru"/>
    <n v="1179524459"/>
    <s v="2023-05-16 12:08:37"/>
    <s v="2023-05-16 12:41:34"/>
    <s v="трава"/>
    <n v="17"/>
    <s v="sieviešu"/>
    <m/>
    <x v="0"/>
    <x v="0"/>
    <x v="0"/>
    <x v="0"/>
    <x v="0"/>
    <x v="0"/>
    <s v="Cita atbilde"/>
    <s v="Лиепая"/>
    <s v="ateistu(ti), nereliģiozu"/>
    <m/>
    <s v="Jā"/>
    <s v="Nē"/>
    <s v="Nē"/>
    <s v="Jā"/>
    <s v="Jā"/>
    <s v="Nē"/>
    <s v="Nē"/>
    <s v="Nē"/>
    <s v="Jā"/>
    <s v="Nē"/>
    <s v="Nē"/>
    <s v="Jā"/>
    <s v="Jā"/>
    <s v="Nē"/>
    <s v="Jā"/>
    <s v="Nē"/>
    <s v="Jā"/>
    <s v="Nē"/>
    <s v="Nē"/>
    <s v="Nē"/>
    <s v="Nē"/>
    <s v="N/A"/>
    <s v="N/A"/>
    <s v="N/A"/>
    <s v="N/A"/>
    <s v="N/A"/>
    <s v="N/A"/>
    <s v="Jā"/>
    <s v="a un b"/>
    <s v="tikai b"/>
    <s v="nezinu"/>
    <s v="tikai a"/>
    <s v="tikai a"/>
    <s v="tikai a"/>
    <s v="Lielākoties nevienlīdzīgi"/>
    <s v="Lielākoties nevienlīdzīgi"/>
    <s v="Vienlīdzīgi"/>
    <s v="Lielākoties vienlīdzīgi"/>
    <s v="Lielākoties vienlīdzīgi"/>
    <s v="Politiskā partija &quot;Stabilitātei&quot;"/>
    <s v="&quot;Progresīvie&quot;"/>
    <s v="Jaunā Vienotība"/>
    <s v="Zaļo un Zemnieku savienība"/>
    <s v="Nacionālā Apvienība"/>
    <s v="&quot;Apvienotais saraksts&quot;"/>
    <s v="nezinu"/>
    <s v="Cīņai ar klimata pārmaiņām būtu jābūt vairumam pasaules valstu galvenajai prioritātei."/>
    <s v="jā, daļu no tā, ko iespējams šķirot"/>
    <s v="Jaunā Vienotība"/>
    <s v="&quot;Progresīvie&quot;"/>
    <s v="&quot;Apvienotais saraksts&quot;"/>
    <s v="&quot;Latvija pirmajā vietā&quot;"/>
    <s v="Politiskā partija &quot;Stabilitātei&quot;"/>
    <s v="Zaļo un Zemnieku savienība"/>
    <s v="Nacionālā Apvienība"/>
    <s v="&quot;Apvienotais saraksts&quot;"/>
    <s v="Jaunā Vienotība"/>
    <s v="Zaļo un Zemnieku savienība"/>
    <s v="Politiskā partija &quot;Stabilitātei&quot;"/>
    <s v="&quot;Latvija pirmajā vietā&quot;"/>
    <s v="&quot;Progresīvie&quot;"/>
    <s v="Nacionālā Apvienība"/>
    <s v="Neinteresē"/>
    <s v="Neinteresē"/>
    <s v="Neinteresē"/>
    <s v="Neinteresē"/>
    <s v="не знаю"/>
    <s v="Nē"/>
    <s v="Nē"/>
    <s v="Nē"/>
    <s v="Jā"/>
    <s v="Jā"/>
    <s v="Nē"/>
    <s v="2.."/>
    <n v="50"/>
    <n v="1"/>
    <n v="100"/>
    <n v="1"/>
    <s v="Drīzāk saspīlētas"/>
    <s v="Mazliet saspīlētas"/>
    <s v="Nav saspīlētas"/>
    <s v="(Gandrīz) nekad"/>
    <s v="(Gandrīz) nekad"/>
    <s v="(Gandrīz) nekad"/>
    <s v="(Gandrīz) nekad"/>
    <s v="(Gandrīz) nekad"/>
    <s v="(Gandrīz) nekad"/>
    <s v="(Gandrīz) nekad"/>
    <s v="(Gandrīz) nekad"/>
    <s v="(Gandrīz) nekad"/>
    <s v="Dažreiz"/>
    <m/>
    <s v="nē"/>
    <s v="N/A"/>
    <s v="N/A"/>
    <s v="N/A"/>
    <s v="N/A"/>
    <s v="N/A"/>
    <s v="N/A"/>
    <s v="N/A"/>
    <s v="Jā"/>
    <s v="N/A"/>
    <s v="N/A"/>
    <s v="N/A"/>
    <s v="Jā"/>
    <s v="(gandrīz) nekad"/>
    <s v="pāris reižu mēnesī"/>
    <s v="(gandrīz) nekad"/>
    <s v="pāris reižu mēnesī"/>
    <s v="(gandrīz) nekad"/>
    <s v="(gandrīz) nekad"/>
    <s v="pāris reižu mēnesī"/>
    <s v="(gandrīz) katru dienu"/>
    <s v="(gandrīz) katru dienu"/>
    <s v="(gandrīz) katru dienu"/>
    <s v="(gandrīz) katru dienu"/>
    <s v="(gandrīz) katru dienu"/>
    <s v="(gandrīz) katru dienu"/>
    <s v="(gandrīz) katru dienu"/>
    <s v="vienlīdz pieejama izglītība, veselības aprūpe, sociālais nodrošinājums"/>
    <s v="vienlīdzīgas tiesības minoritātēm un ievainojamām sabiedrības grupām"/>
    <s v="pilsoniskās brīvības (vārda brīvība, tiesības uz tiesisko aizsardzību)"/>
    <m/>
    <m/>
    <s v="slikti"/>
    <s v="slikti"/>
    <s v="citreiz labi, citreiz slikti"/>
    <s v="knapi/gandrīz necik"/>
    <s v="nezinu"/>
    <s v="vidējo izglītību"/>
    <m/>
    <s v="N/A"/>
    <s v="N/A"/>
    <s v="N/A"/>
    <s v="Jā"/>
    <s v="krievu"/>
    <m/>
    <s v="vienlīdz latviešu un kriev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Jā"/>
    <s v="Nē"/>
    <s v="Nē"/>
    <s v="Nē"/>
    <s v="Nē"/>
    <m/>
    <m/>
    <m/>
    <m/>
    <m/>
    <m/>
    <m/>
    <m/>
    <m/>
    <m/>
    <m/>
    <m/>
    <m/>
  </r>
  <r>
    <x v="1"/>
    <n v="236"/>
    <s v="2023-05-16 12:34:06"/>
    <n v="14"/>
    <s v="ru"/>
    <n v="100914976"/>
    <s v="2023-05-16 12:09:03"/>
    <s v="2023-05-16 12:34:06"/>
    <s v="трава"/>
    <n v="18"/>
    <s v="vīriešu"/>
    <m/>
    <x v="0"/>
    <x v="0"/>
    <x v="0"/>
    <x v="0"/>
    <x v="0"/>
    <x v="0"/>
    <s v="Kurzemē"/>
    <m/>
    <s v="pareizticīgo"/>
    <m/>
    <s v="Jā"/>
    <s v="Jā"/>
    <s v="Nē"/>
    <s v="Nē"/>
    <s v="Nē"/>
    <s v="Nē"/>
    <s v="Nē"/>
    <s v="Jā"/>
    <s v="Jā"/>
    <s v="Jā"/>
    <s v="Nē"/>
    <s v="Jā"/>
    <s v="Nē"/>
    <s v="Nē"/>
    <s v="Nē"/>
    <s v="Nē"/>
    <s v="Jā"/>
    <s v="Jā"/>
    <s v="Jā"/>
    <s v="Nē"/>
    <s v="Nē"/>
    <s v="Jā"/>
    <s v="Jā"/>
    <s v="Nē"/>
    <s v="Jā"/>
    <s v="Nē"/>
    <s v="Jā"/>
    <s v="Nē"/>
    <s v="tikai b"/>
    <s v="ne a, ne b"/>
    <s v="ne a, ne b"/>
    <s v="tikai b"/>
    <s v="tikai b"/>
    <s v="tikai b"/>
    <s v="Vienlīdzīgi"/>
    <s v="Lielākoties nevienlīdzīgi"/>
    <s v="Vienlīdzīgi"/>
    <s v="Vienlīdzīgi"/>
    <s v="Lielākoties nevienlīdzīgi"/>
    <s v="&quot;Latvija pirmajā vietā&quot;"/>
    <s v="&quot;Progresīvie&quot;"/>
    <s v="Politiskā partija &quot;Stabilitātei&quot;"/>
    <s v="&quot;Apvienotais saraksts&quot;"/>
    <s v="Zaļo un Zemnieku savienība"/>
    <s v="Nacionālā Apvienība"/>
    <s v="Jaunā Vienotība"/>
    <s v="Klimata pārmaiņas – tas ir ciklisks un dabisks process."/>
    <s v="jā, daļu no tā, ko iespējams šķirot"/>
    <s v="Jaunā Vienotība"/>
    <s v="Nacionālā Apvienība"/>
    <s v="Politiskā partija &quot;Stabilitātei&quot;"/>
    <s v="&quot;Latvija pirmajā vietā&quot;"/>
    <s v="&quot;Progresīvie&quot;"/>
    <s v="Zaļo un Zemnieku savienība"/>
    <s v="&quot;Apvienotais saraksts&quot;"/>
    <s v="&quot;Apvienotais saraksts&quot;"/>
    <s v="Jaunā Vienotība"/>
    <s v="Nacionālā Apvienība"/>
    <s v="&quot;Progresīvie&quot;"/>
    <s v="&quot;Latvija pirmajā vietā&quot;"/>
    <s v="Zaļo un Zemnieku savienība"/>
    <s v="Politiskā partija &quot;Stabilitātei&quot;"/>
    <s v="Ļoti"/>
    <s v="Neinteresē"/>
    <s v="Ļoti"/>
    <s v="Viduvēji"/>
    <s v="Не знаю."/>
    <s v="Nē"/>
    <s v="Nē"/>
    <s v="Nē"/>
    <s v="Nē"/>
    <s v="Jā"/>
    <s v="Nē"/>
    <s v="2.."/>
    <n v="50"/>
    <n v="23"/>
    <n v="30"/>
    <n v="1"/>
    <s v="Drīzāk saspīlētas"/>
    <s v="Mazliet saspīlētas"/>
    <s v="Nav saspīlētas"/>
    <s v="(Gandrīz) nekad"/>
    <s v="(Gandrīz) nekad"/>
    <s v="(Gandrīz) nekad"/>
    <s v="(Gandrīz) nekad"/>
    <s v="(Gandrīz) nekad"/>
    <s v="(Gandrīz) nekad"/>
    <s v="(Gandrīz) nekad"/>
    <s v="(Gandrīz) nekad"/>
    <s v="(Gandrīz) nekad"/>
    <s v="(Gandrīz) nekad"/>
    <m/>
    <s v="nē"/>
    <s v="N/A"/>
    <s v="N/A"/>
    <s v="N/A"/>
    <s v="N/A"/>
    <s v="Jā"/>
    <s v="Jā"/>
    <s v="Nē"/>
    <s v="Nē"/>
    <s v="Nē"/>
    <s v="Jā"/>
    <s v="Nē"/>
    <s v="Nē"/>
    <s v="(gandrīz) nekad"/>
    <s v="(gandrīz) nekad"/>
    <s v="(gandrīz) nekad"/>
    <s v="(gandrīz) nekad"/>
    <s v="(gandrīz) nekad"/>
    <s v="(gandrīz) nekad"/>
    <s v="reizi nedēļā"/>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slikti"/>
    <s v="citreiz labi, citreiz slikti"/>
    <s v="citreiz labi, citreiz slikti"/>
    <s v="slikti"/>
    <s v="knapi/gandrīz necik"/>
    <s v="vidējo izglītību"/>
    <m/>
    <s v="N/A"/>
    <s v="N/A"/>
    <s v="N/A"/>
    <s v="Jā"/>
    <s v="vienlīdz latviešu un 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Nē"/>
    <s v="Nē"/>
    <s v="Nē"/>
    <s v="Jā"/>
    <s v="Jā"/>
    <s v="Jā"/>
    <s v="Nē"/>
    <s v="Jā"/>
    <s v="Jā"/>
    <s v="Nē"/>
    <s v="Nē"/>
    <s v="Nē"/>
    <m/>
    <m/>
    <m/>
    <m/>
    <m/>
    <m/>
    <m/>
    <m/>
    <m/>
    <m/>
    <m/>
    <m/>
    <m/>
  </r>
  <r>
    <x v="1"/>
    <n v="237"/>
    <s v="2023-05-16 12:38:09"/>
    <n v="14"/>
    <s v="ru"/>
    <n v="1542468548"/>
    <s v="2023-05-16 12:09:05"/>
    <s v="2023-05-16 12:38:09"/>
    <s v="трава"/>
    <n v="17"/>
    <s v="sieviešu"/>
    <m/>
    <x v="0"/>
    <x v="0"/>
    <x v="0"/>
    <x v="0"/>
    <x v="0"/>
    <x v="0"/>
    <s v="Kurzemē"/>
    <m/>
    <s v="pareizticīgo"/>
    <m/>
    <s v="Nē"/>
    <s v="Jā"/>
    <s v="Nē"/>
    <s v="Nē"/>
    <s v="Nē"/>
    <s v="Nē"/>
    <s v="Nē"/>
    <s v="Jā"/>
    <s v="Nē"/>
    <s v="Nē"/>
    <s v="Nē"/>
    <s v="Jā"/>
    <s v="Nē"/>
    <s v="Nē"/>
    <s v="Nē"/>
    <s v="Nē"/>
    <s v="Nē"/>
    <s v="Jā"/>
    <s v="Nē"/>
    <s v="Nē"/>
    <s v="Nē"/>
    <s v="Nē"/>
    <s v="Nē"/>
    <s v="Nē"/>
    <s v="Jā"/>
    <s v="Nē"/>
    <s v="Jā"/>
    <s v="Nē"/>
    <s v="tikai b"/>
    <s v="a un b"/>
    <s v="a un b"/>
    <s v="a un b"/>
    <s v="tikai a"/>
    <s v="tikai a"/>
    <s v="Vienlīdzīgi"/>
    <s v="Lielākoties vienlīdzīgi"/>
    <s v="Vienlīdzīgi"/>
    <s v="Vienlīdzīgi"/>
    <s v="Lielākoties nevienlīdzīgi"/>
    <s v="&quot;Latvija pirmajā vietā&quot;"/>
    <s v="Politiskā partija &quot;Stabilitātei&quot;"/>
    <s v="Nacionālā Apvienība"/>
    <s v="nezinu"/>
    <s v="&quot;Apvienotais saraksts&quot;"/>
    <s v="&quot;Progresīvie&quot;"/>
    <s v="nezinu"/>
    <s v="Globālā sasilšana ir šķērsojusi robežu, pēc kuras nav iespējams atgriezties, un cilvēkiem būs jāpielāgojas."/>
    <s v="jā, daļu no tā, ko iespējams šķirot"/>
    <s v="&quot;Progresīvie&quot;"/>
    <s v="Nacionālā Apvienība"/>
    <s v="&quot;Latvija pirmajā vietā&quot;"/>
    <s v="nezinu"/>
    <s v="nezinu"/>
    <s v="Zaļo un Zemnieku savienība"/>
    <s v="nezinu"/>
    <s v="&quot;Apvienotais saraksts&quot;"/>
    <s v="Jaunā Vienotība"/>
    <s v="Nacionālā Apvienība"/>
    <s v="nezinu"/>
    <s v="&quot;Progresīvie&quot;"/>
    <s v="nezinu"/>
    <s v="nezinu"/>
    <s v="Ne sevišķi"/>
    <s v="Ne sevišķi"/>
    <s v="Ne sevišķi"/>
    <s v="Viduvēji"/>
    <s v="не знаю"/>
    <s v="Nē"/>
    <s v="Nē"/>
    <s v="Nē"/>
    <s v="Jā"/>
    <s v="Nē"/>
    <s v="Nē"/>
    <s v="2.."/>
    <n v="50"/>
    <n v="50"/>
    <n v="70"/>
    <n v="1"/>
    <s v="Mazliet saspīlētas"/>
    <s v="Drīzāk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katru dienu"/>
    <s v="(gandrīz) nekad"/>
    <s v="(gandrīz) nekad"/>
    <s v="(gandrīz) nekad"/>
    <s v="(gandrīz) nekad"/>
    <s v="pāris reižu nedēļā"/>
    <s v="(gandrīz) katru dienu"/>
    <s v="(gandrīz) katru dienu"/>
    <s v="(gandrīz) nekad"/>
    <s v="(gandrīz) katru dienu"/>
    <s v="(gandrīz) katru dienu"/>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labi"/>
    <s v="citreiz labi, citreiz slikti"/>
    <s v="citreiz labi, citreiz slikti"/>
    <s v="labi"/>
    <s v="citreiz labi, citreiz slikti"/>
    <s v="vidējo izglītību"/>
    <m/>
    <s v="Nē"/>
    <s v="Jā"/>
    <s v="Nē"/>
    <s v="Nē"/>
    <s v="krievu"/>
    <m/>
    <s v="vienlīdz latviešu un krievu"/>
    <m/>
    <s v="Spēju pastāstīt par savu hobiju / darbu."/>
    <s v="Spēju uzrakstīt garāku sacerējumu/ kursa darbu"/>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Nē"/>
    <s v="Jā"/>
    <s v="Nē"/>
    <s v="Nē"/>
    <s v="Jā"/>
    <s v="Jā"/>
    <s v="Nē"/>
    <s v="Jā"/>
    <s v="Nē"/>
    <s v="Nē"/>
    <s v="Nē"/>
    <s v="Nē"/>
    <m/>
    <m/>
    <m/>
    <m/>
    <m/>
    <m/>
    <m/>
    <m/>
    <m/>
    <m/>
    <m/>
    <m/>
    <m/>
  </r>
  <r>
    <x v="1"/>
    <n v="238"/>
    <s v="2023-05-16 12:39:37"/>
    <n v="14"/>
    <s v="ru"/>
    <n v="1168135659"/>
    <s v="2023-05-16 12:09:12"/>
    <s v="2023-05-16 12:39:37"/>
    <s v="lapsa"/>
    <n v="17"/>
    <s v="sieviešu"/>
    <m/>
    <x v="1"/>
    <x v="0"/>
    <x v="0"/>
    <x v="0"/>
    <x v="0"/>
    <x v="0"/>
    <s v="Kurzemē"/>
    <m/>
    <s v="ateistu(ti), nereliģiozu"/>
    <m/>
    <s v="Nē"/>
    <s v="Jā"/>
    <s v="Nē"/>
    <s v="Nē"/>
    <s v="Nē"/>
    <s v="Nē"/>
    <s v="Nē"/>
    <s v="Nē"/>
    <s v="Nē"/>
    <s v="Nē"/>
    <s v="Nē"/>
    <s v="Nē"/>
    <s v="Jā"/>
    <s v="Nē"/>
    <s v="Nē"/>
    <s v="Nē"/>
    <s v="Jā"/>
    <s v="Nē"/>
    <s v="Nē"/>
    <s v="Nē"/>
    <s v="Nē"/>
    <s v="Jā"/>
    <s v="Jā"/>
    <s v="Nē"/>
    <s v="Nē"/>
    <s v="Jā"/>
    <s v="Nē"/>
    <s v="Nē"/>
    <s v="nezinu"/>
    <s v="nezinu"/>
    <s v="nezinu"/>
    <s v="nezinu"/>
    <s v="nezinu"/>
    <s v="nezinu"/>
    <s v="Lielākoties nevienlīdzīgi"/>
    <s v="Lielākoties nevienlīdzīgi"/>
    <s v="Lielākoties vienlīdzīgi"/>
    <s v="Lielākoties vienlīdzīgi"/>
    <s v="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Viduvēji"/>
    <s v="Viduvēji"/>
    <s v="Viduvēji"/>
    <s v="Viduvēji"/>
    <s v="политика"/>
    <s v="Nē"/>
    <s v="Nē"/>
    <s v="Nē"/>
    <s v="Jā"/>
    <s v="Jā"/>
    <s v="Nē"/>
    <s v="2.."/>
    <n v="75"/>
    <n v="65"/>
    <n v="75"/>
    <n v="10"/>
    <s v="Ļoti saspīlētas"/>
    <s v="Mazliet saspīlētas"/>
    <s v="Nav saspīlētas"/>
    <s v="(Gandrīz) nekad"/>
    <s v="(Gandrīz) nekad"/>
    <s v="(Gandrīz) nekad"/>
    <s v="(Gandrīz) nekad"/>
    <s v="(Gandrīz) nekad"/>
    <s v="Reti"/>
    <s v="Reti"/>
    <s v="(Gandrīz) nekad"/>
    <s v="Reti"/>
    <s v="Reti"/>
    <s v="Чаще всего я использовала &quot;неправильный язык&quot; (русский) в ьом случае, когда мне сложно правильно донести свою мысль на латышском, так как я очень сильно беспокоюсь о том, что люди неправильно меня поймут."/>
    <s v="nē"/>
    <s v="N/A"/>
    <s v="N/A"/>
    <s v="N/A"/>
    <s v="N/A"/>
    <s v="Jā"/>
    <s v="Nē"/>
    <s v="Nē"/>
    <s v="Nē"/>
    <s v="Jā"/>
    <s v="Nē"/>
    <s v="Nē"/>
    <s v="Nē"/>
    <s v="pāris reižu nedēļā"/>
    <s v="(gandrīz) katru dienu"/>
    <s v="(gandrīz) nekad"/>
    <s v="reizi nedēļā"/>
    <s v="(gandrīz) nekad"/>
    <s v="reizi nedēļā"/>
    <s v="(gandrīz) katru dienu"/>
    <s v="(gandrīz) katru dienu"/>
    <s v="(gandrīz) katru dienu"/>
    <s v="(gandrīz) nekad"/>
    <s v="(gandrīz) katru dienu"/>
    <s v="(gandrīz) nekad"/>
    <s v="(gandrīz) katru dienu"/>
    <s v="pāris reižu mēnesī"/>
    <s v="varas līdzsvars starp parlamentu, prezidentu un tiesām, lai neviena no institūcijām nespētu sevī koncentrēt lielāko daļu varas"/>
    <s v="brīvas vēlēšanas un plurālisms"/>
    <s v="vienlīdz pieejama izglītība, veselības aprūpe, sociālais nodrošinājums"/>
    <m/>
    <m/>
    <s v="citreiz labi, citreiz slikti"/>
    <s v="citreiz labi, citreiz slikti"/>
    <s v="slikti"/>
    <s v="nezinu"/>
    <s v="knapi/gandrīz necik"/>
    <s v="vidēj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Jā"/>
    <s v="Nē"/>
    <s v="Nē"/>
    <s v="Nē"/>
    <s v="Nē"/>
    <s v="Tumblr"/>
    <m/>
    <m/>
    <m/>
    <m/>
    <m/>
    <m/>
    <m/>
    <m/>
    <m/>
    <m/>
    <m/>
    <m/>
  </r>
  <r>
    <x v="1"/>
    <n v="239"/>
    <s v="2023-05-16 12:20:58"/>
    <n v="14"/>
    <s v="lv"/>
    <n v="60108381"/>
    <s v="2023-05-16 12:09:54"/>
    <s v="2023-05-16 12:20:58"/>
    <s v="lapsa"/>
    <n v="17"/>
    <s v="sieviešu"/>
    <m/>
    <x v="0"/>
    <x v="1"/>
    <x v="0"/>
    <x v="0"/>
    <x v="0"/>
    <x v="3"/>
    <s v="Kurzemē"/>
    <m/>
    <s v="protestantu(ti)"/>
    <m/>
    <s v="Jā"/>
    <s v="Jā"/>
    <s v="Nē"/>
    <s v="Jā"/>
    <s v="Jā"/>
    <s v="Nē"/>
    <s v="Nē"/>
    <s v="Nē"/>
    <s v="Jā"/>
    <s v="Nē"/>
    <s v="Nē"/>
    <s v="Jā"/>
    <s v="Jā"/>
    <s v="Nē"/>
    <s v="Jā"/>
    <s v="Nē"/>
    <s v="Jā"/>
    <s v="Jā"/>
    <s v="Nē"/>
    <s v="Jā"/>
    <s v="Nē"/>
    <s v="Nē"/>
    <s v="Jā"/>
    <s v="Jā"/>
    <s v="Nē"/>
    <s v="Nē"/>
    <s v="Jā"/>
    <s v="Nē"/>
    <s v="ne a, ne b"/>
    <s v="tikai b"/>
    <s v="ne a, ne b"/>
    <s v="tikai b"/>
    <s v="tikai b"/>
    <s v="a un b"/>
    <s v="Vienlīdzīgi"/>
    <s v="Vienlīdzīgi"/>
    <s v="Lielākoties vienlīdzīgi"/>
    <s v="Lielākoties nevienlīdzīgi"/>
    <s v="Vienlīdzīgi"/>
    <s v="Nacionālā Apvienība"/>
    <s v="&quot;Apvienotais saraksts&quot;"/>
    <s v="Zaļo un Zemnieku savienība"/>
    <s v="nezinu"/>
    <s v="Politiskā partija &quot;Stabilitātei&quot;"/>
    <s v="Jaunā Vienotība"/>
    <s v="nezinu"/>
    <s v="Reizēm ekonomiskā un valsts stabilitāte varētu nozīmēt, ka atsevišķi ekoloģiskās politikas aspekti ir uz brīdi jāiepauzē."/>
    <s v="jā, lielāko daļu no tā, ko iespējams šķirot"/>
    <s v="nezinu"/>
    <s v="nezinu"/>
    <s v="nezinu"/>
    <s v="nezinu"/>
    <s v="nezinu"/>
    <s v="nezinu"/>
    <s v="nezinu"/>
    <s v="Jaunā Vienotība"/>
    <s v="Politiskā partija &quot;Stabilitātei&quot;"/>
    <s v="Zaļo un Zemnieku savienība"/>
    <s v="&quot;Apvienotais saraksts&quot;"/>
    <s v="Nacionālā Apvienība"/>
    <s v="&quot;Progresīvie&quot;"/>
    <s v="&quot;Latvija pirmajā vietā&quot;"/>
    <s v="Viduvēji"/>
    <s v="Neinteresē"/>
    <s v="Ārkārtīgi"/>
    <s v="Ne sevišķi"/>
    <s v="notikumi"/>
    <s v="N/A"/>
    <s v="N/A"/>
    <s v="N/A"/>
    <s v="N/A"/>
    <s v="N/A"/>
    <s v="N/A"/>
    <m/>
    <m/>
    <m/>
    <m/>
    <m/>
    <m/>
    <m/>
    <m/>
    <m/>
    <m/>
    <m/>
    <m/>
    <m/>
    <m/>
    <m/>
    <m/>
    <m/>
    <m/>
    <m/>
    <s v="jā, nevalstiskā organizācijā"/>
    <s v="N/A"/>
    <s v="N/A"/>
    <s v="N/A"/>
    <s v="Jā"/>
    <s v="Jā"/>
    <s v="Nē"/>
    <s v="Nē"/>
    <s v="Nē"/>
    <s v="Nē"/>
    <s v="Jā"/>
    <s v="Nē"/>
    <s v="Nē"/>
    <m/>
    <m/>
    <m/>
    <m/>
    <m/>
    <m/>
    <m/>
    <m/>
    <m/>
    <m/>
    <m/>
    <m/>
    <m/>
    <m/>
    <s v="pilsoniskās brīvības (vārda brīvība, tiesības uz tiesisko aizsardzību)"/>
    <s v="vienlīdz pieejama izglītība, veselības aprūpe, sociālais nodrošinājums"/>
    <s v="vienlīdzīgas tiesības minoritātēm un ievainojamām sabiedrības grupām"/>
    <m/>
    <m/>
    <s v="citreiz labi, citreiz slikti"/>
    <s v="knapi/gandrīz necik"/>
    <s v="labi"/>
    <s v="slikti"/>
    <s v="slikti"/>
    <s v="vidējo izglītību"/>
    <m/>
    <s v="Nē"/>
    <s v="Jā"/>
    <s v="Nē"/>
    <s v="Nē"/>
    <s v="krievu"/>
    <m/>
    <s v="krievu"/>
    <m/>
    <m/>
    <m/>
    <m/>
    <m/>
    <s v="Spēju pastāstīt par savu hobiju / darbu."/>
    <s v="Spēju uzrakstīt vēstuli draugam."/>
    <s v="Viegli saprotu televīzijas pārraides vai Youtube video par saviem hobijiem/darbības sfēru."/>
    <s v="Spēju izlasīt garus tekstus par vēstures, politikas un zinātnes tēmām."/>
    <s v="Bieži"/>
    <s v="Bieži"/>
    <s v="Reti"/>
    <s v="Reti"/>
    <s v="Dažreiz"/>
    <s v="Dažreiz"/>
    <s v="Bieži"/>
    <s v="Bieži"/>
    <s v="Dažreiz"/>
    <s v="Dažreiz"/>
    <s v="Jā, darba iemeslu dēļ"/>
    <m/>
    <s v="Es ceru, ka parādīsies iespēja"/>
    <s v="Nē"/>
    <s v="Nē"/>
    <s v="Nē"/>
    <s v="Jā"/>
    <s v="Jā"/>
    <s v="Nē"/>
    <n v="51"/>
    <n v="44"/>
    <m/>
    <m/>
    <m/>
    <s v="Nē"/>
    <s v="Nē"/>
    <s v="Nē"/>
    <s v="Nē"/>
    <s v="Nē"/>
    <s v="Nē"/>
    <s v="Nē"/>
    <s v="Nē"/>
    <s v="Nē"/>
    <s v="Nē"/>
    <s v="Nē"/>
    <s v="Nē"/>
    <s v="Nē"/>
    <s v="Nē"/>
    <s v="Jā"/>
    <m/>
    <s v="Nē"/>
    <m/>
    <s v="Nē"/>
    <m/>
    <s v="Nē"/>
    <m/>
    <s v="Nē"/>
    <m/>
    <s v="Jā"/>
    <s v="Nē"/>
    <s v="Nē"/>
    <s v="Nē"/>
    <s v="Nē"/>
    <s v="Nē"/>
    <s v="Nē"/>
    <s v="Nē"/>
    <s v="Nē"/>
    <s v="Nē"/>
    <s v="Nē"/>
    <s v="Nē"/>
    <s v="Nē"/>
    <s v="Nē"/>
    <s v="Nē"/>
    <m/>
    <s v="Nē"/>
    <m/>
    <s v="Nē"/>
    <m/>
    <s v="Nē"/>
    <m/>
    <s v="Nē"/>
    <m/>
    <s v="Jā"/>
    <s v="Jā"/>
    <s v="Jā"/>
    <s v="Nē"/>
    <s v="Nē"/>
    <s v="Jā"/>
    <s v="Nē"/>
    <s v="Jā"/>
    <s v="Nē"/>
    <s v="Nē"/>
    <s v="Nē"/>
    <s v="Nē"/>
    <m/>
    <m/>
    <m/>
    <m/>
    <m/>
    <m/>
    <m/>
    <m/>
    <m/>
    <m/>
    <m/>
    <m/>
    <m/>
  </r>
  <r>
    <x v="1"/>
    <n v="240"/>
    <s v="2023-05-16 12:35:30"/>
    <n v="14"/>
    <s v="ru"/>
    <n v="1412113264"/>
    <s v="2023-05-16 12:15:35"/>
    <s v="2023-05-16 12:35:30"/>
    <s v="трава"/>
    <n v="17"/>
    <s v="vīriešu"/>
    <m/>
    <x v="1"/>
    <x v="0"/>
    <x v="0"/>
    <x v="0"/>
    <x v="0"/>
    <x v="0"/>
    <s v="Kurzemē"/>
    <m/>
    <s v="pareizticīgo"/>
    <m/>
    <s v="Nē"/>
    <s v="Nē"/>
    <s v="Nē"/>
    <s v="Nē"/>
    <s v="Jā"/>
    <s v="Nē"/>
    <s v="Nē"/>
    <s v="Nē"/>
    <s v="Nē"/>
    <s v="Jā"/>
    <s v="Nē"/>
    <s v="Nē"/>
    <s v="Nē"/>
    <s v="Nē"/>
    <s v="Nē"/>
    <s v="Nē"/>
    <s v="Nē"/>
    <s v="Jā"/>
    <s v="Jā"/>
    <s v="Nē"/>
    <s v="Nē"/>
    <s v="Nē"/>
    <s v="Nē"/>
    <s v="Nē"/>
    <s v="Jā"/>
    <s v="Jā"/>
    <s v="Nē"/>
    <s v="Nē"/>
    <s v="nezinu"/>
    <s v="nezinu"/>
    <s v="nezinu"/>
    <s v="nezinu"/>
    <s v="nezinu"/>
    <s v="nezinu"/>
    <s v="Vienlīdzīgi"/>
    <s v="Lielākoties vienlīdzīgi"/>
    <s v="Vienlīdzīgi"/>
    <s v="Vienlīdzīgi"/>
    <s v="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Ļoti"/>
    <s v="Neinteresē"/>
    <s v="Ārkārtīgi"/>
    <s v="Neinteresē"/>
    <s v="не знаю"/>
    <s v="Nē"/>
    <s v="Nē"/>
    <s v="Jā"/>
    <s v="Nē"/>
    <s v="Jā"/>
    <s v="Nē"/>
    <s v="1.............."/>
    <n v="50"/>
    <n v="35"/>
    <n v="90"/>
    <n v="80"/>
    <s v="Nav saspīlētas"/>
    <s v="Nav saspīlētas"/>
    <s v="Nav saspīlētas"/>
    <s v="(Gandrīz) nekad"/>
    <s v="(Gandrīz) nekad"/>
    <s v="(Gandrīz) nekad"/>
    <s v="(Gandrīz) nekad"/>
    <s v="(Gandrīz) nekad"/>
    <s v="Dažreiz"/>
    <s v="Reti"/>
    <s v="(Gandrīz) nekad"/>
    <s v="(Gandrīz) nekad"/>
    <s v="(Gandrīz) nekad"/>
    <s v="Русские везде, латышский в школе на работе"/>
    <s v="nē"/>
    <s v="N/A"/>
    <s v="N/A"/>
    <s v="N/A"/>
    <s v="N/A"/>
    <s v="N/A"/>
    <s v="N/A"/>
    <s v="N/A"/>
    <s v="Jā"/>
    <s v="N/A"/>
    <s v="N/A"/>
    <s v="N/A"/>
    <s v="Jā"/>
    <s v="(gandrīz) nekad"/>
    <s v="(gandrīz) nekad"/>
    <s v="(gandrīz) katru dienu"/>
    <s v="(gandrīz) nekad"/>
    <s v="pāris reižu mēnesī"/>
    <s v="(gandrīz) nekad"/>
    <s v="pāris reižu mēnesī"/>
    <s v="(gandrīz) katru dienu"/>
    <s v="(gandrīz) katru dienu"/>
    <s v="pāris reižu nedēļā"/>
    <s v="(gandrīz) katru dienu"/>
    <s v="(gandrīz) katru dienu"/>
    <s v="(gandrīz) katru dienu"/>
    <s v="pāris reižu nedēļā"/>
    <s v="vienlīdzīgas tiesības minoritātēm un ievainojamām sabiedrības grupām"/>
    <s v="pilsoniskās brīvības (vārda brīvība, tiesības uz tiesisko aizsardzību)"/>
    <s v="varas līdzsvars starp parlamentu, prezidentu un tiesām, lai neviena no institūcijām nespētu sevī koncentrēt lielāko daļu varas"/>
    <m/>
    <m/>
    <s v="labi"/>
    <s v="knapi/gandrīz necik"/>
    <s v="ļoti labi"/>
    <s v="nezinu"/>
    <s v="nezinu"/>
    <s v="vidējo izglītību"/>
    <m/>
    <s v="N/A"/>
    <s v="N/A"/>
    <s v="N/A"/>
    <s v="Jā"/>
    <s v="latviešu"/>
    <m/>
    <s v="vienlīdz latviešu un kriev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Jā"/>
    <s v="Jā"/>
    <s v="Nē"/>
    <s v="Jā"/>
    <s v="Jā"/>
    <s v="Jā"/>
    <s v="Nē"/>
    <s v="Jā"/>
    <s v="Nē"/>
    <s v="Nē"/>
    <s v="Nē"/>
    <s v="Nē"/>
    <m/>
    <m/>
    <m/>
    <m/>
    <m/>
    <m/>
    <m/>
    <m/>
    <m/>
    <m/>
    <m/>
    <m/>
    <m/>
  </r>
  <r>
    <x v="1"/>
    <n v="241"/>
    <s v="2023-05-16 12:41:29"/>
    <n v="14"/>
    <s v="ru"/>
    <n v="847768288"/>
    <s v="2023-05-16 12:17:51"/>
    <s v="2023-05-16 12:41:29"/>
    <s v="lapsa"/>
    <n v="17"/>
    <s v="vīriešu"/>
    <m/>
    <x v="0"/>
    <x v="0"/>
    <x v="0"/>
    <x v="0"/>
    <x v="0"/>
    <x v="0"/>
    <s v="Kurzemē"/>
    <m/>
    <s v="ateistu(ti), nereliģiozu"/>
    <m/>
    <s v="Nē"/>
    <s v="Nē"/>
    <s v="Nē"/>
    <s v="Nē"/>
    <s v="Nē"/>
    <s v="Jā"/>
    <s v="Nē"/>
    <s v="Jā"/>
    <s v="Jā"/>
    <s v="Nē"/>
    <s v="Nē"/>
    <s v="Nē"/>
    <s v="Nē"/>
    <s v="Nē"/>
    <s v="Jā"/>
    <s v="Nē"/>
    <s v="Nē"/>
    <s v="Jā"/>
    <s v="Nē"/>
    <s v="Nē"/>
    <s v="Nē"/>
    <s v="Nē"/>
    <s v="Jā"/>
    <s v="Nē"/>
    <s v="Jā"/>
    <s v="Nē"/>
    <s v="Jā"/>
    <s v="Nē"/>
    <s v="nezinu"/>
    <s v="nezinu"/>
    <s v="tikai a"/>
    <s v="ne a, ne b"/>
    <s v="tikai a"/>
    <s v="tikai a"/>
    <s v="Lielākoties vienlīdzīgi"/>
    <s v="Lielākoties nevienlīdzīgi"/>
    <s v="Lielākoties nevienlīdzīgi"/>
    <s v="Lielākoties 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Viduvēji"/>
    <s v="Neinteresē"/>
    <s v="Viduvēji"/>
    <s v="Neinteresē"/>
    <s v="не знаю"/>
    <s v="Nē"/>
    <s v="Nē"/>
    <s v="Jā"/>
    <s v="Nē"/>
    <s v="Nē"/>
    <s v="Nē"/>
    <s v="1.."/>
    <n v="80"/>
    <n v="30"/>
    <n v="85"/>
    <n v="20"/>
    <s v="Drīzāk saspīlētas"/>
    <s v="Drīzāk saspīlētas"/>
    <s v="Mazliet saspīlētas"/>
    <s v="(Gandrīz) nekad"/>
    <s v="Reti"/>
    <s v="(Gandrīz) nekad"/>
    <s v="Reti"/>
    <s v="(Gandrīz) nekad"/>
    <s v="(Gandrīz) nekad"/>
    <s v="Reti"/>
    <s v="(Gandrīz) nekad"/>
    <s v="Dažreiz"/>
    <s v="Bieži"/>
    <s v="Использовал английский язык, чтобы общаться с людьми в играх"/>
    <s v="nē"/>
    <s v="N/A"/>
    <s v="N/A"/>
    <s v="N/A"/>
    <s v="N/A"/>
    <s v="N/A"/>
    <s v="N/A"/>
    <s v="N/A"/>
    <s v="Jā"/>
    <s v="N/A"/>
    <s v="N/A"/>
    <s v="N/A"/>
    <s v="Jā"/>
    <s v="(gandrīz) nekad"/>
    <s v="(gandrīz) nekad"/>
    <s v="(gandrīz) nekad"/>
    <s v="pāris reižu nedēļā"/>
    <s v="(gandrīz) nekad"/>
    <s v="(gandrīz) nekad"/>
    <s v="pāris reižu nedēļā"/>
    <s v="(gandrīz) katru dienu"/>
    <s v="(gandrīz) katru dienu"/>
    <s v="(gandrīz) nekad"/>
    <s v="(gandrīz) katru dienu"/>
    <s v="(gandrīz) katru dienu"/>
    <s v="(gandrīz) katru dienu"/>
    <s v="(gandrīz) katru dienu"/>
    <s v="vienlīdzīgas tiesības minoritātēm un ievainojamām sabiedrības grupām"/>
    <s v="pilsoniskās brīvības (vārda brīvība, tiesības uz tiesisko aizsardzību)"/>
    <s v="vienlīdz pieejama izglītība, veselības aprūpe, sociālais nodrošinājums"/>
    <m/>
    <m/>
    <s v="citreiz labi, citreiz slikti"/>
    <s v="citreiz labi, citreiz slikti"/>
    <s v="citreiz labi, citreiz slikti"/>
    <s v="slikti"/>
    <s v="slikti"/>
    <s v="vidējo izglītību"/>
    <m/>
    <s v="N/A"/>
    <s v="N/A"/>
    <s v="N/A"/>
    <s v="Jā"/>
    <s v="krievu"/>
    <m/>
    <s v="vienlīdz latviešu un kriev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Nē"/>
    <s v="Nē"/>
    <s v="Jā"/>
    <s v="Jā"/>
    <s v="Jā"/>
    <s v="Nē"/>
    <s v="Jā"/>
    <s v="Nē"/>
    <s v="Nē"/>
    <s v="Nē"/>
    <s v="Nē"/>
    <m/>
    <m/>
    <m/>
    <m/>
    <m/>
    <m/>
    <m/>
    <m/>
    <m/>
    <m/>
    <m/>
    <m/>
    <m/>
  </r>
  <r>
    <x v="2"/>
    <n v="243"/>
    <m/>
    <n v="13"/>
    <s v="lv"/>
    <n v="699252268"/>
    <s v="2023-05-24 13:42:16"/>
    <s v="2023-05-24 14:02:42"/>
    <s v="nauda"/>
    <n v="17"/>
    <s v="sieviešu"/>
    <m/>
    <x v="0"/>
    <x v="0"/>
    <x v="0"/>
    <x v="0"/>
    <x v="0"/>
    <x v="0"/>
    <s v="Latgalē"/>
    <m/>
    <s v="pareizticīgo"/>
    <m/>
    <s v="Jā"/>
    <s v="Nē"/>
    <s v="Nē"/>
    <s v="Nē"/>
    <s v="Nē"/>
    <s v="Nē"/>
    <s v="Nē"/>
    <s v="Nē"/>
    <s v="Jā"/>
    <s v="Nē"/>
    <s v="Nē"/>
    <s v="Nē"/>
    <s v="Nē"/>
    <s v="Nē"/>
    <s v="Jā"/>
    <s v="Nē"/>
    <s v="Nē"/>
    <s v="Nē"/>
    <s v="Nē"/>
    <s v="Nē"/>
    <s v="Nē"/>
    <s v="Nē"/>
    <s v="Jā"/>
    <s v="Nē"/>
    <s v="Nē"/>
    <s v="Nē"/>
    <s v="Nē"/>
    <s v="Nē"/>
    <s v="nezinu"/>
    <s v="nezinu"/>
    <s v="nezinu"/>
    <s v="nezinu"/>
    <s v="nezinu"/>
    <s v="nezinu"/>
    <s v="Lielākoties nevienlīdzīgi"/>
    <s v="Lielākoties nevienlīdzīgi"/>
    <s v="Vienlīdzīgi"/>
    <s v="Vienlīdzīgi"/>
    <s v="Vienlīdzīgi"/>
    <s v="&quot;Progresīvie&quot;"/>
    <s v="Nacionālā Apvienība"/>
    <s v="&quot;Progresīvie&quot;"/>
    <s v="&quot;Progresīvie&quot;"/>
    <s v="&quot;Progresīvie&quot;"/>
    <s v="&quot;Progresīvie&quot;"/>
    <s v="Politiskā partija &quot;Stabilitātei&quot;"/>
    <s v="Reizēm ekonomiskā un valsts stabilitāte varētu nozīmēt, ka atsevišķi ekoloģiskās politikas aspekti ir uz brīdi jāiepauzē."/>
    <s v="nē"/>
    <s v="Zaļo un Zemnieku savienība"/>
    <s v="nezinu"/>
    <s v="nezinu"/>
    <s v="nezinu"/>
    <s v="&quot;Apvienotais saraksts&quot;"/>
    <s v="&quot;Progresīvie&quot;"/>
    <s v="Politiskā partija &quot;Stabilitātei&quot;"/>
    <s v="Politiskā partija &quot;Stabilitātei&quot;"/>
    <s v="&quot;Apvienotais saraksts&quot;"/>
    <s v="&quot;Progresīvie&quot;"/>
    <s v="&quot;Apvienotais saraksts&quot;"/>
    <s v="nezinu"/>
    <s v="nezinu"/>
    <s v="nezinu"/>
    <s v="Neinteresē"/>
    <s v="Neinteresē"/>
    <s v="Ne sevišķi"/>
    <s v="Viduvēji"/>
    <s v="nezinu"/>
    <s v="Nē"/>
    <s v="Nē"/>
    <s v="Nē"/>
    <s v="Jā"/>
    <s v="Jā"/>
    <s v="Nē"/>
    <s v="1.."/>
    <n v="48"/>
    <n v="73"/>
    <n v="28"/>
    <n v="92"/>
    <s v="Es nezinu"/>
    <s v="Es nezinu"/>
    <s v="Es nezinu"/>
    <s v="(Gandrīz) nekad"/>
    <s v="(Gandrīz) nekad"/>
    <s v="(Gandrīz) nekad"/>
    <s v="(Gandrīz) nekad"/>
    <s v="(Gandrīz) nekad"/>
    <s v="(Gandrīz) nekad"/>
    <s v="(Gandrīz) nekad"/>
    <s v="(Gandrīz) nekad"/>
    <s v="(Gandrīz) nekad"/>
    <s v="(Gandrīz) nekad"/>
    <m/>
    <s v="nē"/>
    <s v="N/A"/>
    <s v="N/A"/>
    <s v="N/A"/>
    <s v="N/A"/>
    <s v="N/A"/>
    <s v="N/A"/>
    <s v="N/A"/>
    <s v="Jā"/>
    <s v="N/A"/>
    <s v="N/A"/>
    <s v="N/A"/>
    <s v="Jā"/>
    <s v="reizi nedēļā"/>
    <s v="(gandrīz) katru dienu"/>
    <s v="(gandrīz) nekad"/>
    <s v="(gandrīz) nekad"/>
    <s v="pāris reižu nedēļā"/>
    <s v="pāris reižu nedēļā"/>
    <s v="(gandrīz) katru dienu"/>
    <s v="(gandrīz) katru dienu"/>
    <s v="(gandrīz) katru dienu"/>
    <s v="(gandrīz) katru dienu"/>
    <s v="(gandrīz) katru dienu"/>
    <s v="(gandrīz) katru dienu"/>
    <s v="(gandrīz) katru dienu"/>
    <s v="pāris reižu nedēļā"/>
    <s v="brīvas vēlēšanas un plurālisms"/>
    <s v="vienlīdz pieejama izglītība, veselības aprūpe, sociālais nodrošinājums"/>
    <s v="varas līdzsvars starp parlamentu, prezidentu un tiesām, lai neviena no institūcijām nespētu sevī koncentrēt lielāko daļu varas"/>
    <m/>
    <m/>
    <s v="nezinu"/>
    <s v="nezinu"/>
    <s v="nezinu"/>
    <s v="nezinu"/>
    <s v="nezinu"/>
    <s v="pamatizglītību"/>
    <m/>
    <s v="N/A"/>
    <s v="N/A"/>
    <s v="N/A"/>
    <s v="Jā"/>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Jā"/>
    <s v="Nē"/>
    <s v="Nē"/>
    <s v="Nē"/>
    <s v="Nē"/>
    <s v="Nē"/>
    <s v="Nē"/>
    <s v="Nē"/>
    <s v="Nē"/>
    <s v="Nē"/>
    <s v="Nē"/>
    <s v="Nē"/>
    <m/>
    <s v="Nē"/>
    <m/>
    <s v="Jā"/>
    <s v="bbc"/>
    <s v="Nē"/>
    <m/>
    <s v="Nē"/>
    <m/>
    <s v="Nē"/>
    <s v="Nē"/>
    <s v="Nē"/>
    <s v="Nē"/>
    <s v="Nē"/>
    <s v="Nē"/>
    <s v="Nē"/>
    <s v="Nē"/>
    <s v="Nē"/>
    <s v="Nē"/>
    <s v="Nē"/>
    <s v="Jā"/>
    <s v="Nē"/>
    <s v="Nē"/>
    <s v="Nē"/>
    <m/>
    <s v="Jā"/>
    <s v="delfi"/>
    <s v="Nē"/>
    <m/>
    <s v="Nē"/>
    <m/>
    <s v="Nē"/>
    <m/>
    <s v="Jā"/>
    <s v="Jā"/>
    <s v="Jā"/>
    <s v="Nē"/>
    <s v="Nē"/>
    <s v="Nē"/>
    <s v="Nē"/>
    <s v="Nē"/>
    <s v="Nē"/>
    <s v="Nē"/>
    <s v="Nē"/>
    <s v="Nē"/>
    <m/>
    <m/>
    <m/>
    <m/>
    <m/>
    <m/>
    <m/>
    <m/>
    <m/>
    <m/>
    <m/>
    <m/>
    <m/>
  </r>
  <r>
    <x v="2"/>
    <n v="244"/>
    <s v="2023-05-24 14:10:51"/>
    <n v="14"/>
    <s v="ru"/>
    <n v="612067582"/>
    <s v="2023-05-24 13:42:20"/>
    <s v="2023-05-24 14:10:51"/>
    <s v="нож "/>
    <n v="17"/>
    <s v="sieviešu"/>
    <m/>
    <x v="1"/>
    <x v="0"/>
    <x v="0"/>
    <x v="0"/>
    <x v="0"/>
    <x v="0"/>
    <s v="Latgalē"/>
    <m/>
    <s v="Cita atbilde"/>
    <s v="агностик"/>
    <s v="Jā"/>
    <s v="Jā"/>
    <s v="Nē"/>
    <s v="Nē"/>
    <s v="Nē"/>
    <s v="Nē"/>
    <s v="Nē"/>
    <s v="Nē"/>
    <s v="Jā"/>
    <s v="Nē"/>
    <s v="Nē"/>
    <s v="Jā"/>
    <s v="Nē"/>
    <s v="Nē"/>
    <s v="Jā"/>
    <s v="Nē"/>
    <s v="Nē"/>
    <s v="Jā"/>
    <s v="Nē"/>
    <s v="Nē"/>
    <s v="Nē"/>
    <s v="Nē"/>
    <s v="Jā"/>
    <s v="Nē"/>
    <s v="Nē"/>
    <s v="Nē"/>
    <s v="Nē"/>
    <s v="Nē"/>
    <s v="nezinu"/>
    <s v="a un b"/>
    <s v="a un b"/>
    <s v="tikai b"/>
    <s v="nezinu"/>
    <s v="tikai a"/>
    <s v="Lielākoties nevienlīdzīgi"/>
    <s v="Lielākoties vienlīdzīgi"/>
    <s v="Vienlīdzīgi"/>
    <s v="Lielākoties nevienlīdzīgi"/>
    <s v="Nevienlīdzīgi"/>
    <s v="Politiskā partija &quot;Stabilitātei&quot;"/>
    <s v="&quot;Progresīvie&quot;"/>
    <s v="Zaļo un Zemnieku savienība"/>
    <s v="&quot;Apvienotais saraksts&quot;"/>
    <s v="Zaļo un Zemnieku savienība"/>
    <s v="&quot;Progresīvie&quot;"/>
    <s v="Jaunā Vienotība"/>
    <s v="Cīņai ar klimata pārmaiņām būtu jābūt vairumam pasaules valstu galvenajai prioritātei."/>
    <s v="jā, daļu no tā, ko iespējams šķirot"/>
    <s v="Jaunā Vienotība"/>
    <s v="nezinu"/>
    <s v="Zaļo un Zemnieku savienība"/>
    <s v="&quot;Latvija pirmajā vietā&quot;"/>
    <s v="Zaļo un Zemnieku savienība"/>
    <s v="Zaļo un Zemnieku savienība"/>
    <s v="Nacionālā Apvienība"/>
    <s v="Jaunā Vienotība"/>
    <s v="Nacionālā Apvienība"/>
    <s v="Politiskā partija &quot;Stabilitātei&quot;"/>
    <s v="&quot;Progresīvie&quot;"/>
    <s v="&quot;Latvija pirmajā vietā&quot;"/>
    <s v="Jaunā Vienotība"/>
    <s v="Jaunā Vienotība"/>
    <s v="Ļoti"/>
    <s v="Ļoti"/>
    <s v="Viduvēji"/>
    <s v="Ārkārtīgi"/>
    <s v="не знаю"/>
    <s v="Nē"/>
    <s v="Nē"/>
    <s v="Nē"/>
    <s v="Nē"/>
    <s v="Jā"/>
    <s v="Nē"/>
    <s v="2.."/>
    <n v="66"/>
    <n v="75"/>
    <n v="41"/>
    <n v="1"/>
    <s v="Ļoti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ē"/>
    <s v="Jā"/>
    <s v="Nē"/>
    <s v="Nē"/>
    <s v="pāris reižu mēnesī"/>
    <s v="pāris reižu mēnesī"/>
    <s v="(gandrīz) nekad"/>
    <s v="(gandrīz) nekad"/>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ienlīdz pieejama izglītība, veselības aprūpe, sociālais nodrošinājums"/>
    <m/>
    <m/>
    <s v="citreiz labi, citreiz slikti"/>
    <s v="knapi/gandrīz necik"/>
    <s v="labi"/>
    <s v="citreiz labi, citreiz slikti"/>
    <s v="knapi/gandrīz necik"/>
    <s v="pamatizglītību"/>
    <m/>
    <s v="Jā"/>
    <s v="Jā"/>
    <s v="Nē"/>
    <s v="Nē"/>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Nē"/>
    <s v="Jā"/>
    <s v="Nē"/>
    <s v="Jā"/>
    <s v="Nē"/>
    <s v="Nē"/>
    <s v="Nē"/>
    <s v="Nē"/>
    <m/>
    <m/>
    <m/>
    <m/>
    <m/>
    <m/>
    <m/>
    <m/>
    <m/>
    <m/>
    <m/>
    <m/>
    <m/>
  </r>
  <r>
    <x v="2"/>
    <n v="248"/>
    <s v="2023-05-24 14:03:30"/>
    <n v="14"/>
    <s v="lv"/>
    <n v="599035760"/>
    <s v="2023-05-24 13:42:34"/>
    <s v="2023-05-24 14:03:30"/>
    <s v="nauda"/>
    <n v="22"/>
    <s v="vīriešu"/>
    <m/>
    <x v="1"/>
    <x v="1"/>
    <x v="0"/>
    <x v="0"/>
    <x v="0"/>
    <x v="0"/>
    <s v="Cita atbilde"/>
    <s v="Daugavpilī"/>
    <s v="katoli(ieti)"/>
    <m/>
    <s v="Nē"/>
    <s v="Nē"/>
    <s v="Nē"/>
    <s v="Nē"/>
    <s v="Nē"/>
    <s v="Jā"/>
    <s v="Nē"/>
    <s v="Jā"/>
    <s v="Jā"/>
    <s v="Nē"/>
    <s v="Nē"/>
    <s v="Nē"/>
    <s v="Nē"/>
    <s v="Nē"/>
    <s v="Nē"/>
    <s v="Nē"/>
    <s v="Jā"/>
    <s v="Nē"/>
    <s v="Nē"/>
    <s v="Nē"/>
    <s v="Nē"/>
    <s v="Jā"/>
    <s v="Nē"/>
    <s v="Nē"/>
    <s v="Jā"/>
    <s v="Nē"/>
    <s v="Nē"/>
    <s v="Nē"/>
    <s v="tikai b"/>
    <s v="a un b"/>
    <s v="tikai b"/>
    <s v="tikai a"/>
    <s v="tikai a"/>
    <s v="ne a, ne b"/>
    <s v="Lielākoties nevienlīdzīgi"/>
    <s v="Vienlīdzīgi"/>
    <s v="Vienlīdzīgi"/>
    <s v="Vienlīdzīgi"/>
    <s v="Lielākoties nevienlīdzīgi"/>
    <s v="nezinu"/>
    <s v="Politiskā partija &quot;Stabilitātei&quot;"/>
    <s v="nezinu"/>
    <s v="nezinu"/>
    <s v="nezinu"/>
    <s v="Politiskā partija &quot;Stabilitātei&quot;"/>
    <s v="nezinu"/>
    <s v="Klimata pārmaiņām nav nekādu pārliecinošu pierādījumu."/>
    <s v="jā, daļu no tā, ko iespējams šķirot"/>
    <s v="nezinu"/>
    <s v="nezinu"/>
    <s v="nezinu"/>
    <s v="nezinu"/>
    <s v="nezinu"/>
    <s v="nezinu"/>
    <s v="nezinu"/>
    <s v="nezinu"/>
    <s v="nezinu"/>
    <s v="nezinu"/>
    <s v="nezinu"/>
    <s v="nezinu"/>
    <s v="nezinu"/>
    <s v="nezinu"/>
    <s v="Viduvēji"/>
    <s v="Neinteresē"/>
    <s v="Ļoti"/>
    <s v="Viduvēji"/>
    <s v="Kādas konkrētas idejas vai notikuma izplatīšana"/>
    <s v="Nē"/>
    <s v="Jā"/>
    <s v="Nē"/>
    <s v="Nē"/>
    <s v="Nē"/>
    <s v="Nē"/>
    <s v="2.."/>
    <n v="64"/>
    <n v="100"/>
    <m/>
    <m/>
    <s v="Drīzāk saspīlētas"/>
    <s v="Nav saspīlētas"/>
    <s v="Nav saspīlētas"/>
    <s v="(Gandrīz) nekad"/>
    <s v="(Gandrīz) nekad"/>
    <s v="(Gandrīz) nekad"/>
    <s v="(Gandrīz) nekad"/>
    <s v="(Gandrīz) nekad"/>
    <m/>
    <m/>
    <m/>
    <m/>
    <m/>
    <m/>
    <s v="jā, valsts iestādē"/>
    <s v="N/A"/>
    <s v="N/A"/>
    <s v="N/A"/>
    <s v="Jā"/>
    <s v="N/A"/>
    <s v="N/A"/>
    <s v="N/A"/>
    <s v="Jā"/>
    <s v="Jā"/>
    <s v="Nē"/>
    <s v="Nē"/>
    <s v="Nē"/>
    <s v="pāris reižu nedēļā"/>
    <s v="(gandrīz) katru dienu"/>
    <s v="(gandrīz) katru dienu"/>
    <s v="pāris reižu nedēļā"/>
    <s v="pāris reižu nedēļā"/>
    <s v="(gandrīz) nekad"/>
    <s v="pāris reižu nedēļā"/>
    <s v="pāris reižu nedēļā"/>
    <s v="(gandrīz) katru dienu"/>
    <s v="pāris reižu nedēļā"/>
    <s v="(gandrīz) katru dienu"/>
    <s v="(gandrīz) katru dienu"/>
    <s v="(gandrīz) katru dienu"/>
    <s v="(gandrīz) katru dienu"/>
    <s v="pilsoniskās brīvības (vārda brīvība, tiesības uz tiesisko aizsardzību)"/>
    <s v="brīvas vēlēšanas un plurālisms"/>
    <s v="vienlīdz pieejama izglītība, veselības aprūpe, sociālais nodrošinājums"/>
    <m/>
    <m/>
    <s v="citreiz labi, citreiz slikti"/>
    <s v="citreiz labi, citreiz slikti"/>
    <s v="labi"/>
    <s v="nezinu"/>
    <s v="nezinu"/>
    <s v="vidējo izglītību"/>
    <m/>
    <s v="N/A"/>
    <s v="N/A"/>
    <s v="N/A"/>
    <s v="Jā"/>
    <s v="latviešu"/>
    <m/>
    <s v="latvieš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Jā"/>
    <s v="Nē"/>
    <s v="Nē"/>
    <s v="Nē"/>
    <s v="Nē"/>
    <s v="Nē"/>
    <s v="Nē"/>
    <s v="Nē"/>
    <s v="Jā"/>
    <s v="Nē"/>
    <s v="Nē"/>
    <s v="Nē"/>
    <m/>
    <s v="Nē"/>
    <m/>
    <s v="Nē"/>
    <m/>
    <s v="Nē"/>
    <m/>
    <s v="Nē"/>
    <m/>
    <s v="Nē"/>
    <s v="Nē"/>
    <s v="Nē"/>
    <s v="Nē"/>
    <s v="Nē"/>
    <s v="Nē"/>
    <s v="Nē"/>
    <s v="Nē"/>
    <s v="Nē"/>
    <s v="Nē"/>
    <s v="Nē"/>
    <s v="Jā"/>
    <s v="Nē"/>
    <s v="Nē"/>
    <s v="Nē"/>
    <m/>
    <s v="Nē"/>
    <m/>
    <s v="Nē"/>
    <m/>
    <s v="Nē"/>
    <m/>
    <s v="Nē"/>
    <m/>
    <s v="Nē"/>
    <s v="Jā"/>
    <s v="Nē"/>
    <s v="Nē"/>
    <s v="Jā"/>
    <s v="Nē"/>
    <s v="Nē"/>
    <s v="Nē"/>
    <s v="Nē"/>
    <s v="Nē"/>
    <s v="Nē"/>
    <s v="Nē"/>
    <m/>
    <m/>
    <m/>
    <m/>
    <m/>
    <m/>
    <m/>
    <m/>
    <m/>
    <m/>
    <m/>
    <m/>
    <m/>
  </r>
  <r>
    <x v="2"/>
    <n v="249"/>
    <s v="2023-05-24 13:54:42"/>
    <n v="14"/>
    <s v="lv"/>
    <n v="1243835957"/>
    <s v="2023-05-24 13:42:37"/>
    <s v="2023-05-24 13:54:42"/>
    <s v="nauda"/>
    <n v="17"/>
    <s v="sieviešu"/>
    <m/>
    <x v="1"/>
    <x v="0"/>
    <x v="0"/>
    <x v="0"/>
    <x v="0"/>
    <x v="0"/>
    <s v="Latgalē"/>
    <m/>
    <s v="pareizticīgo"/>
    <m/>
    <s v="N/A"/>
    <s v="N/A"/>
    <s v="N/A"/>
    <s v="N/A"/>
    <s v="N/A"/>
    <s v="N/A"/>
    <s v="Jā"/>
    <s v="N/A"/>
    <s v="N/A"/>
    <s v="N/A"/>
    <s v="N/A"/>
    <s v="N/A"/>
    <s v="N/A"/>
    <s v="Jā"/>
    <s v="N/A"/>
    <s v="N/A"/>
    <s v="N/A"/>
    <s v="N/A"/>
    <s v="N/A"/>
    <s v="N/A"/>
    <s v="Jā"/>
    <s v="N/A"/>
    <s v="N/A"/>
    <s v="N/A"/>
    <s v="N/A"/>
    <s v="N/A"/>
    <s v="N/A"/>
    <s v="Jā"/>
    <s v="nezinu"/>
    <s v="nezinu"/>
    <s v="nezinu"/>
    <s v="nezinu"/>
    <s v="nezinu"/>
    <s v="nezinu"/>
    <s v="Lielākoties vienlīdzīgi"/>
    <s v="Lielākoties vienlīdzīgi"/>
    <s v="Lielākoties vienlīdzīgi"/>
    <s v="Lielākoties vienlīdzīgi"/>
    <s v="Lielākoties 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Ne sevišķi"/>
    <s v="Neinteresē"/>
    <s v="Ļoti"/>
    <s v="Ļoti"/>
    <s v="nezinu"/>
    <s v="Nē"/>
    <s v="Nē"/>
    <s v="Nē"/>
    <s v="Jā"/>
    <s v="Jā"/>
    <s v="Nē"/>
    <s v="1.."/>
    <n v="50"/>
    <n v="100"/>
    <n v="100"/>
    <n v="87"/>
    <s v="Mazliet saspīlētas"/>
    <s v="Mazliet saspīlētas"/>
    <s v="Ļoti saspīlētas"/>
    <s v="Dažreiz"/>
    <s v="(Gandrīz) nekad"/>
    <s v="(Gandrīz) nekad"/>
    <s v="(Gandrīz) nekad"/>
    <s v="Dažreiz"/>
    <s v="Dažreiz"/>
    <s v="(Gandrīz) nekad"/>
    <s v="(Gandrīz) nekad"/>
    <s v="(Gandrīz) nekad"/>
    <s v="Dažreiz"/>
    <m/>
    <s v="nē"/>
    <s v="N/A"/>
    <s v="N/A"/>
    <s v="N/A"/>
    <s v="N/A"/>
    <s v="Nē"/>
    <s v="Nē"/>
    <s v="Jā"/>
    <s v="Nē"/>
    <s v="Nē"/>
    <s v="Nē"/>
    <s v="Jā"/>
    <s v="Nē"/>
    <s v="(gandrīz) katru dienu"/>
    <s v="(gandrīz) katru dienu"/>
    <s v="(gandrīz) katru dienu"/>
    <s v="reizi nedēļā"/>
    <s v="(gandrīz) nekad"/>
    <s v="(gandrīz) nekad"/>
    <s v="reizi nedēļā"/>
    <s v="(gandrīz) katru dienu"/>
    <s v="(gandrīz) katru dienu"/>
    <s v="(gandrīz) katru dienu"/>
    <s v="(gandrīz) katru dienu"/>
    <s v="(gandrīz) katru dienu"/>
    <s v="(gandrīz) katru dienu"/>
    <s v="(gandrīz) katru dienu"/>
    <s v="vienlīdz pieejama izglītība, veselības aprūpe, sociālais nodrošinājums"/>
    <s v="brīvas vēlēšanas un plurālisms"/>
    <s v="vienlīdzīgas tiesības minoritātēm un ievainojamām sabiedrības grupām"/>
    <m/>
    <m/>
    <s v="citreiz labi, citreiz slikti"/>
    <s v="slikti"/>
    <s v="labi"/>
    <s v="citreiz labi, citreiz slikti"/>
    <s v="labi"/>
    <s v="vidējo 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Jā"/>
    <s v="Nē"/>
    <s v="Nē"/>
    <m/>
    <s v="Jā"/>
    <s v="grani.lv"/>
    <s v="Jā"/>
    <s v="чайка.лв"/>
    <s v="Nē"/>
    <m/>
    <s v="Nē"/>
    <m/>
    <s v="Jā"/>
    <s v="Jā"/>
    <s v="Jā"/>
    <s v="Nē"/>
    <s v="Jā"/>
    <s v="Jā"/>
    <s v="Nē"/>
    <s v="Jā"/>
    <s v="Nē"/>
    <s v="Nē"/>
    <s v="Nē"/>
    <s v="Nē"/>
    <m/>
    <m/>
    <m/>
    <m/>
    <m/>
    <m/>
    <m/>
    <m/>
    <m/>
    <m/>
    <m/>
    <m/>
    <m/>
  </r>
  <r>
    <x v="2"/>
    <n v="250"/>
    <s v="2023-05-24 14:01:22"/>
    <n v="14"/>
    <s v="lv"/>
    <n v="1920618510"/>
    <s v="2023-05-24 13:42:40"/>
    <s v="2023-05-24 14:01:22"/>
    <s v="nauda"/>
    <n v="17"/>
    <s v="sieviešu"/>
    <m/>
    <x v="1"/>
    <x v="0"/>
    <x v="0"/>
    <x v="0"/>
    <x v="0"/>
    <x v="0"/>
    <s v="Latgalē"/>
    <m/>
    <s v="katoli(ieti)"/>
    <m/>
    <s v="Nē"/>
    <s v="Jā"/>
    <s v="Nē"/>
    <s v="Nē"/>
    <s v="Nē"/>
    <s v="Nē"/>
    <s v="Nē"/>
    <s v="Nē"/>
    <s v="Jā"/>
    <s v="Nē"/>
    <s v="Nē"/>
    <s v="Nē"/>
    <s v="Nē"/>
    <s v="Nē"/>
    <s v="Nē"/>
    <s v="Nē"/>
    <s v="Jā"/>
    <s v="Nē"/>
    <s v="Nē"/>
    <s v="Nē"/>
    <s v="Nē"/>
    <s v="Nē"/>
    <s v="Jā"/>
    <s v="Nē"/>
    <s v="Nē"/>
    <s v="Nē"/>
    <s v="Nē"/>
    <s v="Nē"/>
    <s v="tikai b"/>
    <s v="tikai a"/>
    <s v="tikai b"/>
    <s v="a un b"/>
    <s v="tikai a"/>
    <s v="tikai a"/>
    <s v="Lielākoties vienlīdzīgi"/>
    <s v="Lielākoties vienlīdzīgi"/>
    <s v="Vienlīdzīgi"/>
    <s v="Vienlīdzīgi"/>
    <s v="Lielākoties vienlīdzīgi"/>
    <s v="nezinu"/>
    <s v="Jaunā Vienotība"/>
    <s v="Zaļo un Zemnieku savienība"/>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Viduvēji"/>
    <s v="Neinteresē"/>
    <s v="Viduvēji"/>
    <s v="Viduvēji"/>
    <s v="nezinu"/>
    <s v="Nē"/>
    <s v="Jā"/>
    <s v="Nē"/>
    <s v="Jā"/>
    <s v="Jā"/>
    <s v="Nē"/>
    <s v="2....."/>
    <n v="19"/>
    <n v="93"/>
    <n v="48"/>
    <n v="11"/>
    <s v="Ļoti saspīlētas"/>
    <s v="Drīzāk saspīlētas"/>
    <s v="Nav saspīlētas"/>
    <s v="(Gandrīz) nekad"/>
    <s v="(Gandrīz) nekad"/>
    <s v="(Gandrīz) nekad"/>
    <s v="(Gandrīz) nekad"/>
    <s v="(Gandrīz) nekad"/>
    <s v="(Gandrīz) nekad"/>
    <s v="(Gandrīz) nekad"/>
    <s v="(Gandrīz) nekad"/>
    <s v="(Gandrīz) nekad"/>
    <s v="(Gandrīz) nekad"/>
    <m/>
    <s v="nē"/>
    <s v="N/A"/>
    <s v="N/A"/>
    <s v="N/A"/>
    <s v="N/A"/>
    <s v="Nē"/>
    <s v="Nē"/>
    <s v="Jā"/>
    <s v="Nē"/>
    <s v="N/A"/>
    <s v="N/A"/>
    <s v="N/A"/>
    <s v="Jā"/>
    <s v="reizi nedēļā"/>
    <s v="(gandrīz) nekad"/>
    <s v="(gandrīz) nekad"/>
    <s v="pāris reižu mēnesī"/>
    <s v="(gandrīz) nekad"/>
    <s v="(gandrīz) nekad"/>
    <s v="(gandrīz) nekad"/>
    <s v="(gandrīz) katru dienu"/>
    <s v="(gandrīz) katru dienu"/>
    <s v="(gandrīz) nekad"/>
    <s v="(gandrīz) katru dienu"/>
    <s v="(gandrīz) katru dienu"/>
    <s v="(gandrīz) katru dienu"/>
    <s v="(gandrīz) katru dienu"/>
    <s v="vienlīdz pieejama izglītība, veselības aprūpe, sociālais nodrošinājums"/>
    <s v="pilsoniskās brīvības (vārda brīvība, tiesības uz tiesisko aizsardzību)"/>
    <s v="brīvas vēlēšanas un plurālisms"/>
    <m/>
    <m/>
    <s v="labi"/>
    <s v="citreiz labi, citreiz slikti"/>
    <s v="labi"/>
    <s v="citreiz labi, citreiz slikti"/>
    <s v="citreiz labi, citreiz slikti"/>
    <s v="Cita atbilde"/>
    <s v="Es vēl mācos skolā"/>
    <s v="N/A"/>
    <s v="N/A"/>
    <s v="N/A"/>
    <s v="Jā"/>
    <s v="latviešu"/>
    <m/>
    <s v="latviešu"/>
    <m/>
    <m/>
    <m/>
    <m/>
    <m/>
    <m/>
    <m/>
    <m/>
    <m/>
    <m/>
    <m/>
    <m/>
    <m/>
    <m/>
    <m/>
    <m/>
    <m/>
    <m/>
    <m/>
    <m/>
    <m/>
    <m/>
    <s v="N/A"/>
    <s v="N/A"/>
    <s v="N/A"/>
    <s v="N/A"/>
    <s v="N/A"/>
    <s v="N/A"/>
    <m/>
    <m/>
    <m/>
    <m/>
    <m/>
    <s v="Nē"/>
    <s v="Nē"/>
    <s v="Nē"/>
    <s v="Jā"/>
    <s v="Nē"/>
    <s v="Nē"/>
    <s v="Nē"/>
    <s v="Nē"/>
    <s v="Nē"/>
    <s v="Nē"/>
    <s v="Nē"/>
    <s v="Nē"/>
    <s v="Nē"/>
    <s v="Nē"/>
    <s v="Nē"/>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51"/>
    <s v="2023-05-24 14:09:33"/>
    <n v="14"/>
    <s v="lv"/>
    <n v="2125293855"/>
    <s v="2023-05-24 13:42:43"/>
    <s v="2023-05-24 14:09:33"/>
    <s v="nauda"/>
    <n v="17"/>
    <s v="sieviešu"/>
    <m/>
    <x v="1"/>
    <x v="0"/>
    <x v="0"/>
    <x v="0"/>
    <x v="0"/>
    <x v="0"/>
    <s v="Latgalē"/>
    <m/>
    <s v="katoli(ieti)"/>
    <m/>
    <s v="Nē"/>
    <s v="Jā"/>
    <s v="Nē"/>
    <s v="Nē"/>
    <s v="Nē"/>
    <s v="Jā"/>
    <s v="Nē"/>
    <s v="Nē"/>
    <s v="Jā"/>
    <s v="Nē"/>
    <s v="Nē"/>
    <s v="Nē"/>
    <s v="Jā"/>
    <s v="Nē"/>
    <s v="Jā"/>
    <s v="Nē"/>
    <s v="Nē"/>
    <s v="Nē"/>
    <s v="Nē"/>
    <s v="Nē"/>
    <s v="Nē"/>
    <s v="Jā"/>
    <s v="Nē"/>
    <s v="Nē"/>
    <s v="Jā"/>
    <s v="Nē"/>
    <s v="Jā"/>
    <s v="Nē"/>
    <s v="tikai a"/>
    <s v="tikai b"/>
    <s v="tikai b"/>
    <s v="tikai a"/>
    <s v="tikai a"/>
    <s v="a un b"/>
    <s v="Lielākoties nevienlīdzīgi"/>
    <s v="Lielākoties nevienlīdzīgi"/>
    <s v="Lielākoties vienlīdzīgi"/>
    <s v="Lielākoties ne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Ļoti"/>
    <s v="Viduvēji"/>
    <s v="Ļoti"/>
    <m/>
    <s v="Nē"/>
    <s v="Nē"/>
    <s v="Nē"/>
    <s v="Jā"/>
    <s v="Jā"/>
    <s v="Nē"/>
    <s v="1.."/>
    <n v="81"/>
    <n v="75"/>
    <n v="8"/>
    <n v="1"/>
    <s v="Drīzāk saspīlētas"/>
    <s v="Drīzāk saspīlētas"/>
    <s v="Nav saspīlētas"/>
    <s v="(Gandrīz) nekad"/>
    <s v="(Gandrīz) nekad"/>
    <s v="(Gandrīz) nekad"/>
    <s v="Dažreiz"/>
    <s v="Bieži"/>
    <s v="(Gandrīz) nekad"/>
    <s v="(Gandrīz) nekad"/>
    <s v="Reti"/>
    <s v="Dažreiz"/>
    <s v="Bieži"/>
    <m/>
    <s v="nē"/>
    <s v="N/A"/>
    <s v="N/A"/>
    <s v="N/A"/>
    <s v="N/A"/>
    <s v="Nē"/>
    <s v="Jā"/>
    <s v="Jā"/>
    <s v="Nē"/>
    <s v="Jā"/>
    <s v="Jā"/>
    <s v="Jā"/>
    <s v="Nē"/>
    <s v="pāris reižu nedēļā"/>
    <s v="(gandrīz) katru dienu"/>
    <s v="(gandrīz) katru dienu"/>
    <s v="pāris reižu nedēļā"/>
    <s v="(gandrīz) nekad"/>
    <s v="(gandrīz) nekad"/>
    <s v="pāris reižu mēnesī"/>
    <s v="(gandrīz) katru dienu"/>
    <s v="(gandrīz) katru dienu"/>
    <s v="reizi nedēļā"/>
    <s v="(gandrīz) katru dienu"/>
    <s v="reizi nedēļā"/>
    <s v="(gandrīz) katru dienu"/>
    <s v="(gandrīz) katru dienu"/>
    <s v="vienlīdz pieejama izglītība, veselības aprūpe, sociālais nodrošinājums"/>
    <s v="pilsoniskās brīvības (vārda brīvība, tiesības uz tiesisko aizsardzību)"/>
    <s v="brīvas vēlēšanas un plurālisms"/>
    <m/>
    <m/>
    <s v="labi"/>
    <s v="citreiz labi, citreiz slikti"/>
    <s v="labi"/>
    <s v="labi"/>
    <s v="citreiz labi, citreiz slikti"/>
    <s v="pamatizglītību"/>
    <m/>
    <s v="Jā"/>
    <s v="Jā"/>
    <s v="Nē"/>
    <s v="Nē"/>
    <s v="latviešu"/>
    <m/>
    <s v="latviešu"/>
    <m/>
    <m/>
    <m/>
    <m/>
    <m/>
    <m/>
    <m/>
    <m/>
    <m/>
    <m/>
    <m/>
    <m/>
    <m/>
    <m/>
    <m/>
    <m/>
    <m/>
    <m/>
    <m/>
    <m/>
    <m/>
    <m/>
    <s v="N/A"/>
    <s v="N/A"/>
    <s v="N/A"/>
    <s v="N/A"/>
    <s v="N/A"/>
    <s v="N/A"/>
    <m/>
    <m/>
    <m/>
    <m/>
    <m/>
    <s v="Nē"/>
    <s v="Nē"/>
    <s v="Nē"/>
    <s v="Nē"/>
    <s v="Nē"/>
    <s v="Nē"/>
    <s v="Nē"/>
    <s v="Nē"/>
    <s v="Nē"/>
    <s v="Nē"/>
    <s v="Nē"/>
    <s v="Nē"/>
    <s v="Nē"/>
    <s v="Nē"/>
    <s v="Jā"/>
    <m/>
    <s v="Nē"/>
    <m/>
    <s v="Nē"/>
    <m/>
    <s v="Nē"/>
    <m/>
    <s v="Nē"/>
    <m/>
    <s v="Jā"/>
    <s v="Nē"/>
    <s v="Nē"/>
    <s v="Jā"/>
    <s v="Nē"/>
    <s v="Nē"/>
    <s v="Nē"/>
    <s v="Nē"/>
    <s v="Nē"/>
    <s v="Nē"/>
    <s v="Nē"/>
    <s v="Nē"/>
    <s v="Nē"/>
    <s v="Nē"/>
    <s v="Nē"/>
    <s v="gorod.lv, čaika"/>
    <s v="Nē"/>
    <m/>
    <s v="Nē"/>
    <m/>
    <s v="Nē"/>
    <m/>
    <s v="Nē"/>
    <m/>
    <s v="Jā"/>
    <s v="Jā"/>
    <s v="Nē"/>
    <s v="Nē"/>
    <s v="Jā"/>
    <s v="Jā"/>
    <s v="Nē"/>
    <s v="Jā"/>
    <s v="Nē"/>
    <s v="Nē"/>
    <s v="Nē"/>
    <s v="Nē"/>
    <s v="Snapchat, BeReal, Discord"/>
    <m/>
    <m/>
    <m/>
    <m/>
    <m/>
    <m/>
    <m/>
    <m/>
    <m/>
    <m/>
    <m/>
    <m/>
  </r>
  <r>
    <x v="2"/>
    <n v="252"/>
    <s v="2023-05-24 14:18:08"/>
    <n v="14"/>
    <s v="lv"/>
    <n v="1066458597"/>
    <s v="2023-05-24 13:42:46"/>
    <s v="2023-05-24 14:18:08"/>
    <s v="nauda"/>
    <n v="17"/>
    <s v="sieviešu"/>
    <m/>
    <x v="1"/>
    <x v="0"/>
    <x v="0"/>
    <x v="0"/>
    <x v="0"/>
    <x v="0"/>
    <s v="Latgalē"/>
    <m/>
    <s v="ateistu(ti), nereliģiozu"/>
    <m/>
    <s v="Nē"/>
    <s v="Jā"/>
    <s v="Nē"/>
    <s v="Nē"/>
    <s v="Nē"/>
    <s v="Nē"/>
    <s v="Nē"/>
    <s v="Jā"/>
    <s v="Jā"/>
    <s v="Jā"/>
    <s v="Nē"/>
    <s v="Jā"/>
    <s v="Nē"/>
    <s v="Nē"/>
    <s v="Jā"/>
    <s v="Nē"/>
    <s v="Nē"/>
    <s v="Nē"/>
    <s v="Nē"/>
    <s v="Nē"/>
    <s v="Nē"/>
    <s v="Jā"/>
    <s v="Jā"/>
    <s v="Jā"/>
    <s v="Jā"/>
    <s v="Jā"/>
    <s v="Jā"/>
    <s v="Nē"/>
    <s v="tikai b"/>
    <s v="a un b"/>
    <s v="tikai a"/>
    <s v="tikai b"/>
    <s v="tikai b"/>
    <s v="tikai b"/>
    <s v="Lielākoties vienlīdzīgi"/>
    <s v="Lielākoties nevienlīdzīgi"/>
    <s v="Lielākoties vienlīdzīgi"/>
    <s v="Lielākoties vienlīdzīgi"/>
    <s v="Lielākoties nevienlīdzīgi"/>
    <s v="&quot;Apvienotais saraksts&quot;"/>
    <s v="Zaļo un Zemnieku savienība"/>
    <s v="&quot;Progresīvie&quot;"/>
    <s v="Politiskā partija &quot;Stabilitātei&quot;"/>
    <s v="&quot;Latvija pirmajā vietā&quot;"/>
    <s v="Jaunā Vienotība"/>
    <s v="Jaunā Vienotība"/>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Ne sevišķi"/>
    <s v="Ne sevišķi"/>
    <s v="Ne sevišķi"/>
    <s v="Ārkārtīgi"/>
    <s v="Populisms - Vēlme kļūt vienā līmenī ar attīstītajām pasaules valstīm, bet darot to ļoti slikti (runa ir par Latviju)"/>
    <s v="Nē"/>
    <s v="Nē"/>
    <s v="Jā"/>
    <s v="Jā"/>
    <s v="Jā"/>
    <s v="Jā"/>
    <s v="2.."/>
    <n v="12"/>
    <n v="87"/>
    <n v="92"/>
    <n v="22"/>
    <s v="Drīzāk saspīlētas"/>
    <s v="Nav saspīlētas"/>
    <s v="Nav saspīlētas"/>
    <s v="(Gandrīz) nekad"/>
    <s v="(Gandrīz) nekad"/>
    <s v="(Gandrīz) nekad"/>
    <s v="(Gandrīz) nekad"/>
    <s v="(Gandrīz) nekad"/>
    <s v="Dažreiz"/>
    <s v="Dažreiz"/>
    <s v="Dažreiz"/>
    <s v="Dažreiz"/>
    <s v="Dažreiz"/>
    <s v="Es izmantoju latviešu, krievu, angļu valodu. Daugavpilī man nav problēmu, tomēr citās Latvijas valsts pilsētās es tiku diskriminēta un aizskarta, jo izmantoju krievu valodu. Manuprāt, tāda reakcija ir nenormāla, jo nav nekā slikta, ka es pārzinu vairākas valodas. Krievu valoda ir VALODA. Ja valsts grib izvairīties no citas valodas, popularizējot latviešu valodu, tad jārīkojās citādāk, piemēram filmēt vairāk kino latviešu valodā (bezmaksas, lai to varētu noskatīties mājās), latviešu valodas multfilmas, pasākumi, spēles, letotājprogrammas (spēles, krosvirdi, valodas apgūšana). Ka arī bezmaksas, brīvprātīgas grupas, kurā var pļāpāt par savu dzīves pieredzi un citu. Jāpopularizē savu latviešu valodu, izmantojot kreativitāti nevis aizliēgt krievu valodu, agresēt uz krievrunājošiem cilvēkiem. Es pārzinu latviešu valodu, es mīlu savu kultūru, es esmu latviete, tomēr mani kaitina un aizvaino tādas attiecības valstī."/>
    <s v="nē"/>
    <s v="N/A"/>
    <s v="N/A"/>
    <s v="N/A"/>
    <s v="N/A"/>
    <s v="Jā"/>
    <s v="Jā"/>
    <s v="Jā"/>
    <s v="Nē"/>
    <s v="Jā"/>
    <s v="Jā"/>
    <s v="Jā"/>
    <s v="Nē"/>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citreiz labi, citreiz slikti"/>
    <s v="labi"/>
    <s v="citreiz labi, citreiz slikti"/>
    <s v="citreiz labi, citreiz slikti"/>
    <s v="pamatizglītību"/>
    <m/>
    <s v="N/A"/>
    <s v="N/A"/>
    <s v="N/A"/>
    <s v="Jā"/>
    <s v="vienlīdz latviešu un krievu"/>
    <m/>
    <s v="vienlīdz latviešu un krievu"/>
    <m/>
    <m/>
    <m/>
    <m/>
    <m/>
    <m/>
    <m/>
    <m/>
    <m/>
    <m/>
    <m/>
    <m/>
    <m/>
    <m/>
    <m/>
    <m/>
    <m/>
    <m/>
    <m/>
    <m/>
    <m/>
    <m/>
    <s v="N/A"/>
    <s v="N/A"/>
    <s v="N/A"/>
    <s v="N/A"/>
    <s v="N/A"/>
    <s v="N/A"/>
    <m/>
    <m/>
    <m/>
    <m/>
    <m/>
    <s v="Nē"/>
    <s v="Nē"/>
    <s v="Nē"/>
    <s v="Nē"/>
    <s v="Nē"/>
    <s v="Nē"/>
    <s v="Nē"/>
    <s v="Nē"/>
    <s v="Nē"/>
    <s v="Nē"/>
    <s v="Nē"/>
    <s v="Nē"/>
    <s v="Nē"/>
    <s v="Nē"/>
    <s v="Nē"/>
    <s v="Latvijas Panorāma"/>
    <s v="Nē"/>
    <m/>
    <s v="Nē"/>
    <m/>
    <s v="Nē"/>
    <m/>
    <s v="Nē"/>
    <m/>
    <s v="Nē"/>
    <s v="Nē"/>
    <s v="Jā"/>
    <s v="Nē"/>
    <s v="Nē"/>
    <s v="Nē"/>
    <s v="Nē"/>
    <s v="Nē"/>
    <s v="Nē"/>
    <s v="Nē"/>
    <s v="Nē"/>
    <s v="Jā"/>
    <s v="Jā"/>
    <s v="Nē"/>
    <s v="Nē"/>
    <m/>
    <s v="Nē"/>
    <m/>
    <s v="Nē"/>
    <m/>
    <s v="Nē"/>
    <m/>
    <s v="Nē"/>
    <m/>
    <s v="Jā"/>
    <s v="Jā"/>
    <s v="Jā"/>
    <s v="Nē"/>
    <s v="Jā"/>
    <s v="Jā"/>
    <s v="Nē"/>
    <s v="Nē"/>
    <s v="Nē"/>
    <s v="Jā"/>
    <s v="Nē"/>
    <s v="Nē"/>
    <m/>
    <s v="Vēlos vairāk interaktīvu latviešu valodā. Multfilmas, aplikācijas, filmas, grāmatas un cits."/>
    <m/>
    <m/>
    <m/>
    <m/>
    <m/>
    <m/>
    <m/>
    <m/>
    <m/>
    <m/>
    <m/>
  </r>
  <r>
    <x v="2"/>
    <n v="253"/>
    <s v="2023-05-24 14:05:46"/>
    <n v="14"/>
    <s v="ru"/>
    <n v="7240719"/>
    <s v="2023-05-24 13:42:47"/>
    <s v="2023-05-24 14:05:46"/>
    <s v="нож"/>
    <n v="18"/>
    <s v="Cita atbilde"/>
    <s v="Non-binary"/>
    <x v="0"/>
    <x v="0"/>
    <x v="0"/>
    <x v="0"/>
    <x v="0"/>
    <x v="0"/>
    <s v="Latgalē"/>
    <m/>
    <s v="vecticībnieku(ci)"/>
    <m/>
    <s v="Jā"/>
    <s v="Nē"/>
    <s v="Nē"/>
    <s v="Jā"/>
    <s v="Nē"/>
    <s v="Nē"/>
    <s v="Nē"/>
    <s v="Nē"/>
    <s v="Jā"/>
    <s v="Nē"/>
    <s v="Nē"/>
    <s v="Nē"/>
    <s v="Jā"/>
    <s v="Nē"/>
    <s v="Jā"/>
    <s v="Nē"/>
    <s v="Jā"/>
    <s v="Nē"/>
    <s v="Nē"/>
    <s v="Nē"/>
    <s v="Nē"/>
    <s v="Jā"/>
    <s v="Jā"/>
    <s v="Nē"/>
    <s v="Nē"/>
    <s v="Jā"/>
    <s v="Nē"/>
    <s v="Nē"/>
    <s v="a un b"/>
    <s v="tikai a"/>
    <s v="a un b"/>
    <s v="tikai b"/>
    <s v="a un b"/>
    <s v="ne a, ne b"/>
    <s v="Lielākoties nevienlīdzīgi"/>
    <s v="Lielākoties nevienlīdzīgi"/>
    <s v="Lielākoties vienlīdzīgi"/>
    <s v="Lielākoties nevienlīdzīgi"/>
    <s v="Ne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Viduvēji"/>
    <s v="Viduvēji"/>
    <s v="Ļoti"/>
    <s v="Ļoti"/>
    <s v="Обещание большому скоплению людей/народу решить большую проблему быстрым и лёгким, но далеко не всегда эффективным, путём."/>
    <s v="Nē"/>
    <s v="Jā"/>
    <s v="Nē"/>
    <s v="Nē"/>
    <s v="Jā"/>
    <s v="Nē"/>
    <s v="1.."/>
    <n v="55"/>
    <n v="10"/>
    <n v="77"/>
    <n v="28"/>
    <s v="Nav saspīlētas"/>
    <s v="Nav saspīlētas"/>
    <s v="Mazliet saspīlētas"/>
    <s v="Reti"/>
    <s v="Reti"/>
    <s v="(Gandrīz) nekad"/>
    <s v="Dažreiz"/>
    <s v="Dažreiz"/>
    <s v="Dažreiz"/>
    <s v="Reti"/>
    <s v="(Gandrīz) nekad"/>
    <s v="(Gandrīz) nekad"/>
    <s v="Bieži"/>
    <s v="В привычке, зная, что большинство соседей - русские, бывает что я здороваюсь с ними на русском. От этого я получал не мало взглядов от определённой пары. от этого я продолжаю встречать всех простым кивком."/>
    <s v="nē"/>
    <s v="N/A"/>
    <s v="N/A"/>
    <s v="N/A"/>
    <s v="N/A"/>
    <s v="N/A"/>
    <s v="N/A"/>
    <s v="N/A"/>
    <s v="Jā"/>
    <s v="Nē"/>
    <s v="Jā"/>
    <s v="Jā"/>
    <s v="Nē"/>
    <s v="(gandrīz) nekad"/>
    <s v="pāris reižu nedēļā"/>
    <s v="(gandrīz) nekad"/>
    <s v="pāris reižu mēnesī"/>
    <s v="(gandrīz) nekad"/>
    <s v="(gandrīz) nekad"/>
    <s v="pāris reižu nedēļā"/>
    <s v="(gandrīz) katru dienu"/>
    <s v="(gandrīz) katru dienu"/>
    <s v="(gandrīz) katru dienu"/>
    <s v="pāris reižu nedēļā"/>
    <s v="reizi nedēļā"/>
    <s v="reizi nedēļā"/>
    <s v="pāris reižu nedēļā"/>
    <s v="vienlīdz pieejama izglītība, veselības aprūpe, sociālais nodrošinājums"/>
    <s v="vienlīdzīgas tiesības minoritātēm un ievainojamām sabiedrības grupām"/>
    <s v="varas līdzsvars starp parlamentu, prezidentu un tiesām, lai neviena no institūcijām nespētu sevī koncentrēt lielāko daļu varas"/>
    <m/>
    <m/>
    <s v="citreiz labi, citreiz slikti"/>
    <s v="citreiz labi, citreiz slikti"/>
    <s v="labi"/>
    <s v="citreiz labi, citreiz slikti"/>
    <s v="slikti"/>
    <s v="vidējo izglītību"/>
    <m/>
    <s v="N/A"/>
    <s v="N/A"/>
    <s v="N/A"/>
    <s v="Jā"/>
    <s v="krievu"/>
    <m/>
    <s v="vienlīdz latviešu un krievu"/>
    <m/>
    <s v="Spēju pastāstīt par savu hobiju / darbu."/>
    <s v="Spēju uzrakstīt vēstuli draugam."/>
    <s v="Viegli saprotu televīzijas pārraides vai Youtube video par saviem hobijiem/darbības sfēru."/>
    <s v="Spēju izlasīt avīzi/īsstāstus."/>
    <m/>
    <m/>
    <m/>
    <m/>
    <m/>
    <m/>
    <m/>
    <m/>
    <m/>
    <m/>
    <m/>
    <m/>
    <m/>
    <m/>
    <m/>
    <m/>
    <m/>
    <s v="N/A"/>
    <s v="N/A"/>
    <s v="N/A"/>
    <s v="N/A"/>
    <s v="N/A"/>
    <s v="N/A"/>
    <m/>
    <m/>
    <m/>
    <m/>
    <m/>
    <s v="Nē"/>
    <s v="Nē"/>
    <s v="Nē"/>
    <s v="Nē"/>
    <s v="Nē"/>
    <s v="Nē"/>
    <s v="Nē"/>
    <s v="Nē"/>
    <s v="Jā"/>
    <s v="Nē"/>
    <s v="Jā"/>
    <s v="Nē"/>
    <s v="Jā"/>
    <s v="Jā"/>
    <s v="Nē"/>
    <m/>
    <s v="Nē"/>
    <m/>
    <s v="Nē"/>
    <m/>
    <s v="Nē"/>
    <m/>
    <s v="Nē"/>
    <m/>
    <s v="Jā"/>
    <s v="Nē"/>
    <s v="Nē"/>
    <s v="Jā"/>
    <s v="Nē"/>
    <s v="Nē"/>
    <s v="Nē"/>
    <s v="Nē"/>
    <s v="Nē"/>
    <s v="Nē"/>
    <s v="Nē"/>
    <s v="Nē"/>
    <s v="Jā"/>
    <s v="Nē"/>
    <s v="Nē"/>
    <m/>
    <s v="Nē"/>
    <m/>
    <s v="Nē"/>
    <m/>
    <s v="Nē"/>
    <m/>
    <s v="Nē"/>
    <m/>
    <s v="Jā"/>
    <s v="Nē"/>
    <s v="Nē"/>
    <s v="Nē"/>
    <s v="Jā"/>
    <s v="Jā"/>
    <s v="Nē"/>
    <s v="Nē"/>
    <s v="Nē"/>
    <s v="Nē"/>
    <s v="Nē"/>
    <s v="Nē"/>
    <s v="discord"/>
    <m/>
    <m/>
    <m/>
    <m/>
    <m/>
    <m/>
    <m/>
    <m/>
    <m/>
    <m/>
    <m/>
    <m/>
  </r>
  <r>
    <x v="2"/>
    <n v="254"/>
    <s v="2023-05-24 14:10:39"/>
    <n v="14"/>
    <s v="lv"/>
    <n v="1783491258"/>
    <s v="2023-05-24 13:42:49"/>
    <s v="2023-05-24 14:10:39"/>
    <s v="нож"/>
    <n v="17"/>
    <s v="vīriešu"/>
    <m/>
    <x v="1"/>
    <x v="0"/>
    <x v="0"/>
    <x v="0"/>
    <x v="0"/>
    <x v="0"/>
    <s v="Latgalē"/>
    <m/>
    <s v="ateistu(ti), nereliģiozu"/>
    <m/>
    <s v="Jā"/>
    <s v="Jā"/>
    <s v="Nē"/>
    <s v="Jā"/>
    <s v="Nē"/>
    <s v="Nē"/>
    <s v="Nē"/>
    <s v="Jā"/>
    <s v="Jā"/>
    <s v="Nē"/>
    <s v="Nē"/>
    <s v="Jā"/>
    <s v="Nē"/>
    <s v="Nē"/>
    <s v="Jā"/>
    <s v="Jā"/>
    <s v="Nē"/>
    <s v="Nē"/>
    <s v="Nē"/>
    <s v="Nē"/>
    <s v="Nē"/>
    <s v="Nē"/>
    <s v="Jā"/>
    <s v="Nē"/>
    <s v="Nē"/>
    <s v="Nē"/>
    <s v="Jā"/>
    <s v="Nē"/>
    <s v="nezinu"/>
    <s v="tikai a"/>
    <s v="tikai b"/>
    <s v="a un b"/>
    <s v="tikai b"/>
    <s v="tikai a"/>
    <s v="Lielākoties vienlīdzīgi"/>
    <s v="Lielākoties vienlīdzīgi"/>
    <s v="Lielākoties vienlīdzīgi"/>
    <s v="Lielākoties nevienlīdzīgi"/>
    <s v="Vienlīdzīgi"/>
    <s v="&quot;Latvija pirmajā vietā&quot;"/>
    <s v="Jaunā Vienotība"/>
    <s v="&quot;Apvienotais saraksts&quot;"/>
    <s v="Zaļo un Zemnieku savienība"/>
    <s v="Zaļo un Zemnieku savienība"/>
    <s v="Politiskā partija &quot;Stabilitātei&quot;"/>
    <s v="&quot;Progresīvie&quot;"/>
    <s v="Globālā sasilšana ir šķērsojusi robežu, pēc kuras nav iespējams atgriezties, un cilvēkiem būs jāpielāgojas."/>
    <s v="jā, lielāko daļu no tā, ko iespējams šķirot"/>
    <s v="Jaunā Vienotība"/>
    <s v="Politiskā partija &quot;Stabilitātei&quot;"/>
    <s v="Zaļo un Zemnieku savienība"/>
    <s v="&quot;Apvienotais saraksts&quot;"/>
    <s v="&quot;Latvija pirmajā vietā&quot;"/>
    <s v="nezinu"/>
    <s v="nezinu"/>
    <s v="nezinu"/>
    <s v="nezinu"/>
    <s v="nezinu"/>
    <s v="&quot;Apvienotais saraksts&quot;"/>
    <s v="Jaunā Vienotība"/>
    <s v="Nacionālā Apvienība"/>
    <s v="&quot;Progresīvie&quot;"/>
    <s v="Ne sevišķi"/>
    <s v="Neinteresē"/>
    <s v="Viduvēji"/>
    <s v="Ne sevišķi"/>
    <s v="сразу на ум приходит какой-то человек который популеризировает что-то"/>
    <s v="Nē"/>
    <s v="Nē"/>
    <s v="Jā"/>
    <s v="Nē"/>
    <s v="Jā"/>
    <s v="Nē"/>
    <s v="2.."/>
    <n v="30"/>
    <n v="21"/>
    <n v="100"/>
    <n v="1"/>
    <s v="Drīzāk saspīlētas"/>
    <s v="Nav saspīlētas"/>
    <s v="Mazliet saspīlētas"/>
    <s v="(Gandrīz) nekad"/>
    <s v="(Gandrīz) nekad"/>
    <s v="(Gandrīz) nekad"/>
    <s v="(Gandrīz) nekad"/>
    <s v="(Gandrīz) nekad"/>
    <s v="(Gandrīz) nekad"/>
    <s v="(Gandrīz) nekad"/>
    <s v="Dažreiz"/>
    <s v="(Gandrīz) nekad"/>
    <s v="(Gandrīz) nekad"/>
    <s v="Я разговаривал с продавцом  на русском и ему это не нравилось"/>
    <s v="nē"/>
    <s v="N/A"/>
    <s v="N/A"/>
    <s v="N/A"/>
    <s v="N/A"/>
    <s v="Jā"/>
    <s v="Jā"/>
    <s v="Jā"/>
    <s v="Nē"/>
    <s v="Jā"/>
    <s v="Nē"/>
    <s v="Jā"/>
    <s v="Nē"/>
    <s v="pāris reižu mēnesī"/>
    <s v="(gandrīz) nekad"/>
    <s v="(gandrīz) nekad"/>
    <s v="(gandrīz) nekad"/>
    <s v="pāris reižu mēnesī"/>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slikti"/>
    <s v="slikti"/>
    <s v="labi"/>
    <s v="pamatizglītību"/>
    <m/>
    <s v="Nē"/>
    <s v="Jā"/>
    <s v="Nē"/>
    <s v="Nē"/>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Jā"/>
    <s v="Jā"/>
    <s v="Nē"/>
    <s v="Jā"/>
    <s v="Jā"/>
    <s v="Jā"/>
    <s v="Nē"/>
    <s v="Jā"/>
    <s v="Nē"/>
    <s v="Nē"/>
    <s v="Nē"/>
    <s v="Nē"/>
    <m/>
    <m/>
    <m/>
    <m/>
    <m/>
    <m/>
    <m/>
    <m/>
    <m/>
    <m/>
    <m/>
    <m/>
    <m/>
  </r>
  <r>
    <x v="2"/>
    <n v="256"/>
    <s v="2023-05-24 13:56:42"/>
    <n v="14"/>
    <s v="ru"/>
    <n v="2138568127"/>
    <s v="2023-05-24 13:43:10"/>
    <s v="2023-05-24 13:56:42"/>
    <s v="nauda"/>
    <n v="17"/>
    <s v="sieviešu"/>
    <m/>
    <x v="1"/>
    <x v="0"/>
    <x v="0"/>
    <x v="0"/>
    <x v="0"/>
    <x v="0"/>
    <s v="Latgalē"/>
    <m/>
    <s v="vecticībnieku(ci)"/>
    <m/>
    <s v="N/A"/>
    <s v="N/A"/>
    <s v="N/A"/>
    <s v="N/A"/>
    <s v="N/A"/>
    <s v="N/A"/>
    <s v="Jā"/>
    <s v="Jā"/>
    <s v="Nē"/>
    <s v="Nē"/>
    <s v="Nē"/>
    <s v="Nē"/>
    <s v="Nē"/>
    <s v="Nē"/>
    <s v="Nē"/>
    <s v="Nē"/>
    <s v="Nē"/>
    <s v="Nē"/>
    <s v="Jā"/>
    <s v="Jā"/>
    <s v="Nē"/>
    <s v="Jā"/>
    <s v="Jā"/>
    <s v="Jā"/>
    <s v="Nē"/>
    <s v="Jā"/>
    <s v="Jā"/>
    <s v="Nē"/>
    <s v="nezinu"/>
    <s v="ne a, ne b"/>
    <s v="nezinu"/>
    <s v="nezinu"/>
    <s v="tikai a"/>
    <s v="tikai a"/>
    <s v="Lielākoties nevienlīdzīgi"/>
    <s v="Lielākoties nevienlīdzīgi"/>
    <s v="Lielākoties vienlīdzīgi"/>
    <s v="Lielākoties vienlīdzīgi"/>
    <s v="Nevienlīdzīgi"/>
    <s v="&quot;Apvienotais saraksts&quot;"/>
    <s v="&quot;Latvija pirmajā vietā&quot;"/>
    <s v="Nacionālā Apvienība"/>
    <s v="&quot;Progresīvie&quot;"/>
    <s v="Zaļo un Zemnieku savienība"/>
    <s v="Jaunā Vienotība"/>
    <s v="Politiskā partija &quot;Stabilitātei&quot;"/>
    <s v="Globālā sasilšana ir šķērsojusi robežu, pēc kuras nav iespējams atgriezties, un cilvēkiem būs jāpielāgojas."/>
    <s v="nē"/>
    <s v="&quot;Latvija pirmajā vietā&quot;"/>
    <s v="Jaunā Vienotība"/>
    <s v="&quot;Progresīvie&quot;"/>
    <s v="Nacionālā Apvienība"/>
    <s v="Politiskā partija &quot;Stabilitātei&quot;"/>
    <s v="Zaļo un Zemnieku savienība"/>
    <s v="&quot;Apvienotais saraksts&quot;"/>
    <s v="Jaunā Vienotība"/>
    <s v="Nacionālā Apvienība"/>
    <s v="Zaļo un Zemnieku savienība"/>
    <s v="&quot;Progresīvie&quot;"/>
    <s v="&quot;Apvienotais saraksts&quot;"/>
    <s v="Politiskā partija &quot;Stabilitātei&quot;"/>
    <s v="&quot;Latvija pirmajā vietā&quot;"/>
    <s v="Neinteresē"/>
    <s v="Ne sevišķi"/>
    <s v="Viduvēji"/>
    <s v="Viduvēji"/>
    <s v="nezinu"/>
    <s v="Nē"/>
    <s v="Nē"/>
    <s v="Nē"/>
    <s v="Nē"/>
    <s v="Jā"/>
    <s v="Nē"/>
    <s v="2.."/>
    <n v="74"/>
    <n v="22"/>
    <n v="74"/>
    <n v="2"/>
    <s v="Drīzāk saspīlētas"/>
    <s v="Nav saspīlētas"/>
    <s v="Nav saspīlētas"/>
    <s v="(Gandrīz) nekad"/>
    <s v="(Gandrīz) nekad"/>
    <s v="(Gandrīz) nekad"/>
    <s v="(Gandrīz) nekad"/>
    <s v="Reti"/>
    <s v="(Gandrīz) nekad"/>
    <s v="Reti"/>
    <s v="(Gandrīz) nekad"/>
    <s v="(Gandrīz) nekad"/>
    <s v="Reti"/>
    <m/>
    <s v="nē"/>
    <s v="N/A"/>
    <s v="N/A"/>
    <s v="N/A"/>
    <s v="N/A"/>
    <s v="Jā"/>
    <s v="Nē"/>
    <s v="Jā"/>
    <s v="Nē"/>
    <s v="N/A"/>
    <s v="N/A"/>
    <s v="N/A"/>
    <s v="Jā"/>
    <s v="(gandrīz) nekad"/>
    <s v="(gandrīz) nekad"/>
    <s v="(gandrīz) nekad"/>
    <s v="(gandrīz) nekad"/>
    <s v="(gandrīz) nekad"/>
    <s v="(gandrīz) nekad"/>
    <s v="pāris reižu mēnesī"/>
    <s v="(gandrīz) katru dienu"/>
    <s v="(gandrīz) katru dienu"/>
    <s v="(gandrīz) katru dienu"/>
    <s v="(gandrīz) katru dienu"/>
    <s v="pāris reižu mēnesī"/>
    <s v="pāris reižu mēnesī"/>
    <s v="(gandrīz) katru dienu"/>
    <s v="vienlīdz pieejama izglītība, veselības aprūpe, sociālais nodrošinājums"/>
    <s v="varas līdzsvars starp parlamentu, prezidentu un tiesām, lai neviena no institūcijām nespētu sevī koncentrēt lielāko daļu varas"/>
    <s v="pilsoniskās brīvības (vārda brīvība, tiesības uz tiesisko aizsardzību)"/>
    <m/>
    <m/>
    <s v="labi"/>
    <s v="slikti"/>
    <s v="slikti"/>
    <s v="slikti"/>
    <s v="slikti"/>
    <s v="Cita atbilde"/>
    <s v="mācos 11.klasē"/>
    <s v="N/A"/>
    <s v="N/A"/>
    <s v="N/A"/>
    <s v="Jā"/>
    <s v="krievu"/>
    <m/>
    <s v="vienlīdz latviešu un krievu"/>
    <m/>
    <m/>
    <m/>
    <m/>
    <m/>
    <m/>
    <m/>
    <m/>
    <m/>
    <m/>
    <m/>
    <m/>
    <m/>
    <m/>
    <m/>
    <m/>
    <m/>
    <m/>
    <m/>
    <m/>
    <m/>
    <m/>
    <s v="N/A"/>
    <s v="N/A"/>
    <s v="N/A"/>
    <s v="N/A"/>
    <s v="N/A"/>
    <s v="N/A"/>
    <m/>
    <m/>
    <m/>
    <m/>
    <m/>
    <s v="Nē"/>
    <s v="Nē"/>
    <s v="Nē"/>
    <s v="Nē"/>
    <s v="Nē"/>
    <s v="Nē"/>
    <s v="Nē"/>
    <s v="Nē"/>
    <s v="Nē"/>
    <s v="Nē"/>
    <s v="Nē"/>
    <s v="Nē"/>
    <s v="Nē"/>
    <s v="Jā"/>
    <s v="Nē"/>
    <m/>
    <s v="Nē"/>
    <m/>
    <s v="Nē"/>
    <m/>
    <s v="Nē"/>
    <m/>
    <s v="Nē"/>
    <m/>
    <s v="Nē"/>
    <s v="Nē"/>
    <s v="Nē"/>
    <s v="Nē"/>
    <s v="Nē"/>
    <s v="Nē"/>
    <s v="Nē"/>
    <s v="Nē"/>
    <s v="Nē"/>
    <s v="Nē"/>
    <s v="Nē"/>
    <s v="Nē"/>
    <s v="Jā"/>
    <s v="Nē"/>
    <s v="Nē"/>
    <m/>
    <s v="Nē"/>
    <m/>
    <s v="Nē"/>
    <m/>
    <s v="Nē"/>
    <m/>
    <s v="Nē"/>
    <m/>
    <s v="Jā"/>
    <s v="Jā"/>
    <s v="Nē"/>
    <s v="Nē"/>
    <s v="Jā"/>
    <s v="Jā"/>
    <s v="Nē"/>
    <s v="Jā"/>
    <s v="Nē"/>
    <s v="Nē"/>
    <s v="Nē"/>
    <s v="Nē"/>
    <m/>
    <m/>
    <m/>
    <m/>
    <m/>
    <m/>
    <m/>
    <m/>
    <m/>
    <m/>
    <m/>
    <m/>
    <m/>
  </r>
  <r>
    <x v="2"/>
    <n v="257"/>
    <s v="2023-05-24 14:01:23"/>
    <n v="14"/>
    <s v="lv"/>
    <n v="1950342647"/>
    <s v="2023-05-24 13:43:11"/>
    <s v="2023-05-24 14:01:23"/>
    <s v="nauda"/>
    <n v="18"/>
    <s v="sieviešu"/>
    <m/>
    <x v="0"/>
    <x v="0"/>
    <x v="0"/>
    <x v="0"/>
    <x v="0"/>
    <x v="0"/>
    <s v="Latgalē"/>
    <m/>
    <s v="vecticībnieku(ci)"/>
    <m/>
    <s v="Jā"/>
    <s v="Nē"/>
    <s v="Nē"/>
    <s v="Nē"/>
    <s v="Nē"/>
    <s v="Nē"/>
    <s v="Nē"/>
    <s v="Nē"/>
    <s v="Nē"/>
    <s v="Nē"/>
    <s v="Jā"/>
    <s v="Nē"/>
    <s v="Nē"/>
    <s v="Nē"/>
    <s v="Nē"/>
    <s v="Jā"/>
    <s v="Nē"/>
    <s v="Nē"/>
    <s v="Nē"/>
    <s v="Nē"/>
    <s v="Nē"/>
    <s v="Jā"/>
    <s v="Jā"/>
    <s v="Jā"/>
    <s v="Jā"/>
    <s v="Nē"/>
    <s v="Nē"/>
    <s v="Nē"/>
    <s v="tikai a"/>
    <s v="a un b"/>
    <s v="tikai a"/>
    <s v="a un b"/>
    <s v="tikai b"/>
    <s v="tikai a"/>
    <s v="Lielākoties vienlīdzīgi"/>
    <s v="Lielākoties nevienlīdzīgi"/>
    <s v="Vienlīdzīgi"/>
    <s v="Lielākoties vienlīdzīgi"/>
    <s v="Lielākoties vienlīdzīgi"/>
    <s v="Nacionālā Apvienība"/>
    <s v="&quot;Progresīvie&quot;"/>
    <s v="Politiskā partija &quot;Stabilitātei&quot;"/>
    <s v="Jaunā Vienotība"/>
    <s v="&quot;Progresīvie&quot;"/>
    <s v="&quot;Progresīvie&quot;"/>
    <s v="&quot;Progresīvie&quot;"/>
    <s v="Cīņai ar klimata pārmaiņām būtu jābūt vairumam pasaules valstu galvenajai prioritātei."/>
    <s v="jā, daļu no tā, ko iespējams šķirot"/>
    <s v="&quot;Latvija pirmajā vietā&quot;"/>
    <s v="Nacionālā Apvienība"/>
    <s v="Nacionālā Apvienība"/>
    <s v="Jaunā Vienotība"/>
    <s v="Zaļo un Zemnieku savienība"/>
    <s v="&quot;Progresīvie&quot;"/>
    <s v="Jaunā Vienotība"/>
    <s v="&quot;Progresīvie&quot;"/>
    <s v="&quot;Apvienotais saraksts&quot;"/>
    <s v="&quot;Latvija pirmajā vietā&quot;"/>
    <s v="Jaunā Vienotība"/>
    <s v="Nacionālā Apvienība"/>
    <s v="&quot;Progresīvie&quot;"/>
    <s v="&quot;Apvienotais saraksts&quot;"/>
    <s v="Ne sevišķi"/>
    <s v="Ne sevišķi"/>
    <s v="Ne sevišķi"/>
    <s v="Viduvēji"/>
    <m/>
    <s v="Nē"/>
    <s v="Nē"/>
    <s v="Nē"/>
    <s v="Jā"/>
    <s v="Jā"/>
    <s v="Nē"/>
    <s v="1.."/>
    <n v="32"/>
    <n v="35"/>
    <n v="100"/>
    <n v="88"/>
    <s v="Mazliet saspīlētas"/>
    <s v="Drīzāk saspīlētas"/>
    <s v="Mazliet saspīlētas"/>
    <s v="Reti"/>
    <s v="Reti"/>
    <s v="(Gandrīz) nekad"/>
    <s v="(Gandrīz) nekad"/>
    <s v="Reti"/>
    <s v="(Gandrīz) nekad"/>
    <s v="Dažreiz"/>
    <s v="(Gandrīz) nekad"/>
    <s v="(Gandrīz) nekad"/>
    <s v="(Gandrīz) nekad"/>
    <m/>
    <s v="nē"/>
    <s v="N/A"/>
    <s v="N/A"/>
    <s v="N/A"/>
    <s v="N/A"/>
    <s v="N/A"/>
    <s v="N/A"/>
    <s v="N/A"/>
    <s v="Jā"/>
    <s v="N/A"/>
    <s v="N/A"/>
    <s v="N/A"/>
    <s v="Jā"/>
    <s v="(gandrīz) nekad"/>
    <s v="(gandrīz) katru dienu"/>
    <s v="(gandrīz) nekad"/>
    <s v="(gandrīz) nekad"/>
    <s v="(gandrīz) nekad"/>
    <s v="(gandrīz) nekad"/>
    <s v="reizi nedēļā"/>
    <s v="(gandrīz) katru dienu"/>
    <s v="(gandrīz) katru dienu"/>
    <s v="(gandrīz) nekad"/>
    <s v="(gandrīz) katru dienu"/>
    <s v="(gandrīz) katru dienu"/>
    <s v="(gandrīz) katru dienu"/>
    <s v="(gandrīz) katru dienu"/>
    <s v="vienlīdz pieejama izglītība, veselības aprūpe, sociālais nodrošinājums"/>
    <s v="brīvas vēlēšanas un plurālisms"/>
    <s v="pilsoniskās brīvības (vārda brīvība, tiesības uz tiesisko aizsardzību)"/>
    <m/>
    <m/>
    <s v="citreiz labi, citreiz slikti"/>
    <s v="citreiz labi, citreiz slikti"/>
    <s v="citreiz labi, citreiz slikti"/>
    <s v="citreiz labi, citreiz slikti"/>
    <s v="citreiz labi, citreiz slikti"/>
    <s v="vidējo izglītību"/>
    <m/>
    <s v="Jā"/>
    <s v="Jā"/>
    <s v="Nē"/>
    <s v="Nē"/>
    <s v="latvieš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Jā"/>
    <s v="Nē"/>
    <s v="Nē"/>
    <s v="Nē"/>
    <s v="Nē"/>
    <s v="Nē"/>
    <s v="Nē"/>
    <s v="Nē"/>
    <s v="Nē"/>
    <s v="Nē"/>
    <s v="Nē"/>
    <s v="Nē"/>
    <m/>
    <s v="Nē"/>
    <m/>
    <s v="Nē"/>
    <m/>
    <s v="Nē"/>
    <m/>
    <s v="Nē"/>
    <m/>
    <s v="Nē"/>
    <s v="Nē"/>
    <s v="Nē"/>
    <s v="Nē"/>
    <s v="Nē"/>
    <s v="Nē"/>
    <s v="Nē"/>
    <s v="Nē"/>
    <s v="Nē"/>
    <s v="Nē"/>
    <s v="Nē"/>
    <s v="Jā"/>
    <s v="Jā"/>
    <s v="Nē"/>
    <s v="Nē"/>
    <m/>
    <s v="Nē"/>
    <m/>
    <s v="Nē"/>
    <m/>
    <s v="Nē"/>
    <m/>
    <s v="Nē"/>
    <m/>
    <s v="Jā"/>
    <s v="Jā"/>
    <s v="Nē"/>
    <s v="Nē"/>
    <s v="Jā"/>
    <s v="Jā"/>
    <s v="Nē"/>
    <s v="Jā"/>
    <s v="Nē"/>
    <s v="Nē"/>
    <s v="Nē"/>
    <s v="Nē"/>
    <m/>
    <m/>
    <m/>
    <m/>
    <m/>
    <m/>
    <m/>
    <m/>
    <m/>
    <m/>
    <m/>
    <m/>
    <m/>
  </r>
  <r>
    <x v="2"/>
    <n v="260"/>
    <s v="2023-05-24 13:54:17"/>
    <n v="14"/>
    <s v="lv"/>
    <n v="1633984946"/>
    <s v="2023-05-24 13:43:15"/>
    <s v="2023-05-24 13:54:17"/>
    <s v="nauda"/>
    <n v="18"/>
    <s v="sieviešu"/>
    <m/>
    <x v="1"/>
    <x v="0"/>
    <x v="0"/>
    <x v="0"/>
    <x v="0"/>
    <x v="0"/>
    <s v="Latgalē"/>
    <m/>
    <s v="ateistu(ti), nereliģiozu"/>
    <m/>
    <s v="Nē"/>
    <s v="Jā"/>
    <s v="Jā"/>
    <s v="Nē"/>
    <s v="Nē"/>
    <s v="Nē"/>
    <s v="Nē"/>
    <s v="Jā"/>
    <s v="Nē"/>
    <s v="Nē"/>
    <s v="Jā"/>
    <s v="Jā"/>
    <s v="Nē"/>
    <s v="Nē"/>
    <s v="Jā"/>
    <s v="Jā"/>
    <s v="Nē"/>
    <s v="Nē"/>
    <s v="Nē"/>
    <s v="Jā"/>
    <s v="Nē"/>
    <s v="Jā"/>
    <s v="Jā"/>
    <s v="Nē"/>
    <s v="Nē"/>
    <s v="Nē"/>
    <s v="Nē"/>
    <s v="Nē"/>
    <s v="tikai a"/>
    <s v="a un b"/>
    <s v="ne a, ne b"/>
    <s v="a un b"/>
    <s v="a un b"/>
    <s v="nezinu"/>
    <s v="Vienlīdzīgi"/>
    <s v="Lielākoties vienlīdzīgi"/>
    <s v="Vienlīdzīgi"/>
    <s v="Vienlīdzīgi"/>
    <s v="Lielākoties nevienlīdzīgi"/>
    <s v="nezinu"/>
    <s v="Nacionālā Apvienība"/>
    <s v="&quot;Latvija pirmajā vietā&quot;"/>
    <s v="Zaļo un Zemnieku savienība"/>
    <s v="&quot;Progresīvie&quot;"/>
    <s v="&quot;Apvienotais saraksts&quot;"/>
    <s v="&quot;Progresīvie&quot;"/>
    <s v="Reizēm ekonomiskā un valsts stabilitāte varētu nozīmēt, ka atsevišķi ekoloģiskās politikas aspekti ir uz brīdi jāiepauzē."/>
    <s v="nē"/>
    <s v="Zaļo un Zemnieku savienība"/>
    <s v="Nacionālā Apvienība"/>
    <s v="Politiskā partija &quot;Stabilitātei&quot;"/>
    <s v="Jaunā Vienotība"/>
    <s v="Zaļo un Zemnieku savienība"/>
    <s v="Politiskā partija &quot;Stabilitātei&quot;"/>
    <s v="Zaļo un Zemnieku savienība"/>
    <s v="Jaunā Vienotība"/>
    <s v="Zaļo un Zemnieku savienība"/>
    <s v="&quot;Latvija pirmajā vietā&quot;"/>
    <s v="&quot;Apvienotais saraksts&quot;"/>
    <s v="&quot;Apvienotais saraksts&quot;"/>
    <s v="&quot;Apvienotais saraksts&quot;"/>
    <s v="Politiskā partija &quot;Stabilitātei&quot;"/>
    <s v="Viduvēji"/>
    <s v="Viduvēji"/>
    <s v="Ārkārtīgi"/>
    <s v="Ārkārtīgi"/>
    <m/>
    <s v="Jā"/>
    <s v="Jā"/>
    <s v="Nē"/>
    <s v="Nē"/>
    <s v="Nē"/>
    <s v="Nē"/>
    <s v="1.."/>
    <n v="75"/>
    <n v="75"/>
    <n v="14"/>
    <n v="1"/>
    <s v="Mazliet saspīlētas"/>
    <s v="Drīzāk saspīlētas"/>
    <s v="Nav saspīlētas"/>
    <s v="Reti"/>
    <s v="Dažreiz"/>
    <s v="(Gandrīz) nekad"/>
    <s v="Reti"/>
    <s v="Reti"/>
    <s v="Reti"/>
    <s v="(Gandrīz) nekad"/>
    <s v="(Gandrīz) nekad"/>
    <s v="(Gandrīz) nekad"/>
    <s v="(Gandrīz) nekad"/>
    <m/>
    <s v="nē"/>
    <s v="N/A"/>
    <s v="N/A"/>
    <s v="N/A"/>
    <s v="N/A"/>
    <s v="Jā"/>
    <s v="Jā"/>
    <s v="Jā"/>
    <s v="Nē"/>
    <s v="Nē"/>
    <s v="Jā"/>
    <s v="Jā"/>
    <s v="Nē"/>
    <s v="(gandrīz) nekad"/>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citreiz labi, citreiz slikti"/>
    <s v="labi"/>
    <s v="labi"/>
    <s v="labi"/>
    <s v="vidējo izglītību"/>
    <m/>
    <s v="N/A"/>
    <s v="N/A"/>
    <s v="N/A"/>
    <s v="Jā"/>
    <s v="latviešu"/>
    <m/>
    <s v="vienlīdz latviešu un krievu"/>
    <m/>
    <m/>
    <m/>
    <m/>
    <m/>
    <m/>
    <m/>
    <m/>
    <m/>
    <m/>
    <m/>
    <m/>
    <m/>
    <m/>
    <m/>
    <m/>
    <m/>
    <m/>
    <m/>
    <m/>
    <m/>
    <m/>
    <s v="N/A"/>
    <s v="N/A"/>
    <s v="N/A"/>
    <s v="N/A"/>
    <s v="N/A"/>
    <s v="N/A"/>
    <m/>
    <m/>
    <m/>
    <m/>
    <m/>
    <s v="Nē"/>
    <s v="Nē"/>
    <s v="Nē"/>
    <s v="Nē"/>
    <s v="Nē"/>
    <s v="Nē"/>
    <s v="Nē"/>
    <s v="Nē"/>
    <s v="Nē"/>
    <s v="Nē"/>
    <s v="Jā"/>
    <s v="Nē"/>
    <s v="Nē"/>
    <s v="Nē"/>
    <s v="Nē"/>
    <m/>
    <s v="Nē"/>
    <m/>
    <s v="Nē"/>
    <m/>
    <s v="Nē"/>
    <m/>
    <s v="Nē"/>
    <m/>
    <s v="Jā"/>
    <s v="Nē"/>
    <s v="Nē"/>
    <s v="Jā"/>
    <s v="Nē"/>
    <s v="Nē"/>
    <s v="Nē"/>
    <s v="Nē"/>
    <s v="Nē"/>
    <s v="Nē"/>
    <s v="Nē"/>
    <s v="Jā"/>
    <s v="Nē"/>
    <s v="Nē"/>
    <s v="Nē"/>
    <m/>
    <s v="Nē"/>
    <m/>
    <s v="Nē"/>
    <m/>
    <s v="Nē"/>
    <m/>
    <s v="Nē"/>
    <m/>
    <s v="Jā"/>
    <s v="Jā"/>
    <s v="Jā"/>
    <s v="Nē"/>
    <s v="Jā"/>
    <s v="Jā"/>
    <s v="Nē"/>
    <s v="Jā"/>
    <s v="Jā"/>
    <s v="Nē"/>
    <s v="Jā"/>
    <s v="Nē"/>
    <m/>
    <m/>
    <m/>
    <m/>
    <m/>
    <m/>
    <m/>
    <m/>
    <m/>
    <m/>
    <m/>
    <m/>
    <m/>
  </r>
  <r>
    <x v="2"/>
    <n v="262"/>
    <m/>
    <n v="13"/>
    <s v="ru"/>
    <n v="923187527"/>
    <s v="2023-05-24 13:43:25"/>
    <s v="2023-05-24 14:03:16"/>
    <s v="нож"/>
    <n v="17"/>
    <s v="sieviešu"/>
    <m/>
    <x v="0"/>
    <x v="0"/>
    <x v="0"/>
    <x v="0"/>
    <x v="0"/>
    <x v="0"/>
    <s v="Latgalē"/>
    <m/>
    <s v="katoli(ieti)"/>
    <m/>
    <s v="N/A"/>
    <s v="N/A"/>
    <s v="N/A"/>
    <s v="N/A"/>
    <s v="N/A"/>
    <s v="N/A"/>
    <s v="Jā"/>
    <s v="N/A"/>
    <s v="N/A"/>
    <s v="N/A"/>
    <s v="N/A"/>
    <s v="N/A"/>
    <s v="N/A"/>
    <s v="Jā"/>
    <s v="N/A"/>
    <s v="N/A"/>
    <s v="N/A"/>
    <s v="N/A"/>
    <s v="N/A"/>
    <s v="N/A"/>
    <s v="Jā"/>
    <s v="N/A"/>
    <s v="N/A"/>
    <s v="N/A"/>
    <s v="N/A"/>
    <s v="N/A"/>
    <s v="N/A"/>
    <s v="Jā"/>
    <s v="nezinu"/>
    <s v="nezinu"/>
    <s v="nezinu"/>
    <s v="nezinu"/>
    <s v="nezinu"/>
    <s v="nezinu"/>
    <s v="Lielākoties vienlīdzīgi"/>
    <s v="Lielākoties vienlīdzīgi"/>
    <s v="Vienlīdzīgi"/>
    <s v="Vienlīdzīgi"/>
    <s v="Lielākoties 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Neinteresē"/>
    <s v="Neinteresē"/>
    <s v="Viduvēji"/>
    <s v="Viduvēji"/>
    <s v="не знаю"/>
    <s v="Nē"/>
    <s v="Nē"/>
    <s v="Nē"/>
    <s v="Jā"/>
    <s v="Nē"/>
    <s v="Nē"/>
    <s v="2.."/>
    <n v="1"/>
    <n v="11"/>
    <n v="85"/>
    <n v="1"/>
    <s v="Es nezinu"/>
    <s v="Es nezinu"/>
    <s v="Es nezinu"/>
    <s v="(Gandrīz) nekad"/>
    <s v="(Gandrīz) nekad"/>
    <s v="(Gandrīz) nekad"/>
    <s v="(Gandrīz) nekad"/>
    <s v="(Gandrīz) nekad"/>
    <s v="(Gandrīz) nekad"/>
    <s v="(Gandrīz) nekad"/>
    <s v="(Gandrīz) nekad"/>
    <s v="(Gandrīz) nekad"/>
    <s v="(Gandrīz) nekad"/>
    <m/>
    <s v="nē"/>
    <s v="N/A"/>
    <s v="N/A"/>
    <s v="N/A"/>
    <s v="N/A"/>
    <s v="N/A"/>
    <s v="N/A"/>
    <s v="N/A"/>
    <s v="Jā"/>
    <s v="Jā"/>
    <s v="Jā"/>
    <s v="Jā"/>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vienlīdz pieejama izglītība, veselības aprūpe, sociālais nodrošinājums"/>
    <m/>
    <m/>
    <s v="nezinu"/>
    <s v="nezinu"/>
    <s v="nezinu"/>
    <s v="nezinu"/>
    <s v="nezinu"/>
    <s v="pamatizglītību"/>
    <m/>
    <s v="N/A"/>
    <s v="N/A"/>
    <s v="N/A"/>
    <s v="Jā"/>
    <s v="vienlīdz latviešu un krievu"/>
    <m/>
    <s v="vienlīdz latviešu un krievu"/>
    <m/>
    <s v="Spēju pastāstīt par savu hobiju / darbu."/>
    <s v="Spēju uzrakstīt garāku sacerējumu/ kursa darbu"/>
    <s v="Viegli saprotu radio programmas / podkāstus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64"/>
    <s v="2023-05-24 14:00:54"/>
    <n v="14"/>
    <s v="lv"/>
    <n v="1849150513"/>
    <s v="2023-05-24 13:43:37"/>
    <s v="2023-05-24 14:00:54"/>
    <s v="nauda"/>
    <n v="17"/>
    <s v="sieviešu"/>
    <m/>
    <x v="0"/>
    <x v="0"/>
    <x v="0"/>
    <x v="0"/>
    <x v="0"/>
    <x v="0"/>
    <s v="Latgalē"/>
    <m/>
    <s v="katoli(ieti)"/>
    <m/>
    <s v="N/A"/>
    <s v="N/A"/>
    <s v="N/A"/>
    <s v="N/A"/>
    <s v="N/A"/>
    <s v="N/A"/>
    <s v="Jā"/>
    <s v="N/A"/>
    <s v="N/A"/>
    <s v="N/A"/>
    <s v="N/A"/>
    <s v="N/A"/>
    <s v="N/A"/>
    <s v="Jā"/>
    <s v="N/A"/>
    <s v="N/A"/>
    <s v="N/A"/>
    <s v="N/A"/>
    <s v="N/A"/>
    <s v="N/A"/>
    <s v="Jā"/>
    <s v="N/A"/>
    <s v="N/A"/>
    <s v="N/A"/>
    <s v="N/A"/>
    <s v="N/A"/>
    <s v="N/A"/>
    <s v="Jā"/>
    <s v="nezinu"/>
    <s v="nezinu"/>
    <s v="tikai b"/>
    <s v="tikai a"/>
    <s v="nezinu"/>
    <s v="tikai b"/>
    <s v="Lielākoties vienlīdzīgi"/>
    <s v="Lielākoties vienlīdzīgi"/>
    <s v="Vienlīdzīgi"/>
    <s v="Vienlīdzīgi"/>
    <s v="Lielākoties nevienlīdzīgi"/>
    <s v="nezinu"/>
    <s v="&quot;Progresīvie&quot;"/>
    <s v="Zaļo un Zemnieku savienība"/>
    <s v="Jaunā Vienotība"/>
    <s v="nezinu"/>
    <s v="&quot;Progresīvie&quot;"/>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Viduvēji"/>
    <s v="Viduvēji"/>
    <s v="Viduvēji"/>
    <s v="nezinu"/>
    <s v="Nē"/>
    <s v="Nē"/>
    <s v="Jā"/>
    <s v="Jā"/>
    <s v="Jā"/>
    <s v="Nē"/>
    <s v="1.."/>
    <n v="12"/>
    <n v="35"/>
    <n v="93"/>
    <n v="1"/>
    <s v="Mazliet saspīlētas"/>
    <s v="Mazliet saspīlētas"/>
    <s v="Nav saspīlētas"/>
    <s v="(Gandrīz) nekad"/>
    <s v="(Gandrīz) nekad"/>
    <s v="(Gandrīz) nekad"/>
    <s v="(Gandrīz) nekad"/>
    <s v="(Gandrīz) nekad"/>
    <s v="(Gandrīz) nekad"/>
    <s v="(Gandrīz) nekad"/>
    <s v="(Gandrīz) nekad"/>
    <s v="(Gandrīz) nekad"/>
    <s v="Reti"/>
    <m/>
    <s v="nē"/>
    <s v="N/A"/>
    <s v="N/A"/>
    <s v="N/A"/>
    <s v="N/A"/>
    <s v="Nē"/>
    <s v="Jā"/>
    <s v="Jā"/>
    <s v="Nē"/>
    <s v="N/A"/>
    <s v="N/A"/>
    <s v="N/A"/>
    <s v="Jā"/>
    <s v="(gandrīz) nekad"/>
    <s v="(gandrīz) nekad"/>
    <s v="(gandrīz) nekad"/>
    <s v="(gandrīz) nekad"/>
    <s v="(gandrīz) nekad"/>
    <s v="(gandrīz) nekad"/>
    <s v="pāris reižu mēnesī"/>
    <s v="(gandrīz) katru dienu"/>
    <s v="(gandrīz) katru dienu"/>
    <s v="(gandrīz) nekad"/>
    <s v="(gandrīz) katru dienu"/>
    <s v="(gandrīz) nekad"/>
    <s v="(gandrīz) katru dienu"/>
    <s v="(gandrīz) katru dienu"/>
    <s v="pilsoniskās brīvības (vārda brīvība, tiesības uz tiesisko aizsardzību)"/>
    <s v="brīvas vēlēšanas un plurālisms"/>
    <s v="vienlīdz pieejama izglītība, veselības aprūpe, sociālais nodrošinājums"/>
    <m/>
    <m/>
    <s v="labi"/>
    <s v="labi"/>
    <s v="labi"/>
    <s v="lab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65"/>
    <s v="2023-05-24 14:07:06"/>
    <n v="14"/>
    <s v="ru"/>
    <n v="1399748945"/>
    <s v="2023-05-24 13:43:38"/>
    <s v="2023-05-24 14:07:06"/>
    <s v="нож"/>
    <n v="17"/>
    <s v="sieviešu"/>
    <m/>
    <x v="0"/>
    <x v="0"/>
    <x v="0"/>
    <x v="0"/>
    <x v="0"/>
    <x v="0"/>
    <s v="Latgalē"/>
    <m/>
    <s v="ateistu(ti), nereliģiozu"/>
    <m/>
    <s v="Nē"/>
    <s v="Nē"/>
    <s v="Nē"/>
    <s v="Nē"/>
    <s v="Jā"/>
    <s v="Nē"/>
    <s v="Nē"/>
    <s v="Jā"/>
    <s v="Jā"/>
    <s v="Jā"/>
    <s v="Nē"/>
    <s v="Jā"/>
    <s v="Nē"/>
    <s v="Nē"/>
    <s v="Nē"/>
    <s v="Jā"/>
    <s v="Jā"/>
    <s v="Jā"/>
    <s v="Nē"/>
    <s v="Nē"/>
    <s v="Nē"/>
    <s v="Jā"/>
    <s v="Jā"/>
    <s v="Jā"/>
    <s v="Jā"/>
    <s v="Jā"/>
    <s v="Jā"/>
    <s v="Nē"/>
    <s v="tikai b"/>
    <s v="nezinu"/>
    <s v="tikai b"/>
    <s v="tikai b"/>
    <s v="tikai b"/>
    <s v="tikai a"/>
    <s v="Vienlīdzīgi"/>
    <s v="Vienlīdzīgi"/>
    <s v="Vienlīdzīgi"/>
    <s v="Vienlīdzīgi"/>
    <s v="Vienlīdzīgi"/>
    <s v="Jaunā Vienotība"/>
    <s v="&quot;Progresīvie&quot;"/>
    <s v="&quot;Latvija pirmajā vietā&quot;"/>
    <s v="&quot;Latvija pirmajā vietā&quot;"/>
    <s v="&quot;Progresīvie&quot;"/>
    <s v="Jaunā Vienotība"/>
    <s v="nezinu"/>
    <s v="Cīņai ar klimata pārmaiņām būtu jābūt vairumam pasaules valstu galvenajai prioritātei."/>
    <s v="jā, lielāko daļu no tā, ko iespējams šķirot"/>
    <s v="Jaunā Vienotība"/>
    <s v="&quot;Progresīvie&quot;"/>
    <s v="Politiskā partija &quot;Stabilitātei&quot;"/>
    <s v="Zaļo un Zemnieku savienība"/>
    <s v="Jaunā Vienotība"/>
    <s v="Politiskā partija &quot;Stabilitātei&quot;"/>
    <s v="Politiskā partija &quot;Stabilitātei&quot;"/>
    <s v="Nacionālā Apvienība"/>
    <s v="&quot;Progresīvie&quot;"/>
    <s v="Politiskā partija &quot;Stabilitātei&quot;"/>
    <s v="Nacionālā Apvienība"/>
    <s v="&quot;Latvija pirmajā vietā&quot;"/>
    <s v="Politiskā partija &quot;Stabilitātei&quot;"/>
    <s v="Jaunā Vienotība"/>
    <s v="Ļoti"/>
    <s v="Viduvēji"/>
    <s v="Ārkārtīgi"/>
    <s v="Ārkārtīgi"/>
    <s v="Популизм - народ , адекватное отношение к интересам народа."/>
    <s v="Nē"/>
    <s v="Nē"/>
    <s v="Nē"/>
    <s v="Nē"/>
    <s v="Jā"/>
    <s v="Nē"/>
    <s v="2.."/>
    <n v="50"/>
    <n v="13"/>
    <n v="100"/>
    <n v="68"/>
    <s v="Drīzāk saspīlētas"/>
    <s v="Mazliet saspīlētas"/>
    <s v="Drīzāk saspīlētas"/>
    <s v="(Gandrīz) nekad"/>
    <s v="(Gandrīz) nekad"/>
    <s v="(Gandrīz) nekad"/>
    <s v="(Gandrīz) nekad"/>
    <s v="(Gandrīz) nekad"/>
    <s v="Bieži"/>
    <s v="Bieži"/>
    <s v="Dažreiz"/>
    <s v="Dažreiz"/>
    <s v="Bieži"/>
    <s v="Я использую русский язык повседневно. Не считаю это нарушением , все мое окружение состоит из русскоговорящих. Мой родной язык - мое дело :)"/>
    <s v="jā, privāta darba devēja labā"/>
    <s v="Nē"/>
    <s v="Nē"/>
    <s v="Jā"/>
    <s v="Nē"/>
    <s v="N/A"/>
    <s v="N/A"/>
    <s v="N/A"/>
    <s v="Jā"/>
    <s v="N/A"/>
    <s v="N/A"/>
    <s v="N/A"/>
    <s v="Jā"/>
    <s v="(gandrīz) nekad"/>
    <s v="(gandrīz) nekad"/>
    <s v="(gandrīz) nekad"/>
    <s v="(gandrīz) nekad"/>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knapi/gandrīz necik"/>
    <s v="knapi/gandrīz necik"/>
    <s v="labi"/>
    <s v="slikti"/>
    <s v="knapi/gandrīz necik"/>
    <s v="vidējo izglītību"/>
    <m/>
    <s v="N/A"/>
    <s v="N/A"/>
    <s v="N/A"/>
    <s v="Jā"/>
    <s v="vienlīdz latviešu un krievu"/>
    <m/>
    <s v="latviešu"/>
    <m/>
    <s v="Spēju pastāstīt par savu hobiju / darbu."/>
    <s v="Spēju uzrakstīt motivācijas vēstuli darbam/ par savu darba pieredzi."/>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Jā"/>
    <s v="Jā"/>
    <s v="Jā"/>
    <s v="Nē"/>
    <s v="Jā"/>
    <s v="Nē"/>
    <s v="Nē"/>
    <s v="Nē"/>
    <s v="Nē"/>
    <m/>
    <m/>
    <m/>
    <m/>
    <m/>
    <m/>
    <m/>
    <m/>
    <m/>
    <m/>
    <m/>
    <m/>
    <m/>
  </r>
  <r>
    <x v="2"/>
    <n v="269"/>
    <s v="2023-05-24 14:09:36"/>
    <n v="14"/>
    <s v="ru"/>
    <n v="1842534405"/>
    <s v="2023-05-24 13:43:43"/>
    <s v="2023-05-24 14:09:36"/>
    <s v="нож"/>
    <n v="17"/>
    <s v="sieviešu"/>
    <m/>
    <x v="1"/>
    <x v="0"/>
    <x v="0"/>
    <x v="1"/>
    <x v="0"/>
    <x v="4"/>
    <s v="Latgalē"/>
    <m/>
    <s v="ateistu(ti), nereliģiozu"/>
    <m/>
    <s v="Nē"/>
    <s v="Nē"/>
    <s v="Nē"/>
    <s v="Nē"/>
    <s v="Nē"/>
    <s v="Jā"/>
    <s v="Nē"/>
    <s v="Jā"/>
    <s v="Nē"/>
    <s v="Nē"/>
    <s v="Nē"/>
    <s v="Nē"/>
    <s v="Nē"/>
    <s v="Nē"/>
    <s v="Nē"/>
    <s v="Nē"/>
    <s v="Nē"/>
    <s v="Nē"/>
    <s v="Jā"/>
    <s v="Jā"/>
    <s v="Nē"/>
    <s v="Nē"/>
    <s v="Nē"/>
    <s v="Nē"/>
    <s v="Jā"/>
    <s v="Nē"/>
    <s v="Nē"/>
    <s v="Nē"/>
    <s v="tikai b"/>
    <s v="tikai b"/>
    <s v="tikai b"/>
    <s v="tikai b"/>
    <s v="tikai b"/>
    <s v="tikai a"/>
    <s v="Nevienlīdzīgi"/>
    <s v="Nevienlīdzīgi"/>
    <s v="Lielākoties vienlīdzīgi"/>
    <s v="Lielākoties vienlīdzīgi"/>
    <s v="Nevienlīdzīgi"/>
    <s v="&quot;Apvienotais saraksts&quot;"/>
    <s v="Jaunā Vienotība"/>
    <s v="Zaļo un Zemnieku savienība"/>
    <s v="Zaļo un Zemnieku savienība"/>
    <s v="Zaļo un Zemnieku savienība"/>
    <s v="&quot;Progresīvie&quot;"/>
    <s v="Jaunā Vienotība"/>
    <s v="Reizēm ekonomiskā un valsts stabilitāte varētu nozīmēt, ka atsevišķi ekoloģiskās politikas aspekti ir uz brīdi jāiepauzē."/>
    <s v="jā, lielāko daļu no tā, ko iespējams šķirot"/>
    <s v="Jaunā Vienotība"/>
    <s v="Politiskā partija &quot;Stabilitātei&quot;"/>
    <s v="&quot;Progresīvie&quot;"/>
    <s v="Politiskā partija &quot;Stabilitātei&quot;"/>
    <s v="&quot;Latvija pirmajā vietā&quot;"/>
    <s v="Zaļo un Zemnieku savienība"/>
    <s v="&quot;Apvienotais saraksts&quot;"/>
    <s v="Jaunā Vienotība"/>
    <s v="Nacionālā Apvienība"/>
    <s v="Jaunā Vienotība"/>
    <s v="Nacionālā Apvienība"/>
    <s v="Zaļo un Zemnieku savienība"/>
    <s v="Nacionālā Apvienība"/>
    <s v="&quot;Progresīvie&quot;"/>
    <s v="Ne sevišķi"/>
    <s v="Ļoti"/>
    <s v="Viduvēji"/>
    <s v="Ārkārtīgi"/>
    <s v="Не знаю"/>
    <s v="Nē"/>
    <s v="Nē"/>
    <s v="Nē"/>
    <s v="Nē"/>
    <s v="Jā"/>
    <s v="Nē"/>
    <s v="2.."/>
    <n v="23"/>
    <n v="84"/>
    <n v="100"/>
    <n v="1"/>
    <s v="Ļoti saspīlētas"/>
    <s v="Nav saspīlētas"/>
    <s v="Nav saspīlētas"/>
    <s v="Bieži"/>
    <s v="Bieži"/>
    <s v="Reti"/>
    <s v="Reti"/>
    <s v="Reti"/>
    <s v="Bieži"/>
    <s v="Bieži"/>
    <s v="Reti"/>
    <s v="Reti"/>
    <s v="Reti"/>
    <s v="В школе"/>
    <s v="jā, privāta darba devēja labā"/>
    <s v="N/A"/>
    <s v="N/A"/>
    <s v="N/A"/>
    <s v="Jā"/>
    <s v="Jā"/>
    <s v="Nē"/>
    <s v="Nē"/>
    <s v="Nē"/>
    <s v="Jā"/>
    <s v="Nē"/>
    <s v="Nē"/>
    <s v="Nē"/>
    <s v="pāris reižu mēnesī"/>
    <s v="pāris reižu mēnesī"/>
    <s v="(gandrīz) nekad"/>
    <s v="(gandrīz) nekad"/>
    <s v="(gandrīz) nekad"/>
    <s v="reizi nedēļā"/>
    <s v="pāris reižu mēnesī"/>
    <s v="(gandrīz) katru dienu"/>
    <s v="(gandrīz) katru dienu"/>
    <s v="pāris reižu nedēļā"/>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labi"/>
    <s v="slikti"/>
    <s v="citreiz labi, citreiz slikti"/>
    <s v="citreiz labi, citreiz slikti"/>
    <s v="citreiz labi, citreiz slikti"/>
    <s v="vidējo izglītību"/>
    <m/>
    <s v="N/A"/>
    <s v="N/A"/>
    <s v="N/A"/>
    <s v="Jā"/>
    <s v="krievu"/>
    <m/>
    <s v="vienlīdz latviešu un krievu"/>
    <m/>
    <m/>
    <m/>
    <m/>
    <m/>
    <m/>
    <m/>
    <m/>
    <m/>
    <m/>
    <m/>
    <m/>
    <m/>
    <m/>
    <m/>
    <m/>
    <m/>
    <m/>
    <m/>
    <m/>
    <m/>
    <m/>
    <s v="N/A"/>
    <s v="N/A"/>
    <s v="N/A"/>
    <s v="N/A"/>
    <s v="N/A"/>
    <s v="N/A"/>
    <m/>
    <m/>
    <m/>
    <m/>
    <m/>
    <s v="Nē"/>
    <s v="Nē"/>
    <s v="Nē"/>
    <s v="Jā"/>
    <s v="Nē"/>
    <s v="Nē"/>
    <s v="Nē"/>
    <s v="Nē"/>
    <s v="Nē"/>
    <s v="Nē"/>
    <s v="Nē"/>
    <s v="Nē"/>
    <s v="Nē"/>
    <s v="Nē"/>
    <s v="Nē"/>
    <m/>
    <s v="Nē"/>
    <m/>
    <s v="Nē"/>
    <m/>
    <s v="Nē"/>
    <m/>
    <s v="Nē"/>
    <m/>
    <s v="Jā"/>
    <s v="Jā"/>
    <s v="Nē"/>
    <s v="Nē"/>
    <s v="Nē"/>
    <s v="Nē"/>
    <s v="Nē"/>
    <s v="Nē"/>
    <s v="Nē"/>
    <s v="Nē"/>
    <s v="Nē"/>
    <s v="Nē"/>
    <s v="Nē"/>
    <s v="Nē"/>
    <s v="Nē"/>
    <m/>
    <s v="Nē"/>
    <m/>
    <s v="Nē"/>
    <m/>
    <s v="Nē"/>
    <m/>
    <s v="Nē"/>
    <m/>
    <s v="Jā"/>
    <s v="Jā"/>
    <s v="Jā"/>
    <s v="Jā"/>
    <s v="Jā"/>
    <s v="Jā"/>
    <s v="Nē"/>
    <s v="Jā"/>
    <s v="Jā"/>
    <s v="Nē"/>
    <s v="Jā"/>
    <s v="Nē"/>
    <m/>
    <m/>
    <m/>
    <m/>
    <m/>
    <m/>
    <m/>
    <m/>
    <m/>
    <m/>
    <m/>
    <m/>
    <m/>
  </r>
  <r>
    <x v="2"/>
    <n v="270"/>
    <s v="2023-05-24 13:56:22"/>
    <n v="14"/>
    <s v="ru"/>
    <n v="1393841241"/>
    <s v="2023-05-24 13:43:44"/>
    <s v="2023-05-24 13:56:22"/>
    <s v="нож"/>
    <n v="17"/>
    <s v="vīriešu"/>
    <m/>
    <x v="0"/>
    <x v="0"/>
    <x v="0"/>
    <x v="0"/>
    <x v="0"/>
    <x v="0"/>
    <s v="Latgalē"/>
    <m/>
    <s v="katoli(ieti)"/>
    <m/>
    <s v="Jā"/>
    <s v="Jā"/>
    <s v="Nē"/>
    <s v="Nē"/>
    <s v="Nē"/>
    <s v="Nē"/>
    <s v="Nē"/>
    <s v="Jā"/>
    <s v="Nē"/>
    <s v="Nē"/>
    <s v="Nē"/>
    <s v="Nē"/>
    <s v="Nē"/>
    <s v="Nē"/>
    <s v="Nē"/>
    <s v="Nē"/>
    <s v="Nē"/>
    <s v="Jā"/>
    <s v="Nē"/>
    <s v="Nē"/>
    <s v="Nē"/>
    <s v="Jā"/>
    <s v="Nē"/>
    <s v="Nē"/>
    <s v="Jā"/>
    <s v="Jā"/>
    <s v="Nē"/>
    <s v="Nē"/>
    <s v="tikai b"/>
    <s v="tikai a"/>
    <s v="tikai b"/>
    <s v="tikai b"/>
    <s v="tikai b"/>
    <s v="tikai b"/>
    <s v="Lielākoties nevienlīdzīgi"/>
    <s v="Lielākoties nevienlīdzīgi"/>
    <s v="Lielākoties vienlīdzīgi"/>
    <s v="Nevienlīdzīgi"/>
    <s v="Nevienlīdzīgi"/>
    <s v="nezinu"/>
    <s v="nezinu"/>
    <s v="nezinu"/>
    <s v="nezinu"/>
    <s v="nezinu"/>
    <s v="nezinu"/>
    <s v="nezinu"/>
    <s v="Reizēm ekonomiskā un valsts stabilitāte varētu nozīmēt, ka atsevišķi ekoloģiskās politikas aspekti ir uz brīdi jāiepauzē."/>
    <s v="nē"/>
    <s v="nezinu"/>
    <s v="nezinu"/>
    <s v="nezinu"/>
    <s v="nezinu"/>
    <s v="nezinu"/>
    <s v="nezinu"/>
    <s v="nezinu"/>
    <s v="nezinu"/>
    <s v="nezinu"/>
    <s v="nezinu"/>
    <s v="nezinu"/>
    <s v="nezinu"/>
    <s v="nezinu"/>
    <s v="nezinu"/>
    <s v="Neinteresē"/>
    <s v="Neinteresē"/>
    <s v="Neinteresē"/>
    <s v="Neinteresē"/>
    <s v="незнаю"/>
    <s v="Nē"/>
    <s v="Nē"/>
    <s v="Nē"/>
    <s v="Nē"/>
    <s v="Jā"/>
    <s v="Nē"/>
    <s v="1.."/>
    <n v="75"/>
    <n v="17"/>
    <n v="100"/>
    <n v="69"/>
    <s v="Ļoti saspīlētas"/>
    <s v="Nav saspīlētas"/>
    <s v="Nav saspīlētas"/>
    <s v="(Gandrīz) nekad"/>
    <s v="(Gandrīz) nekad"/>
    <s v="(Gandrīz) nekad"/>
    <s v="(Gandrīz) nekad"/>
    <s v="Reti"/>
    <s v="(Gandrīz) nekad"/>
    <s v="Bieži"/>
    <s v="(Gandrīz) nekad"/>
    <s v="(Gandrīz) nekad"/>
    <s v="Bieži"/>
    <s v="просто говорю"/>
    <s v="nē"/>
    <s v="N/A"/>
    <s v="N/A"/>
    <s v="N/A"/>
    <s v="N/A"/>
    <s v="N/A"/>
    <s v="N/A"/>
    <s v="N/A"/>
    <s v="Jā"/>
    <s v="Jā"/>
    <s v="Jā"/>
    <s v="Jā"/>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vienlīdz pieejama izglītība, veselības aprūpe, sociālais nodrošinājums"/>
    <s v="varas līdzsvars starp parlamentu, prezidentu un tiesām, lai neviena no institūcijām nespētu sevī koncentrēt lielāko daļu varas"/>
    <s v="vienlīdzīgas tiesības minoritātēm un ievainojamām sabiedrības grupām"/>
    <m/>
    <m/>
    <s v="nezinu"/>
    <s v="nezinu"/>
    <s v="nezinu"/>
    <s v="nezinu"/>
    <s v="nezinu"/>
    <s v="pamatizglītību"/>
    <m/>
    <s v="N/A"/>
    <s v="N/A"/>
    <s v="N/A"/>
    <s v="Jā"/>
    <s v="krievu"/>
    <m/>
    <s v="latviešu"/>
    <m/>
    <s v="Spēju pastāstīt par savu hobiju / darbu."/>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Jā"/>
    <s v="Jā"/>
    <s v="Jā"/>
    <s v="Nē"/>
    <s v="Jā"/>
    <s v="Jā"/>
    <s v="Nē"/>
    <s v="Nē"/>
    <s v="Nē"/>
    <m/>
    <m/>
    <m/>
    <m/>
    <m/>
    <m/>
    <m/>
    <m/>
    <m/>
    <m/>
    <m/>
    <m/>
    <m/>
  </r>
  <r>
    <x v="2"/>
    <n v="271"/>
    <s v="2023-05-24 13:57:52"/>
    <n v="14"/>
    <s v="lv"/>
    <n v="1704194529"/>
    <s v="2023-05-24 13:43:45"/>
    <s v="2023-05-24 13:57:52"/>
    <s v="nauda"/>
    <n v="17"/>
    <s v="vīriešu"/>
    <m/>
    <x v="1"/>
    <x v="0"/>
    <x v="0"/>
    <x v="0"/>
    <x v="0"/>
    <x v="0"/>
    <s v="Latgalē"/>
    <m/>
    <s v="katoli(ieti)"/>
    <m/>
    <s v="Jā"/>
    <s v="Jā"/>
    <s v="Nē"/>
    <s v="Nē"/>
    <s v="Nē"/>
    <s v="Nē"/>
    <s v="Nē"/>
    <s v="Jā"/>
    <s v="Jā"/>
    <s v="Nē"/>
    <s v="Nē"/>
    <s v="Nē"/>
    <s v="Nē"/>
    <s v="Nē"/>
    <s v="Jā"/>
    <s v="Nē"/>
    <s v="Jā"/>
    <s v="Nē"/>
    <s v="Nē"/>
    <s v="Nē"/>
    <s v="Nē"/>
    <s v="Jā"/>
    <s v="Nē"/>
    <s v="Nē"/>
    <s v="Nē"/>
    <s v="Jā"/>
    <s v="Jā"/>
    <s v="Nē"/>
    <s v="tikai a"/>
    <s v="tikai b"/>
    <s v="tikai a"/>
    <s v="ne a, ne b"/>
    <s v="tikai a"/>
    <s v="nezinu"/>
    <s v="Vienlīdzīgi"/>
    <s v="Lielākoties vienlīdzīgi"/>
    <s v="Vienlīdzīgi"/>
    <s v="Vienlīdzīgi"/>
    <s v="Lielākoties vienlīdzīgi"/>
    <s v="Nacionālā Apvienība"/>
    <s v="Jaunā Vienotība"/>
    <s v="Zaļo un Zemnieku savienība"/>
    <s v="&quot;Progresīvie&quot;"/>
    <s v="&quot;Latvija pirmajā vietā&quot;"/>
    <s v="Jaunā Vienotība"/>
    <s v="&quot;Latvija pirmajā vietā&quot;"/>
    <s v="Globālā sasilšana ir šķērsojusi robežu, pēc kuras nav iespējams atgriezties, un cilvēkiem būs jāpielāgojas."/>
    <s v="jā, daļu no tā, ko iespējams šķirot"/>
    <s v="Nacionālā Apvienība"/>
    <s v="Jaunā Vienotība"/>
    <s v="&quot;Progresīvie&quot;"/>
    <s v="Zaļo un Zemnieku savienība"/>
    <s v="&quot;Apvienotais saraksts&quot;"/>
    <s v="Zaļo un Zemnieku savienība"/>
    <s v="Jaunā Vienotība"/>
    <s v="Jaunā Vienotība"/>
    <s v="nezinu"/>
    <s v="nezinu"/>
    <s v="Politiskā partija &quot;Stabilitātei&quot;"/>
    <s v="Nacionālā Apvienība"/>
    <s v="Jaunā Vienotība"/>
    <s v="&quot;Apvienotais saraksts&quot;"/>
    <s v="Viduvēji"/>
    <s v="Ne sevišķi"/>
    <s v="Viduvēji"/>
    <s v="Viduvēji"/>
    <s v="Nezinu"/>
    <s v="Nē"/>
    <s v="Nē"/>
    <s v="Nē"/>
    <s v="Jā"/>
    <s v="Nē"/>
    <s v="Nē"/>
    <s v="1.."/>
    <n v="12"/>
    <n v="70"/>
    <n v="100"/>
    <n v="50"/>
    <s v="Mazliet saspīlētas"/>
    <s v="Mazliet saspīlētas"/>
    <s v="Mazliet saspīlētas"/>
    <s v="(Gandrīz) nekad"/>
    <s v="(Gandrīz) nekad"/>
    <s v="Dažreiz"/>
    <s v="(Gandrīz) nekad"/>
    <s v="(Gandrīz) nekad"/>
    <s v="(Gandrīz) nekad"/>
    <s v="(Gandrīz) nekad"/>
    <s v="Dažreiz"/>
    <s v="(Gandrīz) nekad"/>
    <s v="(Gandrīz) nekad"/>
    <s v="Izmantoju dažādu valodu ar cilvēkiem,kuri izmanto vienu"/>
    <s v="nē"/>
    <s v="N/A"/>
    <s v="N/A"/>
    <s v="N/A"/>
    <s v="N/A"/>
    <s v="Nē"/>
    <s v="Jā"/>
    <s v="Nē"/>
    <s v="Nē"/>
    <s v="N/A"/>
    <s v="N/A"/>
    <s v="N/A"/>
    <s v="Jā"/>
    <s v="(gandrīz) nekad"/>
    <s v="(gandrīz) katru dienu"/>
    <s v="(gandrīz) nekad"/>
    <s v="(gandrīz) nekad"/>
    <s v="pāris reižu nedēļā"/>
    <s v="(gandrīz) nekad"/>
    <s v="(gandrīz) nekad"/>
    <s v="(gandrīz) katru dienu"/>
    <s v="(gandrīz) katru dienu"/>
    <s v="(gandrīz) nekad"/>
    <s v="(gandrīz) katru dienu"/>
    <s v="(gandrīz) katru dienu"/>
    <s v="(gandrīz) katru dienu"/>
    <s v="(gandrīz) katru dienu"/>
    <s v="vienlīdz pieejama izglītība, veselības aprūpe, sociālais nodrošinājums"/>
    <s v="brīvas vēlēšanas un plurālisms"/>
    <s v="pilsoniskās brīvības (vārda brīvība, tiesības uz tiesisko aizsardzību)"/>
    <m/>
    <m/>
    <s v="labi"/>
    <s v="labi"/>
    <s v="labi"/>
    <s v="labi"/>
    <s v="labi"/>
    <s v="pamatizglītību"/>
    <m/>
    <s v="N/A"/>
    <s v="N/A"/>
    <s v="N/A"/>
    <s v="Jā"/>
    <s v="vienlīdz latviešu un krievu"/>
    <m/>
    <s v="vienlīdz latviešu un kriev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72"/>
    <s v="2023-05-24 14:10:29"/>
    <n v="14"/>
    <s v="lv"/>
    <n v="148821895"/>
    <s v="2023-05-24 13:43:45"/>
    <s v="2023-05-24 14:10:29"/>
    <s v="nauda"/>
    <n v="17"/>
    <s v="sieviešu"/>
    <m/>
    <x v="0"/>
    <x v="0"/>
    <x v="0"/>
    <x v="0"/>
    <x v="0"/>
    <x v="0"/>
    <s v="Latgalē"/>
    <m/>
    <s v="ateistu(ti), nereliģiozu"/>
    <m/>
    <s v="Nē"/>
    <s v="Nē"/>
    <s v="Jā"/>
    <s v="Nē"/>
    <s v="Jā"/>
    <s v="Nē"/>
    <s v="Nē"/>
    <s v="Jā"/>
    <s v="Nē"/>
    <s v="Nē"/>
    <s v="Nē"/>
    <s v="Jā"/>
    <s v="Nē"/>
    <s v="Nē"/>
    <s v="Nē"/>
    <s v="Jā"/>
    <s v="Nē"/>
    <s v="Nē"/>
    <s v="Nē"/>
    <s v="Nē"/>
    <s v="Nē"/>
    <s v="Nē"/>
    <s v="Nē"/>
    <s v="Jā"/>
    <s v="Jā"/>
    <s v="Jā"/>
    <s v="Nē"/>
    <s v="Nē"/>
    <s v="nezinu"/>
    <s v="ne a, ne b"/>
    <s v="ne a, ne b"/>
    <s v="tikai a"/>
    <s v="nezinu"/>
    <s v="tikai b"/>
    <s v="Nevienlīdzīgi"/>
    <s v="Nevienlīdzīgi"/>
    <s v="Nevienlīdzīgi"/>
    <s v="Nevienlīdzīgi"/>
    <s v="Nevienlīdzīgi"/>
    <s v="&quot;Latvija pirmajā vietā&quot;"/>
    <s v="&quot;Progresīvie&quot;"/>
    <s v="nezinu"/>
    <s v="Nacionālā Apvienība"/>
    <s v="&quot;Apvienotais saraksts&quot;"/>
    <s v="&quot;Progresīvie&quot;"/>
    <s v="Nacionālā Apvienība"/>
    <s v="Cīņai ar klimata pārmaiņām būtu jābūt vairumam pasaules valstu galvenajai prioritātei."/>
    <s v="jā, daļu no tā, ko iespējams šķirot"/>
    <s v="nezinu"/>
    <s v="nezinu"/>
    <s v="nezinu"/>
    <s v="&quot;Latvija pirmajā vietā&quot;"/>
    <s v="nezinu"/>
    <s v="Zaļo un Zemnieku savienība"/>
    <s v="nezinu"/>
    <s v="nezinu"/>
    <s v="nezinu"/>
    <s v="Nacionālā Apvienība"/>
    <s v="Politiskā partija &quot;Stabilitātei&quot;"/>
    <s v="nezinu"/>
    <s v="nezinu"/>
    <s v="nezinu"/>
    <s v="Ne sevišķi"/>
    <s v="Ļoti"/>
    <s v="Viduvēji"/>
    <s v="Ļoti"/>
    <s v="Es iepriekš jau sastapos ar šo jēdzienu, taču precīzi nezinu, ko tas nozīmē. Iespējams, ka tas attiecās pie politiķiem, kuri izmanto visiem saprotamus, taču plašus un nekonkrētus jēdzienus, lai iegūtu pēc iespējas vairāku cilvēku atbalstu. Patiesībā šo cilvēku mērķis nav kaut ko valstī uzlabot."/>
    <s v="Nē"/>
    <s v="Nē"/>
    <s v="Jā"/>
    <s v="Jā"/>
    <s v="Jā"/>
    <s v="Jā"/>
    <s v="2.."/>
    <n v="72"/>
    <n v="26"/>
    <n v="57"/>
    <n v="2"/>
    <s v="Ļoti saspīlētas"/>
    <s v="Mazliet saspīlētas"/>
    <s v="Es nezinu"/>
    <s v="(Gandrīz) nekad"/>
    <s v="(Gandrīz) nekad"/>
    <s v="(Gandrīz) nekad"/>
    <s v="(Gandrīz) nekad"/>
    <s v="(Gandrīz) nekad"/>
    <s v="(Gandrīz) nekad"/>
    <s v="(Gandrīz) nekad"/>
    <s v="(Gandrīz) nekad"/>
    <s v="(Gandrīz) nekad"/>
    <s v="(Gandrīz) nekad"/>
    <m/>
    <s v="nē"/>
    <s v="N/A"/>
    <s v="N/A"/>
    <s v="N/A"/>
    <s v="N/A"/>
    <s v="Jā"/>
    <s v="Jā"/>
    <s v="Jā"/>
    <s v="Nē"/>
    <s v="Jā"/>
    <s v="Nē"/>
    <s v="Nē"/>
    <s v="Nē"/>
    <s v="(gandrīz) nekad"/>
    <s v="(gandrīz) nekad"/>
    <s v="(gandrīz) nekad"/>
    <s v="(gandrīz) nekad"/>
    <s v="(gandrīz) nekad"/>
    <s v="(gandrīz) nekad"/>
    <s v="(gandrīz) nekad"/>
    <s v="(gandrīz) katru dienu"/>
    <s v="(gandrīz) katru dienu"/>
    <s v="(gandrīz) nekad"/>
    <s v="(gandrīz) katru dienu"/>
    <s v="(gandrīz) katru dienu"/>
    <s v="(gandrīz) katru dienu"/>
    <s v="(gandrīz) katru dienu"/>
    <s v="brīvas vēlēšanas un plurālisms"/>
    <s v="vienlīdzīgas tiesības minoritātēm un ievainojamām sabiedrības grupām"/>
    <s v="varas līdzsvars starp parlamentu, prezidentu un tiesām, lai neviena no institūcijām nespētu sevī koncentrēt lielāko daļu varas"/>
    <m/>
    <m/>
    <s v="nezinu"/>
    <s v="citreiz labi, citreiz slikti"/>
    <s v="citreiz labi, citreiz slikti"/>
    <s v="nezinu"/>
    <s v="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Jā"/>
    <s v="Nē"/>
    <m/>
    <m/>
    <m/>
    <m/>
    <m/>
    <m/>
    <m/>
    <m/>
    <m/>
    <m/>
    <m/>
    <m/>
    <m/>
  </r>
  <r>
    <x v="2"/>
    <n v="273"/>
    <s v="2023-05-24 13:57:35"/>
    <n v="14"/>
    <s v="lv"/>
    <n v="421855781"/>
    <s v="2023-05-24 13:43:46"/>
    <s v="2023-05-24 13:57:35"/>
    <s v="nauda"/>
    <n v="17"/>
    <s v="vīriešu"/>
    <m/>
    <x v="1"/>
    <x v="0"/>
    <x v="0"/>
    <x v="0"/>
    <x v="0"/>
    <x v="0"/>
    <s v="Latgalē"/>
    <m/>
    <s v="katoli(ieti)"/>
    <m/>
    <s v="N/A"/>
    <s v="N/A"/>
    <s v="N/A"/>
    <s v="N/A"/>
    <s v="N/A"/>
    <s v="N/A"/>
    <s v="Jā"/>
    <s v="N/A"/>
    <s v="N/A"/>
    <s v="N/A"/>
    <s v="N/A"/>
    <s v="N/A"/>
    <s v="N/A"/>
    <s v="Jā"/>
    <s v="Nē"/>
    <s v="Jā"/>
    <s v="Jā"/>
    <s v="Nē"/>
    <s v="Nē"/>
    <s v="Nē"/>
    <s v="Nē"/>
    <s v="Nē"/>
    <s v="Nē"/>
    <s v="Jā"/>
    <s v="Jā"/>
    <s v="Nē"/>
    <s v="Nē"/>
    <s v="Nē"/>
    <m/>
    <m/>
    <m/>
    <m/>
    <m/>
    <m/>
    <s v="Vienlīdzīgi"/>
    <s v="Vienlīdzīgi"/>
    <s v="Vienlīdzīgi"/>
    <s v="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Neinteresē"/>
    <s v="Viduvēji"/>
    <s v="Neinteresē"/>
    <m/>
    <s v="Nē"/>
    <s v="Nē"/>
    <s v="Nē"/>
    <s v="Jā"/>
    <s v="Jā"/>
    <s v="Nē"/>
    <s v="1.."/>
    <n v="27"/>
    <n v="75"/>
    <n v="75"/>
    <n v="75"/>
    <s v="Nav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nekad"/>
    <s v="(gandrīz) katru dienu"/>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labi"/>
    <s v="labi"/>
    <s v="nezinu"/>
    <s v="nezinu"/>
    <s v="nezinu"/>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74"/>
    <s v="2023-05-24 13:59:00"/>
    <n v="14"/>
    <s v="ru"/>
    <n v="14701692"/>
    <s v="2023-05-24 13:43:49"/>
    <s v="2023-05-24 13:59:00"/>
    <s v="нож"/>
    <n v="18"/>
    <s v="vīriešu"/>
    <m/>
    <x v="1"/>
    <x v="0"/>
    <x v="0"/>
    <x v="0"/>
    <x v="0"/>
    <x v="0"/>
    <s v="Latgalē"/>
    <m/>
    <s v="Cita atbilde"/>
    <s v="агностик"/>
    <s v="Jā"/>
    <s v="Nē"/>
    <s v="Nē"/>
    <s v="Nē"/>
    <s v="Nē"/>
    <s v="Nē"/>
    <s v="Nē"/>
    <s v="Nē"/>
    <s v="Jā"/>
    <s v="Nē"/>
    <s v="Nē"/>
    <s v="Nē"/>
    <s v="Nē"/>
    <s v="Nē"/>
    <s v="Jā"/>
    <s v="Nē"/>
    <s v="Nē"/>
    <s v="Nē"/>
    <s v="Nē"/>
    <s v="Nē"/>
    <s v="Nē"/>
    <s v="Jā"/>
    <s v="Nē"/>
    <s v="Nē"/>
    <s v="Nē"/>
    <s v="Nē"/>
    <s v="Nē"/>
    <s v="Nē"/>
    <s v="tikai b"/>
    <s v="a un b"/>
    <s v="a un b"/>
    <s v="ne a, ne b"/>
    <s v="tikai b"/>
    <s v="tikai a"/>
    <s v="Lielākoties vienlīdzīgi"/>
    <s v="Lielākoties nevienlīdzīgi"/>
    <s v="Lielākoties vienlīdzīgi"/>
    <s v="Lielākoties vienlīdzīgi"/>
    <s v="Lielākoties vienlīdzīgi"/>
    <s v="&quot;Apvienotais saraksts&quot;"/>
    <s v="Jaunā Vienotība"/>
    <s v="Nacionālā Apvienība"/>
    <s v="Zaļo un Zemnieku savienība"/>
    <s v="Zaļo un Zemnieku savienība"/>
    <s v="Jaunā Vienotība"/>
    <s v="nezinu"/>
    <s v="Cīņai ar klimata pārmaiņām būtu jābūt vairumam pasaules valstu galvenajai prioritātei."/>
    <s v="jā, lielāko daļu no tā, ko iespējams šķirot"/>
    <s v="Jaunā Vienotība"/>
    <s v="&quot;Progresīvie&quot;"/>
    <s v="Zaļo un Zemnieku savienība"/>
    <s v="&quot;Latvija pirmajā vietā&quot;"/>
    <s v="&quot;Apvienotais saraksts&quot;"/>
    <s v="Jaunā Vienotība"/>
    <s v="Zaļo un Zemnieku savienība"/>
    <s v="Jaunā Vienotība"/>
    <s v="&quot;Progresīvie&quot;"/>
    <s v="Nacionālā Apvienība"/>
    <s v="&quot;Progresīvie&quot;"/>
    <s v="&quot;Apvienotais saraksts&quot;"/>
    <s v="Nacionālā Apvienība"/>
    <s v="Jaunā Vienotība"/>
    <s v="Viduvēji"/>
    <s v="Ārkārtīgi"/>
    <s v="Ne sevišķi"/>
    <s v="Ļoti"/>
    <s v="Не знаю"/>
    <s v="Nē"/>
    <s v="Nē"/>
    <s v="Jā"/>
    <s v="Jā"/>
    <s v="Nē"/>
    <s v="Nē"/>
    <s v="2.."/>
    <n v="19"/>
    <n v="79"/>
    <n v="37"/>
    <n v="1"/>
    <s v="Mazliet saspīlētas"/>
    <s v="Nav saspīlētas"/>
    <s v="Nav saspīlētas"/>
    <s v="(Gandrīz) nekad"/>
    <s v="Reti"/>
    <s v="(Gandrīz) nekad"/>
    <s v="(Gandrīz) nekad"/>
    <s v="Reti"/>
    <s v="(Gandrīz) nekad"/>
    <s v="Reti"/>
    <s v="(Gandrīz) nekad"/>
    <s v="(Gandrīz) nekad"/>
    <s v="(Gandrīz) nekad"/>
    <s v="На уроке латышкого"/>
    <s v="nē"/>
    <s v="N/A"/>
    <s v="N/A"/>
    <s v="N/A"/>
    <s v="N/A"/>
    <s v="N/A"/>
    <s v="N/A"/>
    <s v="N/A"/>
    <s v="Jā"/>
    <s v="N/A"/>
    <s v="N/A"/>
    <s v="N/A"/>
    <s v="Jā"/>
    <s v="(gandrīz) nekad"/>
    <s v="pāris reižu nedēļā"/>
    <s v="(gandrīz) nekad"/>
    <s v="reizi nedēļā"/>
    <s v="(gandrīz) nekad"/>
    <s v="(gandrīz) nekad"/>
    <s v="pāris reižu nedēļā"/>
    <s v="(gandrīz) katru dienu"/>
    <s v="(gandrīz) katru dienu"/>
    <s v="(gandrīz) nekad"/>
    <s v="(gandrīz) katru dienu"/>
    <s v="pāris reižu nedēļā"/>
    <s v="(gandrīz) katru dienu"/>
    <s v="(gandrīz) katru dienu"/>
    <s v="pilsoniskās brīvības (vārda brīvība, tiesības uz tiesisko aizsardzību)"/>
    <s v="vienlīdzīgas tiesības minoritātēm un ievainojamām sabiedrības grupām"/>
    <s v="vienlīdz pieejama izglītība, veselības aprūpe, sociālais nodrošinājums"/>
    <m/>
    <m/>
    <s v="citreiz labi, citreiz slikti"/>
    <s v="citreiz labi, citreiz slikti"/>
    <s v="labi"/>
    <s v="labi"/>
    <s v="slikti"/>
    <s v="vidējo izglītību"/>
    <m/>
    <s v="Nē"/>
    <s v="Jā"/>
    <s v="Nē"/>
    <s v="Nē"/>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Jā"/>
    <s v="E-klase"/>
    <s v="Nē"/>
    <m/>
    <s v="Nē"/>
    <m/>
    <s v="Nē"/>
    <m/>
    <s v="Jā"/>
    <s v="Nē"/>
    <s v="Nē"/>
    <s v="Jā"/>
    <s v="Jā"/>
    <s v="Jā"/>
    <s v="Nē"/>
    <s v="Jā"/>
    <s v="Nē"/>
    <s v="Nē"/>
    <s v="Jā"/>
    <s v="Nē"/>
    <m/>
    <m/>
    <m/>
    <m/>
    <m/>
    <m/>
    <m/>
    <m/>
    <m/>
    <m/>
    <m/>
    <m/>
    <m/>
  </r>
  <r>
    <x v="2"/>
    <n v="275"/>
    <s v="2023-05-24 14:11:43"/>
    <n v="14"/>
    <s v="ru"/>
    <n v="568581020"/>
    <s v="2023-05-24 13:43:53"/>
    <s v="2023-05-24 14:11:43"/>
    <s v="нож"/>
    <n v="17"/>
    <s v="sieviešu"/>
    <m/>
    <x v="0"/>
    <x v="0"/>
    <x v="0"/>
    <x v="0"/>
    <x v="0"/>
    <x v="0"/>
    <s v="Latgalē"/>
    <m/>
    <s v="pareizticīgo"/>
    <m/>
    <s v="Nē"/>
    <s v="Nē"/>
    <s v="Nē"/>
    <s v="Jā"/>
    <s v="Nē"/>
    <s v="Nē"/>
    <s v="Nē"/>
    <s v="Nē"/>
    <s v="Jā"/>
    <s v="Nē"/>
    <s v="Nē"/>
    <s v="Nē"/>
    <s v="Nē"/>
    <s v="Nē"/>
    <s v="Jā"/>
    <s v="Nē"/>
    <s v="Nē"/>
    <s v="Nē"/>
    <s v="Nē"/>
    <s v="Nē"/>
    <s v="Nē"/>
    <s v="Nē"/>
    <s v="Nē"/>
    <s v="Nē"/>
    <s v="Nē"/>
    <s v="Jā"/>
    <s v="Nē"/>
    <s v="Nē"/>
    <s v="ne a, ne b"/>
    <s v="tikai b"/>
    <s v="tikai a"/>
    <s v="a un b"/>
    <s v="tikai a"/>
    <s v="ne a, ne b"/>
    <s v="Lielākoties vienlīdzīgi"/>
    <s v="Lielākoties nevienlīdzīgi"/>
    <s v="Lielākoties vienlīdzīgi"/>
    <s v="Lielākoties vienlīdzīgi"/>
    <s v="Lielākoties nevienlīdzīgi"/>
    <s v="Zaļo un Zemnieku savienība"/>
    <s v="&quot;Progresīvie&quot;"/>
    <s v="Politiskā partija &quot;Stabilitātei&quot;"/>
    <s v="Politiskā partija &quot;Stabilitātei&quot;"/>
    <s v="Nacionālā Apvienība"/>
    <s v="nezinu"/>
    <s v="nezinu"/>
    <s v="Globālā sasilšana ir šķērsojusi robežu, pēc kuras nav iespējams atgriezties, un cilvēkiem būs jāpielāgojas."/>
    <s v="jā, lielāko daļu no tā, ko iespējams šķirot"/>
    <s v="nezinu"/>
    <s v="Zaļo un Zemnieku savienība"/>
    <s v="nezinu"/>
    <s v="&quot;Latvija pirmajā vietā&quot;"/>
    <s v="Politiskā partija &quot;Stabilitātei&quot;"/>
    <s v="Zaļo un Zemnieku savienība"/>
    <s v="&quot;Progresīvie&quot;"/>
    <s v="Nacionālā Apvienība"/>
    <s v="&quot;Progresīvie&quot;"/>
    <s v="Politiskā partija &quot;Stabilitātei&quot;"/>
    <s v="&quot;Apvienotais saraksts&quot;"/>
    <s v="Nacionālā Apvienība"/>
    <s v="&quot;Latvija pirmajā vietā&quot;"/>
    <s v="&quot;Latvija pirmajā vietā&quot;"/>
    <s v="Viduvēji"/>
    <s v="Viduvēji"/>
    <s v="Viduvēji"/>
    <s v="Viduvēji"/>
    <s v="Одержимость идеей"/>
    <s v="Nē"/>
    <s v="Nē"/>
    <s v="Nē"/>
    <s v="Nē"/>
    <s v="Jā"/>
    <s v="Nē"/>
    <s v="2.."/>
    <n v="57"/>
    <n v="1"/>
    <n v="100"/>
    <n v="1"/>
    <s v="Drīzāk saspīlētas"/>
    <s v="Mazliet saspīlētas"/>
    <s v="Nav saspīlētas"/>
    <s v="(Gandrīz) nekad"/>
    <s v="(Gandrīz) nekad"/>
    <s v="(Gandrīz) nekad"/>
    <s v="(Gandrīz) nekad"/>
    <s v="(Gandrīz) nekad"/>
    <s v="Reti"/>
    <s v="Reti"/>
    <s v="Bieži"/>
    <s v="Reti"/>
    <s v="Reti"/>
    <m/>
    <s v="nē"/>
    <s v="N/A"/>
    <s v="N/A"/>
    <s v="N/A"/>
    <s v="N/A"/>
    <s v="Jā"/>
    <s v="Nē"/>
    <s v="Jā"/>
    <s v="Nē"/>
    <s v="Jā"/>
    <s v="Jā"/>
    <s v="Jā"/>
    <s v="Nē"/>
    <s v="pāris reižu nedēļā"/>
    <s v="(gandrīz) katru dienu"/>
    <s v="pāris reižu nedēļā"/>
    <s v="pāris reižu nedēļā"/>
    <s v="(gandrīz) nekad"/>
    <s v="(gandrīz) nekad"/>
    <s v="pāris reižu nedēļā"/>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brīvas vēlēšanas un plurālisms"/>
    <m/>
    <m/>
    <s v="labi"/>
    <s v="labi"/>
    <s v="slikti"/>
    <s v="labi"/>
    <s v="citreiz labi, citreiz slikti"/>
    <s v="vidējo izglītību"/>
    <m/>
    <s v="N/A"/>
    <s v="N/A"/>
    <s v="N/A"/>
    <s v="Jā"/>
    <s v="latviešu"/>
    <m/>
    <s v="latviešu"/>
    <m/>
    <s v="Spēju pastāstīt par savu hobiju / darbu."/>
    <s v="Spēju uzrakstīt garāku sacerējumu/ kursa darbu"/>
    <s v="Viegli saprotu radio programmas / podkāstus par saviem hobijiem/darbības sfēru."/>
    <s v="Spēju izlasīt avīzi/īsstāstus."/>
    <m/>
    <m/>
    <m/>
    <m/>
    <m/>
    <m/>
    <m/>
    <m/>
    <m/>
    <m/>
    <m/>
    <m/>
    <m/>
    <m/>
    <m/>
    <m/>
    <m/>
    <s v="N/A"/>
    <s v="N/A"/>
    <s v="N/A"/>
    <s v="N/A"/>
    <s v="N/A"/>
    <s v="N/A"/>
    <m/>
    <m/>
    <m/>
    <m/>
    <m/>
    <s v="Nē"/>
    <s v="Nē"/>
    <s v="Nē"/>
    <s v="Nē"/>
    <s v="Nē"/>
    <s v="Nē"/>
    <s v="Nē"/>
    <s v="Nē"/>
    <s v="Nē"/>
    <s v="Nē"/>
    <s v="Jā"/>
    <s v="Jā"/>
    <s v="Nē"/>
    <s v="Nē"/>
    <s v="Nē"/>
    <m/>
    <s v="Nē"/>
    <m/>
    <s v="Nē"/>
    <m/>
    <s v="Nē"/>
    <m/>
    <s v="Nē"/>
    <m/>
    <s v="Nē"/>
    <s v="Nē"/>
    <s v="Nē"/>
    <s v="Nē"/>
    <s v="Nē"/>
    <s v="Nē"/>
    <s v="Nē"/>
    <s v="Nē"/>
    <s v="Nē"/>
    <s v="Nē"/>
    <s v="Nē"/>
    <s v="Jā"/>
    <s v="Jā"/>
    <s v="Nē"/>
    <s v="Nē"/>
    <m/>
    <s v="Nē"/>
    <m/>
    <s v="Nē"/>
    <m/>
    <s v="Nē"/>
    <m/>
    <s v="Nē"/>
    <m/>
    <s v="Jā"/>
    <s v="Jā"/>
    <s v="Nē"/>
    <s v="Nē"/>
    <s v="Jā"/>
    <s v="Jā"/>
    <s v="Nē"/>
    <s v="Nē"/>
    <s v="Nē"/>
    <s v="Nē"/>
    <s v="Nē"/>
    <s v="Nē"/>
    <m/>
    <m/>
    <m/>
    <m/>
    <m/>
    <m/>
    <m/>
    <m/>
    <m/>
    <m/>
    <m/>
    <m/>
    <m/>
  </r>
  <r>
    <x v="2"/>
    <n v="277"/>
    <s v="2023-05-24 14:09:52"/>
    <n v="14"/>
    <s v="lv"/>
    <n v="1062631862"/>
    <s v="2023-05-24 13:43:57"/>
    <s v="2023-05-24 14:09:52"/>
    <s v="nauda"/>
    <n v="17"/>
    <s v="sieviešu"/>
    <m/>
    <x v="1"/>
    <x v="0"/>
    <x v="0"/>
    <x v="0"/>
    <x v="0"/>
    <x v="0"/>
    <s v="Latgalē"/>
    <m/>
    <s v="katoli(ieti)"/>
    <m/>
    <s v="Jā"/>
    <s v="Jā"/>
    <s v="Jā"/>
    <s v="Nē"/>
    <s v="Nē"/>
    <s v="Nē"/>
    <s v="Nē"/>
    <s v="Nē"/>
    <s v="Nē"/>
    <s v="Nē"/>
    <s v="Nē"/>
    <s v="Jā"/>
    <s v="Nē"/>
    <s v="Nē"/>
    <s v="Nē"/>
    <s v="Jā"/>
    <s v="Jā"/>
    <s v="Nē"/>
    <s v="Nē"/>
    <s v="Nē"/>
    <s v="Nē"/>
    <s v="Jā"/>
    <s v="Nē"/>
    <s v="Jā"/>
    <s v="Nē"/>
    <s v="Jā"/>
    <s v="Nē"/>
    <s v="Nē"/>
    <s v="tikai a"/>
    <s v="a un b"/>
    <s v="ne a, ne b"/>
    <s v="tikai b"/>
    <s v="tikai a"/>
    <s v="tikai a"/>
    <s v="Lielākoties nevienlīdzīgi"/>
    <s v="Lielākoties vienlīdzīgi"/>
    <s v="Vienlīdzīgi"/>
    <s v="Lielākoties nevienlīdzīgi"/>
    <s v="Lielākoties nevienlīdzīgi"/>
    <s v="&quot;Progresīvie&quot;"/>
    <s v="Politiskā partija &quot;Stabilitātei&quot;"/>
    <s v="&quot;Apvienotais saraksts&quot;"/>
    <s v="Zaļo un Zemnieku savienība"/>
    <s v="&quot;Apvienotais saraksts&quot;"/>
    <s v="Jaunā Vienotība"/>
    <s v="&quot;Latvija pirmajā vietā&quot;"/>
    <s v="Cīņai ar klimata pārmaiņām būtu jābūt vairumam pasaules valstu galvenajai prioritātei."/>
    <s v="jā, daļu no tā, ko iespējams šķirot"/>
    <s v="Zaļo un Zemnieku savienība"/>
    <s v="&quot;Apvienotais saraksts&quot;"/>
    <s v="Politiskā partija &quot;Stabilitātei&quot;"/>
    <s v="Jaunā Vienotība"/>
    <s v="&quot;Latvija pirmajā vietā&quot;"/>
    <s v="&quot;Progresīvie&quot;"/>
    <s v="Nacionālā Apvienība"/>
    <s v="Jaunā Vienotība"/>
    <s v="&quot;Latvija pirmajā vietā&quot;"/>
    <s v="Politiskā partija &quot;Stabilitātei&quot;"/>
    <s v="&quot;Progresīvie&quot;"/>
    <s v="Zaļo un Zemnieku savienība"/>
    <s v="Nacionālā Apvienība"/>
    <s v="Zaļo un Zemnieku savienība"/>
    <s v="Viduvēji"/>
    <s v="Viduvēji"/>
    <s v="Ļoti"/>
    <s v="Ļoti"/>
    <s v="diemžēl nezinu"/>
    <s v="Nē"/>
    <s v="Nē"/>
    <s v="Nē"/>
    <s v="Nē"/>
    <s v="Jā"/>
    <s v="Nē"/>
    <s v="1.."/>
    <n v="14"/>
    <n v="73"/>
    <n v="61"/>
    <n v="18"/>
    <s v="Drīzāk saspīlētas"/>
    <s v="Nav saspīlētas"/>
    <s v="Nav saspīlētas"/>
    <s v="Dažreiz"/>
    <s v="Dažreiz"/>
    <s v="Dažreiz"/>
    <s v="Dažreiz"/>
    <s v="Reti"/>
    <s v="Dažreiz"/>
    <s v="Dažreiz"/>
    <s v="Dažreiz"/>
    <s v="Dažreiz"/>
    <s v="Reti"/>
    <s v="saniedrībā, kura runā latviski, es varēju lietot krievu valodu. dažreiz biju diskriminēta."/>
    <s v="jā, pašvaldības iestādē"/>
    <s v="Nē"/>
    <s v="Nē"/>
    <s v="Jā"/>
    <s v="Nē"/>
    <s v="N/A"/>
    <s v="N/A"/>
    <s v="N/A"/>
    <s v="Jā"/>
    <s v="Jā"/>
    <s v="Nē"/>
    <s v="Jā"/>
    <s v="Nē"/>
    <s v="(gandrīz) nekad"/>
    <s v="(gandrīz) katru dienu"/>
    <s v="(gandrīz) nekad"/>
    <s v="pāris reižu mēnesī"/>
    <s v="pāris reižu nedēļā"/>
    <s v="pāris reižu nedēļā"/>
    <s v="pāris reižu nedēļā"/>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ļoti labi"/>
    <s v="labi"/>
    <s v="labi"/>
    <s v="labi"/>
    <s v="labi"/>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Jā"/>
    <s v="Nē"/>
    <s v="Nē"/>
    <s v="Nē"/>
    <s v="Nē"/>
    <s v="Nē"/>
    <s v="Nē"/>
    <s v="Nē"/>
    <s v="Nē"/>
    <s v="Nē"/>
    <s v="Nē"/>
    <s v="Nē"/>
    <m/>
    <s v="Nē"/>
    <m/>
    <s v="Nē"/>
    <m/>
    <s v="Nē"/>
    <m/>
    <s v="Nē"/>
    <m/>
    <s v="Jā"/>
    <s v="Jā"/>
    <s v="Nē"/>
    <s v="Nē"/>
    <s v="Jā"/>
    <s v="Jā"/>
    <s v="Nē"/>
    <s v="Nē"/>
    <s v="Nē"/>
    <s v="Nē"/>
    <s v="Nē"/>
    <s v="Nē"/>
    <m/>
    <m/>
    <m/>
    <m/>
    <m/>
    <m/>
    <m/>
    <m/>
    <m/>
    <m/>
    <m/>
    <m/>
    <m/>
  </r>
  <r>
    <x v="2"/>
    <n v="278"/>
    <s v="2023-05-24 14:00:33"/>
    <n v="14"/>
    <s v="lv"/>
    <n v="1213539833"/>
    <s v="2023-05-24 13:43:57"/>
    <s v="2023-05-24 14:00:33"/>
    <s v="nauda"/>
    <n v="18"/>
    <s v="sieviešu"/>
    <m/>
    <x v="1"/>
    <x v="0"/>
    <x v="0"/>
    <x v="0"/>
    <x v="0"/>
    <x v="0"/>
    <s v="Latgalē"/>
    <m/>
    <s v="katoli(ieti)"/>
    <m/>
    <s v="Jā"/>
    <s v="Nē"/>
    <s v="Nē"/>
    <s v="Nē"/>
    <s v="Nē"/>
    <s v="Nē"/>
    <s v="Nē"/>
    <s v="Nē"/>
    <s v="Jā"/>
    <s v="Nē"/>
    <s v="Nē"/>
    <s v="Nē"/>
    <s v="Nē"/>
    <s v="Nē"/>
    <s v="Jā"/>
    <s v="Nē"/>
    <s v="Nē"/>
    <s v="Nē"/>
    <s v="Nē"/>
    <s v="Nē"/>
    <s v="Nē"/>
    <s v="Nē"/>
    <s v="Jā"/>
    <s v="Nē"/>
    <s v="Jā"/>
    <s v="Nē"/>
    <s v="Nē"/>
    <s v="Nē"/>
    <s v="nezinu"/>
    <s v="nezinu"/>
    <s v="nezinu"/>
    <s v="nezinu"/>
    <s v="nezinu"/>
    <s v="nezinu"/>
    <s v="Nevienlīdzīgi"/>
    <s v="Nevienlīdzīgi"/>
    <s v="Nevienlīdzīgi"/>
    <s v="Lielākoties nevienlīdzīgi"/>
    <s v="Lielākoties ne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Viduvēji"/>
    <s v="Ne sevišķi"/>
    <s v="Ne sevišķi"/>
    <s v="-"/>
    <s v="Nē"/>
    <s v="Nē"/>
    <s v="Nē"/>
    <s v="Jā"/>
    <s v="Jā"/>
    <s v="Nē"/>
    <s v="2.."/>
    <n v="50"/>
    <n v="54"/>
    <n v="49"/>
    <n v="53"/>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Jā"/>
    <s v="Nē"/>
    <s v="Jā"/>
    <s v="Nē"/>
    <s v="Nē"/>
    <s v="Nē"/>
    <s v="pāris reižu mēnesī"/>
    <s v="(gandrīz) katru dienu"/>
    <s v="(gandrīz) katru dienu"/>
    <s v="pāris reižu nedēļā"/>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ļoti labi"/>
    <s v="ļoti labi"/>
    <s v="ļoti labi"/>
    <s v="nezinu"/>
    <s v="nezinu"/>
    <s v="vidējo izglītību"/>
    <m/>
    <s v="N/A"/>
    <s v="N/A"/>
    <s v="N/A"/>
    <s v="Jā"/>
    <s v="vienlīdz latviešu un krievu"/>
    <m/>
    <s v="vienlīdz latviešu un krievu"/>
    <m/>
    <m/>
    <m/>
    <m/>
    <m/>
    <m/>
    <m/>
    <m/>
    <m/>
    <m/>
    <m/>
    <m/>
    <m/>
    <m/>
    <m/>
    <m/>
    <m/>
    <m/>
    <m/>
    <m/>
    <m/>
    <m/>
    <s v="N/A"/>
    <s v="N/A"/>
    <s v="N/A"/>
    <s v="N/A"/>
    <s v="N/A"/>
    <s v="N/A"/>
    <m/>
    <m/>
    <m/>
    <m/>
    <m/>
    <s v="Nē"/>
    <s v="Nē"/>
    <s v="Nē"/>
    <s v="Nē"/>
    <s v="Nē"/>
    <s v="Nē"/>
    <s v="Nē"/>
    <s v="Nē"/>
    <s v="Nē"/>
    <s v="Nē"/>
    <s v="Nē"/>
    <s v="Nē"/>
    <s v="Nē"/>
    <s v="Nē"/>
    <s v="Jā"/>
    <m/>
    <s v="Nē"/>
    <m/>
    <s v="Nē"/>
    <m/>
    <s v="Nē"/>
    <m/>
    <s v="Nē"/>
    <m/>
    <s v="Jā"/>
    <s v="Nē"/>
    <s v="Nē"/>
    <s v="Nē"/>
    <s v="Nē"/>
    <s v="Nē"/>
    <s v="Nē"/>
    <s v="Nē"/>
    <s v="Nē"/>
    <s v="Nē"/>
    <s v="Nē"/>
    <s v="Nē"/>
    <s v="Jā"/>
    <s v="Nē"/>
    <s v="Nē"/>
    <m/>
    <s v="Nē"/>
    <m/>
    <s v="Nē"/>
    <m/>
    <s v="Nē"/>
    <m/>
    <s v="Nē"/>
    <m/>
    <s v="Jā"/>
    <s v="Jā"/>
    <s v="Nē"/>
    <s v="Nē"/>
    <s v="Nē"/>
    <s v="Jā"/>
    <s v="Nē"/>
    <s v="Nē"/>
    <s v="Nē"/>
    <s v="Nē"/>
    <s v="Nē"/>
    <s v="Nē"/>
    <m/>
    <s v="-"/>
    <m/>
    <m/>
    <m/>
    <m/>
    <m/>
    <m/>
    <m/>
    <m/>
    <m/>
    <m/>
    <m/>
  </r>
  <r>
    <x v="2"/>
    <n v="279"/>
    <s v="2023-05-24 14:08:37"/>
    <n v="14"/>
    <s v="ru"/>
    <n v="1065330176"/>
    <s v="2023-05-24 13:43:58"/>
    <s v="2023-05-24 14:08:37"/>
    <s v="nauda"/>
    <n v="17"/>
    <s v="sieviešu"/>
    <m/>
    <x v="0"/>
    <x v="0"/>
    <x v="0"/>
    <x v="0"/>
    <x v="0"/>
    <x v="0"/>
    <s v="Latgalē"/>
    <m/>
    <s v="pareizticīgo"/>
    <m/>
    <s v="Jā"/>
    <s v="Nē"/>
    <s v="Nē"/>
    <s v="Nē"/>
    <s v="Nē"/>
    <s v="Nē"/>
    <s v="Nē"/>
    <s v="Nē"/>
    <s v="Jā"/>
    <s v="Jā"/>
    <s v="Nē"/>
    <s v="Nē"/>
    <s v="Nē"/>
    <s v="Nē"/>
    <s v="N/A"/>
    <s v="N/A"/>
    <s v="N/A"/>
    <s v="N/A"/>
    <s v="N/A"/>
    <s v="N/A"/>
    <s v="Jā"/>
    <s v="Nē"/>
    <s v="Jā"/>
    <s v="Jā"/>
    <s v="Nē"/>
    <s v="Nē"/>
    <s v="Nē"/>
    <s v="Nē"/>
    <s v="tikai a"/>
    <s v="tikai b"/>
    <s v="ne a, ne b"/>
    <s v="tikai b"/>
    <s v="tikai a"/>
    <s v="tikai a"/>
    <s v="Vienlīdzīgi"/>
    <s v="Vienlīdzīgi"/>
    <s v="Vienlīdzīgi"/>
    <s v="Vienlīdzīgi"/>
    <s v="Vienlīdzīgi"/>
    <s v="Politiskā partija &quot;Stabilitātei&quot;"/>
    <s v="&quot;Apvienotais saraksts&quot;"/>
    <s v="&quot;Progresīvie&quot;"/>
    <s v="Nacionālā Apvienība"/>
    <s v="&quot;Latvija pirmajā vietā&quot;"/>
    <s v="Zaļo un Zemnieku savienība"/>
    <s v="Jaunā Vienotība"/>
    <s v="Klimata pārmaiņas – tas ir ciklisks un dabisks process."/>
    <s v="jā, daļu no tā, ko iespējams šķirot"/>
    <s v="Nacionālā Apvienība"/>
    <s v="Zaļo un Zemnieku savienība"/>
    <s v="&quot;Progresīvie&quot;"/>
    <s v="Jaunā Vienotība"/>
    <s v="Politiskā partija &quot;Stabilitātei&quot;"/>
    <s v="&quot;Latvija pirmajā vietā&quot;"/>
    <s v="&quot;Apvienotais saraksts&quot;"/>
    <s v="Politiskā partija &quot;Stabilitātei&quot;"/>
    <s v="&quot;Latvija pirmajā vietā&quot;"/>
    <s v="Jaunā Vienotība"/>
    <s v="Nacionālā Apvienība"/>
    <s v="Zaļo un Zemnieku savienība"/>
    <s v="&quot;Progresīvie&quot;"/>
    <s v="&quot;Apvienotais saraksts&quot;"/>
    <s v="Neinteresē"/>
    <s v="Ne sevišķi"/>
    <s v="Viduvēji"/>
    <s v="Viduvēji"/>
    <s v="Kariņš"/>
    <s v="Nē"/>
    <s v="Nē"/>
    <s v="Nē"/>
    <s v="Jā"/>
    <s v="Nē"/>
    <s v="Nē"/>
    <s v="1.."/>
    <n v="65"/>
    <n v="9"/>
    <n v="22"/>
    <n v="100"/>
    <s v="Drīzāk saspīlētas"/>
    <s v="Nav saspīlētas"/>
    <s v="Mazliet saspīlētas"/>
    <s v="(Gandrīz) nekad"/>
    <s v="(Gandrīz) nekad"/>
    <s v="(Gandrīz) nekad"/>
    <s v="(Gandrīz) nekad"/>
    <s v="(Gandrīz) nekad"/>
    <s v="(Gandrīz) nekad"/>
    <s v="Reti"/>
    <s v="(Gandrīz) nekad"/>
    <s v="(Gandrīz) nekad"/>
    <s v="Reti"/>
    <s v="krievu valodu izmantoju ikdienas dzīve"/>
    <s v="nē"/>
    <s v="N/A"/>
    <s v="N/A"/>
    <s v="N/A"/>
    <s v="N/A"/>
    <s v="Jā"/>
    <s v="Nē"/>
    <s v="Jā"/>
    <s v="Nē"/>
    <s v="Nē"/>
    <s v="Nē"/>
    <s v="Jā"/>
    <s v="Nē"/>
    <s v="(gandrīz) nekad"/>
    <s v="(gandrīz) nekad"/>
    <s v="pāris reižu nedēļā"/>
    <s v="(gandrīz) nekad"/>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slikti"/>
    <s v="knapi/gandrīz necik"/>
    <s v="slikti"/>
    <s v="slikti"/>
    <s v="slikti"/>
    <s v="pamatizglītību"/>
    <m/>
    <s v="N/A"/>
    <s v="N/A"/>
    <s v="N/A"/>
    <s v="Jā"/>
    <s v="krievu"/>
    <m/>
    <s v="latviešu"/>
    <m/>
    <s v="Spēju ilgstoši sarunāties ar vienaudžiem/piedalīties darba pārrunās."/>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Jā"/>
    <s v="Jā"/>
    <s v="Jā"/>
    <s v="Nē"/>
    <s v="Jā"/>
    <s v="Jā"/>
    <s v="Nē"/>
    <s v="Jā"/>
    <s v="Nē"/>
    <s v="Nē"/>
    <s v="Nē"/>
    <s v="Nē"/>
    <m/>
    <m/>
    <m/>
    <m/>
    <m/>
    <m/>
    <m/>
    <m/>
    <m/>
    <m/>
    <m/>
    <m/>
    <m/>
  </r>
  <r>
    <x v="2"/>
    <n v="280"/>
    <s v="2023-05-24 14:02:12"/>
    <n v="14"/>
    <s v="lv"/>
    <n v="1430843525"/>
    <s v="2023-05-24 13:44:00"/>
    <s v="2023-05-24 14:02:12"/>
    <s v="nauda"/>
    <n v="17"/>
    <s v="sieviešu"/>
    <m/>
    <x v="0"/>
    <x v="0"/>
    <x v="0"/>
    <x v="0"/>
    <x v="0"/>
    <x v="0"/>
    <s v="Latgalē"/>
    <m/>
    <s v="pareizticīgo"/>
    <m/>
    <s v="Jā"/>
    <s v="Nē"/>
    <s v="Nē"/>
    <s v="Nē"/>
    <s v="Nē"/>
    <s v="Nē"/>
    <s v="Nē"/>
    <s v="Nē"/>
    <s v="Jā"/>
    <s v="Nē"/>
    <s v="Nē"/>
    <s v="Nē"/>
    <s v="Nē"/>
    <s v="Nē"/>
    <s v="Nē"/>
    <s v="Jā"/>
    <s v="Jā"/>
    <s v="Nē"/>
    <s v="Nē"/>
    <s v="Nē"/>
    <s v="Nē"/>
    <s v="Nē"/>
    <s v="Jā"/>
    <s v="Jā"/>
    <s v="Nē"/>
    <s v="Nē"/>
    <s v="Jā"/>
    <s v="Nē"/>
    <s v="tikai a"/>
    <s v="a un b"/>
    <s v="a un b"/>
    <s v="a un b"/>
    <s v="tikai b"/>
    <s v="tikai a"/>
    <s v="Lielākoties nevienlīdzīgi"/>
    <s v="Lielākoties nevienlīdzīgi"/>
    <s v="Vienlīdzīgi"/>
    <s v="Nevienlīdzīgi"/>
    <s v="Lielākoties nevienlīdzīgi"/>
    <s v="&quot;Progresīvie&quot;"/>
    <s v="Politiskā partija &quot;Stabilitātei&quot;"/>
    <s v="Nacionālā Apvienība"/>
    <s v="&quot;Progresīvie&quot;"/>
    <s v="Zaļo un Zemnieku savienība"/>
    <s v="Politiskā partija &quot;Stabilitātei&quot;"/>
    <s v="&quot;Apvienotais saraksts&quot;"/>
    <s v="Klimata pārmaiņas – tas ir ciklisks un dabisks process."/>
    <s v="jā, lielāko daļu no tā, ko iespējams šķirot"/>
    <s v="Nacionālā Apvienība"/>
    <s v="Zaļo un Zemnieku savienība"/>
    <s v="&quot;Progresīvie&quot;"/>
    <s v="&quot;Apvienotais saraksts&quot;"/>
    <s v="&quot;Progresīvie&quot;"/>
    <s v="&quot;Latvija pirmajā vietā&quot;"/>
    <s v="&quot;Progresīvie&quot;"/>
    <s v="Zaļo un Zemnieku savienība"/>
    <s v="&quot;Apvienotais saraksts&quot;"/>
    <s v="Jaunā Vienotība"/>
    <s v="&quot;Apvienotais saraksts&quot;"/>
    <s v="Nacionālā Apvienība"/>
    <s v="&quot;Progresīvie&quot;"/>
    <s v="Nacionālā Apvienība"/>
    <s v="Ārkārtīgi"/>
    <s v="Ļoti"/>
    <s v="Viduvēji"/>
    <s v="Ļoti"/>
    <m/>
    <s v="Nē"/>
    <s v="Nē"/>
    <s v="Nē"/>
    <s v="Jā"/>
    <s v="Jā"/>
    <s v="Nē"/>
    <s v="2.."/>
    <n v="32"/>
    <n v="39"/>
    <n v="100"/>
    <n v="100"/>
    <s v="Es nezinu"/>
    <s v="Mazliet saspīlētas"/>
    <s v="Drīzāk saspīlētas"/>
    <s v="Bieži"/>
    <s v="Dažreiz"/>
    <s v="(Gandrīz) nekad"/>
    <s v="(Gandrīz) nekad"/>
    <s v="Reti"/>
    <s v="(Gandrīz) nekad"/>
    <s v="(Gandrīz) nekad"/>
    <s v="(Gandrīz) nekad"/>
    <s v="(Gandrīz) nekad"/>
    <s v="(Gandrīz) nekad"/>
    <m/>
    <s v="nē"/>
    <s v="N/A"/>
    <s v="N/A"/>
    <s v="N/A"/>
    <s v="N/A"/>
    <s v="N/A"/>
    <s v="N/A"/>
    <s v="N/A"/>
    <s v="Jā"/>
    <s v="N/A"/>
    <s v="N/A"/>
    <s v="N/A"/>
    <s v="Jā"/>
    <s v="pāris reižu nedēļā"/>
    <s v="(gandrīz) katru dienu"/>
    <s v="reizi nedēļā"/>
    <s v="pāris reižu nedēļā"/>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citreiz labi, citreiz slikti"/>
    <s v="citreiz labi, citreiz slikti"/>
    <s v="citreiz labi, citreiz slikti"/>
    <s v="citreiz labi, citreiz slikti"/>
    <s v="citreiz labi, citreiz slikti"/>
    <s v="pamatizglītību"/>
    <m/>
    <s v="Nē"/>
    <s v="Jā"/>
    <s v="Nē"/>
    <s v="Nē"/>
    <s v="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Jā"/>
    <s v="Nē"/>
    <s v="Nē"/>
    <s v="Jā"/>
    <s v="Nē"/>
    <s v="Nē"/>
    <s v="Nē"/>
    <s v="Jā"/>
    <s v="Jā"/>
    <s v="Jā"/>
    <s v="Nē"/>
    <s v="Nē"/>
    <m/>
    <s v="Nē"/>
    <m/>
    <s v="Nē"/>
    <m/>
    <s v="Nē"/>
    <m/>
    <s v="Nē"/>
    <m/>
    <s v="Nē"/>
    <s v="Nē"/>
    <s v="Jā"/>
    <s v="Nē"/>
    <s v="Nē"/>
    <s v="Jā"/>
    <s v="Nē"/>
    <s v="Jā"/>
    <s v="Nē"/>
    <s v="Nē"/>
    <s v="Nē"/>
    <s v="Nē"/>
    <s v="Nē"/>
    <s v="Nē"/>
    <s v="Nē"/>
    <m/>
    <s v="Nē"/>
    <m/>
    <s v="Nē"/>
    <m/>
    <s v="Nē"/>
    <m/>
    <s v="Nē"/>
    <m/>
    <s v="Jā"/>
    <s v="Nē"/>
    <s v="Nē"/>
    <s v="Nē"/>
    <s v="Nē"/>
    <s v="Jā"/>
    <s v="Nē"/>
    <s v="Nē"/>
    <s v="Nē"/>
    <s v="Nē"/>
    <s v="Nē"/>
    <s v="Nē"/>
    <m/>
    <m/>
    <m/>
    <m/>
    <m/>
    <m/>
    <m/>
    <m/>
    <m/>
    <m/>
    <m/>
    <m/>
    <m/>
  </r>
  <r>
    <x v="2"/>
    <n v="281"/>
    <s v="2023-05-24 14:02:04"/>
    <n v="14"/>
    <s v="lv"/>
    <n v="227849247"/>
    <s v="2023-05-24 13:44:02"/>
    <s v="2023-05-24 14:02:04"/>
    <s v="nauda"/>
    <n v="17"/>
    <s v="sieviešu"/>
    <m/>
    <x v="0"/>
    <x v="0"/>
    <x v="0"/>
    <x v="0"/>
    <x v="0"/>
    <x v="0"/>
    <s v="Latgalē"/>
    <m/>
    <s v="katoli(ieti)"/>
    <m/>
    <s v="N/A"/>
    <s v="N/A"/>
    <s v="N/A"/>
    <s v="N/A"/>
    <s v="N/A"/>
    <s v="N/A"/>
    <s v="Jā"/>
    <s v="N/A"/>
    <s v="N/A"/>
    <s v="N/A"/>
    <s v="N/A"/>
    <s v="N/A"/>
    <s v="N/A"/>
    <s v="Jā"/>
    <s v="N/A"/>
    <s v="N/A"/>
    <s v="N/A"/>
    <s v="N/A"/>
    <s v="N/A"/>
    <s v="N/A"/>
    <s v="Jā"/>
    <s v="N/A"/>
    <s v="N/A"/>
    <s v="N/A"/>
    <s v="N/A"/>
    <s v="N/A"/>
    <s v="N/A"/>
    <s v="Jā"/>
    <s v="ne a, ne b"/>
    <s v="tikai a"/>
    <s v="tikai a"/>
    <s v="tikai b"/>
    <s v="tikai b"/>
    <s v="tikai b"/>
    <s v="Vienlīdzīgi"/>
    <s v="Vienlīdzīgi"/>
    <s v="Vienlīdzīgi"/>
    <s v="Vienlīdzīgi"/>
    <s v="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Neinteresē"/>
    <s v="Ne sevišķi"/>
    <s v="Viduvēji"/>
    <s v="Viduvēji"/>
    <s v="Nezinu."/>
    <s v="Nē"/>
    <s v="Nē"/>
    <s v="Jā"/>
    <s v="Jā"/>
    <s v="Jā"/>
    <s v="Nē"/>
    <s v="2.."/>
    <n v="16"/>
    <n v="40"/>
    <n v="100"/>
    <n v="1"/>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katru dienu"/>
    <s v="(gandrīz) nekad"/>
    <s v="pāris reižu mēnesī"/>
    <s v="(gandrīz) nekad"/>
    <s v="(gandrīz) nekad"/>
    <s v="pāris reižu mēnesī"/>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īgas tiesības minoritātēm un ievainojamām sabiedrības grupām"/>
    <m/>
    <m/>
    <s v="labi"/>
    <s v="labi"/>
    <s v="citreiz labi, citreiz slikti"/>
    <s v="labi"/>
    <s v="labi"/>
    <s v="pamatizglītību"/>
    <m/>
    <s v="Jā"/>
    <s v="Nē"/>
    <s v="Nē"/>
    <s v="Nē"/>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Jā"/>
    <s v="Jā"/>
    <s v="Nē"/>
    <s v="Jā"/>
    <s v="Jā"/>
    <s v="Nē"/>
    <s v="Jā"/>
    <s v="Nē"/>
    <s v="Nē"/>
    <s v="Nē"/>
    <s v="Nē"/>
    <m/>
    <m/>
    <m/>
    <m/>
    <m/>
    <m/>
    <m/>
    <m/>
    <m/>
    <m/>
    <m/>
    <m/>
    <m/>
  </r>
  <r>
    <x v="2"/>
    <n v="282"/>
    <s v="2023-05-24 13:59:24"/>
    <n v="14"/>
    <s v="lv"/>
    <n v="1779985798"/>
    <s v="2023-05-24 13:44:05"/>
    <s v="2023-05-24 13:59:24"/>
    <s v="nauda"/>
    <n v="17"/>
    <s v="sieviešu"/>
    <m/>
    <x v="1"/>
    <x v="0"/>
    <x v="0"/>
    <x v="0"/>
    <x v="0"/>
    <x v="0"/>
    <s v="Latgalē"/>
    <m/>
    <s v="katoli(ieti)"/>
    <m/>
    <s v="Jā"/>
    <s v="Nē"/>
    <s v="Jā"/>
    <s v="Nē"/>
    <s v="Nē"/>
    <s v="Jā"/>
    <s v="Nē"/>
    <s v="Nē"/>
    <s v="Jā"/>
    <s v="Nē"/>
    <s v="Nē"/>
    <s v="Jā"/>
    <s v="Jā"/>
    <s v="Nē"/>
    <s v="Nē"/>
    <s v="Nē"/>
    <s v="Jā"/>
    <s v="Nē"/>
    <s v="Jā"/>
    <s v="Nē"/>
    <s v="Nē"/>
    <s v="Nē"/>
    <s v="Nē"/>
    <s v="Nē"/>
    <s v="Jā"/>
    <s v="Jā"/>
    <s v="Jā"/>
    <s v="Nē"/>
    <s v="tikai a"/>
    <s v="tikai b"/>
    <s v="tikai a"/>
    <s v="tikai b"/>
    <s v="tikai b"/>
    <s v="tikai a"/>
    <s v="Vienlīdzīgi"/>
    <s v="Lielākoties vienlīdzīgi"/>
    <s v="Lielākoties vienlīdzīgi"/>
    <s v="Lielākoties vienlīdzīgi"/>
    <s v="Lielākoties vienlīdzīgi"/>
    <s v="Zaļo un Zemnieku savienība"/>
    <s v="Politiskā partija &quot;Stabilitātei&quot;"/>
    <s v="Jaunā Vienotība"/>
    <s v="Zaļo un Zemnieku savienība"/>
    <s v="Jaunā Vienotība"/>
    <s v="Politiskā partija &quot;Stabilitātei&quot;"/>
    <s v="Nacionālā Apvienība"/>
    <s v="Klimata pārmaiņām nav nekādu pārliecinošu pierādījumu."/>
    <s v="jā, lielāko daļu no tā, ko iespējams šķirot"/>
    <s v="&quot;Progresīvie&quot;"/>
    <s v="Zaļo un Zemnieku savienība"/>
    <s v="Nacionālā Apvienība"/>
    <s v="Jaunā Vienotība"/>
    <s v="Zaļo un Zemnieku savienība"/>
    <s v="&quot;Apvienotais saraksts&quot;"/>
    <s v="Politiskā partija &quot;Stabilitātei&quot;"/>
    <s v="&quot;Progresīvie&quot;"/>
    <s v="Zaļo un Zemnieku savienība"/>
    <s v="Nacionālā Apvienība"/>
    <s v="&quot;Latvija pirmajā vietā&quot;"/>
    <s v="Politiskā partija &quot;Stabilitātei&quot;"/>
    <s v="&quot;Apvienotais saraksts&quot;"/>
    <s v="Zaļo un Zemnieku savienība"/>
    <s v="Viduvēji"/>
    <s v="Neinteresē"/>
    <s v="Ne sevišķi"/>
    <s v="Viduvēji"/>
    <s v="Teritorija"/>
    <s v="Nē"/>
    <s v="Nē"/>
    <s v="Nē"/>
    <s v="Nē"/>
    <s v="Nē"/>
    <s v="Jā"/>
    <s v="1.."/>
    <n v="3"/>
    <n v="50"/>
    <n v="50"/>
    <n v="3"/>
    <s v="Drīzāk saspīlētas"/>
    <s v="Nav saspīlētas"/>
    <s v="Nav saspīlētas"/>
    <s v="(Gandrīz) nekad"/>
    <s v="(Gandrīz) nekad"/>
    <s v="(Gandrīz) nekad"/>
    <s v="Reti"/>
    <s v="Reti"/>
    <s v="(Gandrīz) nekad"/>
    <s v="(Gandrīz) nekad"/>
    <s v="(Gandrīz) nekad"/>
    <s v="(Gandrīz) nekad"/>
    <s v="(Gandrīz) nekad"/>
    <m/>
    <s v="jā, privāta darba devēja labā"/>
    <s v="N/A"/>
    <s v="N/A"/>
    <s v="N/A"/>
    <s v="Jā"/>
    <s v="N/A"/>
    <s v="N/A"/>
    <s v="N/A"/>
    <s v="Jā"/>
    <s v="N/A"/>
    <s v="N/A"/>
    <s v="N/A"/>
    <s v="Jā"/>
    <s v="pāris reižu mēnesī"/>
    <s v="(gandrīz) katru dienu"/>
    <s v="pāris reižu nedēļā"/>
    <s v="pāris reižu nedēļā"/>
    <s v="(gandrīz) nekad"/>
    <s v="(gandrīz) nekad"/>
    <s v="pāris reižu nedēļā"/>
    <s v="(gandrīz) katru dienu"/>
    <s v="(gandrīz) katru dienu"/>
    <s v="(gandrīz) katru dienu"/>
    <s v="(gandrīz) katru dienu"/>
    <s v="(gandrīz) nekad"/>
    <s v="(gandrīz) nekad"/>
    <s v="(gandrīz) katru dienu"/>
    <s v="pilsoniskās brīvības (vārda brīvība, tiesības uz tiesisko aizsardzību)"/>
    <s v="vienlīdz pieejama izglītība, veselības aprūpe, sociālais nodrošinājums"/>
    <s v="brīvas vēlēšanas un plurālisms"/>
    <m/>
    <m/>
    <s v="citreiz labi, citreiz slikti"/>
    <s v="citreiz labi, citreiz slikti"/>
    <s v="labi"/>
    <s v="nezinu"/>
    <s v="nezinu"/>
    <s v="pamatizglītību"/>
    <m/>
    <s v="N/A"/>
    <s v="N/A"/>
    <s v="N/A"/>
    <s v="Jā"/>
    <s v="vienlīdz latviešu un krievu"/>
    <m/>
    <s v="latviešu"/>
    <m/>
    <m/>
    <m/>
    <m/>
    <m/>
    <m/>
    <m/>
    <m/>
    <m/>
    <m/>
    <m/>
    <m/>
    <m/>
    <m/>
    <m/>
    <m/>
    <m/>
    <m/>
    <m/>
    <m/>
    <m/>
    <m/>
    <s v="N/A"/>
    <s v="N/A"/>
    <s v="N/A"/>
    <s v="N/A"/>
    <s v="N/A"/>
    <s v="N/A"/>
    <m/>
    <m/>
    <m/>
    <m/>
    <m/>
    <s v="Nē"/>
    <s v="Nē"/>
    <s v="Jā"/>
    <s v="Nē"/>
    <s v="Nē"/>
    <s v="Nē"/>
    <s v="Nē"/>
    <s v="Nē"/>
    <s v="Nē"/>
    <s v="Nē"/>
    <s v="Nē"/>
    <s v="Nē"/>
    <s v="Nē"/>
    <s v="Nē"/>
    <s v="Nē"/>
    <m/>
    <s v="Nē"/>
    <m/>
    <s v="Nē"/>
    <m/>
    <s v="Nē"/>
    <m/>
    <s v="Nē"/>
    <m/>
    <s v="Nē"/>
    <s v="Nē"/>
    <s v="Nē"/>
    <s v="Nē"/>
    <s v="Nē"/>
    <s v="Nē"/>
    <s v="Nē"/>
    <s v="Nē"/>
    <s v="Nē"/>
    <s v="Nē"/>
    <s v="Nē"/>
    <s v="Nē"/>
    <s v="Nē"/>
    <s v="Nē"/>
    <s v="Jā"/>
    <m/>
    <s v="Nē"/>
    <m/>
    <s v="Nē"/>
    <m/>
    <s v="Nē"/>
    <m/>
    <s v="Nē"/>
    <m/>
    <s v="Jā"/>
    <s v="Jā"/>
    <s v="Jā"/>
    <s v="Nē"/>
    <s v="Nē"/>
    <s v="Jā"/>
    <s v="Nē"/>
    <s v="Nē"/>
    <s v="Nē"/>
    <s v="Nē"/>
    <s v="Nē"/>
    <s v="Nē"/>
    <m/>
    <m/>
    <m/>
    <m/>
    <m/>
    <m/>
    <m/>
    <m/>
    <m/>
    <m/>
    <m/>
    <m/>
    <m/>
  </r>
  <r>
    <x v="2"/>
    <n v="283"/>
    <s v="2023-05-24 13:56:48"/>
    <n v="14"/>
    <s v="lv"/>
    <n v="231905899"/>
    <s v="2023-05-24 13:44:05"/>
    <s v="2023-05-24 13:56:48"/>
    <s v="nauda"/>
    <n v="17"/>
    <s v="sieviešu"/>
    <m/>
    <x v="0"/>
    <x v="0"/>
    <x v="0"/>
    <x v="0"/>
    <x v="0"/>
    <x v="0"/>
    <s v="Latgalē"/>
    <m/>
    <s v="pareizticīgo"/>
    <m/>
    <s v="Nē"/>
    <s v="Nē"/>
    <s v="Nē"/>
    <s v="Jā"/>
    <s v="Nē"/>
    <s v="Nē"/>
    <s v="Nē"/>
    <s v="N/A"/>
    <s v="N/A"/>
    <s v="N/A"/>
    <s v="N/A"/>
    <s v="N/A"/>
    <s v="N/A"/>
    <s v="Jā"/>
    <s v="Jā"/>
    <s v="Nē"/>
    <s v="Nē"/>
    <s v="Nē"/>
    <s v="Nē"/>
    <s v="Nē"/>
    <s v="Nē"/>
    <s v="Nē"/>
    <s v="Nē"/>
    <s v="Jā"/>
    <s v="Jā"/>
    <s v="Nē"/>
    <s v="Nē"/>
    <s v="Nē"/>
    <s v="a un b"/>
    <s v="tikai a"/>
    <s v="tikai b"/>
    <s v="tikai b"/>
    <s v="tikai b"/>
    <s v="tikai b"/>
    <s v="Vienlīdzīgi"/>
    <s v="Lielākoties vienlīdzīgi"/>
    <s v="Vienlīdzīgi"/>
    <s v="Lielākoties vienlīdzīgi"/>
    <s v="Lielākoties nevienlīdzīgi"/>
    <s v="Jaunā Vienotība"/>
    <s v="&quot;Apvienotais saraksts&quot;"/>
    <s v="Nacionālā Apvienība"/>
    <s v="Zaļo un Zemnieku savienība"/>
    <s v="Politiskā partija &quot;Stabilitātei&quot;"/>
    <s v="&quot;Latvija pirmajā vietā&quot;"/>
    <s v="&quot;Progresīvie&quot;"/>
    <s v="Klimata pārmaiņas – tas ir ciklisks un dabisks process."/>
    <s v="jā, daļu no tā, ko iespējams šķirot"/>
    <s v="Jaunā Vienotība"/>
    <s v="Zaļo un Zemnieku savienība"/>
    <s v="Nacionālā Apvienība"/>
    <s v="Politiskā partija &quot;Stabilitātei&quot;"/>
    <s v="&quot;Progresīvie&quot;"/>
    <s v="&quot;Apvienotais saraksts&quot;"/>
    <s v="&quot;Latvija pirmajā vietā&quot;"/>
    <s v="&quot;Latvija pirmajā vietā&quot;"/>
    <s v="&quot;Apvienotais saraksts&quot;"/>
    <s v="&quot;Progresīvie&quot;"/>
    <s v="Politiskā partija &quot;Stabilitātei&quot;"/>
    <s v="Nacionālā Apvienība"/>
    <s v="Zaļo un Zemnieku savienība"/>
    <s v="Jaunā Vienotība"/>
    <s v="Ne sevišķi"/>
    <s v="Neinteresē"/>
    <s v="Neinteresē"/>
    <s v="Ne sevišķi"/>
    <s v="nezinu"/>
    <s v="Nē"/>
    <s v="Jā"/>
    <s v="Nē"/>
    <s v="Nē"/>
    <s v="Nē"/>
    <s v="Nē"/>
    <s v="2.."/>
    <n v="66"/>
    <n v="23"/>
    <n v="66"/>
    <n v="67"/>
    <s v="Mazliet saspīlētas"/>
    <s v="Mazliet saspīlētas"/>
    <s v="Mazliet saspīlētas"/>
    <s v="(Gandrīz) nekad"/>
    <s v="(Gandrīz) nekad"/>
    <s v="(Gandrīz) nekad"/>
    <s v="(Gandrīz) nekad"/>
    <s v="(Gandrīz) nekad"/>
    <s v="(Gandrīz) nekad"/>
    <s v="(Gandrīz) nekad"/>
    <s v="(Gandrīz) nekad"/>
    <s v="(Gandrīz) nekad"/>
    <s v="(Gandrīz) nekad"/>
    <m/>
    <s v="nē"/>
    <s v="N/A"/>
    <s v="N/A"/>
    <s v="N/A"/>
    <s v="N/A"/>
    <s v="Nē"/>
    <s v="Nē"/>
    <s v="Jā"/>
    <s v="Nē"/>
    <s v="N/A"/>
    <s v="N/A"/>
    <s v="N/A"/>
    <s v="Jā"/>
    <s v="(gandrīz) nekad"/>
    <s v="(gandrīz) katru dienu"/>
    <s v="(gandrīz) nekad"/>
    <s v="(gandrīz) nekad"/>
    <s v="(gandrīz) nekad"/>
    <s v="(gandrīz) nekad"/>
    <s v="(gandrīz) nekad"/>
    <s v="(gandrīz) katru dienu"/>
    <s v="(gandrīz) katru dienu"/>
    <s v="(gandrīz) nekad"/>
    <s v="(gandrīz) katru dienu"/>
    <s v="(gandrīz) katru dienu"/>
    <s v="(gandrīz) katru dienu"/>
    <s v="(gandrīz) katru dienu"/>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nezinu"/>
    <s v="labi"/>
    <s v="labi"/>
    <s v="nezinu"/>
    <s v="nezinu"/>
    <s v="pamatizglītību"/>
    <m/>
    <s v="N/A"/>
    <s v="N/A"/>
    <s v="N/A"/>
    <s v="Jā"/>
    <s v="latviešu"/>
    <m/>
    <s v="latviešu"/>
    <m/>
    <s v="Spēju ilgstoši sarunāties ar vienaudžiem/piedalīties darba pārrunās."/>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Jā"/>
    <s v="Nē"/>
    <m/>
    <s v="paldies par aptauju"/>
    <m/>
    <m/>
    <m/>
    <m/>
    <m/>
    <m/>
    <m/>
    <m/>
    <m/>
    <m/>
    <m/>
  </r>
  <r>
    <x v="2"/>
    <n v="284"/>
    <s v="2023-05-24 14:08:27"/>
    <n v="14"/>
    <s v="lv"/>
    <n v="248035640"/>
    <s v="2023-05-24 13:44:08"/>
    <s v="2023-05-24 14:08:27"/>
    <s v="nauda"/>
    <n v="17"/>
    <s v="sieviešu"/>
    <m/>
    <x v="1"/>
    <x v="0"/>
    <x v="0"/>
    <x v="0"/>
    <x v="0"/>
    <x v="0"/>
    <s v="Latgalē"/>
    <m/>
    <s v="ateistu(ti), nereliģiozu"/>
    <m/>
    <s v="Nē"/>
    <s v="Jā"/>
    <s v="Nē"/>
    <s v="Nē"/>
    <s v="Nē"/>
    <s v="Nē"/>
    <s v="Nē"/>
    <s v="Nē"/>
    <s v="Nē"/>
    <s v="Nē"/>
    <s v="Nē"/>
    <s v="Jā"/>
    <s v="Nē"/>
    <s v="Nē"/>
    <s v="Nē"/>
    <s v="Nē"/>
    <s v="Nē"/>
    <s v="Jā"/>
    <s v="Nē"/>
    <s v="Nē"/>
    <s v="Nē"/>
    <s v="Jā"/>
    <s v="Nē"/>
    <s v="Nē"/>
    <s v="Nē"/>
    <s v="Nē"/>
    <s v="Nē"/>
    <s v="Nē"/>
    <s v="tikai a"/>
    <s v="a un b"/>
    <s v="a un b"/>
    <s v="ne a, ne b"/>
    <s v="a un b"/>
    <s v="tikai a"/>
    <s v="Vienlīdzīgi"/>
    <s v="Vienlīdzīgi"/>
    <s v="Vienlīdzīgi"/>
    <s v="Vienlīdzīgi"/>
    <s v="Vienlīdzīgi"/>
    <s v="Zaļo un Zemnieku savienība"/>
    <s v="&quot;Progresīvie&quot;"/>
    <s v="Jaunā Vienotība"/>
    <s v="Nacionālā Apvienība"/>
    <s v="nezinu"/>
    <s v="&quot;Progresīvie&quot;"/>
    <s v="nezinu"/>
    <s v="Reizēm ekonomiskā un valsts stabilitāte varētu nozīmēt, ka atsevišķi ekoloģiskās politikas aspekti ir uz brīdi jāiepauzē."/>
    <s v="jā, visu, ko iespējams šķirot"/>
    <s v="Jaunā Vienotība"/>
    <s v="nezinu"/>
    <s v="&quot;Progresīvie&quot;"/>
    <s v="&quot;Progresīvie&quot;"/>
    <s v="&quot;Progresīvie&quot;"/>
    <s v="Zaļo un Zemnieku savienība"/>
    <s v="Politiskā partija &quot;Stabilitātei&quot;"/>
    <s v="Jaunā Vienotība"/>
    <s v="nezinu"/>
    <s v="&quot;Apvienotais saraksts&quot;"/>
    <s v="nezinu"/>
    <s v="&quot;Progresīvie&quot;"/>
    <s v="Nacionālā Apvienība"/>
    <s v="nezinu"/>
    <s v="Ārkārtīgi"/>
    <s v="Ārkārtīgi"/>
    <s v="Ārkārtīgi"/>
    <s v="Neinteresē"/>
    <s v="Populismu izmanto politiķi, kuri grib ātrāk un izdevīgāk sev atrisināt problēmu. Populisti risina globālas pasaules problēmas nevis iekšējas valsts aktuālas problēmas."/>
    <s v="Jā"/>
    <s v="Nē"/>
    <s v="Nē"/>
    <s v="Jā"/>
    <s v="Jā"/>
    <s v="Nē"/>
    <s v="1.."/>
    <n v="1"/>
    <n v="100"/>
    <n v="10"/>
    <n v="1"/>
    <s v="Drīzāk saspīlētas"/>
    <s v="Nav saspīlētas"/>
    <s v="Nav saspīlētas"/>
    <s v="(Gandrīz) nekad"/>
    <s v="(Gandrīz) nekad"/>
    <s v="(Gandrīz) nekad"/>
    <s v="(Gandrīz) nekad"/>
    <s v="(Gandrīz) nekad"/>
    <s v="Dažreiz"/>
    <s v="(Gandrīz) nekad"/>
    <s v="(Gandrīz) nekad"/>
    <s v="Dažreiz"/>
    <s v="(Gandrīz) nekad"/>
    <s v="Valsts institucījās  jāruna  latviski"/>
    <s v="jā, privāta darba devēja labā"/>
    <s v="Jā"/>
    <s v="Nē"/>
    <s v="Nē"/>
    <s v="Nē"/>
    <s v="Jā"/>
    <s v="Jā"/>
    <s v="Jā"/>
    <s v="Nē"/>
    <s v="N/A"/>
    <s v="N/A"/>
    <s v="N/A"/>
    <s v="Jā"/>
    <s v="pāris reižu mēnesī"/>
    <s v="(gandrīz) nekad"/>
    <s v="(gandrīz) katru dienu"/>
    <s v="(gandrīz) nekad"/>
    <s v="(gandrīz) nekad"/>
    <s v="pāris reižu mēnesī"/>
    <s v="(gandrīz) nekad"/>
    <s v="(gandrīz) katru dienu"/>
    <s v="(gandrīz) katru dienu"/>
    <s v="(gandrīz) katru dienu"/>
    <s v="(gandrīz) katru dienu"/>
    <s v="(gandrīz) nekad"/>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labi"/>
    <s v="citreiz labi, citreiz slikti"/>
    <s v="ļoti labi"/>
    <s v="slikti"/>
    <s v="nezinu"/>
    <s v="pamatizglītību"/>
    <m/>
    <s v="N/A"/>
    <s v="N/A"/>
    <s v="N/A"/>
    <s v="Jā"/>
    <s v="latviešu"/>
    <m/>
    <s v="latviešu"/>
    <m/>
    <m/>
    <m/>
    <m/>
    <m/>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Jā"/>
    <s v="Jā"/>
    <s v="Nē"/>
    <s v="Nē"/>
    <m/>
    <s v="Nē"/>
    <m/>
    <s v="Nē"/>
    <m/>
    <s v="Nē"/>
    <m/>
    <s v="Nē"/>
    <m/>
    <s v="Jā"/>
    <s v="Jā"/>
    <s v="Nē"/>
    <s v="Nē"/>
    <s v="Jā"/>
    <s v="Jā"/>
    <s v="Nē"/>
    <s v="Jā"/>
    <s v="Nē"/>
    <s v="Nē"/>
    <s v="Nē"/>
    <s v="Nē"/>
    <m/>
    <m/>
    <m/>
    <m/>
    <m/>
    <m/>
    <m/>
    <m/>
    <m/>
    <m/>
    <m/>
    <m/>
    <m/>
  </r>
  <r>
    <x v="2"/>
    <n v="285"/>
    <s v="2023-05-24 14:05:06"/>
    <n v="14"/>
    <s v="lv"/>
    <n v="1634980774"/>
    <s v="2023-05-24 13:44:10"/>
    <s v="2023-05-24 14:05:06"/>
    <s v="nauda"/>
    <n v="17"/>
    <s v="sieviešu"/>
    <m/>
    <x v="0"/>
    <x v="0"/>
    <x v="0"/>
    <x v="0"/>
    <x v="0"/>
    <x v="0"/>
    <s v="Latgalē"/>
    <m/>
    <s v="ateistu(ti), nereliģiozu"/>
    <m/>
    <s v="Jā"/>
    <s v="Nē"/>
    <s v="Nē"/>
    <s v="Nē"/>
    <s v="Nē"/>
    <s v="Nē"/>
    <s v="Nē"/>
    <s v="N/A"/>
    <s v="N/A"/>
    <s v="N/A"/>
    <s v="N/A"/>
    <s v="N/A"/>
    <s v="N/A"/>
    <s v="Jā"/>
    <s v="Jā"/>
    <s v="Jā"/>
    <s v="Jā"/>
    <s v="Nē"/>
    <s v="Nē"/>
    <s v="Nē"/>
    <s v="Nē"/>
    <s v="N/A"/>
    <s v="N/A"/>
    <s v="N/A"/>
    <s v="N/A"/>
    <s v="N/A"/>
    <s v="N/A"/>
    <s v="Jā"/>
    <s v="a un b"/>
    <s v="nezinu"/>
    <s v="tikai b"/>
    <s v="a un b"/>
    <s v="a un b"/>
    <s v="nezinu"/>
    <s v="Vienlīdzīgi"/>
    <s v="Lielākoties nevienlīdzīgi"/>
    <s v="Vienlīdzīgi"/>
    <s v="Vienlīdzīgi"/>
    <s v="Lielākoties nevienlīdzīgi"/>
    <s v="nezinu"/>
    <s v="nezinu"/>
    <s v="nezinu"/>
    <s v="nezinu"/>
    <s v="nezinu"/>
    <s v="nezinu"/>
    <s v="nezinu"/>
    <s v="Cīņai ar klimata pārmaiņām būtu jābūt vairumam pasaules valstu galvenajai prioritātei."/>
    <s v="jā, daļu no tā, ko iespējams šķirot"/>
    <s v="&quot;Progresīvie&quot;"/>
    <s v="Jaunā Vienotība"/>
    <s v="&quot;Latvija pirmajā vietā&quot;"/>
    <s v="Politiskā partija &quot;Stabilitātei&quot;"/>
    <s v="&quot;Apvienotais saraksts&quot;"/>
    <s v="Zaļo un Zemnieku savienība"/>
    <s v="Nacionālā Apvienība"/>
    <s v="&quot;Apvienotais saraksts&quot;"/>
    <s v="&quot;Latvija pirmajā vietā&quot;"/>
    <s v="Nacionālā Apvienība"/>
    <s v="Politiskā partija &quot;Stabilitātei&quot;"/>
    <s v="Jaunā Vienotība"/>
    <s v="Zaļo un Zemnieku savienība"/>
    <s v="&quot;Progresīvie&quot;"/>
    <s v="Ne sevišķi"/>
    <s v="Ne sevišķi"/>
    <s v="Ne sevišķi"/>
    <s v="Ne sevišķi"/>
    <m/>
    <s v="Nē"/>
    <s v="Nē"/>
    <s v="Nē"/>
    <s v="Jā"/>
    <s v="Jā"/>
    <s v="Nē"/>
    <s v="2.."/>
    <n v="51"/>
    <n v="21"/>
    <n v="59"/>
    <n v="100"/>
    <s v="Drīzāk saspīlētas"/>
    <s v="Mazliet saspīlētas"/>
    <s v="Mazliet saspīlētas"/>
    <s v="Reti"/>
    <s v="Reti"/>
    <s v="Reti"/>
    <s v="Reti"/>
    <s v="Reti"/>
    <s v="Reti"/>
    <s v="Reti"/>
    <s v="Reti"/>
    <s v="Reti"/>
    <s v="Reti"/>
    <m/>
    <s v="jā, valsts iestādē"/>
    <s v="N/A"/>
    <s v="N/A"/>
    <s v="N/A"/>
    <s v="Jā"/>
    <s v="N/A"/>
    <s v="N/A"/>
    <s v="N/A"/>
    <s v="Jā"/>
    <s v="N/A"/>
    <s v="N/A"/>
    <s v="N/A"/>
    <s v="Jā"/>
    <s v="(gandrīz) nekad"/>
    <s v="(gandrīz) nekad"/>
    <s v="(gandrīz) nekad"/>
    <s v="(gandrīz) nekad"/>
    <s v="pāris reižu mēnesī"/>
    <s v="(gandrīz) nekad"/>
    <s v="(gandrīz) nekad"/>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labi"/>
    <s v="citreiz labi, citreiz slikti"/>
    <s v="labi"/>
    <s v="labi"/>
    <s v="labi"/>
    <s v="pamatizglītību"/>
    <m/>
    <s v="N/A"/>
    <s v="N/A"/>
    <s v="N/A"/>
    <s v="Jā"/>
    <s v="krievu"/>
    <m/>
    <s v="krievu"/>
    <m/>
    <s v="Spēju ilgstoši sarunāties ar vienaudžiem/piedalīties darba pārrunās."/>
    <s v="Spēju uzrakstīt garāku sacerējumu/ kursa darbu"/>
    <s v="Viegli saprotu radio programmas / podkāstus par saviem hobijiem/darbības sfēru."/>
    <s v="Spēju izlasīt avīzi/īsstāstus."/>
    <m/>
    <m/>
    <m/>
    <m/>
    <m/>
    <m/>
    <m/>
    <m/>
    <m/>
    <m/>
    <m/>
    <m/>
    <m/>
    <m/>
    <m/>
    <m/>
    <m/>
    <s v="N/A"/>
    <s v="N/A"/>
    <s v="N/A"/>
    <s v="N/A"/>
    <s v="N/A"/>
    <s v="N/A"/>
    <m/>
    <m/>
    <m/>
    <m/>
    <m/>
    <s v="Nē"/>
    <s v="Nē"/>
    <s v="Nē"/>
    <s v="Jā"/>
    <s v="Nē"/>
    <s v="Nē"/>
    <s v="Nē"/>
    <s v="Nē"/>
    <s v="Nē"/>
    <s v="Jā"/>
    <s v="Nē"/>
    <s v="Nē"/>
    <s v="Nē"/>
    <s v="Nē"/>
    <s v="Nē"/>
    <m/>
    <s v="Nē"/>
    <m/>
    <s v="Nē"/>
    <m/>
    <s v="Nē"/>
    <m/>
    <s v="Nē"/>
    <m/>
    <s v="Nē"/>
    <s v="Nē"/>
    <s v="Nē"/>
    <s v="Nē"/>
    <s v="Nē"/>
    <s v="Nē"/>
    <s v="Nē"/>
    <s v="Nē"/>
    <s v="Nē"/>
    <s v="Nē"/>
    <s v="Nē"/>
    <s v="Nē"/>
    <s v="Nē"/>
    <s v="Nē"/>
    <s v="Jā"/>
    <m/>
    <s v="Nē"/>
    <m/>
    <s v="Nē"/>
    <m/>
    <s v="Nē"/>
    <m/>
    <s v="Nē"/>
    <m/>
    <s v="Nē"/>
    <s v="Nē"/>
    <s v="Nē"/>
    <s v="Nē"/>
    <s v="Jā"/>
    <s v="Jā"/>
    <s v="Nē"/>
    <s v="Jā"/>
    <s v="Nē"/>
    <s v="Nē"/>
    <s v="Nē"/>
    <s v="Nē"/>
    <m/>
    <m/>
    <m/>
    <m/>
    <m/>
    <m/>
    <m/>
    <m/>
    <m/>
    <m/>
    <m/>
    <m/>
    <m/>
  </r>
  <r>
    <x v="2"/>
    <n v="286"/>
    <s v="2023-05-24 14:13:03"/>
    <n v="14"/>
    <s v="lv"/>
    <n v="1527409020"/>
    <s v="2023-05-24 13:44:13"/>
    <s v="2023-05-24 14:13:03"/>
    <s v="nauda"/>
    <n v="17"/>
    <s v="sieviešu"/>
    <m/>
    <x v="1"/>
    <x v="0"/>
    <x v="0"/>
    <x v="0"/>
    <x v="0"/>
    <x v="0"/>
    <s v="Latgalē"/>
    <m/>
    <s v="katoli(ieti)"/>
    <m/>
    <s v="Jā"/>
    <s v="Jā"/>
    <s v="Jā"/>
    <s v="Jā"/>
    <s v="Nē"/>
    <s v="Nē"/>
    <s v="Nē"/>
    <s v="Nē"/>
    <s v="Jā"/>
    <s v="Nē"/>
    <s v="Jā"/>
    <s v="Nē"/>
    <s v="Jā"/>
    <s v="Nē"/>
    <s v="Jā"/>
    <s v="Jā"/>
    <s v="Jā"/>
    <s v="Nē"/>
    <s v="Nē"/>
    <s v="Jā"/>
    <s v="Nē"/>
    <s v="Jā"/>
    <s v="Jā"/>
    <s v="Jā"/>
    <s v="Jā"/>
    <s v="Jā"/>
    <s v="Jā"/>
    <s v="Nē"/>
    <s v="tikai a"/>
    <s v="ne a, ne b"/>
    <s v="tikai a"/>
    <s v="tikai b"/>
    <s v="ne a, ne b"/>
    <s v="tikai b"/>
    <s v="Lielākoties vienlīdzīgi"/>
    <s v="Lielākoties nevienlīdzīgi"/>
    <s v="Lielākoties vienlīdzīgi"/>
    <s v="Lielākoties vienlīdzīgi"/>
    <s v="Lielākoties nevienlīdzīgi"/>
    <s v="Nacionālā Apvienība"/>
    <s v="&quot;Progresīvie&quot;"/>
    <s v="&quot;Latvija pirmajā vietā&quot;"/>
    <s v="&quot;Latvija pirmajā vietā&quot;"/>
    <s v="Zaļo un Zemnieku savienība"/>
    <s v="Nacionālā Apvienība"/>
    <s v="&quot;Latvija pirmajā vietā&quot;"/>
    <s v="Cīņai ar klimata pārmaiņām būtu jābūt vairumam pasaules valstu galvenajai prioritātei."/>
    <s v="jā, daļu no tā, ko iespējams šķirot"/>
    <s v="&quot;Progresīvie&quot;"/>
    <s v="&quot;Apvienotais saraksts&quot;"/>
    <s v="Zaļo un Zemnieku savienība"/>
    <s v="Jaunā Vienotība"/>
    <s v="&quot;Latvija pirmajā vietā&quot;"/>
    <s v="Zaļo un Zemnieku savienība"/>
    <s v="Politiskā partija &quot;Stabilitātei&quot;"/>
    <s v="Politiskā partija &quot;Stabilitātei&quot;"/>
    <s v="Nacionālā Apvienība"/>
    <s v="Zaļo un Zemnieku savienība"/>
    <s v="Jaunā Vienotība"/>
    <s v="&quot;Progresīvie&quot;"/>
    <s v="&quot;Latvija pirmajā vietā&quot;"/>
    <s v="nezinu"/>
    <s v="Viduvēji"/>
    <s v="Neinteresē"/>
    <s v="Viduvēji"/>
    <s v="Ļoti"/>
    <s v="populisms man asociējas ar sociālajiem medijiem,bet savukārt soc.mediji ir viena no valdības varas faktoriem,kur cilvēkiem tiek propogandēts dažndažāds uzskats"/>
    <s v="Nē"/>
    <s v="Nē"/>
    <s v="Nē"/>
    <s v="Jā"/>
    <s v="Nē"/>
    <s v="Nē"/>
    <s v="2.."/>
    <n v="100"/>
    <n v="51"/>
    <n v="51"/>
    <n v="1"/>
    <s v="Ļoti saspīlētas"/>
    <s v="Drīzāk saspīlētas"/>
    <s v="Nav saspīlētas"/>
    <s v="(Gandrīz) nekad"/>
    <s v="(Gandrīz) nekad"/>
    <s v="(Gandrīz) nekad"/>
    <s v="(Gandrīz) nekad"/>
    <s v="(Gandrīz) nekad"/>
    <s v="(Gandrīz) nekad"/>
    <s v="Reti"/>
    <s v="(Gandrīz) nekad"/>
    <s v="Dažreiz"/>
    <s v="Dažreiz"/>
    <s v="es uzskatu ka nepareizās valodas nav.visiem jābūt iespēja izsteikties un paust savas domas tajā valodā ,kura ir piemērota.es izmantoju gan latviešu ,gan krievu valodu ģimeņē,skolā,ar paziņām.bet svarīgi manuprāt ir tas ka latgali uzskata par krievijas pusi ..piemērs no dzīves mūs uzaicināja uz kāzām radi no valmieras puses ,es sarunājotie ar brāli izmantoju krievu valodu,bet viens vīrietis(kāds no tāliem radfiem) jautā kad es došos uz latviju,vai tiešām tas ir normāli? pat ja daugavpils ir dadz krievvalodīgo ,tas nav iemesls diskriminēt par to visi zin latviešu valodu ,bet vrbt ne tādā līmenī kā gribētos vidzemes kurzemes un lzemgales iedxzīvotājiem"/>
    <s v="nē"/>
    <s v="N/A"/>
    <s v="N/A"/>
    <s v="N/A"/>
    <s v="N/A"/>
    <s v="N/A"/>
    <s v="N/A"/>
    <s v="N/A"/>
    <s v="Jā"/>
    <s v="Jā"/>
    <s v="Nē"/>
    <s v="Nē"/>
    <s v="Nē"/>
    <s v="(gandrīz) katru dienu"/>
    <s v="pāris reižu nedēļā"/>
    <s v="pāris reižu nedēļā"/>
    <s v="reizi nedēļā"/>
    <s v="reizi nedēļā"/>
    <s v="reizi nedēļā"/>
    <s v="pāris reižu nedēļā"/>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vienlīdz pieejama izglītība, veselības aprūpe, sociālais nodrošinājums"/>
    <m/>
    <m/>
    <s v="citreiz labi, citreiz slikti"/>
    <s v="citreiz labi, citreiz slikti"/>
    <s v="citreiz labi, citreiz slikti"/>
    <s v="citreiz labi, citreiz slikti"/>
    <s v="citreiz labi, citreiz slikti"/>
    <s v="pamatizglītību"/>
    <m/>
    <s v="N/A"/>
    <s v="N/A"/>
    <s v="N/A"/>
    <s v="Jā"/>
    <s v="latviešu"/>
    <m/>
    <s v="latviešu"/>
    <m/>
    <m/>
    <m/>
    <m/>
    <m/>
    <m/>
    <m/>
    <m/>
    <m/>
    <m/>
    <m/>
    <m/>
    <m/>
    <m/>
    <m/>
    <m/>
    <m/>
    <m/>
    <m/>
    <m/>
    <m/>
    <m/>
    <s v="N/A"/>
    <s v="N/A"/>
    <s v="N/A"/>
    <s v="N/A"/>
    <s v="N/A"/>
    <s v="N/A"/>
    <m/>
    <m/>
    <m/>
    <m/>
    <m/>
    <s v="Nē"/>
    <s v="Nē"/>
    <s v="Jā"/>
    <s v="Nē"/>
    <s v="Nē"/>
    <s v="Nē"/>
    <s v="Nē"/>
    <s v="Nē"/>
    <s v="Nē"/>
    <s v="Nē"/>
    <s v="Jā"/>
    <s v="Nē"/>
    <s v="Nē"/>
    <s v="Nē"/>
    <s v="Nē"/>
    <m/>
    <s v="Nē"/>
    <m/>
    <s v="Nē"/>
    <m/>
    <s v="Nē"/>
    <m/>
    <s v="Nē"/>
    <m/>
    <s v="Nē"/>
    <s v="Nē"/>
    <s v="Nē"/>
    <s v="Jā"/>
    <s v="Nē"/>
    <s v="Nē"/>
    <s v="Nē"/>
    <s v="Nē"/>
    <s v="Nē"/>
    <s v="Nē"/>
    <s v="Nē"/>
    <s v="Jā"/>
    <s v="Jā"/>
    <s v="Nē"/>
    <s v="Nē"/>
    <m/>
    <s v="Nē"/>
    <m/>
    <s v="Nē"/>
    <m/>
    <s v="Nē"/>
    <m/>
    <s v="Nē"/>
    <m/>
    <s v="Jā"/>
    <s v="Jā"/>
    <s v="Nē"/>
    <s v="Nē"/>
    <s v="Jā"/>
    <s v="Jā"/>
    <s v="Nē"/>
    <s v="Jā"/>
    <s v="Nē"/>
    <s v="Nē"/>
    <s v="Nē"/>
    <s v="Nē"/>
    <m/>
    <m/>
    <m/>
    <m/>
    <m/>
    <m/>
    <m/>
    <m/>
    <m/>
    <m/>
    <m/>
    <m/>
    <m/>
  </r>
  <r>
    <x v="2"/>
    <n v="287"/>
    <s v="2023-05-24 14:03:18"/>
    <n v="14"/>
    <s v="ru"/>
    <n v="356910052"/>
    <s v="2023-05-24 13:44:14"/>
    <s v="2023-05-24 14:03:18"/>
    <s v="nauda"/>
    <n v="18"/>
    <s v="sieviešu"/>
    <m/>
    <x v="0"/>
    <x v="0"/>
    <x v="0"/>
    <x v="0"/>
    <x v="0"/>
    <x v="0"/>
    <s v="Latgalē"/>
    <m/>
    <s v="katoli(ieti)"/>
    <m/>
    <s v="Jā"/>
    <s v="Nē"/>
    <s v="Nē"/>
    <s v="Nē"/>
    <s v="Jā"/>
    <s v="Nē"/>
    <s v="Nē"/>
    <s v="Nē"/>
    <s v="Jā"/>
    <s v="Nē"/>
    <s v="Nē"/>
    <s v="Jā"/>
    <s v="Jā"/>
    <s v="Nē"/>
    <s v="Nē"/>
    <s v="Jā"/>
    <s v="Jā"/>
    <s v="Jā"/>
    <s v="Nē"/>
    <s v="Nē"/>
    <s v="Nē"/>
    <s v="Nē"/>
    <s v="Nē"/>
    <s v="Nē"/>
    <s v="Nē"/>
    <s v="Jā"/>
    <s v="Jā"/>
    <s v="Nē"/>
    <s v="a un b"/>
    <s v="a un b"/>
    <s v="a un b"/>
    <s v="a un b"/>
    <s v="a un b"/>
    <s v="a un b"/>
    <s v="Vienlīdzīgi"/>
    <s v="Vienlīdzīgi"/>
    <s v="Vienlīdzīgi"/>
    <s v="Vienlīdzīgi"/>
    <s v="Vienlīdzīgi"/>
    <s v="nezinu"/>
    <s v="nezinu"/>
    <s v="nezinu"/>
    <s v="nezinu"/>
    <s v="nezinu"/>
    <s v="nezinu"/>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Viduvēji"/>
    <s v="Ne sevišķi"/>
    <s v="Viduvēji"/>
    <s v="Viduvēji"/>
    <m/>
    <s v="Nē"/>
    <s v="Nē"/>
    <s v="Nē"/>
    <s v="Nē"/>
    <s v="Jā"/>
    <s v="Nē"/>
    <s v="2.."/>
    <n v="81"/>
    <n v="6"/>
    <n v="86"/>
    <n v="6"/>
    <s v="Drīzāk saspīlētas"/>
    <s v="Drīzāk saspīlētas"/>
    <s v="Nav saspīlētas"/>
    <s v="(Gandrīz) nekad"/>
    <s v="(Gandrīz) nekad"/>
    <s v="(Gandrīz) nekad"/>
    <s v="(Gandrīz) nekad"/>
    <s v="(Gandrīz) nekad"/>
    <s v="(Gandrīz) nekad"/>
    <s v="(Gandrīz) nekad"/>
    <s v="(Gandrīz) nekad"/>
    <s v="(Gandrīz) nekad"/>
    <s v="(Gandrīz) nekad"/>
    <m/>
    <s v="nē"/>
    <s v="N/A"/>
    <s v="N/A"/>
    <s v="N/A"/>
    <s v="N/A"/>
    <s v="Jā"/>
    <s v="Nē"/>
    <s v="Jā"/>
    <s v="Nē"/>
    <s v="N/A"/>
    <s v="N/A"/>
    <s v="N/A"/>
    <s v="Jā"/>
    <s v="(gandrīz) nekad"/>
    <s v="(gandrīz) nekad"/>
    <s v="(gandrīz) katru dienu"/>
    <s v="(gandrīz) nekad"/>
    <s v="(gandrīz) nekad"/>
    <s v="(gandrīz) nekad"/>
    <s v="pāris reižu mēnesī"/>
    <s v="(gandrīz) katru dienu"/>
    <s v="(gandrīz) katru dienu"/>
    <s v="(gandrīz) katru dienu"/>
    <s v="(gandrīz) katru dienu"/>
    <s v="(gandrīz) katru dienu"/>
    <s v="(gandrīz) katru dienu"/>
    <s v="(gandrīz) katru dienu"/>
    <s v="vienlīdzīgas tiesības minoritātēm un ievainojamām sabiedrības grupām"/>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citreiz labi, citreiz slikti"/>
    <s v="citreiz labi, citreiz slikti"/>
    <s v="citreiz labi, citreiz slikti"/>
    <s v="pamatizglītību"/>
    <m/>
    <s v="N/A"/>
    <s v="N/A"/>
    <s v="N/A"/>
    <s v="Jā"/>
    <s v="krievu"/>
    <m/>
    <s v="krievu"/>
    <m/>
    <s v="Spēju pastāstīt par savu hobiju / darbu."/>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88"/>
    <s v="2023-05-24 14:10:15"/>
    <n v="14"/>
    <s v="lv"/>
    <n v="2039757327"/>
    <s v="2023-05-24 13:44:15"/>
    <s v="2023-05-24 14:10:15"/>
    <s v="nauda"/>
    <n v="17"/>
    <s v="sieviešu"/>
    <m/>
    <x v="1"/>
    <x v="0"/>
    <x v="0"/>
    <x v="0"/>
    <x v="0"/>
    <x v="0"/>
    <s v="Latgalē"/>
    <m/>
    <s v="katoli(ieti)"/>
    <m/>
    <s v="Nē"/>
    <s v="Nē"/>
    <s v="Nē"/>
    <s v="Jā"/>
    <s v="Nē"/>
    <s v="Jā"/>
    <s v="Nē"/>
    <s v="Nē"/>
    <s v="Nē"/>
    <s v="Nē"/>
    <s v="Nē"/>
    <s v="Jā"/>
    <s v="Jā"/>
    <s v="Nē"/>
    <s v="Nē"/>
    <s v="Nē"/>
    <s v="Jā"/>
    <s v="Nē"/>
    <s v="Nē"/>
    <s v="Nē"/>
    <s v="Nē"/>
    <s v="Nē"/>
    <s v="Nē"/>
    <s v="Nē"/>
    <s v="Jā"/>
    <s v="Jā"/>
    <s v="Nē"/>
    <s v="Nē"/>
    <s v="tikai a"/>
    <s v="tikai b"/>
    <s v="a un b"/>
    <s v="tikai b"/>
    <s v="tikai b"/>
    <s v="a un b"/>
    <s v="Lielākoties nevienlīdzīgi"/>
    <s v="Lielākoties nevienlīdzīgi"/>
    <s v="Vienlīdzīgi"/>
    <s v="Lielākoties vienlīdzīgi"/>
    <s v="Lielākoties nevienlīdzīgi"/>
    <s v="&quot;Latvija pirmajā vietā&quot;"/>
    <s v="Jaunā Vienotība"/>
    <s v="Zaļo un Zemnieku savienība"/>
    <s v="&quot;Latvija pirmajā vietā&quot;"/>
    <s v="&quot;Progresīvie&quot;"/>
    <s v="Nacionālā Apvienība"/>
    <s v="&quot;Apvienotais saraksts&quot;"/>
    <s v="Cīņai ar klimata pārmaiņām būtu jābūt vairumam pasaules valstu galvenajai prioritātei."/>
    <s v="jā, daļu no tā, ko iespējams šķirot"/>
    <s v="Nacionālā Apvienība"/>
    <s v="&quot;Apvienotais saraksts&quot;"/>
    <s v="&quot;Progresīvie&quot;"/>
    <s v="nezinu"/>
    <s v="Politiskā partija &quot;Stabilitātei&quot;"/>
    <s v="Zaļo un Zemnieku savienība"/>
    <s v="&quot;Latvija pirmajā vietā&quot;"/>
    <s v="Jaunā Vienotība"/>
    <s v="Nacionālā Apvienība"/>
    <s v="&quot;Latvija pirmajā vietā&quot;"/>
    <s v="&quot;Progresīvie&quot;"/>
    <s v="Politiskā partija &quot;Stabilitātei&quot;"/>
    <s v="Zaļo un Zemnieku savienība"/>
    <s v="&quot;Apvienotais saraksts&quot;"/>
    <s v="Neinteresē"/>
    <s v="Ļoti"/>
    <s v="Viduvēji"/>
    <s v="Ārkārtīgi"/>
    <s v="nezinu"/>
    <s v="Nē"/>
    <s v="Jā"/>
    <s v="Nē"/>
    <s v="Nē"/>
    <s v="Jā"/>
    <s v="Nē"/>
    <s v="1.."/>
    <n v="80"/>
    <n v="20"/>
    <n v="80"/>
    <n v="1"/>
    <s v="Ļoti saspīlētas"/>
    <s v="Nav saspīlētas"/>
    <s v="Nav saspīlētas"/>
    <s v="(Gandrīz) nekad"/>
    <s v="(Gandrīz) nekad"/>
    <s v="(Gandrīz) nekad"/>
    <s v="(Gandrīz) nekad"/>
    <s v="(Gandrīz) nekad"/>
    <s v="Reti"/>
    <s v="Dažreiz"/>
    <s v="(Gandrīz) nekad"/>
    <s v="(Gandrīz) nekad"/>
    <s v="Dažreiz"/>
    <s v="Es vienkārši runāju ar saviem ģimenes locekļiem krieviski pirms kādas grupas koncerta."/>
    <s v="nē"/>
    <s v="N/A"/>
    <s v="N/A"/>
    <s v="N/A"/>
    <s v="N/A"/>
    <s v="Nē"/>
    <s v="Nē"/>
    <s v="Jā"/>
    <s v="Nē"/>
    <s v="Jā"/>
    <s v="Nē"/>
    <s v="Jā"/>
    <s v="Nē"/>
    <s v="pāris reižu mēnesī"/>
    <s v="(gandrīz) katru dienu"/>
    <s v="(gandrīz) nekad"/>
    <s v="pāris reižu mēnesī"/>
    <s v="(gandrīz) nekad"/>
    <s v="pāris reižu nedēļā"/>
    <s v="reizi nedēļā"/>
    <s v="(gandrīz) katru dienu"/>
    <s v="(gandrīz) katru dienu"/>
    <s v="(gandrīz) nekad"/>
    <s v="(gandrīz) katru dienu"/>
    <s v="(gandrīz) nekad"/>
    <s v="(gandrīz) katru dienu"/>
    <s v="(gandrīz) katru dienu"/>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citreiz labi, citreiz slikti"/>
    <s v="labi"/>
    <s v="citreiz labi, citreiz slikti"/>
    <s v="slikti"/>
    <s v="slikti"/>
    <s v="Cita atbilde"/>
    <s v="pamatskola"/>
    <s v="N/A"/>
    <s v="N/A"/>
    <s v="N/A"/>
    <s v="Jā"/>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Nē"/>
    <s v="Nē"/>
    <s v="Nē"/>
    <m/>
    <s v="Nē"/>
    <m/>
    <s v="Nē"/>
    <m/>
    <s v="Nē"/>
    <m/>
    <s v="Nē"/>
    <m/>
    <s v="Jā"/>
    <s v="Jā"/>
    <s v="Nē"/>
    <s v="Nē"/>
    <s v="Jā"/>
    <s v="Nē"/>
    <s v="Nē"/>
    <s v="Jā"/>
    <s v="Nē"/>
    <s v="Nē"/>
    <s v="Jā"/>
    <s v="Nē"/>
    <m/>
    <m/>
    <m/>
    <m/>
    <m/>
    <m/>
    <m/>
    <m/>
    <m/>
    <m/>
    <m/>
    <m/>
    <m/>
  </r>
  <r>
    <x v="2"/>
    <n v="289"/>
    <s v="2023-05-24 13:57:59"/>
    <n v="14"/>
    <s v="lv"/>
    <n v="1071304060"/>
    <s v="2023-05-24 13:44:18"/>
    <s v="2023-05-24 13:57:59"/>
    <s v="nauda"/>
    <n v="18"/>
    <s v="vīriešu"/>
    <m/>
    <x v="1"/>
    <x v="0"/>
    <x v="0"/>
    <x v="0"/>
    <x v="0"/>
    <x v="0"/>
    <s v="Latgalē"/>
    <m/>
    <s v="ateistu(ti), nereliģiozu"/>
    <m/>
    <s v="Nē"/>
    <s v="Jā"/>
    <s v="Nē"/>
    <s v="Nē"/>
    <s v="Nē"/>
    <s v="Nē"/>
    <s v="Nē"/>
    <s v="Nē"/>
    <s v="Jā"/>
    <s v="Nē"/>
    <s v="Nē"/>
    <s v="Nē"/>
    <s v="Nē"/>
    <s v="Nē"/>
    <s v="Jā"/>
    <s v="Nē"/>
    <s v="Nē"/>
    <s v="Nē"/>
    <s v="Nē"/>
    <s v="Nē"/>
    <s v="Nē"/>
    <s v="Nē"/>
    <s v="Nē"/>
    <s v="Jā"/>
    <s v="Jā"/>
    <s v="Nē"/>
    <s v="Nē"/>
    <s v="Nē"/>
    <s v="tikai a"/>
    <s v="a un b"/>
    <s v="tikai b"/>
    <s v="ne a, ne b"/>
    <s v="ne a, ne b"/>
    <s v="tikai b"/>
    <s v="Vienlīdzīgi"/>
    <s v="Lielākoties vienlīdzīgi"/>
    <s v="Vienlīdzīgi"/>
    <s v="Vienlīdzīgi"/>
    <s v="Lielākoties vienlīdzīgi"/>
    <s v="nezinu"/>
    <s v="nezinu"/>
    <s v="nezinu"/>
    <s v="&quot;Latvija pirmajā vietā&quot;"/>
    <s v="nezinu"/>
    <s v="nezinu"/>
    <s v="nezinu"/>
    <s v="Cīņai ar klimata pārmaiņām būtu jābūt vairumam pasaules valstu galvenajai prioritātei."/>
    <s v="jā, lielāko daļu no tā, ko iespējams šķirot"/>
    <s v="&quot;Progresīvie&quot;"/>
    <s v="Jaunā Vienotība"/>
    <s v="Nacionālā Apvienība"/>
    <s v="&quot;Apvienotais saraksts&quot;"/>
    <s v="Zaļo un Zemnieku savienība"/>
    <s v="Politiskā partija &quot;Stabilitātei&quot;"/>
    <s v="&quot;Latvija pirmajā vietā&quot;"/>
    <s v="Jaunā Vienotība"/>
    <s v="&quot;Latvija pirmajā vietā&quot;"/>
    <s v="Zaļo un Zemnieku savienība"/>
    <s v="Nacionālā Apvienība"/>
    <s v="nezinu"/>
    <s v="Jaunā Vienotība"/>
    <s v="nezinu"/>
    <s v="Viduvēji"/>
    <s v="Ne sevišķi"/>
    <s v="Viduvēji"/>
    <s v="Ne sevišķi"/>
    <s v="nezinu"/>
    <s v="Nē"/>
    <s v="Nē"/>
    <s v="Nē"/>
    <s v="Nē"/>
    <s v="Jā"/>
    <s v="Nē"/>
    <s v="1.."/>
    <n v="1"/>
    <n v="76"/>
    <n v="76"/>
    <n v="36"/>
    <s v="Ļoti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Jā"/>
    <s v="Nē"/>
    <s v="N/A"/>
    <s v="N/A"/>
    <s v="N/A"/>
    <s v="Jā"/>
    <s v="(gandrīz) nekad"/>
    <s v="(gandrīz) katru dienu"/>
    <s v="(gandrīz) katru dienu"/>
    <s v="(gandrīz) nekad"/>
    <s v="(gandrīz) nekad"/>
    <s v="pāris reižu mēnesī"/>
    <s v="pāris reižu mēnesī"/>
    <s v="(gandrīz) katru dienu"/>
    <s v="(gandrīz) katru dienu"/>
    <s v="(gandrīz) katru dienu"/>
    <s v="(gandrīz) katru dienu"/>
    <s v="(gandrīz) katru dienu"/>
    <s v="(gandrīz) katru dienu"/>
    <s v="(gandrīz) katru dienu"/>
    <s v="brīvas vēlēšanas un plurālisms"/>
    <s v="varas līdzsvars starp parlamentu, prezidentu un tiesām, lai neviena no institūcijām nespētu sevī koncentrēt lielāko daļu varas"/>
    <s v="vienlīdzīgas tiesības minoritātēm un ievainojamām sabiedrības grupām"/>
    <m/>
    <m/>
    <s v="citreiz labi, citreiz slikti"/>
    <s v="citreiz labi, citreiz slikti"/>
    <s v="labi"/>
    <s v="slikti"/>
    <s v="slikti"/>
    <s v="pamatizglītību"/>
    <m/>
    <s v="N/A"/>
    <s v="N/A"/>
    <s v="N/A"/>
    <s v="Jā"/>
    <s v="latvieš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Jā"/>
    <s v="Jā"/>
    <s v="Nē"/>
    <s v="Nē"/>
    <m/>
    <s v="Nē"/>
    <m/>
    <s v="Nē"/>
    <m/>
    <s v="Nē"/>
    <m/>
    <s v="Nē"/>
    <m/>
    <s v="Jā"/>
    <s v="Nē"/>
    <s v="Nē"/>
    <s v="Nē"/>
    <s v="Jā"/>
    <s v="Jā"/>
    <s v="Nē"/>
    <s v="Jā"/>
    <s v="Nē"/>
    <s v="Nē"/>
    <s v="Nē"/>
    <s v="Nē"/>
    <m/>
    <m/>
    <m/>
    <m/>
    <m/>
    <m/>
    <m/>
    <m/>
    <m/>
    <m/>
    <m/>
    <m/>
    <m/>
  </r>
  <r>
    <x v="2"/>
    <n v="290"/>
    <s v="2023-05-24 14:03:42"/>
    <n v="14"/>
    <s v="lv"/>
    <n v="1513887235"/>
    <s v="2023-05-24 13:44:18"/>
    <s v="2023-05-24 14:03:42"/>
    <s v="nauda"/>
    <n v="17"/>
    <s v="sieviešu"/>
    <m/>
    <x v="1"/>
    <x v="0"/>
    <x v="0"/>
    <x v="0"/>
    <x v="0"/>
    <x v="0"/>
    <s v="Latgalē"/>
    <m/>
    <s v="ateistu(ti), nereliģiozu"/>
    <m/>
    <s v="N/A"/>
    <s v="N/A"/>
    <s v="N/A"/>
    <s v="N/A"/>
    <s v="N/A"/>
    <s v="N/A"/>
    <s v="Jā"/>
    <s v="N/A"/>
    <s v="N/A"/>
    <s v="N/A"/>
    <s v="N/A"/>
    <s v="N/A"/>
    <s v="N/A"/>
    <s v="Jā"/>
    <s v="N/A"/>
    <s v="N/A"/>
    <s v="N/A"/>
    <s v="N/A"/>
    <s v="N/A"/>
    <s v="N/A"/>
    <s v="Jā"/>
    <s v="N/A"/>
    <s v="N/A"/>
    <s v="N/A"/>
    <s v="N/A"/>
    <s v="N/A"/>
    <s v="N/A"/>
    <s v="Jā"/>
    <s v="nezinu"/>
    <s v="nezinu"/>
    <s v="nezinu"/>
    <s v="nezinu"/>
    <s v="nezinu"/>
    <s v="nezinu"/>
    <s v="Vienlīdzīgi"/>
    <s v="Lielākoties vienlīdzīgi"/>
    <s v="Vienlīdzīgi"/>
    <s v="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Neinteresē"/>
    <s v="Neinteresē"/>
    <s v="Viduvēji"/>
    <s v="nezinu"/>
    <s v="Nē"/>
    <s v="Nē"/>
    <s v="Nē"/>
    <s v="Nē"/>
    <s v="Jā"/>
    <s v="Nē"/>
    <s v="1....."/>
    <n v="1"/>
    <n v="10"/>
    <n v="77"/>
    <n v="78"/>
    <s v="Drīzāk saspīlētas"/>
    <s v="Nav saspīlētas"/>
    <s v="Nav saspīlētas"/>
    <s v="(Gandrīz) nekad"/>
    <s v="(Gandrīz) nekad"/>
    <s v="(Gandrīz) nekad"/>
    <s v="(Gandrīz) nekad"/>
    <s v="(Gandrīz) nekad"/>
    <s v="Reti"/>
    <s v="Dažreiz"/>
    <s v="Reti"/>
    <s v="(Gandrīz) nekad"/>
    <s v="(Gandrīz) nekad"/>
    <s v="izmantoju krievu valodu rīgas veikalā, ar mani sāka runāt latviski vai vispār neatbildēja"/>
    <s v="nē"/>
    <s v="N/A"/>
    <s v="N/A"/>
    <s v="N/A"/>
    <s v="N/A"/>
    <s v="N/A"/>
    <s v="N/A"/>
    <s v="N/A"/>
    <s v="Jā"/>
    <s v="Jā"/>
    <s v="Nē"/>
    <s v="Jā"/>
    <s v="Nē"/>
    <s v="pāris reižu mēnesī"/>
    <s v="pāris reižu mēnesī"/>
    <s v="(gandrīz) nekad"/>
    <s v="(gandrīz) nekad"/>
    <s v="(gandrīz) nekad"/>
    <s v="pāris reižu mēnesī"/>
    <s v="(gandrīz) nekad"/>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nezinu"/>
    <s v="nezinu"/>
    <s v="nezinu"/>
    <s v="nezinu"/>
    <s v="nezinu"/>
    <s v="Cita atbilde"/>
    <s v="pamatizglītība"/>
    <s v="N/A"/>
    <s v="N/A"/>
    <s v="N/A"/>
    <s v="Jā"/>
    <s v="krievu"/>
    <m/>
    <s v="vienlīdz latviešu un krievu"/>
    <m/>
    <m/>
    <m/>
    <m/>
    <m/>
    <m/>
    <m/>
    <m/>
    <m/>
    <m/>
    <m/>
    <m/>
    <m/>
    <m/>
    <m/>
    <m/>
    <m/>
    <m/>
    <m/>
    <m/>
    <m/>
    <m/>
    <s v="N/A"/>
    <s v="N/A"/>
    <s v="N/A"/>
    <s v="N/A"/>
    <s v="N/A"/>
    <s v="N/A"/>
    <m/>
    <m/>
    <m/>
    <m/>
    <m/>
    <s v="Nē"/>
    <s v="Nē"/>
    <s v="Nē"/>
    <s v="Nē"/>
    <s v="Nē"/>
    <s v="Nē"/>
    <s v="Nē"/>
    <s v="Nē"/>
    <s v="Nē"/>
    <s v="Nē"/>
    <s v="Nē"/>
    <s v="Nē"/>
    <s v="Nē"/>
    <s v="Nē"/>
    <s v="Jā"/>
    <m/>
    <s v="Nē"/>
    <m/>
    <s v="Nē"/>
    <m/>
    <s v="Nē"/>
    <m/>
    <s v="Nē"/>
    <m/>
    <s v="Jā"/>
    <s v="Jā"/>
    <s v="Nē"/>
    <s v="Nē"/>
    <s v="Nē"/>
    <s v="Nē"/>
    <s v="Nē"/>
    <s v="Nē"/>
    <s v="Nē"/>
    <s v="Nē"/>
    <s v="Nē"/>
    <s v="Nē"/>
    <s v="Jā"/>
    <s v="Nē"/>
    <s v="Nē"/>
    <m/>
    <s v="Nē"/>
    <m/>
    <s v="Nē"/>
    <m/>
    <s v="Nē"/>
    <m/>
    <s v="Nē"/>
    <m/>
    <s v="Jā"/>
    <s v="Jā"/>
    <s v="Nē"/>
    <s v="Nē"/>
    <s v="Jā"/>
    <s v="Jā"/>
    <s v="Nē"/>
    <s v="Jā"/>
    <s v="Nē"/>
    <s v="Nē"/>
    <s v="Jā"/>
    <s v="Nē"/>
    <m/>
    <m/>
    <m/>
    <m/>
    <m/>
    <m/>
    <m/>
    <m/>
    <m/>
    <m/>
    <m/>
    <m/>
    <m/>
  </r>
  <r>
    <x v="2"/>
    <n v="291"/>
    <s v="2023-05-24 14:06:10"/>
    <n v="14"/>
    <s v="lv"/>
    <n v="738359089"/>
    <s v="2023-05-24 13:44:19"/>
    <s v="2023-05-24 14:06:10"/>
    <s v="nauda"/>
    <n v="17"/>
    <s v="vīriešu"/>
    <m/>
    <x v="0"/>
    <x v="0"/>
    <x v="0"/>
    <x v="0"/>
    <x v="0"/>
    <x v="0"/>
    <s v="Latgalē"/>
    <m/>
    <s v="pareizticīgo"/>
    <m/>
    <s v="Jā"/>
    <s v="Nē"/>
    <s v="Nē"/>
    <s v="Nē"/>
    <s v="Nē"/>
    <s v="Nē"/>
    <s v="Nē"/>
    <s v="Nē"/>
    <s v="Jā"/>
    <s v="Nē"/>
    <s v="Nē"/>
    <s v="Nē"/>
    <s v="Nē"/>
    <s v="Nē"/>
    <s v="N/A"/>
    <s v="N/A"/>
    <s v="N/A"/>
    <s v="N/A"/>
    <s v="N/A"/>
    <s v="N/A"/>
    <s v="Jā"/>
    <s v="Nē"/>
    <s v="Nē"/>
    <s v="Jā"/>
    <s v="Nē"/>
    <s v="Nē"/>
    <s v="Nē"/>
    <s v="Nē"/>
    <s v="tikai a"/>
    <s v="tikai b"/>
    <s v="ne a, ne b"/>
    <s v="a un b"/>
    <s v="nezinu"/>
    <s v="tikai b"/>
    <s v="Vienlīdzīgi"/>
    <s v="Vienlīdzīgi"/>
    <s v="Vienlīdzīgi"/>
    <s v="Vienlīdzīgi"/>
    <s v="Vienlīdzīgi"/>
    <s v="nezinu"/>
    <s v="nezinu"/>
    <s v="nezinu"/>
    <s v="nezinu"/>
    <s v="nezinu"/>
    <s v="nezinu"/>
    <s v="nezinu"/>
    <s v="Globālā sasilšana ir šķērsojusi robežu, pēc kuras nav iespējams atgriezties, un cilvēkiem būs jāpielāgojas."/>
    <s v="jā, visu, ko iespējams šķirot"/>
    <s v="Jaunā Vienotība"/>
    <s v="Nacionālā Apvienība"/>
    <s v="Jaunā Vienotība"/>
    <s v="&quot;Progresīvie&quot;"/>
    <s v="&quot;Apvienotais saraksts&quot;"/>
    <s v="Zaļo un Zemnieku savienība"/>
    <s v="&quot;Progresīvie&quot;"/>
    <s v="&quot;Progresīvie&quot;"/>
    <s v="Zaļo un Zemnieku savienība"/>
    <s v="Jaunā Vienotība"/>
    <s v="&quot;Apvienotais saraksts&quot;"/>
    <s v="Politiskā partija &quot;Stabilitātei&quot;"/>
    <s v="Nacionālā Apvienība"/>
    <s v="&quot;Latvija pirmajā vietā&quot;"/>
    <s v="Viduvēji"/>
    <s v="Ne sevišķi"/>
    <s v="Viduvēji"/>
    <s v="Ne sevišķi"/>
    <s v="nezinu"/>
    <s v="Nē"/>
    <s v="Nē"/>
    <s v="Nē"/>
    <s v="Nē"/>
    <s v="Jā"/>
    <s v="Nē"/>
    <s v="2.."/>
    <n v="8"/>
    <n v="48"/>
    <n v="48"/>
    <n v="48"/>
    <s v="Es nezinu"/>
    <s v="Es nezinu"/>
    <s v="Es nezinu"/>
    <s v="(Gandrīz) nekad"/>
    <s v="(Gandrīz) nekad"/>
    <s v="(Gandrīz) nekad"/>
    <s v="(Gandrīz) nekad"/>
    <s v="(Gandrīz) nekad"/>
    <s v="(Gandrīz) nekad"/>
    <s v="(Gandrīz) nekad"/>
    <s v="(Gandrīz) nekad"/>
    <s v="(Gandrīz) nekad"/>
    <s v="(Gandrīz) nekad"/>
    <m/>
    <s v="nē"/>
    <s v="N/A"/>
    <s v="N/A"/>
    <s v="N/A"/>
    <s v="N/A"/>
    <s v="Jā"/>
    <s v="Jā"/>
    <s v="Jā"/>
    <s v="Nē"/>
    <s v="N/A"/>
    <s v="N/A"/>
    <s v="N/A"/>
    <s v="Jā"/>
    <s v="(gandrīz) nekad"/>
    <s v="(gandrīz) katru dienu"/>
    <s v="(gandrīz) katru dienu"/>
    <s v="(gandrīz) nekad"/>
    <s v="(gandrīz) nekad"/>
    <s v="(gandrīz) nekad"/>
    <s v="pāris reižu nedēļā"/>
    <s v="(gandrīz) katru dienu"/>
    <s v="(gandrīz) katru dienu"/>
    <s v="(gandrīz) katru dienu"/>
    <s v="(gandrīz) katru dienu"/>
    <s v="(gandrīz) katru dienu"/>
    <s v="(gandrīz) katru dienu"/>
    <s v="pāris reižu mēnesī"/>
    <s v="brīvas vēlēšanas un plurālisms"/>
    <s v="vienlīdz pieejama izglītība, veselības aprūpe, sociālais nodrošinājums"/>
    <s v="varas līdzsvars starp parlamentu, prezidentu un tiesām, lai neviena no institūcijām nespētu sevī koncentrēt lielāko daļu varas"/>
    <m/>
    <m/>
    <s v="nezinu"/>
    <s v="nezinu"/>
    <s v="nezinu"/>
    <s v="nezinu"/>
    <s v="nezinu"/>
    <s v="pamatizglītību"/>
    <m/>
    <s v="N/A"/>
    <s v="N/A"/>
    <s v="N/A"/>
    <s v="Jā"/>
    <s v="latviešu"/>
    <m/>
    <s v="latviešu"/>
    <m/>
    <s v="Spēju veikt pasūtījumu restorānā."/>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292"/>
    <m/>
    <n v="12"/>
    <s v="lv"/>
    <n v="1072863603"/>
    <s v="2023-05-24 13:44:20"/>
    <s v="2023-05-24 14:15:29"/>
    <s v="nauda"/>
    <n v="17"/>
    <s v="vīriešu"/>
    <m/>
    <x v="0"/>
    <x v="0"/>
    <x v="0"/>
    <x v="0"/>
    <x v="0"/>
    <x v="0"/>
    <s v="Latgalē"/>
    <m/>
    <s v="vecticībnieku(ci)"/>
    <m/>
    <s v="Jā"/>
    <s v="Jā"/>
    <s v="Nē"/>
    <s v="Nē"/>
    <s v="Nē"/>
    <s v="Nē"/>
    <s v="Nē"/>
    <s v="Nē"/>
    <s v="Jā"/>
    <s v="Nē"/>
    <s v="Nē"/>
    <s v="Nē"/>
    <s v="Nē"/>
    <s v="Nē"/>
    <s v="Nē"/>
    <s v="Jā"/>
    <s v="Jā"/>
    <s v="Nē"/>
    <s v="Nē"/>
    <s v="Nē"/>
    <s v="Nē"/>
    <s v="Jā"/>
    <s v="Jā"/>
    <s v="Nē"/>
    <s v="Nē"/>
    <s v="Nē"/>
    <s v="Nē"/>
    <s v="Nē"/>
    <s v="tikai a"/>
    <s v="tikai b"/>
    <s v="tikai a"/>
    <s v="ne a, ne b"/>
    <s v="nezinu"/>
    <s v="ne a, ne b"/>
    <s v="Lielākoties nevienlīdzīgi"/>
    <s v="Nevienlīdzīgi"/>
    <s v="Lielākoties nevienlīdzīgi"/>
    <s v="Lielākoties vienlīdzīgi"/>
    <s v="Lielākoties nevienlīdzīgi"/>
    <s v="Politiskā partija &quot;Stabilitātei&quot;"/>
    <s v="&quot;Progresīvie&quot;"/>
    <s v="&quot;Latvija pirmajā vietā&quot;"/>
    <s v="&quot;Apvienotais saraksts&quot;"/>
    <s v="Zaļo un Zemnieku savienība"/>
    <s v="Nacionālā Apvienība"/>
    <s v="Jaunā Vienotība"/>
    <s v="Cīņai ar klimata pārmaiņām būtu jābūt vairumam pasaules valstu galvenajai prioritātei."/>
    <s v="jā, daļu no tā, ko iespējams šķirot"/>
    <s v="Politiskā partija &quot;Stabilitātei&quot;"/>
    <s v="Nacionālā Apvienība"/>
    <s v="&quot;Apvienotais saraksts&quot;"/>
    <s v="&quot;Progresīvie&quot;"/>
    <s v="&quot;Latvija pirmajā vietā&quot;"/>
    <s v="Jaunā Vienotība"/>
    <s v="Zaļo un Zemnieku savienība"/>
    <s v="Politiskā partija &quot;Stabilitātei&quot;"/>
    <s v="&quot;Latvija pirmajā vietā&quot;"/>
    <s v="Zaļo un Zemnieku savienība"/>
    <s v="&quot;Apvienotais saraksts&quot;"/>
    <s v="Nacionālā Apvienība"/>
    <s v="&quot;Progresīvie&quot;"/>
    <s v="Jaunā Vienotība"/>
    <s v="Ne sevišķi"/>
    <s v="Neinteresē"/>
    <s v="Ļoti"/>
    <s v="Neinteresē"/>
    <s v="Ja tēma ir saistīta ar politiku tad, kad es dzirdu vārdu &quot;populisms&quot;, man ienāk prātā Egils Levits un Krišjānis Kariņš. Jo tie nav politiķi, tie ir muļķi, kurām rokās atrodas mūsu valsts. Viņi nedara neko noderīgu un tikai iznīcinā mūsu valsti, ekonomiku un kultūru. (Daudz runā, bet neko nedara)"/>
    <s v="Nē"/>
    <s v="Nē"/>
    <s v="Nē"/>
    <s v="Nē"/>
    <s v="Jā"/>
    <s v="Nē"/>
    <s v="2....."/>
    <n v="100"/>
    <n v="1"/>
    <n v="100"/>
    <n v="100"/>
    <s v="Nav saspīlētas"/>
    <s v="Mazliet saspīlētas"/>
    <s v="Drīzāk saspīlētas"/>
    <s v="Bieži"/>
    <s v="Dažreiz"/>
    <s v="Reti"/>
    <s v="Reti"/>
    <s v="Dažreiz"/>
    <s v="Dažreiz"/>
    <s v="Dažreiz"/>
    <s v="Reti"/>
    <s v="Reti"/>
    <s v="(Gandrīz) nekad"/>
    <s v="."/>
    <s v="nē"/>
    <s v="N/A"/>
    <s v="N/A"/>
    <s v="N/A"/>
    <s v="N/A"/>
    <s v="Jā"/>
    <s v="Nē"/>
    <s v="Jā"/>
    <s v="Nē"/>
    <s v="Jā"/>
    <s v="Nē"/>
    <s v="Jā"/>
    <s v="Nē"/>
    <s v="(gandrīz) katru dienu"/>
    <s v="pāris reižu nedēļā"/>
    <s v="pāris reižu nedēļā"/>
    <s v="pāris reižu mēnesī"/>
    <s v="reizi nedēļā"/>
    <s v="(gandrīz) nekad"/>
    <s v="pāris reižu mēnesī"/>
    <s v="(gandrīz) nekad"/>
    <s v="(gandrīz) nekad"/>
    <s v="reizi nedēļā"/>
    <s v="pāris reižu nedēļā"/>
    <s v="pāris reižu mēnesī"/>
    <s v="(gandrīz) katru dienu"/>
    <s v="pāris reižu nedēļā"/>
    <s v="brīvas vēlēšanas un plurālisms"/>
    <s v="pilsoniskās brīvības (vārda brīvība, tiesības uz tiesisko aizsardzību)"/>
    <s v="vienlīdzīgas tiesības minoritātēm un ievainojamām sabiedrības grupām"/>
    <m/>
    <m/>
    <s v="nezinu"/>
    <s v="nezinu"/>
    <s v="slikti"/>
    <s v="knapi/gandrīz necik"/>
    <s v="nezinu"/>
    <s v="vidējo izglītību"/>
    <m/>
    <s v="Nē"/>
    <s v="Jā"/>
    <s v="Nē"/>
    <s v="Nē"/>
    <s v="latviešu"/>
    <m/>
    <s v="krievu"/>
    <m/>
    <s v="{if(is_empty(tongueLAT_SQ001.NAOK), 'latviski','krieviski')} nerunāju it nemaz."/>
    <s v="Spēju uzrakstīt garāku sacerējumu/ kursa darbu"/>
    <s v="Viegli saprotu televīzijas pārraides vai Youtube video par saviem hobijiem/darbības sfēru."/>
    <s v="Spēju izlasīt avīzi/īsstāstus."/>
    <m/>
    <m/>
    <m/>
    <m/>
    <m/>
    <m/>
    <m/>
    <m/>
    <m/>
    <m/>
    <m/>
    <m/>
    <m/>
    <m/>
    <m/>
    <m/>
    <m/>
    <s v="N/A"/>
    <s v="N/A"/>
    <s v="N/A"/>
    <s v="N/A"/>
    <s v="N/A"/>
    <s v="N/A"/>
    <m/>
    <m/>
    <m/>
    <m/>
    <m/>
    <s v="N/A"/>
    <s v="N/A"/>
    <s v="N/A"/>
    <s v="N/A"/>
    <s v="N/A"/>
    <s v="N/A"/>
    <s v="N/A"/>
    <s v="N/A"/>
    <s v="N/A"/>
    <s v="N/A"/>
    <s v="N/A"/>
    <s v="N/A"/>
    <s v="N/A"/>
    <s v="N/A"/>
    <s v="N/A"/>
    <m/>
    <s v="N/A"/>
    <m/>
    <s v="N/A"/>
    <m/>
    <s v="N/A"/>
    <m/>
    <s v="N/A"/>
    <m/>
    <s v="N/A"/>
    <s v="N/A"/>
    <s v="N/A"/>
    <s v="N/A"/>
    <s v="N/A"/>
    <s v="N/A"/>
    <s v="N/A"/>
    <s v="N/A"/>
    <s v="N/A"/>
    <s v="N/A"/>
    <s v="N/A"/>
    <s v="N/A"/>
    <s v="N/A"/>
    <s v="N/A"/>
    <s v="N/A"/>
    <m/>
    <s v="N/A"/>
    <m/>
    <s v="N/A"/>
    <m/>
    <s v="N/A"/>
    <m/>
    <s v="N/A"/>
    <m/>
    <s v="N/A"/>
    <s v="N/A"/>
    <s v="N/A"/>
    <s v="N/A"/>
    <s v="N/A"/>
    <s v="N/A"/>
    <s v="N/A"/>
    <s v="N/A"/>
    <s v="N/A"/>
    <s v="N/A"/>
    <s v="N/A"/>
    <s v="N/A"/>
    <m/>
    <m/>
    <m/>
    <m/>
    <m/>
    <m/>
    <m/>
    <m/>
    <m/>
    <m/>
    <m/>
    <m/>
    <m/>
  </r>
  <r>
    <x v="2"/>
    <n v="293"/>
    <s v="2023-05-24 13:56:30"/>
    <n v="14"/>
    <s v="lv"/>
    <n v="58575661"/>
    <s v="2023-05-24 13:44:23"/>
    <s v="2023-05-24 13:56:30"/>
    <s v="nauda"/>
    <n v="17"/>
    <s v="vīriešu"/>
    <m/>
    <x v="1"/>
    <x v="0"/>
    <x v="0"/>
    <x v="0"/>
    <x v="0"/>
    <x v="0"/>
    <s v="Latgalē"/>
    <m/>
    <s v="pareizticīgo"/>
    <m/>
    <s v="Jā"/>
    <s v="Jā"/>
    <s v="Nē"/>
    <s v="Nē"/>
    <s v="Nē"/>
    <s v="Nē"/>
    <s v="Nē"/>
    <s v="Nē"/>
    <s v="Jā"/>
    <s v="Nē"/>
    <s v="Nē"/>
    <s v="Jā"/>
    <s v="Nē"/>
    <s v="Nē"/>
    <s v="N/A"/>
    <s v="N/A"/>
    <s v="N/A"/>
    <s v="N/A"/>
    <s v="N/A"/>
    <s v="N/A"/>
    <s v="Jā"/>
    <s v="Nē"/>
    <s v="Nē"/>
    <s v="Jā"/>
    <s v="Nē"/>
    <s v="Nē"/>
    <s v="Nē"/>
    <s v="Nē"/>
    <s v="tikai b"/>
    <s v="a un b"/>
    <s v="a un b"/>
    <s v="nezinu"/>
    <s v="tikai b"/>
    <s v="tikai a"/>
    <s v="Lielākoties vienlīdzīgi"/>
    <s v="Lielākoties vienlīdzīgi"/>
    <s v="Vienlīdzīgi"/>
    <s v="Vienlīdzīgi"/>
    <s v="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Viduvēji"/>
    <s v="Neinteresē"/>
    <s v="Ļoti"/>
    <s v="Neinteresē"/>
    <s v="es nezinu"/>
    <s v="Nē"/>
    <s v="Nē"/>
    <s v="Jā"/>
    <s v="Jā"/>
    <s v="Jā"/>
    <s v="Nē"/>
    <s v="2....."/>
    <n v="1"/>
    <n v="100"/>
    <n v="50"/>
    <n v="1"/>
    <s v="Nav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Nē"/>
    <s v="Nē"/>
    <s v="Jā"/>
    <s v="Nē"/>
    <s v="Jā"/>
    <s v="Nē"/>
    <s v="pāris reižu mēnesī"/>
    <s v="(gandrīz) katru dienu"/>
    <s v="(gandrīz) nekad"/>
    <s v="(gandrīz) nekad"/>
    <s v="pāris reižu mēnesī"/>
    <s v="(gandrīz) nekad"/>
    <s v="reizi nedēļā"/>
    <s v="(gandrīz) katru dienu"/>
    <s v="(gandrīz) katru dienu"/>
    <s v="(gandrīz) nekad"/>
    <s v="(gandrīz) katru dienu"/>
    <s v="(gandrīz) katru dienu"/>
    <s v="(gandrīz) nekad"/>
    <s v="(gandrīz) katru dienu"/>
    <s v="pilsoniskās brīvības (vārda brīvība, tiesības uz tiesisko aizsardzību)"/>
    <s v="vienlīdzīgas tiesības minoritātēm un ievainojamām sabiedrības grupām"/>
    <s v="vienlīdz pieejama izglītība, veselības aprūpe, sociālais nodrošinājums"/>
    <m/>
    <m/>
    <s v="citreiz labi, citreiz slikti"/>
    <s v="citreiz labi, citreiz slikti"/>
    <s v="slikti"/>
    <s v="slikti"/>
    <s v="slikti"/>
    <s v="pamatizglītību"/>
    <m/>
    <s v="N/A"/>
    <s v="N/A"/>
    <s v="N/A"/>
    <s v="Jā"/>
    <s v="vienlīdz latviešu un krievu"/>
    <m/>
    <s v="vienlīdz latviešu un krievu"/>
    <m/>
    <m/>
    <m/>
    <m/>
    <m/>
    <m/>
    <m/>
    <m/>
    <m/>
    <m/>
    <m/>
    <m/>
    <m/>
    <m/>
    <m/>
    <m/>
    <m/>
    <m/>
    <m/>
    <m/>
    <m/>
    <m/>
    <s v="N/A"/>
    <s v="N/A"/>
    <s v="N/A"/>
    <s v="N/A"/>
    <s v="N/A"/>
    <s v="N/A"/>
    <m/>
    <m/>
    <m/>
    <m/>
    <m/>
    <s v="Nē"/>
    <s v="Nē"/>
    <s v="Nē"/>
    <s v="Jā"/>
    <s v="Nē"/>
    <s v="Nē"/>
    <s v="Nē"/>
    <s v="Nē"/>
    <s v="Nē"/>
    <s v="Nē"/>
    <s v="Nē"/>
    <s v="Nē"/>
    <s v="Nē"/>
    <s v="Nē"/>
    <s v="Nē"/>
    <m/>
    <s v="Nē"/>
    <m/>
    <s v="Nē"/>
    <m/>
    <s v="Nē"/>
    <m/>
    <s v="Nē"/>
    <m/>
    <s v="Nē"/>
    <s v="Nē"/>
    <s v="Nē"/>
    <s v="Nē"/>
    <s v="Nē"/>
    <s v="Nē"/>
    <s v="Nē"/>
    <s v="Nē"/>
    <s v="Nē"/>
    <s v="Nē"/>
    <s v="Nē"/>
    <s v="Jā"/>
    <s v="Nē"/>
    <s v="Nē"/>
    <s v="Nē"/>
    <m/>
    <s v="Nē"/>
    <m/>
    <s v="Nē"/>
    <m/>
    <s v="Nē"/>
    <m/>
    <s v="Nē"/>
    <m/>
    <s v="Jā"/>
    <s v="Jā"/>
    <s v="Jā"/>
    <s v="Jā"/>
    <s v="Jā"/>
    <s v="Jā"/>
    <s v="Nē"/>
    <s v="Jā"/>
    <s v="Nē"/>
    <s v="Nē"/>
    <s v="Nē"/>
    <s v="Nē"/>
    <m/>
    <m/>
    <m/>
    <m/>
    <m/>
    <m/>
    <m/>
    <m/>
    <m/>
    <m/>
    <m/>
    <m/>
    <m/>
  </r>
  <r>
    <x v="2"/>
    <n v="295"/>
    <s v="2023-05-24 13:55:56"/>
    <n v="14"/>
    <s v="ru"/>
    <n v="1158286140"/>
    <s v="2023-05-24 13:44:27"/>
    <s v="2023-05-24 13:55:56"/>
    <s v="нож"/>
    <n v="17"/>
    <s v="sieviešu"/>
    <m/>
    <x v="0"/>
    <x v="0"/>
    <x v="0"/>
    <x v="0"/>
    <x v="0"/>
    <x v="0"/>
    <s v="Latgalē"/>
    <m/>
    <s v="ateistu(ti), nereliģiozu"/>
    <m/>
    <s v="N/A"/>
    <s v="N/A"/>
    <s v="N/A"/>
    <s v="N/A"/>
    <s v="N/A"/>
    <s v="N/A"/>
    <s v="Jā"/>
    <s v="Jā"/>
    <s v="Jā"/>
    <s v="Nē"/>
    <s v="Nē"/>
    <s v="Nē"/>
    <s v="Nē"/>
    <s v="Nē"/>
    <s v="Nē"/>
    <s v="Nē"/>
    <s v="Nē"/>
    <s v="Jā"/>
    <s v="Jā"/>
    <s v="Nē"/>
    <s v="Nē"/>
    <s v="Jā"/>
    <s v="Jā"/>
    <s v="Nē"/>
    <s v="Jā"/>
    <s v="Jā"/>
    <s v="Nē"/>
    <s v="Nē"/>
    <s v="tikai a"/>
    <s v="tikai b"/>
    <s v="ne a, ne b"/>
    <s v="ne a, ne b"/>
    <s v="tikai a"/>
    <s v="tikai a"/>
    <s v="Vienlīdzīgi"/>
    <s v="Vienlīdzīgi"/>
    <s v="Vienlīdzīgi"/>
    <s v="Vienlīdzīgi"/>
    <s v="Vienlīdzīgi"/>
    <s v="Jaunā Vienotība"/>
    <s v="&quot;Apvienotais saraksts&quot;"/>
    <s v="Nacionālā Apvienība"/>
    <s v="&quot;Apvienotais saraksts&quot;"/>
    <s v="Zaļo un Zemnieku savienība"/>
    <s v="&quot;Progresīvie&quot;"/>
    <s v="&quot;Progresīvie&quot;"/>
    <s v="Klimata pārmaiņas – tas ir ciklisks un dabisks process."/>
    <s v="nē"/>
    <s v="Zaļo un Zemnieku savienība"/>
    <s v="Zaļo un Zemnieku savienība"/>
    <s v="&quot;Progresīvie&quot;"/>
    <s v="&quot;Progresīvie&quot;"/>
    <s v="Nacionālā Apvienība"/>
    <s v="Zaļo un Zemnieku savienība"/>
    <s v="&quot;Progresīvie&quot;"/>
    <s v="Politiskā partija &quot;Stabilitātei&quot;"/>
    <s v="&quot;Apvienotais saraksts&quot;"/>
    <s v="Nacionālā Apvienība"/>
    <s v="&quot;Latvija pirmajā vietā&quot;"/>
    <s v="nezinu"/>
    <s v="&quot;Progresīvie&quot;"/>
    <s v="Jaunā Vienotība"/>
    <s v="Neinteresē"/>
    <s v="Ļoti"/>
    <s v="Ļoti"/>
    <s v="Ārkārtīgi"/>
    <m/>
    <s v="Jā"/>
    <s v="Nē"/>
    <s v="Nē"/>
    <s v="Nē"/>
    <s v="Jā"/>
    <s v="Nē"/>
    <s v="2.."/>
    <n v="100"/>
    <n v="21"/>
    <n v="81"/>
    <n v="21"/>
    <s v="Drīzāk saspīlētas"/>
    <s v="Nav saspīlētas"/>
    <s v="Mazliet saspīlētas"/>
    <s v="(Gandrīz) nekad"/>
    <s v="(Gandrīz) nekad"/>
    <s v="(Gandrīz) nekad"/>
    <s v="(Gandrīz) nekad"/>
    <s v="(Gandrīz) nekad"/>
    <s v="(Gandrīz) nekad"/>
    <s v="Reti"/>
    <s v="Reti"/>
    <s v="Dažreiz"/>
    <s v="(Gandrīz) nekad"/>
    <m/>
    <s v="nē"/>
    <s v="N/A"/>
    <s v="N/A"/>
    <s v="N/A"/>
    <s v="N/A"/>
    <s v="N/A"/>
    <s v="N/A"/>
    <s v="N/A"/>
    <s v="Jā"/>
    <s v="N/A"/>
    <s v="N/A"/>
    <s v="N/A"/>
    <s v="Jā"/>
    <s v="(gandrīz) nekad"/>
    <s v="(gandrīz) katru dienu"/>
    <s v="(gandrīz) nekad"/>
    <s v="(gandrīz) nekad"/>
    <s v="(gandrīz) nekad"/>
    <s v="(gandrīz) nekad"/>
    <s v="(gandrīz) nekad"/>
    <s v="(gandrīz) katru dienu"/>
    <s v="pāris reižu nedēļā"/>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brīvas vēlēšanas un plurālisms"/>
    <m/>
    <m/>
    <s v="citreiz labi, citreiz slikti"/>
    <s v="knapi/gandrīz necik"/>
    <s v="labi"/>
    <s v="nezinu"/>
    <s v="slikti"/>
    <s v="vidējo izglītību"/>
    <m/>
    <s v="N/A"/>
    <s v="N/A"/>
    <s v="N/A"/>
    <s v="Jā"/>
    <s v="kriev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Jā"/>
    <s v="Nē"/>
    <s v="Nē"/>
    <s v="Nē"/>
    <s v="Nē"/>
    <s v="Nē"/>
    <s v="Nē"/>
    <s v="Nē"/>
    <s v="Nē"/>
    <s v="Nē"/>
    <s v="Nē"/>
    <m/>
    <s v="Nē"/>
    <m/>
    <s v="Nē"/>
    <m/>
    <s v="Nē"/>
    <m/>
    <s v="Nē"/>
    <m/>
    <s v="Jā"/>
    <s v="Jā"/>
    <s v="Nē"/>
    <s v="Nē"/>
    <s v="Nē"/>
    <s v="Jā"/>
    <s v="Nē"/>
    <s v="Nē"/>
    <s v="Nē"/>
    <s v="Nē"/>
    <s v="Nē"/>
    <s v="Nē"/>
    <m/>
    <m/>
    <m/>
    <m/>
    <m/>
    <m/>
    <m/>
    <m/>
    <m/>
    <m/>
    <m/>
    <m/>
    <m/>
  </r>
  <r>
    <x v="2"/>
    <n v="299"/>
    <s v="2023-05-24 14:01:51"/>
    <n v="14"/>
    <s v="ru"/>
    <n v="832726104"/>
    <s v="2023-05-24 13:45:22"/>
    <s v="2023-05-24 14:01:51"/>
    <s v="нож"/>
    <n v="17"/>
    <s v="sieviešu"/>
    <m/>
    <x v="1"/>
    <x v="0"/>
    <x v="0"/>
    <x v="0"/>
    <x v="0"/>
    <x v="0"/>
    <s v="Latgalē"/>
    <m/>
    <s v="katoli(ieti)"/>
    <m/>
    <s v="Jā"/>
    <s v="Nē"/>
    <s v="Nē"/>
    <s v="Nē"/>
    <s v="Nē"/>
    <s v="Nē"/>
    <s v="Nē"/>
    <s v="Nē"/>
    <s v="Jā"/>
    <s v="Nē"/>
    <s v="Nē"/>
    <s v="Nē"/>
    <s v="Jā"/>
    <s v="Nē"/>
    <s v="Nē"/>
    <s v="Nē"/>
    <s v="Jā"/>
    <s v="Nē"/>
    <s v="Nē"/>
    <s v="Nē"/>
    <s v="Nē"/>
    <s v="Jā"/>
    <s v="Jā"/>
    <s v="Nē"/>
    <s v="Nē"/>
    <s v="Jā"/>
    <s v="Nē"/>
    <s v="Nē"/>
    <s v="tikai a"/>
    <s v="a un b"/>
    <s v="a un b"/>
    <s v="tikai a"/>
    <s v="tikai a"/>
    <s v="tikai a"/>
    <s v="Vienlīdzīgi"/>
    <s v="Vienlīdzīgi"/>
    <s v="Vienlīdzīgi"/>
    <s v="Vienlīdzīgi"/>
    <s v="Vienlīdzīgi"/>
    <s v="&quot;Latvija pirmajā vietā&quot;"/>
    <s v="&quot;Progresīvie&quot;"/>
    <s v="Jaunā Vienotība"/>
    <s v="Jaunā Vienotība"/>
    <s v="Zaļo un Zemnieku savienība"/>
    <s v="&quot;Progresīvie&quot;"/>
    <s v="Jaunā Vienotība"/>
    <s v="Reizēm ekonomiskā un valsts stabilitāte varētu nozīmēt, ka atsevišķi ekoloģiskās politikas aspekti ir uz brīdi jāiepauzē."/>
    <s v="jā, lielāko daļu no tā, ko iespējams šķirot"/>
    <s v="Zaļo un Zemnieku savienība"/>
    <s v="Jaunā Vienotība"/>
    <s v="Nacionālā Apvienība"/>
    <s v="Politiskā partija &quot;Stabilitātei&quot;"/>
    <s v="&quot;Apvienotais saraksts&quot;"/>
    <s v="&quot;Latvija pirmajā vietā&quot;"/>
    <s v="Nacionālā Apvienība"/>
    <s v="Jaunā Vienotība"/>
    <s v="Nacionālā Apvienība"/>
    <s v="Jaunā Vienotība"/>
    <s v="&quot;Progresīvie&quot;"/>
    <s v="Zaļo un Zemnieku savienība"/>
    <s v="Nacionālā Apvienība"/>
    <s v="&quot;Latvija pirmajā vietā&quot;"/>
    <s v="Neinteresē"/>
    <s v="Ļoti"/>
    <s v="Viduvēji"/>
    <s v="Ārkārtīgi"/>
    <s v="не знаю"/>
    <s v="Nē"/>
    <s v="Nē"/>
    <s v="Nē"/>
    <s v="Nē"/>
    <s v="Jā"/>
    <s v="Nē"/>
    <s v="1.."/>
    <n v="18"/>
    <n v="67"/>
    <n v="65"/>
    <n v="33"/>
    <s v="Drīzāk saspīlētas"/>
    <s v="Nav saspīlētas"/>
    <s v="Nav saspīlētas"/>
    <s v="Dažreiz"/>
    <s v="Reti"/>
    <s v="Reti"/>
    <s v="(Gandrīz) nekad"/>
    <s v="Reti"/>
    <s v="Reti"/>
    <s v="Dažreiz"/>
    <s v="(Gandrīz) nekad"/>
    <s v="(Gandrīz) nekad"/>
    <s v="Reti"/>
    <s v="я говорю на русском языке, потому что это мой родной язык"/>
    <s v="nē"/>
    <s v="N/A"/>
    <s v="N/A"/>
    <s v="N/A"/>
    <s v="N/A"/>
    <s v="Jā"/>
    <s v="Nē"/>
    <s v="Jā"/>
    <s v="Nē"/>
    <s v="N/A"/>
    <s v="N/A"/>
    <s v="N/A"/>
    <s v="Jā"/>
    <s v="pāris reižu mēnesī"/>
    <s v="pāris reižu nedēļā"/>
    <s v="(gandrīz) katru dienu"/>
    <s v="reizi nedēļā"/>
    <s v="(gandrīz) nekad"/>
    <s v="(gandrīz) nekad"/>
    <s v="pāris reižu nedēļā"/>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ienlīdz pieejama izglītība, veselības aprūpe, sociālais nodrošinājums"/>
    <m/>
    <m/>
    <s v="citreiz labi, citreiz slikti"/>
    <s v="citreiz labi, citreiz slikti"/>
    <s v="labi"/>
    <s v="slikti"/>
    <s v="citreiz labi, citreiz slikti"/>
    <s v="vidējo izglītību"/>
    <m/>
    <s v="N/A"/>
    <s v="N/A"/>
    <s v="N/A"/>
    <s v="Jā"/>
    <s v="vienlīdz latviešu un krievu"/>
    <m/>
    <s v="latviešu"/>
    <m/>
    <m/>
    <m/>
    <m/>
    <m/>
    <m/>
    <m/>
    <m/>
    <m/>
    <m/>
    <m/>
    <m/>
    <m/>
    <m/>
    <m/>
    <m/>
    <m/>
    <m/>
    <m/>
    <m/>
    <m/>
    <m/>
    <s v="N/A"/>
    <s v="N/A"/>
    <s v="N/A"/>
    <s v="N/A"/>
    <s v="N/A"/>
    <s v="N/A"/>
    <m/>
    <m/>
    <m/>
    <m/>
    <m/>
    <s v="Nē"/>
    <s v="Nē"/>
    <s v="Nē"/>
    <s v="Nē"/>
    <s v="Nē"/>
    <s v="Nē"/>
    <s v="Nē"/>
    <s v="Nē"/>
    <s v="Nē"/>
    <s v="Nē"/>
    <s v="Jā"/>
    <s v="Jā"/>
    <s v="Nē"/>
    <s v="Nē"/>
    <s v="Nē"/>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2"/>
    <n v="300"/>
    <s v="2023-05-24 14:00:56"/>
    <n v="14"/>
    <s v="ru"/>
    <n v="1834844826"/>
    <s v="2023-05-24 13:45:57"/>
    <s v="2023-05-24 14:00:56"/>
    <s v="нож"/>
    <n v="17"/>
    <s v="sieviešu"/>
    <m/>
    <x v="0"/>
    <x v="0"/>
    <x v="0"/>
    <x v="0"/>
    <x v="0"/>
    <x v="0"/>
    <s v="Latgalē"/>
    <m/>
    <s v="ateistu(ti), nereliģiozu"/>
    <m/>
    <s v="Nē"/>
    <s v="Jā"/>
    <s v="Nē"/>
    <s v="Jā"/>
    <s v="Jā"/>
    <s v="Nē"/>
    <s v="Nē"/>
    <s v="Jā"/>
    <s v="Jā"/>
    <s v="Nē"/>
    <s v="Nē"/>
    <s v="Jā"/>
    <s v="Nē"/>
    <s v="Nē"/>
    <s v="Nē"/>
    <s v="Jā"/>
    <s v="Nē"/>
    <s v="Jā"/>
    <s v="Nē"/>
    <s v="Nē"/>
    <s v="Nē"/>
    <s v="Jā"/>
    <s v="Jā"/>
    <s v="Jā"/>
    <s v="Nē"/>
    <s v="Jā"/>
    <s v="Jā"/>
    <s v="Nē"/>
    <s v="nezinu"/>
    <s v="nezinu"/>
    <s v="nezinu"/>
    <s v="nezinu"/>
    <s v="nezinu"/>
    <s v="nezinu"/>
    <s v="Vienlīdzīgi"/>
    <s v="Lielākoties vienlīdzīgi"/>
    <s v="Vienlīdzīgi"/>
    <s v="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Viduvēji"/>
    <s v="Viduvēji"/>
    <s v="Viduvēji"/>
    <s v="Не знаю"/>
    <s v="Nē"/>
    <s v="Nē"/>
    <s v="Nē"/>
    <s v="Jā"/>
    <s v="Jā"/>
    <s v="Nē"/>
    <s v="1.."/>
    <n v="65"/>
    <n v="1"/>
    <n v="100"/>
    <n v="40"/>
    <s v="Drīzāk saspīlētas"/>
    <s v="Mazliet saspīlētas"/>
    <s v="Nav saspīlētas"/>
    <s v="(Gandrīz) nekad"/>
    <s v="(Gandrīz) nekad"/>
    <s v="(Gandrīz) nekad"/>
    <s v="(Gandrīz) nekad"/>
    <s v="(Gandrīz) nekad"/>
    <s v="Bieži"/>
    <s v="Bieži"/>
    <s v="Reti"/>
    <s v="Reti"/>
    <s v="Reti"/>
    <s v="."/>
    <s v="nē"/>
    <s v="N/A"/>
    <s v="N/A"/>
    <s v="N/A"/>
    <s v="N/A"/>
    <s v="N/A"/>
    <s v="N/A"/>
    <s v="N/A"/>
    <s v="Jā"/>
    <s v="Jā"/>
    <s v="Nē"/>
    <s v="Jā"/>
    <s v="Nē"/>
    <s v="(gandrīz) nekad"/>
    <s v="(gandrīz) nekad"/>
    <s v="(gandrīz) katru dienu"/>
    <s v="(gandrīz) nekad"/>
    <s v="(gandrīz) nekad"/>
    <s v="(gandrīz) nekad"/>
    <s v="pāris reižu mēnesī"/>
    <s v="(gandrīz) katru dienu"/>
    <s v="(gandrīz) katru dienu"/>
    <s v="(gandrīz) katru dienu"/>
    <s v="(gandrīz) katru dienu"/>
    <s v="(gandrīz) katru dienu"/>
    <s v="(gandrīz) katru dienu"/>
    <s v="(gandrīz) katru dienu"/>
    <s v="brīvas vēlēšanas un plurālisms"/>
    <s v="vienlīdzīgas tiesības minoritātēm un ievainojamām sabiedrības grupām"/>
    <s v="vienlīdz pieejama izglītība, veselības aprūpe, sociālais nodrošinājums"/>
    <m/>
    <m/>
    <s v="nezinu"/>
    <s v="nezinu"/>
    <s v="nezinu"/>
    <s v="nezinu"/>
    <s v="nezinu"/>
    <s v="pamatizglītību"/>
    <m/>
    <s v="Nē"/>
    <s v="Jā"/>
    <s v="Nē"/>
    <s v="Nē"/>
    <s v="vienlīdz latviešu un krievu"/>
    <m/>
    <s v="vienlīdz latviešu un kriev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Jā"/>
    <s v="Jā"/>
    <s v="Jā"/>
    <s v="Nē"/>
    <s v="Jā"/>
    <s v="Nē"/>
    <s v="Nē"/>
    <s v="Nē"/>
    <s v="Nē"/>
    <m/>
    <m/>
    <m/>
    <m/>
    <m/>
    <m/>
    <m/>
    <m/>
    <m/>
    <m/>
    <m/>
    <m/>
    <m/>
  </r>
  <r>
    <x v="2"/>
    <n v="301"/>
    <s v="2023-05-24 14:05:52"/>
    <n v="14"/>
    <s v="ru"/>
    <n v="684398724"/>
    <s v="2023-05-24 13:46:15"/>
    <s v="2023-05-24 14:05:52"/>
    <s v="nauda"/>
    <n v="17"/>
    <s v="sieviešu"/>
    <m/>
    <x v="1"/>
    <x v="0"/>
    <x v="0"/>
    <x v="0"/>
    <x v="0"/>
    <x v="0"/>
    <s v="Latgalē"/>
    <m/>
    <s v="pareizticīgo"/>
    <m/>
    <s v="Jā"/>
    <s v="Nē"/>
    <s v="Nē"/>
    <s v="Nē"/>
    <s v="Nē"/>
    <s v="Nē"/>
    <s v="Nē"/>
    <s v="Jā"/>
    <s v="Jā"/>
    <s v="Nē"/>
    <s v="Nē"/>
    <s v="Jā"/>
    <s v="Nē"/>
    <s v="Nē"/>
    <s v="Jā"/>
    <s v="Nē"/>
    <s v="Nē"/>
    <s v="Jā"/>
    <s v="Nē"/>
    <s v="Nē"/>
    <s v="Nē"/>
    <s v="Nē"/>
    <s v="Nē"/>
    <s v="Nē"/>
    <s v="Jā"/>
    <s v="Nē"/>
    <s v="Nē"/>
    <s v="Nē"/>
    <s v="tikai b"/>
    <s v="tikai b"/>
    <s v="a un b"/>
    <s v="tikai b"/>
    <s v="tikai b"/>
    <s v="tikai b"/>
    <s v="Lielākoties nevienlīdzīgi"/>
    <s v="Nevienlīdzīgi"/>
    <s v="Lielākoties nevienlīdzīgi"/>
    <s v="Nevienlīdzīgi"/>
    <s v="Nevienlīdzīgi"/>
    <s v="Nacionālā Apvienība"/>
    <s v="&quot;Progresīvie&quot;"/>
    <s v="Politiskā partija &quot;Stabilitātei&quot;"/>
    <s v="Jaunā Vienotība"/>
    <s v="Zaļo un Zemnieku savienība"/>
    <s v="&quot;Progresīvie&quot;"/>
    <s v="Nacionālā Apvienība"/>
    <s v="Cīņai ar klimata pārmaiņām būtu jābūt vairumam pasaules valstu galvenajai prioritātei."/>
    <s v="jā, lielāko daļu no tā, ko iespējams šķirot"/>
    <s v="Jaunā Vienotība"/>
    <s v="&quot;Latvija pirmajā vietā&quot;"/>
    <s v="&quot;Progresīvie&quot;"/>
    <s v="&quot;Apvienotais saraksts&quot;"/>
    <s v="Nacionālā Apvienība"/>
    <s v="Zaļo un Zemnieku savienība"/>
    <s v="Nacionālā Apvienība"/>
    <s v="&quot;Progresīvie&quot;"/>
    <s v="Nacionālā Apvienība"/>
    <s v="Politiskā partija &quot;Stabilitātei&quot;"/>
    <s v="&quot;Latvija pirmajā vietā&quot;"/>
    <s v="&quot;Apvienotais saraksts&quot;"/>
    <s v="Jaunā Vienotība"/>
    <s v="Zaļo un Zemnieku savienība"/>
    <s v="Ļoti"/>
    <s v="Ārkārtīgi"/>
    <s v="Ļoti"/>
    <s v="Ārkārtīgi"/>
    <s v="mainit valdību"/>
    <s v="Nē"/>
    <s v="Nē"/>
    <s v="Nē"/>
    <s v="Nē"/>
    <s v="Jā"/>
    <s v="Nē"/>
    <s v="2.."/>
    <n v="26"/>
    <n v="90"/>
    <n v="31"/>
    <n v="1"/>
    <s v="Drīzāk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Jā"/>
    <s v="Jā"/>
    <s v="Jā"/>
    <s v="Nē"/>
    <s v="pāris reižu nedēļā"/>
    <s v="(gandrīz) nekad"/>
    <s v="(gandrīz) nekad"/>
    <s v="(gandrīz) nekad"/>
    <s v="(gandrīz) nekad"/>
    <s v="(gandrīz) nekad"/>
    <s v="pāris reižu mēnesī"/>
    <s v="(gandrīz) katru dienu"/>
    <s v="(gandrīz) katru dienu"/>
    <s v="(gandrīz) katru dienu"/>
    <s v="(gandrīz) katru dienu"/>
    <s v="(gandrīz) katru dienu"/>
    <s v="(gandrīz) katru dienu"/>
    <s v="(gandrīz) katru dienu"/>
    <s v="vienlīdzīgas tiesības minoritātēm un ievainojamām sabiedrības grupām"/>
    <s v="vienlīdz pieejama izglītība, veselības aprūpe, sociālais nodrošinājums"/>
    <s v="pilsoniskās brīvības (vārda brīvība, tiesības uz tiesisko aizsardzību)"/>
    <m/>
    <m/>
    <s v="slikti"/>
    <s v="citreiz labi, citreiz slikti"/>
    <s v="citreiz labi, citreiz slikti"/>
    <s v="slikti"/>
    <s v="knapi/gandrīz necik"/>
    <s v="pamatizglītību"/>
    <m/>
    <s v="N/A"/>
    <s v="N/A"/>
    <s v="N/A"/>
    <s v="Jā"/>
    <s v="latviešu"/>
    <m/>
    <s v="latviešu"/>
    <m/>
    <m/>
    <m/>
    <m/>
    <m/>
    <m/>
    <m/>
    <m/>
    <m/>
    <m/>
    <m/>
    <m/>
    <m/>
    <m/>
    <m/>
    <m/>
    <m/>
    <m/>
    <m/>
    <m/>
    <m/>
    <m/>
    <s v="N/A"/>
    <s v="N/A"/>
    <s v="N/A"/>
    <s v="N/A"/>
    <s v="N/A"/>
    <s v="N/A"/>
    <m/>
    <m/>
    <m/>
    <m/>
    <m/>
    <s v="Nē"/>
    <s v="Nē"/>
    <s v="Jā"/>
    <s v="Jā"/>
    <s v="Nē"/>
    <s v="Nē"/>
    <s v="Nē"/>
    <s v="Nē"/>
    <s v="Nē"/>
    <s v="Nē"/>
    <s v="Jā"/>
    <s v="Jā"/>
    <s v="Nē"/>
    <s v="Jā"/>
    <s v="Nē"/>
    <m/>
    <s v="Nē"/>
    <m/>
    <s v="Nē"/>
    <m/>
    <s v="Nē"/>
    <m/>
    <s v="Nē"/>
    <m/>
    <s v="Jā"/>
    <s v="Nē"/>
    <s v="Nē"/>
    <s v="Nē"/>
    <s v="Nē"/>
    <s v="Nē"/>
    <s v="Nē"/>
    <s v="Nē"/>
    <s v="Jā"/>
    <s v="Nē"/>
    <s v="Nē"/>
    <s v="Jā"/>
    <s v="Jā"/>
    <s v="Nē"/>
    <s v="Nē"/>
    <m/>
    <s v="Nē"/>
    <m/>
    <s v="Nē"/>
    <m/>
    <s v="Nē"/>
    <m/>
    <s v="Nē"/>
    <m/>
    <s v="Jā"/>
    <s v="Jā"/>
    <s v="Nē"/>
    <s v="Nē"/>
    <s v="Jā"/>
    <s v="Jā"/>
    <s v="Nē"/>
    <s v="Jā"/>
    <s v="Nē"/>
    <s v="Nē"/>
    <s v="Nē"/>
    <s v="Nē"/>
    <m/>
    <s v="Nadejus menja ne posadjat 'w'"/>
    <m/>
    <m/>
    <m/>
    <m/>
    <m/>
    <m/>
    <m/>
    <m/>
    <m/>
    <m/>
    <m/>
  </r>
  <r>
    <x v="2"/>
    <n v="302"/>
    <s v="2023-05-24 14:05:43"/>
    <n v="14"/>
    <s v="ru"/>
    <n v="1494324607"/>
    <s v="2023-05-24 13:47:00"/>
    <s v="2023-05-24 14:05:43"/>
    <s v="нож"/>
    <n v="17"/>
    <s v="sieviešu"/>
    <m/>
    <x v="0"/>
    <x v="0"/>
    <x v="0"/>
    <x v="0"/>
    <x v="0"/>
    <x v="0"/>
    <s v="Latgalē"/>
    <m/>
    <s v="ateistu(ti), nereliģiozu"/>
    <m/>
    <s v="Nē"/>
    <s v="Nē"/>
    <s v="Jā"/>
    <s v="Nē"/>
    <s v="Nē"/>
    <s v="Nē"/>
    <s v="Nē"/>
    <s v="Jā"/>
    <s v="Nē"/>
    <s v="Nē"/>
    <s v="Nē"/>
    <s v="Jā"/>
    <s v="Nē"/>
    <s v="Nē"/>
    <s v="Nē"/>
    <s v="Nē"/>
    <s v="Nē"/>
    <s v="Jā"/>
    <s v="Nē"/>
    <s v="Jā"/>
    <s v="Nē"/>
    <s v="Jā"/>
    <s v="Nē"/>
    <s v="Nē"/>
    <s v="Nē"/>
    <s v="Jā"/>
    <s v="Jā"/>
    <s v="Nē"/>
    <s v="a un b"/>
    <s v="a un b"/>
    <s v="a un b"/>
    <s v="tikai b"/>
    <s v="ne a, ne b"/>
    <s v="tikai b"/>
    <s v="Lielākoties vienlīdzīgi"/>
    <s v="Lielākoties nevienlīdzīgi"/>
    <s v="Lielākoties vienlīdzīgi"/>
    <s v="Lielākoties vienlīdzīgi"/>
    <s v="Lielākoties nevienlīdzīgi"/>
    <s v="nezinu"/>
    <s v="nezinu"/>
    <s v="nezinu"/>
    <s v="nezinu"/>
    <s v="nezinu"/>
    <s v="&quot;Progresīvie&quot;"/>
    <s v="nezinu"/>
    <s v="Reizēm ekonomiskā un valsts stabilitāte varētu nozīmēt, ka atsevišķi ekoloģiskās politikas aspekti ir uz brīdi jāiepauzē."/>
    <s v="jā, daļu no tā, ko iespējams šķirot"/>
    <s v="Nacionālā Apvienība"/>
    <s v="nezinu"/>
    <s v="nezinu"/>
    <s v="nezinu"/>
    <s v="nezinu"/>
    <s v="nezinu"/>
    <s v="nezinu"/>
    <s v="nezinu"/>
    <s v="nezinu"/>
    <s v="nezinu"/>
    <s v="nezinu"/>
    <s v="nezinu"/>
    <s v="nezinu"/>
    <s v="nezinu"/>
    <s v="Ne sevišķi"/>
    <s v="Viduvēji"/>
    <s v="Viduvēji"/>
    <s v="Ļoti"/>
    <s v="politika, kas klausās lielāku sabiedrības daļu un meģinā ( vai tikai solā) risināt sociālas problēmas."/>
    <s v="Nē"/>
    <s v="Jā"/>
    <s v="Nē"/>
    <s v="Nē"/>
    <s v="Jā"/>
    <s v="Nē"/>
    <s v="1.."/>
    <n v="96"/>
    <n v="9"/>
    <n v="90"/>
    <n v="62"/>
    <s v="Ļoti saspīlētas"/>
    <s v="Drīzāk saspīlētas"/>
    <s v="Mazliet saspīlētas"/>
    <s v="(Gandrīz) nekad"/>
    <s v="(Gandrīz) nekad"/>
    <s v="(Gandrīz) nekad"/>
    <s v="(Gandrīz) nekad"/>
    <s v="(Gandrīz) nekad"/>
    <s v="Bieži"/>
    <s v="Bieži"/>
    <s v="Reti"/>
    <s v="Reti"/>
    <s v="(Gandrīz) nekad"/>
    <s v="Skolā, darbnīcā mēs vienkārši nevaram saprast viens otru"/>
    <s v="nē"/>
    <s v="N/A"/>
    <s v="N/A"/>
    <s v="N/A"/>
    <s v="N/A"/>
    <s v="Jā"/>
    <s v="Nē"/>
    <s v="Jā"/>
    <s v="Nē"/>
    <s v="Jā"/>
    <s v="Jā"/>
    <s v="Jā"/>
    <s v="Nē"/>
    <s v="(gandrīz) nekad"/>
    <s v="reizi nedēļā"/>
    <s v="(gandrīz) katru dienu"/>
    <s v="reizi nedēļā"/>
    <s v="pāris reižu mēnesī"/>
    <s v="pāris reižu mēnesī"/>
    <s v="pāris reižu mēnesī"/>
    <s v="(gandrīz) katru dienu"/>
    <s v="(gandrīz) katru dienu"/>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brīvas vēlēšanas un plurālisms"/>
    <m/>
    <m/>
    <s v="slikti"/>
    <s v="slikti"/>
    <s v="citreiz labi, citreiz slikti"/>
    <s v="citreiz labi, citreiz slikti"/>
    <s v="citreiz labi, citreiz slikti"/>
    <s v="pamatizglītību"/>
    <m/>
    <s v="Nē"/>
    <s v="Jā"/>
    <s v="Nē"/>
    <s v="Nē"/>
    <s v="latviešu"/>
    <m/>
    <s v="latvieš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Jā"/>
    <s v="Nē"/>
    <s v="Nē"/>
    <s v="Jā"/>
    <s v="Nē"/>
    <s v="Nē"/>
    <s v="Nē"/>
    <s v="Nē"/>
    <s v="Nē"/>
    <m/>
    <s v="Nē"/>
    <m/>
    <s v="Nē"/>
    <m/>
    <s v="Nē"/>
    <m/>
    <s v="Nē"/>
    <m/>
    <s v="Nē"/>
    <s v="Nē"/>
    <s v="Nē"/>
    <s v="Nē"/>
    <s v="Nē"/>
    <s v="Nē"/>
    <s v="Nē"/>
    <s v="Nē"/>
    <s v="Nē"/>
    <s v="Nē"/>
    <s v="Nē"/>
    <s v="Nē"/>
    <s v="Jā"/>
    <s v="Nē"/>
    <s v="Nē"/>
    <m/>
    <s v="Nē"/>
    <m/>
    <s v="Nē"/>
    <m/>
    <s v="Nē"/>
    <m/>
    <s v="Nē"/>
    <m/>
    <s v="Jā"/>
    <s v="Jā"/>
    <s v="Nē"/>
    <s v="Jā"/>
    <s v="Jā"/>
    <s v="Jā"/>
    <s v="Nē"/>
    <s v="Jā"/>
    <s v="Jā"/>
    <s v="Nē"/>
    <s v="Jā"/>
    <s v="Nē"/>
    <m/>
    <s v="paldies"/>
    <m/>
    <m/>
    <m/>
    <m/>
    <m/>
    <m/>
    <m/>
    <m/>
    <m/>
    <m/>
    <m/>
  </r>
  <r>
    <x v="2"/>
    <n v="304"/>
    <s v="2023-05-24 14:08:31"/>
    <n v="14"/>
    <s v="ru"/>
    <n v="934684579"/>
    <s v="2023-05-24 13:47:13"/>
    <s v="2023-05-24 14:08:31"/>
    <s v="nauda"/>
    <n v="17"/>
    <s v="sieviešu"/>
    <m/>
    <x v="0"/>
    <x v="0"/>
    <x v="0"/>
    <x v="0"/>
    <x v="0"/>
    <x v="0"/>
    <s v="Rīgā/ Rīgas rajonā"/>
    <m/>
    <s v="pareizticīgo"/>
    <m/>
    <s v="Nē"/>
    <s v="Nē"/>
    <s v="Nē"/>
    <s v="Nē"/>
    <s v="Nē"/>
    <s v="Jā"/>
    <s v="Nē"/>
    <s v="Nē"/>
    <s v="Jā"/>
    <s v="Jā"/>
    <s v="Nē"/>
    <s v="Jā"/>
    <s v="Nē"/>
    <s v="Nē"/>
    <s v="Jā"/>
    <s v="Nē"/>
    <s v="Nē"/>
    <s v="Nē"/>
    <s v="Nē"/>
    <s v="Nē"/>
    <s v="Nē"/>
    <s v="Jā"/>
    <s v="Jā"/>
    <s v="Nē"/>
    <s v="Jā"/>
    <s v="Nē"/>
    <s v="Nē"/>
    <s v="Nē"/>
    <s v="a un b"/>
    <s v="tikai a"/>
    <s v="a un b"/>
    <s v="tikai a"/>
    <s v="tikai b"/>
    <s v="tikai b"/>
    <s v="Vienlīdzīgi"/>
    <s v="Lielākoties vienlīdzīgi"/>
    <s v="Lielākoties vienlīdzīgi"/>
    <s v="Lielākoties nevienlīdzīgi"/>
    <s v="Lielākoties nevienlīdzīgi"/>
    <s v="Zaļo un Zemnieku savienība"/>
    <s v="Nacionālā Apvienība"/>
    <s v="&quot;Apvienotais saraksts&quot;"/>
    <s v="Politiskā partija &quot;Stabilitātei&quot;"/>
    <s v="&quot;Latvija pirmajā vietā&quot;"/>
    <s v="Zaļo un Zemnieku savienība"/>
    <s v="Politiskā partija &quot;Stabilitātei&quot;"/>
    <s v="Cīņai ar klimata pārmaiņām būtu jābūt vairumam pasaules valstu galvenajai prioritātei."/>
    <s v="jā, lielāko daļu no tā, ko iespējams šķirot"/>
    <s v="Jaunā Vienotība"/>
    <s v="Politiskā partija &quot;Stabilitātei&quot;"/>
    <s v="Zaļo un Zemnieku savienība"/>
    <s v="&quot;Apvienotais saraksts&quot;"/>
    <s v="nezinu"/>
    <s v="&quot;Progresīvie&quot;"/>
    <s v="Nacionālā Apvienība"/>
    <s v="Politiskā partija &quot;Stabilitātei&quot;"/>
    <s v="Zaļo un Zemnieku savienība"/>
    <s v="&quot;Progresīvie&quot;"/>
    <s v="&quot;Latvija pirmajā vietā&quot;"/>
    <s v="Nacionālā Apvienība"/>
    <s v="&quot;Progresīvie&quot;"/>
    <s v="Jaunā Vienotība"/>
    <s v="Ļoti"/>
    <s v="Neinteresē"/>
    <s v="Ne sevišķi"/>
    <s v="Viduvēji"/>
    <s v="nezinu"/>
    <s v="Nē"/>
    <s v="Nē"/>
    <s v="Nē"/>
    <s v="Jā"/>
    <s v="Jā"/>
    <s v="Nē"/>
    <s v="1.."/>
    <n v="77"/>
    <n v="1"/>
    <n v="1"/>
    <n v="100"/>
    <s v="Ļoti saspīlētas"/>
    <s v="Nav saspīlētas"/>
    <s v="Mazliet saspīlētas"/>
    <s v="(Gandrīz) nekad"/>
    <s v="(Gandrīz) nekad"/>
    <s v="(Gandrīz) nekad"/>
    <s v="(Gandrīz) nekad"/>
    <s v="(Gandrīz) nekad"/>
    <s v="Reti"/>
    <s v="(Gandrīz) nekad"/>
    <s v="(Gandrīz) nekad"/>
    <s v="Reti"/>
    <s v="Dažreiz"/>
    <s v="visu laiku es runāju tikai krieviski, bet jā cilvēks vispār nesaprot mani, tad es cenšos runāt latviski."/>
    <s v="jā, nevalstiskā organizācijā"/>
    <s v="N/A"/>
    <s v="N/A"/>
    <s v="N/A"/>
    <s v="Jā"/>
    <s v="Jā"/>
    <s v="Nē"/>
    <s v="Nē"/>
    <s v="Nē"/>
    <s v="Jā"/>
    <s v="Nē"/>
    <s v="Jā"/>
    <s v="Nē"/>
    <s v="pāris reižu mēnesī"/>
    <s v="(gandrīz) katru dienu"/>
    <s v="reizi nedēļā"/>
    <s v="reizi nedēļā"/>
    <s v="(gandrīz) nekad"/>
    <s v="pāris reižu mēnesī"/>
    <s v="pāris reižu nedēļā"/>
    <s v="(gandrīz) katru dienu"/>
    <s v="(gandrīz) katru dienu"/>
    <s v="(gandrīz) katru dienu"/>
    <s v="(gandrīz) katru dienu"/>
    <s v="(gandrīz) katru dienu"/>
    <s v="(gandrīz) katru dienu"/>
    <s v="(gandrīz) katru dienu"/>
    <s v="brīvas vēlēšanas un plurālisms"/>
    <s v="vienlīdz pieejama izglītība, veselības aprūpe, sociālais nodrošinājums"/>
    <s v="pilsoniskās brīvības (vārda brīvība, tiesības uz tiesisko aizsardzību)"/>
    <m/>
    <m/>
    <s v="citreiz labi, citreiz slikti"/>
    <s v="citreiz labi, citreiz slikti"/>
    <s v="citreiz labi, citreiz slikti"/>
    <s v="citreiz labi, citreiz slikti"/>
    <s v="citreiz labi, citreiz slikti"/>
    <s v="pamatizglītību"/>
    <m/>
    <s v="Jā"/>
    <s v="Nē"/>
    <s v="Nē"/>
    <s v="Nē"/>
    <s v="krievu"/>
    <m/>
    <s v="latviešu"/>
    <m/>
    <s v="Spēju pastāstīt par savu hobiju / darbu."/>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Jā"/>
    <s v="Nē"/>
    <s v="Nē"/>
    <s v="Jā"/>
    <s v="Nē"/>
    <s v="Nē"/>
    <m/>
    <s v="Nē"/>
    <m/>
    <s v="Nē"/>
    <m/>
    <s v="Jā"/>
    <m/>
    <s v="Nē"/>
    <m/>
    <s v="Nē"/>
    <s v="Nē"/>
    <s v="Nē"/>
    <s v="Nē"/>
    <s v="Nē"/>
    <s v="Nē"/>
    <s v="Nē"/>
    <s v="Nē"/>
    <s v="Nē"/>
    <s v="Nē"/>
    <s v="Nē"/>
    <s v="Nē"/>
    <s v="Jā"/>
    <s v="Nē"/>
    <s v="Nē"/>
    <m/>
    <s v="Nē"/>
    <m/>
    <s v="Nē"/>
    <m/>
    <s v="Nē"/>
    <m/>
    <s v="Nē"/>
    <m/>
    <s v="Jā"/>
    <s v="Jā"/>
    <s v="Nē"/>
    <s v="Nē"/>
    <s v="Jā"/>
    <s v="Jā"/>
    <s v="Nē"/>
    <s v="Jā"/>
    <s v="Nē"/>
    <s v="Nē"/>
    <s v="Nē"/>
    <s v="Nē"/>
    <m/>
    <m/>
    <m/>
    <m/>
    <m/>
    <m/>
    <m/>
    <m/>
    <m/>
    <m/>
    <m/>
    <m/>
    <m/>
  </r>
  <r>
    <x v="2"/>
    <n v="305"/>
    <s v="2023-05-24 14:11:06"/>
    <n v="14"/>
    <s v="ru"/>
    <n v="1391565894"/>
    <s v="2023-05-24 13:47:18"/>
    <s v="2023-05-24 14:11:06"/>
    <s v="нож"/>
    <n v="17"/>
    <s v="vīriešu"/>
    <m/>
    <x v="0"/>
    <x v="0"/>
    <x v="0"/>
    <x v="0"/>
    <x v="0"/>
    <x v="0"/>
    <s v="Latgalē"/>
    <m/>
    <s v="pareizticīgo"/>
    <m/>
    <s v="Jā"/>
    <s v="Jā"/>
    <s v="Jā"/>
    <s v="Jā"/>
    <s v="Jā"/>
    <s v="Jā"/>
    <s v="Nē"/>
    <s v="Jā"/>
    <s v="Jā"/>
    <s v="Jā"/>
    <s v="Jā"/>
    <s v="Jā"/>
    <s v="Jā"/>
    <s v="Nē"/>
    <s v="Jā"/>
    <s v="Jā"/>
    <s v="Jā"/>
    <s v="Jā"/>
    <s v="Jā"/>
    <s v="Jā"/>
    <s v="Nē"/>
    <s v="Jā"/>
    <s v="Jā"/>
    <s v="Jā"/>
    <s v="Jā"/>
    <s v="Jā"/>
    <s v="Jā"/>
    <s v="Nē"/>
    <s v="tikai a"/>
    <s v="tikai a"/>
    <s v="tikai a"/>
    <s v="tikai a"/>
    <s v="tikai a"/>
    <s v="tikai a"/>
    <s v="Lielākoties vienlīdzīgi"/>
    <s v="Lielākoties nevienlīdzīgi"/>
    <s v="Vienlīdzīgi"/>
    <s v="Lielākoties nevienlīdzīgi"/>
    <s v="Lielākoties 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Viduvēji"/>
    <s v="Viduvēji"/>
    <s v="Viduvēji"/>
    <s v="Viduvēji"/>
    <s v="Не знаю"/>
    <s v="Nē"/>
    <s v="Nē"/>
    <s v="Jā"/>
    <s v="Jā"/>
    <s v="Nē"/>
    <s v="Nē"/>
    <s v="1........"/>
    <n v="40"/>
    <n v="50"/>
    <n v="80"/>
    <n v="1"/>
    <s v="Ļoti saspīlētas"/>
    <s v="Nav saspīlētas"/>
    <s v="Mazliet saspīlētas"/>
    <s v="Reti"/>
    <s v="Reti"/>
    <s v="Reti"/>
    <s v="Reti"/>
    <s v="Reti"/>
    <s v="Reti"/>
    <s v="Reti"/>
    <s v="Reti"/>
    <s v="Reti"/>
    <s v="Reti"/>
    <s v="Не знаю"/>
    <s v="nē"/>
    <s v="N/A"/>
    <s v="N/A"/>
    <s v="N/A"/>
    <s v="N/A"/>
    <s v="N/A"/>
    <s v="N/A"/>
    <s v="N/A"/>
    <s v="Jā"/>
    <s v="N/A"/>
    <s v="N/A"/>
    <s v="N/A"/>
    <s v="Jā"/>
    <s v="pāris reižu nedēļā"/>
    <s v="(gandrīz) katru dienu"/>
    <s v="(gandrīz) katru dienu"/>
    <s v="(gandrīz) katru dienu"/>
    <s v="pāris reižu nedēļā"/>
    <s v="pāris reižu mēnesī"/>
    <s v="pāris reižu nedēļā"/>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slikti"/>
    <s v="slikti"/>
    <s v="slikti"/>
    <s v="slikti"/>
    <s v="slikti"/>
    <s v="pamatizglītību"/>
    <m/>
    <s v="Nē"/>
    <s v="Jā"/>
    <s v="Nē"/>
    <s v="Nē"/>
    <s v="latviešu"/>
    <m/>
    <s v="kriev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Jā"/>
    <s v="Jā"/>
    <s v="Jā"/>
    <s v="Jā"/>
    <s v="Jā"/>
    <s v="Jā"/>
    <s v="Jā"/>
    <s v="Jā"/>
    <s v="Jā"/>
    <s v="Jā"/>
    <s v="Jā"/>
    <s v="Jā"/>
    <s v="Jā"/>
    <s v="Jā"/>
    <s v="Jā"/>
    <m/>
    <s v="Nē"/>
    <m/>
    <s v="Nē"/>
    <m/>
    <s v="Nē"/>
    <m/>
    <s v="Nē"/>
    <m/>
    <s v="Jā"/>
    <s v="Jā"/>
    <s v="Jā"/>
    <s v="Jā"/>
    <s v="Jā"/>
    <s v="Jā"/>
    <s v="Jā"/>
    <s v="Nē"/>
    <s v="Nē"/>
    <s v="Nē"/>
    <s v="Nē"/>
    <s v="Nē"/>
    <s v="Nē"/>
    <s v="Nē"/>
    <s v="Nē"/>
    <m/>
    <s v="Jā"/>
    <s v="."/>
    <s v="Jā"/>
    <s v="."/>
    <s v="Jā"/>
    <s v="."/>
    <s v="Jā"/>
    <s v="."/>
    <s v="Jā"/>
    <s v="Jā"/>
    <s v="Jā"/>
    <s v="Jā"/>
    <s v="Jā"/>
    <s v="Jā"/>
    <s v="Jā"/>
    <s v="Jā"/>
    <s v="Jā"/>
    <s v="Jā"/>
    <s v="Jā"/>
    <s v="Nē"/>
    <m/>
    <s v="."/>
    <m/>
    <m/>
    <m/>
    <m/>
    <m/>
    <m/>
    <m/>
    <m/>
    <m/>
    <m/>
    <m/>
  </r>
  <r>
    <x v="2"/>
    <n v="307"/>
    <s v="2023-05-24 14:12:22"/>
    <n v="14"/>
    <s v="lv"/>
    <n v="490222492"/>
    <s v="2023-05-24 13:48:25"/>
    <s v="2023-05-24 14:12:22"/>
    <s v="nauda"/>
    <n v="17"/>
    <s v="sieviešu"/>
    <m/>
    <x v="0"/>
    <x v="0"/>
    <x v="0"/>
    <x v="0"/>
    <x v="0"/>
    <x v="0"/>
    <s v="Latgalē"/>
    <m/>
    <s v="vecticībnieku(ci)"/>
    <m/>
    <s v="Nē"/>
    <s v="Jā"/>
    <s v="Nē"/>
    <s v="Nē"/>
    <s v="Nē"/>
    <s v="Nē"/>
    <s v="Nē"/>
    <s v="N/A"/>
    <s v="N/A"/>
    <s v="N/A"/>
    <s v="N/A"/>
    <s v="N/A"/>
    <s v="N/A"/>
    <s v="Jā"/>
    <s v="N/A"/>
    <s v="N/A"/>
    <s v="N/A"/>
    <s v="N/A"/>
    <s v="N/A"/>
    <s v="N/A"/>
    <s v="Jā"/>
    <s v="N/A"/>
    <s v="N/A"/>
    <s v="N/A"/>
    <s v="N/A"/>
    <s v="N/A"/>
    <s v="N/A"/>
    <s v="Jā"/>
    <s v="nezinu"/>
    <s v="tikai a"/>
    <s v="nezinu"/>
    <s v="nezinu"/>
    <s v="nezinu"/>
    <s v="nezinu"/>
    <s v="Vienlīdzīgi"/>
    <s v="Lielākoties vienlīdzīgi"/>
    <s v="Vienlīdzīgi"/>
    <s v="Vienlīdzīgi"/>
    <s v="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Neinteresē"/>
    <s v="Viduvēji"/>
    <s v="Viduvēji"/>
    <s v="Nezinu"/>
    <s v="Nē"/>
    <s v="Nē"/>
    <s v="Jā"/>
    <s v="Nē"/>
    <s v="Nē"/>
    <s v="Nē"/>
    <s v="2....."/>
    <n v="58"/>
    <n v="61"/>
    <n v="91"/>
    <n v="43"/>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Jā"/>
    <s v="Jā"/>
    <s v="Jā"/>
    <s v="Nē"/>
    <s v="N/A"/>
    <s v="N/A"/>
    <s v="N/A"/>
    <s v="Jā"/>
    <s v="pāris reižu mēnesī"/>
    <s v="pāris reižu mēnesī"/>
    <s v="(gandrīz) nekad"/>
    <s v="(gandrīz) nekad"/>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citreiz labi, citreiz slikti"/>
    <s v="slikti"/>
    <s v="labi"/>
    <s v="labi"/>
    <s v="citreiz labi, citreiz slikti"/>
    <s v="pamatizglītību"/>
    <m/>
    <s v="N/A"/>
    <s v="N/A"/>
    <s v="N/A"/>
    <s v="Jā"/>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Jā"/>
    <s v="Nē"/>
    <s v="Nē"/>
    <s v="Nē"/>
    <s v="Nē"/>
    <s v="Nē"/>
    <s v="Jā"/>
    <s v="Nē"/>
    <s v="Nē"/>
    <s v="Jā"/>
    <s v="Nē"/>
    <s v="Nē"/>
    <m/>
    <s v="Nē"/>
    <m/>
    <s v="Nē"/>
    <m/>
    <s v="Nē"/>
    <m/>
    <s v="Nē"/>
    <m/>
    <s v="Jā"/>
    <s v="Jā"/>
    <s v="Jā"/>
    <s v="Nē"/>
    <s v="Nē"/>
    <s v="Jā"/>
    <s v="Nē"/>
    <s v="Jā"/>
    <s v="Nē"/>
    <s v="Nē"/>
    <s v="Nē"/>
    <s v="Nē"/>
    <m/>
    <s v="-"/>
    <m/>
    <m/>
    <m/>
    <m/>
    <m/>
    <m/>
    <m/>
    <m/>
    <m/>
    <m/>
    <m/>
  </r>
  <r>
    <x v="0"/>
    <n v="309"/>
    <s v="2023-05-25 11:02:55"/>
    <n v="14"/>
    <s v="ru"/>
    <n v="83791120"/>
    <s v="2023-05-25 10:45:40"/>
    <s v="2023-05-25 11:02:55"/>
    <s v="ronis"/>
    <n v="18"/>
    <s v="sieviešu"/>
    <m/>
    <x v="0"/>
    <x v="0"/>
    <x v="0"/>
    <x v="0"/>
    <x v="0"/>
    <x v="0"/>
    <s v="Rīgā/ Rīgas rajonā"/>
    <m/>
    <s v="pareizticīgo"/>
    <m/>
    <s v="N/A"/>
    <s v="N/A"/>
    <s v="N/A"/>
    <s v="N/A"/>
    <s v="N/A"/>
    <s v="N/A"/>
    <s v="Jā"/>
    <s v="Jā"/>
    <s v="Jā"/>
    <s v="Nē"/>
    <s v="Nē"/>
    <s v="Nē"/>
    <s v="Nē"/>
    <s v="Nē"/>
    <s v="N/A"/>
    <s v="N/A"/>
    <s v="N/A"/>
    <s v="N/A"/>
    <s v="N/A"/>
    <s v="N/A"/>
    <s v="Jā"/>
    <s v="N/A"/>
    <s v="N/A"/>
    <s v="N/A"/>
    <s v="N/A"/>
    <s v="N/A"/>
    <s v="N/A"/>
    <s v="Jā"/>
    <s v="nezinu"/>
    <s v="nezinu"/>
    <s v="nezinu"/>
    <s v="nezinu"/>
    <s v="nezinu"/>
    <s v="nezinu"/>
    <s v="Vienlīdzīgi"/>
    <s v="Lielākoties vienlīdzīgi"/>
    <s v="Vienlīdzīgi"/>
    <s v="Lielākoties vienlīdzīgi"/>
    <s v="Lielākoties nevienlīdzīgi"/>
    <s v="Jaunā Vienotība"/>
    <s v="Jaunā Vienotība"/>
    <s v="Jaunā Vienotība"/>
    <s v="Jaunā Vienotība"/>
    <s v="Jaunā Vienotība"/>
    <s v="nezinu"/>
    <s v="Jaunā Vienotība"/>
    <s v="Klimata pārmaiņām nav nekādu pārliecinošu pierādījumu."/>
    <s v="jā, lielāko daļu no tā, ko iespējams šķirot"/>
    <s v="nezinu"/>
    <s v="nezinu"/>
    <s v="nezinu"/>
    <s v="nezinu"/>
    <s v="nezinu"/>
    <s v="nezinu"/>
    <s v="nezinu"/>
    <s v="Jaunā Vienotība"/>
    <s v="nezinu"/>
    <s v="nezinu"/>
    <s v="nezinu"/>
    <s v="nezinu"/>
    <s v="nezinu"/>
    <s v="nezinu"/>
    <s v="Viduvēji"/>
    <s v="Viduvēji"/>
    <s v="Ārkārtīgi"/>
    <s v="Ļoti"/>
    <m/>
    <s v="Nē"/>
    <s v="Nē"/>
    <s v="Nē"/>
    <s v="Jā"/>
    <s v="Jā"/>
    <s v="Nē"/>
    <s v="1.."/>
    <n v="60"/>
    <n v="60"/>
    <n v="100"/>
    <n v="75"/>
    <s v="Drīzāk saspīlētas"/>
    <s v="Nav saspīlētas"/>
    <s v="Mazliet saspīlētas"/>
    <s v="(Gandrīz) nekad"/>
    <s v="(Gandrīz) nekad"/>
    <s v="(Gandrīz) nekad"/>
    <s v="(Gandrīz) nekad"/>
    <s v="(Gandrīz) nekad"/>
    <s v="(Gandrīz) nekad"/>
    <s v="Reti"/>
    <s v="(Gandrīz) nekad"/>
    <s v="(Gandrīz) nekad"/>
    <s v="Dažreiz"/>
    <m/>
    <s v="nē"/>
    <s v="N/A"/>
    <s v="N/A"/>
    <s v="N/A"/>
    <s v="N/A"/>
    <s v="N/A"/>
    <s v="N/A"/>
    <s v="N/A"/>
    <s v="Jā"/>
    <s v="Jā"/>
    <s v="Jā"/>
    <s v="Jā"/>
    <s v="Nē"/>
    <s v="(gandrīz) nekad"/>
    <s v="pāris reižu nedēļā"/>
    <s v="pāris reižu nedēļā"/>
    <s v="pāris reižu mēnesī"/>
    <s v="(gandrīz) nekad"/>
    <s v="(gandrīz) nekad"/>
    <s v="pāris reižu nedēļā"/>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īgas tiesības minoritātēm un ievainojamām sabiedrības grupām"/>
    <m/>
    <m/>
    <s v="citreiz labi, citreiz slikti"/>
    <s v="knapi/gandrīz necik"/>
    <s v="citreiz labi, citreiz slikti"/>
    <s v="nezinu"/>
    <s v="citreiz labi, citreiz slikti"/>
    <s v="vidējo izglītību"/>
    <m/>
    <s v="N/A"/>
    <s v="N/A"/>
    <s v="N/A"/>
    <s v="Jā"/>
    <s v="krievu"/>
    <m/>
    <s v="vienlīdz latviešu un krievu"/>
    <m/>
    <s v="Spēju pastāstīt par savu hobiju / darbu."/>
    <s v="Spēju uzrakstīt vēstuli draugam."/>
    <s v="Viegli saprotu televīzijas pārraides vai Youtube video par saviem hobijiem/darbības sfēru."/>
    <s v="Spēju izlasīt garus tekstus par vēstures, politikas un zinātnes tēmām."/>
    <m/>
    <m/>
    <m/>
    <m/>
    <m/>
    <m/>
    <m/>
    <m/>
    <m/>
    <m/>
    <m/>
    <m/>
    <m/>
    <m/>
    <m/>
    <m/>
    <m/>
    <s v="N/A"/>
    <s v="N/A"/>
    <s v="N/A"/>
    <s v="N/A"/>
    <s v="N/A"/>
    <s v="N/A"/>
    <m/>
    <m/>
    <m/>
    <m/>
    <m/>
    <s v="Nē"/>
    <s v="Nē"/>
    <s v="Jā"/>
    <s v="Jā"/>
    <s v="Nē"/>
    <s v="Jā"/>
    <s v="Nē"/>
    <s v="Nē"/>
    <s v="Nē"/>
    <s v="Nē"/>
    <s v="Nē"/>
    <s v="Jā"/>
    <s v="Nē"/>
    <s v="Nē"/>
    <s v="Nē"/>
    <m/>
    <s v="Nē"/>
    <m/>
    <s v="Nē"/>
    <m/>
    <s v="Nē"/>
    <m/>
    <s v="Nē"/>
    <m/>
    <s v="Nē"/>
    <s v="Nē"/>
    <s v="Nē"/>
    <s v="Jā"/>
    <s v="Nē"/>
    <s v="Nē"/>
    <s v="Nē"/>
    <s v="Nē"/>
    <s v="Nē"/>
    <s v="Nē"/>
    <s v="Nē"/>
    <s v="Nē"/>
    <s v="Jā"/>
    <s v="Nē"/>
    <s v="Nē"/>
    <m/>
    <s v="Nē"/>
    <m/>
    <s v="Nē"/>
    <m/>
    <s v="Nē"/>
    <m/>
    <s v="Nē"/>
    <m/>
    <s v="Jā"/>
    <s v="Jā"/>
    <s v="Nē"/>
    <s v="Nē"/>
    <s v="Nē"/>
    <s v="Jā"/>
    <s v="Nē"/>
    <s v="Nē"/>
    <s v="Nē"/>
    <s v="Nē"/>
    <s v="Nē"/>
    <s v="Nē"/>
    <m/>
    <m/>
    <m/>
    <m/>
    <m/>
    <m/>
    <m/>
    <m/>
    <m/>
    <m/>
    <m/>
    <m/>
    <m/>
  </r>
  <r>
    <x v="0"/>
    <n v="310"/>
    <s v="2023-05-25 11:07:19"/>
    <n v="14"/>
    <s v="ru"/>
    <n v="1487942151"/>
    <s v="2023-05-25 10:45:43"/>
    <s v="2023-05-25 11:07:19"/>
    <s v="ronis"/>
    <n v="17"/>
    <s v="sieviešu"/>
    <m/>
    <x v="0"/>
    <x v="0"/>
    <x v="0"/>
    <x v="0"/>
    <x v="0"/>
    <x v="0"/>
    <s v="Vidzemē"/>
    <m/>
    <s v="pareizticīgo"/>
    <m/>
    <s v="Jā"/>
    <s v="Nē"/>
    <s v="Nē"/>
    <s v="Nē"/>
    <s v="Nē"/>
    <s v="Nē"/>
    <s v="Nē"/>
    <s v="N/A"/>
    <s v="N/A"/>
    <s v="N/A"/>
    <s v="N/A"/>
    <s v="N/A"/>
    <s v="N/A"/>
    <s v="Jā"/>
    <s v="N/A"/>
    <s v="N/A"/>
    <s v="N/A"/>
    <s v="N/A"/>
    <s v="N/A"/>
    <s v="N/A"/>
    <s v="Jā"/>
    <s v="Jā"/>
    <s v="Jā"/>
    <s v="Jā"/>
    <s v="Nē"/>
    <s v="Nē"/>
    <s v="Nē"/>
    <s v="Nē"/>
    <s v="nezinu"/>
    <s v="nezinu"/>
    <s v="nezinu"/>
    <s v="nezinu"/>
    <s v="nezinu"/>
    <s v="nezinu"/>
    <s v="Lielākoties nevienlīdzīgi"/>
    <s v="Lielākoties vienlīdzīgi"/>
    <s v="Lielākoties vienlīdzīgi"/>
    <s v="Lielākoties vienlīdzīgi"/>
    <s v="Lielākoties 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Ļoti"/>
    <s v="Ne sevišķi"/>
    <s v="Viduvēji"/>
    <s v="Ļoti"/>
    <m/>
    <s v="Nē"/>
    <s v="Nē"/>
    <s v="Nē"/>
    <s v="Jā"/>
    <s v="Jā"/>
    <s v="Nē"/>
    <s v="2.."/>
    <n v="69"/>
    <n v="28"/>
    <n v="78"/>
    <n v="21"/>
    <s v="Ļoti saspīlētas"/>
    <s v="Nav saspīlētas"/>
    <s v="Nav saspīlētas"/>
    <s v="(Gandrīz) nekad"/>
    <s v="(Gandrīz) nekad"/>
    <s v="(Gandrīz) nekad"/>
    <s v="(Gandrīz) nekad"/>
    <s v="(Gandrīz) nekad"/>
    <s v="Reti"/>
    <s v="Dažreiz"/>
    <s v="Dažreiz"/>
    <s v="Reti"/>
    <s v="(Gandrīz) nekad"/>
    <m/>
    <s v="nē"/>
    <s v="N/A"/>
    <s v="N/A"/>
    <s v="N/A"/>
    <s v="N/A"/>
    <s v="Jā"/>
    <s v="Jā"/>
    <s v="Jā"/>
    <s v="Nē"/>
    <s v="N/A"/>
    <s v="N/A"/>
    <s v="N/A"/>
    <s v="Jā"/>
    <s v="reizi nedēļā"/>
    <s v="(gandrīz) katru dienu"/>
    <s v="(gandrīz) katru dienu"/>
    <s v="pāris reižu nedēļā"/>
    <s v="(gandrīz) katru dienu"/>
    <s v="(gandrīz) katru dienu"/>
    <s v="(gandrīz) katru dienu"/>
    <s v="(gandrīz) katru dienu"/>
    <s v="(gandrīz) katru dienu"/>
    <s v="pāris reižu nedēļā"/>
    <s v="(gandrīz) katru dienu"/>
    <s v="pāris reižu nedēļā"/>
    <s v="pāris reižu nedēļā"/>
    <s v="(gandrīz) katru dienu"/>
    <s v="pilsoniskās brīvības (vārda brīvība, tiesības uz tiesisko aizsardzību)"/>
    <s v="vienlīdzīgas tiesības minoritātēm un ievainojamām sabiedrības grupām"/>
    <s v="vienlīdz pieejama izglītība, veselības aprūpe, sociālais nodrošinājums"/>
    <m/>
    <m/>
    <s v="nezinu"/>
    <s v="nezinu"/>
    <s v="nezinu"/>
    <s v="nezinu"/>
    <s v="nezinu"/>
    <s v="vidējo izglītību"/>
    <m/>
    <s v="N/A"/>
    <s v="N/A"/>
    <s v="N/A"/>
    <s v="Jā"/>
    <s v="vienlīdz latviešu un 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Jā"/>
    <s v="Nē"/>
    <s v="Nē"/>
    <s v="Nē"/>
    <s v="Nē"/>
    <s v="Nē"/>
    <s v="Nē"/>
    <s v="Nē"/>
    <s v="Nē"/>
    <s v="Nē"/>
    <s v="Nē"/>
    <s v="Nē"/>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0"/>
    <n v="312"/>
    <s v="2023-05-25 11:13:24"/>
    <n v="14"/>
    <s v="ru"/>
    <n v="244156759"/>
    <s v="2023-05-25 10:45:44"/>
    <s v="2023-05-25 11:13:24"/>
    <s v="ronis"/>
    <n v="17"/>
    <s v="vīriešu"/>
    <m/>
    <x v="0"/>
    <x v="0"/>
    <x v="0"/>
    <x v="0"/>
    <x v="0"/>
    <x v="0"/>
    <s v="Rīgā/ Rīgas rajonā"/>
    <m/>
    <s v="Cita atbilde"/>
    <s v="агностик"/>
    <s v="Nē"/>
    <s v="Jā"/>
    <s v="Nē"/>
    <s v="Nē"/>
    <s v="Nē"/>
    <s v="Nē"/>
    <s v="Nē"/>
    <s v="Jā"/>
    <s v="Nē"/>
    <s v="Jā"/>
    <s v="Nē"/>
    <s v="Jā"/>
    <s v="Nē"/>
    <s v="Nē"/>
    <s v="Nē"/>
    <s v="Nē"/>
    <s v="Nē"/>
    <s v="Nē"/>
    <s v="Nē"/>
    <s v="Jā"/>
    <s v="Nē"/>
    <s v="Nē"/>
    <s v="Jā"/>
    <s v="Nē"/>
    <s v="Nē"/>
    <s v="Nē"/>
    <s v="Nē"/>
    <s v="Nē"/>
    <s v="ne a, ne b"/>
    <s v="tikai b"/>
    <s v="ne a, ne b"/>
    <s v="ne a, ne b"/>
    <s v="ne a, ne b"/>
    <s v="ne a, ne b"/>
    <s v="Lielākoties vienlīdzīgi"/>
    <s v="Lielākoties vienlīdzīgi"/>
    <s v="Vienlīdzīgi"/>
    <s v="Lielākoties vienlīdzīgi"/>
    <s v="Lielākoties nevienlīdzīgi"/>
    <s v="Politiskā partija &quot;Stabilitātei&quot;"/>
    <s v="nezinu"/>
    <s v="nezinu"/>
    <s v="Politiskā partija &quot;Stabilitātei&quot;"/>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Viduvēji"/>
    <s v="Viduvēji"/>
    <s v="Ļoti"/>
    <s v="Viduvēji"/>
    <s v="Останусь лично при своём мнении"/>
    <s v="Nē"/>
    <s v="Nē"/>
    <s v="Nē"/>
    <s v="Jā"/>
    <s v="Jā"/>
    <s v="Nē"/>
    <s v="1....."/>
    <n v="70"/>
    <n v="19"/>
    <n v="93"/>
    <n v="73"/>
    <s v="Mazliet saspīlētas"/>
    <s v="Mazliet saspīlētas"/>
    <s v="Nav saspīlētas"/>
    <s v="(Gandrīz) nekad"/>
    <s v="(Gandrīz) nekad"/>
    <s v="(Gandrīz) nekad"/>
    <s v="(Gandrīz) nekad"/>
    <s v="(Gandrīz) nekad"/>
    <s v="Reti"/>
    <s v="Reti"/>
    <s v="Reti"/>
    <s v="(Gandrīz) nekad"/>
    <s v="Dažreiz"/>
    <s v="Нет, спасибо"/>
    <s v="jā, privāta darba devēja labā"/>
    <s v="Nē"/>
    <s v="Nē"/>
    <s v="Jā"/>
    <s v="Nē"/>
    <s v="Nē"/>
    <s v="Nē"/>
    <s v="Jā"/>
    <s v="Nē"/>
    <s v="Nē"/>
    <s v="Jā"/>
    <s v="Jā"/>
    <s v="Nē"/>
    <s v="(gandrīz) nekad"/>
    <s v="pāris reižu nedēļā"/>
    <s v="(gandrīz) katru dienu"/>
    <s v="pāris reižu nedēļā"/>
    <s v="pāris reižu mēnesī"/>
    <s v="pāris reižu nedēļā"/>
    <s v="(gandrīz) katru dienu"/>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īgas tiesības minoritātēm un ievainojamām sabiedrības grupām"/>
    <m/>
    <m/>
    <s v="slikti"/>
    <s v="citreiz labi, citreiz slikti"/>
    <s v="citreiz labi, citreiz slikti"/>
    <s v="slikti"/>
    <s v="slikti"/>
    <s v="vidējo izglītību"/>
    <m/>
    <s v="N/A"/>
    <s v="N/A"/>
    <s v="N/A"/>
    <s v="Jā"/>
    <s v="vienlīdz latviešu un 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s v="Telegram..."/>
    <s v="Nē"/>
    <m/>
    <s v="Nē"/>
    <m/>
    <s v="Nē"/>
    <m/>
    <s v="Nē"/>
    <m/>
    <s v="Nē"/>
    <s v="Nē"/>
    <s v="Nē"/>
    <s v="Nē"/>
    <s v="Nē"/>
    <s v="Nē"/>
    <s v="Nē"/>
    <s v="Nē"/>
    <s v="Nē"/>
    <s v="Nē"/>
    <s v="Nē"/>
    <s v="Nē"/>
    <s v="Nē"/>
    <s v="Nē"/>
    <s v="Nē"/>
    <s v="-"/>
    <s v="Nē"/>
    <m/>
    <s v="Nē"/>
    <m/>
    <s v="Nē"/>
    <m/>
    <s v="Nē"/>
    <m/>
    <s v="Jā"/>
    <s v="Jā"/>
    <s v="Nē"/>
    <s v="Jā"/>
    <s v="Jā"/>
    <s v="Jā"/>
    <s v="Nē"/>
    <s v="Jā"/>
    <s v="Nē"/>
    <s v="Nē"/>
    <s v="Jā"/>
    <s v="Nē"/>
    <m/>
    <m/>
    <m/>
    <m/>
    <m/>
    <m/>
    <m/>
    <m/>
    <m/>
    <m/>
    <m/>
    <m/>
    <m/>
  </r>
  <r>
    <x v="0"/>
    <n v="314"/>
    <s v="2023-05-25 11:20:46"/>
    <n v="14"/>
    <s v="ru"/>
    <n v="122272773"/>
    <s v="2023-05-25 10:46:02"/>
    <s v="2023-05-25 11:20:46"/>
    <s v="лодка "/>
    <n v="17"/>
    <s v="sieviešu"/>
    <m/>
    <x v="0"/>
    <x v="0"/>
    <x v="0"/>
    <x v="0"/>
    <x v="0"/>
    <x v="0"/>
    <s v="Rīgā/ Rīgas rajonā"/>
    <m/>
    <s v="pareizticīgo"/>
    <m/>
    <s v="Nē"/>
    <s v="Nē"/>
    <s v="Jā"/>
    <s v="Nē"/>
    <s v="Nē"/>
    <s v="Nē"/>
    <s v="Nē"/>
    <s v="Nē"/>
    <s v="Jā"/>
    <s v="Nē"/>
    <s v="Nē"/>
    <s v="Nē"/>
    <s v="Jā"/>
    <s v="Nē"/>
    <s v="Jā"/>
    <s v="Nē"/>
    <s v="Nē"/>
    <s v="Nē"/>
    <s v="Jā"/>
    <s v="Nē"/>
    <s v="Nē"/>
    <s v="Nē"/>
    <s v="Nē"/>
    <s v="Jā"/>
    <s v="Jā"/>
    <s v="Nē"/>
    <s v="Nē"/>
    <s v="Nē"/>
    <s v="tikai a"/>
    <s v="tikai b"/>
    <s v="tikai a"/>
    <s v="tikai b"/>
    <s v="tikai a"/>
    <s v="tikai a"/>
    <s v="Lielākoties vienlīdzīgi"/>
    <s v="Lielākoties nevienlīdzīgi"/>
    <s v="Lielākoties vienlīdzīgi"/>
    <s v="Lielākoties nevienlīdzīgi"/>
    <s v="Lielākoties nevienlīdzīgi"/>
    <s v="Politiskā partija &quot;Stabilitātei&quot;"/>
    <s v="&quot;Latvija pirmajā vietā&quot;"/>
    <s v="Nacionālā Apvienība"/>
    <s v="Nacionālā Apvienība"/>
    <s v="Zaļo un Zemnieku savienība"/>
    <s v="&quot;Progresīvie&quot;"/>
    <s v="Nacionālā Apvienība"/>
    <s v="Cīņai ar klimata pārmaiņām būtu jābūt vairumam pasaules valstu galvenajai prioritātei."/>
    <s v="jā, daļu no tā, ko iespējams šķirot"/>
    <s v="Jaunā Vienotība"/>
    <s v="&quot;Progresīvie&quot;"/>
    <s v="&quot;Progresīvie&quot;"/>
    <s v="&quot;Latvija pirmajā vietā&quot;"/>
    <s v="Nacionālā Apvienība"/>
    <s v="Zaļo un Zemnieku savienība"/>
    <s v="Politiskā partija &quot;Stabilitātei&quot;"/>
    <s v="&quot;Latvija pirmajā vietā&quot;"/>
    <s v="&quot;Progresīvie&quot;"/>
    <s v="Nacionālā Apvienība"/>
    <s v="&quot;Progresīvie&quot;"/>
    <s v="Jaunā Vienotība"/>
    <s v="Politiskā partija &quot;Stabilitātei&quot;"/>
    <s v="&quot;Latvija pirmajā vietā&quot;"/>
    <s v="Viduvēji"/>
    <s v="Viduvēji"/>
    <s v="Ne sevišķi"/>
    <s v="Viduvēji"/>
    <m/>
    <s v="Jā"/>
    <s v="Nē"/>
    <s v="Nē"/>
    <s v="Nē"/>
    <s v="Jā"/>
    <s v="Nē"/>
    <s v="1.."/>
    <n v="56"/>
    <n v="35"/>
    <n v="71"/>
    <n v="11"/>
    <s v="Drīzāk saspīlētas"/>
    <s v="Mazliet saspīlētas"/>
    <s v="Mazliet saspīlētas"/>
    <s v="Reti"/>
    <s v="(Gandrīz) nekad"/>
    <s v="Reti"/>
    <s v="(Gandrīz) nekad"/>
    <s v="(Gandrīz) nekad"/>
    <s v="Dažreiz"/>
    <s v="Bieži"/>
    <s v="Reti"/>
    <s v="(Gandrīz) nekad"/>
    <s v="Reti"/>
    <m/>
    <s v="jā, privāta darba devēja labā"/>
    <s v="N/A"/>
    <s v="N/A"/>
    <s v="N/A"/>
    <s v="Jā"/>
    <s v="N/A"/>
    <s v="N/A"/>
    <s v="N/A"/>
    <s v="Jā"/>
    <s v="Jā"/>
    <s v="Nē"/>
    <s v="Nē"/>
    <s v="Nē"/>
    <s v="(gandrīz) nekad"/>
    <s v="(gandrīz) katru dienu"/>
    <s v="pāris reižu nedēļā"/>
    <s v="reizi nedēļā"/>
    <s v="pāris reižu nedēļā"/>
    <s v="pāris reižu nedēļā"/>
    <s v="(gandrīz) katru dienu"/>
    <s v="(gandrīz) katru dienu"/>
    <s v="(gandrīz) katru dienu"/>
    <s v="(gandrīz) katru dienu"/>
    <s v="(gandrīz) katru dienu"/>
    <s v="(gandrīz) katru dienu"/>
    <s v="(gandrīz) katru dienu"/>
    <s v="pāris reižu nedēļā"/>
    <s v="pilsoniskās brīvības (vārda brīvība, tiesības uz tiesisko aizsardzību)"/>
    <s v="varas līdzsvars starp parlamentu, prezidentu un tiesām, lai neviena no institūcijām nespētu sevī koncentrēt lielāko daļu varas"/>
    <s v="brīvas vēlēšanas un plurālisms"/>
    <m/>
    <m/>
    <s v="slikti"/>
    <s v="citreiz labi, citreiz slikti"/>
    <s v="labi"/>
    <s v="citreiz labi, citreiz slikti"/>
    <s v="citreiz labi, citreiz slikti"/>
    <s v="vidējo izglītību"/>
    <m/>
    <s v="N/A"/>
    <s v="N/A"/>
    <s v="N/A"/>
    <s v="Jā"/>
    <s v="krievu"/>
    <m/>
    <s v="latviešu"/>
    <m/>
    <s v="Spēju ilgstoši sarunāties ar vienaudžiem/piedalīties darba pārrunās."/>
    <s v="Spēju uzrakstīt vēstuli draugam."/>
    <s v="Viegli saprotu radio programmas / podkāstus par saviem hobijiem/darbības sfēru."/>
    <s v="Spēju izlasīt avīzi/īsstāstus."/>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Nē"/>
    <s v="Nē"/>
    <s v="Jā"/>
    <m/>
    <s v="Nē"/>
    <m/>
    <s v="Nē"/>
    <m/>
    <s v="Nē"/>
    <m/>
    <s v="Nē"/>
    <m/>
    <s v="Jā"/>
    <s v="Jā"/>
    <s v="Jā"/>
    <s v="Nē"/>
    <s v="Jā"/>
    <s v="Jā"/>
    <s v="Nē"/>
    <s v="Jā"/>
    <s v="Nē"/>
    <s v="Nē"/>
    <s v="Nē"/>
    <s v="Nē"/>
    <m/>
    <m/>
    <m/>
    <m/>
    <m/>
    <m/>
    <m/>
    <m/>
    <m/>
    <m/>
    <m/>
    <m/>
    <m/>
  </r>
  <r>
    <x v="0"/>
    <n v="315"/>
    <s v="2023-05-25 11:01:34"/>
    <n v="14"/>
    <s v="ru"/>
    <n v="2009293055"/>
    <s v="2023-05-25 10:46:05"/>
    <s v="2023-05-25 11:01:34"/>
    <s v="лодка "/>
    <n v="18"/>
    <s v="sieviešu"/>
    <m/>
    <x v="0"/>
    <x v="0"/>
    <x v="0"/>
    <x v="0"/>
    <x v="0"/>
    <x v="0"/>
    <s v="Rīgā/ Rīgas rajonā"/>
    <m/>
    <s v="ateistu(ti), nereliģiozu"/>
    <m/>
    <s v="Jā"/>
    <s v="Jā"/>
    <s v="Nē"/>
    <s v="Jā"/>
    <s v="Nē"/>
    <s v="Nē"/>
    <s v="Nē"/>
    <s v="Nē"/>
    <s v="Jā"/>
    <s v="Jā"/>
    <s v="Jā"/>
    <s v="Nē"/>
    <s v="Jā"/>
    <s v="Nē"/>
    <s v="Jā"/>
    <s v="Nē"/>
    <s v="Nē"/>
    <s v="Jā"/>
    <s v="Nē"/>
    <s v="Nē"/>
    <s v="Nē"/>
    <s v="Jā"/>
    <s v="Nē"/>
    <s v="Nē"/>
    <s v="Nē"/>
    <s v="Nē"/>
    <s v="Nē"/>
    <s v="Nē"/>
    <s v="ne a, ne b"/>
    <s v="tikai b"/>
    <s v="ne a, ne b"/>
    <s v="tikai a"/>
    <s v="tikai a"/>
    <s v="tikai b"/>
    <s v="Lielākoties nevienlīdzīgi"/>
    <s v="Lielākoties nevienlīdzīgi"/>
    <s v="Lielākoties nevienlīdzīgi"/>
    <s v="Lielākoties nevienlīdzīgi"/>
    <s v="Lielākoties nevienlīdzīgi"/>
    <s v="&quot;Progresīvie&quot;"/>
    <s v="&quot;Progresīvie&quot;"/>
    <s v="Politiskā partija &quot;Stabilitātei&quot;"/>
    <s v="Politiskā partija &quot;Stabilitātei&quot;"/>
    <s v="Politiskā partija &quot;Stabilitātei&quot;"/>
    <s v="&quot;Progresīvie&quot;"/>
    <s v="Politiskā partija &quot;Stabilitātei&quot;"/>
    <s v="Globālā sasilšana ir šķērsojusi robežu, pēc kuras nav iespējams atgriezties, un cilvēkiem būs jāpielāgojas."/>
    <s v="jā, lielāko daļu no tā, ko iespējams šķirot"/>
    <s v="Zaļo un Zemnieku savienība"/>
    <s v="Jaunā Vienotība"/>
    <s v="Zaļo un Zemnieku savienība"/>
    <s v="Zaļo un Zemnieku savienība"/>
    <s v="Nacionālā Apvienība"/>
    <s v="Zaļo un Zemnieku savienība"/>
    <s v="Zaļo un Zemnieku savienība"/>
    <s v="Nacionālā Apvienība"/>
    <s v="&quot;Progresīvie&quot;"/>
    <s v="Zaļo un Zemnieku savienība"/>
    <s v="&quot;Apvienotais saraksts&quot;"/>
    <s v="&quot;Progresīvie&quot;"/>
    <s v="Jaunā Vienotība"/>
    <s v="&quot;Latvija pirmajā vietā&quot;"/>
    <s v="Viduvēji"/>
    <s v="Ārkārtīgi"/>
    <s v="Ārkārtīgi"/>
    <s v="Ārkārtīgi"/>
    <s v="Политика"/>
    <s v="Nē"/>
    <s v="Nē"/>
    <s v="Nē"/>
    <s v="Jā"/>
    <s v="Jā"/>
    <s v="Jā"/>
    <s v="2.."/>
    <n v="77"/>
    <n v="23"/>
    <n v="88"/>
    <n v="1"/>
    <s v="Ļoti saspīlētas"/>
    <s v="Ļoti saspīlētas"/>
    <s v="Nav saspīlētas"/>
    <s v="Reti"/>
    <s v="(Gandrīz) nekad"/>
    <s v="(Gandrīz) nekad"/>
    <s v="(Gandrīz) nekad"/>
    <s v="(Gandrīz) nekad"/>
    <s v="Dažreiz"/>
    <s v="Dažreiz"/>
    <s v="Reti"/>
    <s v="Dažreiz"/>
    <s v="Bieži"/>
    <s v="Русский язык"/>
    <s v="nē"/>
    <s v="N/A"/>
    <s v="N/A"/>
    <s v="N/A"/>
    <s v="N/A"/>
    <s v="Jā"/>
    <s v="Nē"/>
    <s v="Jā"/>
    <s v="Nē"/>
    <s v="Jā"/>
    <s v="Nē"/>
    <s v="Nē"/>
    <s v="Nē"/>
    <s v="(gandrīz) katru dienu"/>
    <s v="(gandrīz) katru dienu"/>
    <s v="pāris reižu nedēļā"/>
    <s v="pāris reižu nedēļā"/>
    <s v="(gandrīz) nekad"/>
    <s v="reizi nedēļā"/>
    <s v="(gandrīz) katru dienu"/>
    <s v="(gandrīz) katru dienu"/>
    <s v="(gandrīz) katru dienu"/>
    <s v="(gandrīz) katru dienu"/>
    <s v="(gandrīz) katru dienu"/>
    <s v="(gandrīz) nekad"/>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knapi/gandrīz necik"/>
    <s v="slikti"/>
    <s v="slikti"/>
    <s v="slikti"/>
    <s v="knapi/gandrīz necik"/>
    <s v="vidējo izglītību"/>
    <m/>
    <s v="N/A"/>
    <s v="N/A"/>
    <s v="N/A"/>
    <s v="Jā"/>
    <s v="vienlīdz latviešu un krievu"/>
    <m/>
    <s v="vienlīdz latviešu un krievu"/>
    <m/>
    <s v="Spēju ilgstoši sarunāties ar vienaudžiem/piedalīties darba pārrunās."/>
    <s v="Spēju uzrakstīt garāku sacerējumu/ kursa darbu"/>
    <s v="Viegli saprotu televīzijas pārraides vai Youtube video par saviem hobijiem/darbības sfēru."/>
    <s v="Spēju izlasīt garus tekstus par vēstures, politikas un zinātnes tēmām."/>
    <m/>
    <m/>
    <m/>
    <m/>
    <m/>
    <m/>
    <m/>
    <m/>
    <m/>
    <m/>
    <m/>
    <m/>
    <m/>
    <m/>
    <m/>
    <m/>
    <m/>
    <s v="N/A"/>
    <s v="N/A"/>
    <s v="N/A"/>
    <s v="N/A"/>
    <s v="N/A"/>
    <s v="N/A"/>
    <m/>
    <m/>
    <m/>
    <m/>
    <m/>
    <s v="Nē"/>
    <s v="Jā"/>
    <s v="Nē"/>
    <s v="Jā"/>
    <s v="Nē"/>
    <s v="Nē"/>
    <s v="Nē"/>
    <s v="Nē"/>
    <s v="Nē"/>
    <s v="Nē"/>
    <s v="Nē"/>
    <s v="Nē"/>
    <s v="Nē"/>
    <s v="Nē"/>
    <s v="Nē"/>
    <m/>
    <s v="Nē"/>
    <m/>
    <s v="Nē"/>
    <m/>
    <s v="Nē"/>
    <m/>
    <s v="Nē"/>
    <m/>
    <s v="Nē"/>
    <s v="Nē"/>
    <s v="Nē"/>
    <s v="Nē"/>
    <s v="Nē"/>
    <s v="Nē"/>
    <s v="Nē"/>
    <s v="Nē"/>
    <s v="Nē"/>
    <s v="Nē"/>
    <s v="Nē"/>
    <s v="Nē"/>
    <s v="Jā"/>
    <s v="Nē"/>
    <s v="Nē"/>
    <m/>
    <s v="Nē"/>
    <m/>
    <s v="Nē"/>
    <m/>
    <s v="Nē"/>
    <m/>
    <s v="Nē"/>
    <m/>
    <s v="Jā"/>
    <s v="Jā"/>
    <s v="Nē"/>
    <s v="Nē"/>
    <s v="Jā"/>
    <s v="Jā"/>
    <s v="Nē"/>
    <s v="Nē"/>
    <s v="Nē"/>
    <s v="Nē"/>
    <s v="Nē"/>
    <s v="Nē"/>
    <m/>
    <s v="Достаточное количество вопросов, в которых не хватает пояснения. Приходится перечитывать вопрос по несколько раз, чтобы понять, что именно требуется"/>
    <m/>
    <m/>
    <m/>
    <m/>
    <m/>
    <m/>
    <m/>
    <m/>
    <m/>
    <m/>
    <m/>
  </r>
  <r>
    <x v="0"/>
    <n v="318"/>
    <s v="2023-05-25 11:13:40"/>
    <n v="14"/>
    <s v="lv"/>
    <n v="1820401016"/>
    <s v="2023-05-25 10:46:10"/>
    <s v="2023-05-25 11:13:40"/>
    <s v="ronis"/>
    <n v="17"/>
    <s v="vīriešu"/>
    <m/>
    <x v="1"/>
    <x v="1"/>
    <x v="0"/>
    <x v="0"/>
    <x v="0"/>
    <x v="0"/>
    <s v="Rīgā/ Rīgas rajonā"/>
    <m/>
    <s v="ateistu(ti), nereliģiozu"/>
    <m/>
    <s v="Nē"/>
    <s v="Jā"/>
    <s v="Nē"/>
    <s v="Nē"/>
    <s v="Nē"/>
    <s v="Nē"/>
    <s v="Nē"/>
    <s v="Nē"/>
    <s v="Nē"/>
    <s v="Nē"/>
    <s v="Nē"/>
    <s v="Nē"/>
    <s v="Jā"/>
    <s v="Nē"/>
    <s v="Nē"/>
    <s v="Nē"/>
    <s v="Jā"/>
    <s v="Nē"/>
    <s v="Nē"/>
    <s v="Nē"/>
    <s v="Nē"/>
    <s v="Nē"/>
    <s v="Nē"/>
    <s v="Nē"/>
    <s v="Nē"/>
    <s v="Jā"/>
    <s v="Nē"/>
    <s v="Nē"/>
    <s v="tikai b"/>
    <s v="tikai b"/>
    <s v="tikai a"/>
    <s v="tikai b"/>
    <s v="ne a, ne b"/>
    <s v="tikai a"/>
    <s v="Lielākoties vienlīdzīgi"/>
    <s v="Lielākoties vienlīdzīgi"/>
    <s v="Vienlīdzīgi"/>
    <s v="Vienlīdzīgi"/>
    <s v="Lielākoties vienlīdzīgi"/>
    <s v="Jaunā Vienotība"/>
    <s v="&quot;Progresīvie&quot;"/>
    <s v="Nacionālā Apvienība"/>
    <s v="&quot;Progresīvie&quot;"/>
    <s v="Zaļo un Zemnieku savienība"/>
    <s v="&quot;Progresīvie&quot;"/>
    <s v="Nacionālā Apvienība"/>
    <s v="Globālā sasilšana ir šķērsojusi robežu, pēc kuras nav iespējams atgriezties, un cilvēkiem būs jāpielāgojas."/>
    <s v="jā, daļu no tā, ko iespējams šķirot"/>
    <s v="Jaunā Vienotība"/>
    <s v="Zaļo un Zemnieku savienība"/>
    <s v="&quot;Progresīvie&quot;"/>
    <s v="&quot;Latvija pirmajā vietā&quot;"/>
    <s v="&quot;Progresīvie&quot;"/>
    <s v="Zaļo un Zemnieku savienība"/>
    <s v="Politiskā partija &quot;Stabilitātei&quot;"/>
    <s v="Nacionālā Apvienība"/>
    <s v="&quot;Progresīvie&quot;"/>
    <s v="Politiskā partija &quot;Stabilitātei&quot;"/>
    <s v="Politiskā partija &quot;Stabilitātei&quot;"/>
    <s v="&quot;Progresīvie&quot;"/>
    <s v="Jaunā Vienotība"/>
    <s v="&quot;Progresīvie&quot;"/>
    <s v="Viduvēji"/>
    <s v="Neinteresē"/>
    <s v="Ļoti"/>
    <s v="Neinteresē"/>
    <s v="Neesmu pārliecināts, tāpēc nezinu"/>
    <s v="Nē"/>
    <s v="Nē"/>
    <s v="Nē"/>
    <s v="Jā"/>
    <s v="Nē"/>
    <s v="Nē"/>
    <s v="1.."/>
    <n v="22"/>
    <n v="100"/>
    <m/>
    <m/>
    <s v="Mazliet saspīlētas"/>
    <s v="Nav saspīlētas"/>
    <s v="Nav saspīlētas"/>
    <s v="(Gandrīz) nekad"/>
    <s v="(Gandrīz) nekad"/>
    <s v="(Gandrīz) nekad"/>
    <s v="(Gandrīz) nekad"/>
    <s v="Reti"/>
    <m/>
    <m/>
    <m/>
    <m/>
    <m/>
    <s v="Tas ir tik reti, ka es īpaši neatceros. Bet tomēr biežāk tas notiek kad es izmantoju latviešu valodu krievju klātbūtnē"/>
    <s v="jā, privāta darba devēja labā"/>
    <s v="N/A"/>
    <s v="N/A"/>
    <s v="N/A"/>
    <s v="Jā"/>
    <s v="Nē"/>
    <s v="Nē"/>
    <s v="Jā"/>
    <s v="Nē"/>
    <s v="Nē"/>
    <s v="Nē"/>
    <s v="Jā"/>
    <s v="Nē"/>
    <s v="(gandrīz) katru dienu"/>
    <s v="(gandrīz) katru dienu"/>
    <s v="(gandrīz) katru dienu"/>
    <s v="pāris reižu nedēļā"/>
    <s v="pāris reižu nedēļā"/>
    <s v="pāris reižu nedēļā"/>
    <s v="(gandrīz) katru dienu"/>
    <s v="(gandrīz) katru dienu"/>
    <s v="(gandrīz) katru dienu"/>
    <s v="(gandrīz) katru dienu"/>
    <s v="(gandrīz) katru dienu"/>
    <s v="pāris reižu nedēļā"/>
    <s v="pāris reižu nedēļā"/>
    <s v="(gandrīz) katru dienu"/>
    <s v="pilsoniskās brīvības (vārda brīvība, tiesības uz tiesisko aizsardzību)"/>
    <s v="vienlīdz pieejama izglītība, veselības aprūpe, sociālais nodrošinājums"/>
    <s v="brīvas vēlēšanas un plurālisms"/>
    <m/>
    <m/>
    <s v="labi"/>
    <s v="labi"/>
    <s v="ļoti labi"/>
    <s v="labi"/>
    <s v="ļoti labi"/>
    <s v="vidējo izglītību"/>
    <m/>
    <s v="N/A"/>
    <s v="N/A"/>
    <s v="N/A"/>
    <s v="Jā"/>
    <s v="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Jā"/>
    <s v="Nē"/>
    <s v="Nē"/>
    <s v="Nē"/>
    <s v="Nē"/>
    <s v="Nē"/>
    <s v="Nē"/>
    <s v="Nē"/>
    <s v="Nē"/>
    <s v="Nē"/>
    <s v="Nē"/>
    <s v="Jā"/>
    <s v="Nē"/>
    <s v="Nē"/>
    <s v="Nē"/>
    <m/>
    <s v="Nē"/>
    <m/>
    <s v="Nē"/>
    <m/>
    <s v="Nē"/>
    <m/>
    <s v="Nē"/>
    <m/>
    <s v="Jā"/>
    <s v="Jā"/>
    <s v="Nē"/>
    <s v="Nē"/>
    <s v="Jā"/>
    <s v="Jā"/>
    <s v="Nē"/>
    <s v="Jā"/>
    <s v="Nē"/>
    <s v="Nē"/>
    <s v="Nē"/>
    <s v="Nē"/>
    <m/>
    <s v="Nav svarīgi kādā valodā tu runā, ir svarīgi kāds tu esi cilvēks. Mēs piedzimstam nevienlīdzīgi, ar dažādām dzīves sākumsituācijām, bet mums ir spēja padarīt pasuli labāku un laimīgaku, neatkarībā no tautības un politiskiem uzskatiem."/>
    <m/>
    <m/>
    <m/>
    <m/>
    <m/>
    <m/>
    <m/>
    <m/>
    <m/>
    <m/>
    <m/>
  </r>
  <r>
    <x v="0"/>
    <n v="319"/>
    <s v="2023-05-25 11:09:34"/>
    <n v="14"/>
    <s v="ru"/>
    <n v="1288739457"/>
    <s v="2023-05-25 10:46:19"/>
    <s v="2023-05-25 11:09:34"/>
    <s v="лодка"/>
    <n v="18"/>
    <s v="vīriešu"/>
    <m/>
    <x v="0"/>
    <x v="0"/>
    <x v="0"/>
    <x v="0"/>
    <x v="0"/>
    <x v="0"/>
    <s v="Rīgā/ Rīgas rajonā"/>
    <m/>
    <s v="pareizticīgo"/>
    <m/>
    <s v="Nē"/>
    <s v="Jā"/>
    <s v="Nē"/>
    <s v="Nē"/>
    <s v="Nē"/>
    <s v="Nē"/>
    <s v="Nē"/>
    <s v="Jā"/>
    <s v="Jā"/>
    <s v="Nē"/>
    <s v="Nē"/>
    <s v="Nē"/>
    <s v="Nē"/>
    <s v="Nē"/>
    <s v="N/A"/>
    <s v="N/A"/>
    <s v="N/A"/>
    <s v="N/A"/>
    <s v="N/A"/>
    <s v="N/A"/>
    <s v="Jā"/>
    <s v="Jā"/>
    <s v="Nē"/>
    <s v="Nē"/>
    <s v="Nē"/>
    <s v="Nē"/>
    <s v="Nē"/>
    <s v="Nē"/>
    <s v="nezinu"/>
    <s v="tikai a"/>
    <s v="tikai b"/>
    <s v="a un b"/>
    <s v="tikai b"/>
    <s v="tikai a"/>
    <s v="Lielākoties vienlīdzīgi"/>
    <s v="Vienlīdzīgi"/>
    <s v="Vienlīdzīgi"/>
    <s v="Vienlīdzīgi"/>
    <s v="Vienlīdzīgi"/>
    <s v="Nacionālā Apvienība"/>
    <s v="Jaunā Vienotība"/>
    <s v="&quot;Latvija pirmajā vietā&quot;"/>
    <s v="&quot;Latvija pirmajā vietā&quot;"/>
    <s v="Politiskā partija &quot;Stabilitātei&quot;"/>
    <s v="Jaunā Vienotība"/>
    <s v="Nacionālā Apvienība"/>
    <s v="Klimata pārmaiņas – tas ir ciklisks un dabisks process."/>
    <s v="nē"/>
    <s v="&quot;Apvienotais saraksts&quot;"/>
    <s v="&quot;Latvija pirmajā vietā&quot;"/>
    <s v="Jaunā Vienotība"/>
    <s v="Politiskā partija &quot;Stabilitātei&quot;"/>
    <s v="Nacionālā Apvienība"/>
    <s v="Zaļo un Zemnieku savienība"/>
    <s v="Politiskā partija &quot;Stabilitātei&quot;"/>
    <s v="&quot;Progresīvie&quot;"/>
    <s v="Jaunā Vienotība"/>
    <s v="Nacionālā Apvienība"/>
    <s v="Jaunā Vienotība"/>
    <s v="&quot;Latvija pirmajā vietā&quot;"/>
    <s v="&quot;Progresīvie&quot;"/>
    <s v="Jaunā Vienotība"/>
    <s v="Neinteresē"/>
    <s v="Neinteresē"/>
    <s v="Ārkārtīgi"/>
    <s v="Neinteresē"/>
    <s v="не знаю"/>
    <s v="Nē"/>
    <s v="Nē"/>
    <s v="Nē"/>
    <s v="Nē"/>
    <s v="Jā"/>
    <s v="Nē"/>
    <s v="2.."/>
    <n v="35"/>
    <n v="50"/>
    <n v="50"/>
    <n v="20"/>
    <s v="Mazliet saspīlētas"/>
    <s v="Mazliet saspīlētas"/>
    <s v="Nav saspīlētas"/>
    <s v="(Gandrīz) nekad"/>
    <s v="(Gandrīz) nekad"/>
    <s v="(Gandrīz) nekad"/>
    <s v="(Gandrīz) nekad"/>
    <s v="(Gandrīz) nekad"/>
    <s v="(Gandrīz) nekad"/>
    <s v="Reti"/>
    <s v="(Gandrīz) nekad"/>
    <s v="(Gandrīz) nekad"/>
    <s v="(Gandrīz) nekad"/>
    <s v="-"/>
    <s v="nē"/>
    <s v="N/A"/>
    <s v="N/A"/>
    <s v="N/A"/>
    <s v="N/A"/>
    <s v="Nē"/>
    <s v="Nē"/>
    <s v="Jā"/>
    <s v="Nē"/>
    <s v="N/A"/>
    <s v="N/A"/>
    <s v="N/A"/>
    <s v="Jā"/>
    <s v="pāris reižu nedēļā"/>
    <s v="(gandrīz) nekad"/>
    <s v="(gandrīz) nekad"/>
    <s v="(gandrīz) nekad"/>
    <s v="pāris reižu nedēļā"/>
    <s v="pāris reižu nedēļā"/>
    <s v="(gandrīz) katru dienu"/>
    <s v="(gandrīz) katru dienu"/>
    <s v="(gandrīz) katru dienu"/>
    <s v="(gandrīz) katru dienu"/>
    <s v="(gandrīz) katru dienu"/>
    <s v="(gandrīz) katru dienu"/>
    <s v="(gandrīz) katru dienu"/>
    <s v="(gandrīz) katru dienu"/>
    <s v="brīvas vēlēšanas un plurālisms"/>
    <s v="vienlīdzīgas tiesības minoritātēm un ievainojamām sabiedrības grupām"/>
    <s v="pilsoniskās brīvības (vārda brīvība, tiesības uz tiesisko aizsardzību)"/>
    <m/>
    <m/>
    <s v="slikti"/>
    <s v="slikti"/>
    <s v="labi"/>
    <s v="citreiz labi, citreiz slikti"/>
    <s v="citreiz labi, citreiz slikti"/>
    <s v="pamatizglītību"/>
    <m/>
    <s v="N/A"/>
    <s v="N/A"/>
    <s v="N/A"/>
    <s v="Jā"/>
    <s v="vienlīdz latviešu un krievu"/>
    <m/>
    <s v="latviešu"/>
    <m/>
    <s v="Spēju pastāstīt par savu hobiju / darbu."/>
    <s v="Spēju uzrakstīt motivācijas vēstuli darbam/ par savu darba pieredzi."/>
    <s v="Saprotu norādes, kur iet."/>
    <s v="Spēju izlasīt avīzi/īsstāstus."/>
    <m/>
    <m/>
    <m/>
    <m/>
    <m/>
    <m/>
    <m/>
    <m/>
    <m/>
    <m/>
    <m/>
    <m/>
    <m/>
    <m/>
    <m/>
    <m/>
    <m/>
    <s v="N/A"/>
    <s v="N/A"/>
    <s v="N/A"/>
    <s v="N/A"/>
    <s v="N/A"/>
    <s v="N/A"/>
    <m/>
    <m/>
    <m/>
    <m/>
    <m/>
    <s v="Nē"/>
    <s v="Nē"/>
    <s v="Nē"/>
    <s v="Nē"/>
    <s v="Nē"/>
    <s v="Nē"/>
    <s v="Nē"/>
    <s v="Nē"/>
    <s v="Nē"/>
    <s v="Nē"/>
    <s v="Jā"/>
    <s v="Nē"/>
    <s v="Nē"/>
    <s v="Nē"/>
    <s v="Nē"/>
    <m/>
    <s v="Nē"/>
    <m/>
    <s v="Nē"/>
    <m/>
    <s v="Nē"/>
    <m/>
    <s v="Nē"/>
    <m/>
    <s v="Nē"/>
    <s v="Nē"/>
    <s v="Nē"/>
    <s v="Nē"/>
    <s v="Nē"/>
    <s v="Nē"/>
    <s v="Nē"/>
    <s v="Nē"/>
    <s v="Nē"/>
    <s v="Nē"/>
    <s v="Nē"/>
    <s v="Nē"/>
    <s v="Jā"/>
    <s v="Nē"/>
    <s v="Nē"/>
    <m/>
    <s v="Nē"/>
    <m/>
    <s v="Nē"/>
    <m/>
    <s v="Nē"/>
    <m/>
    <s v="Nē"/>
    <m/>
    <s v="Jā"/>
    <s v="Jā"/>
    <s v="Nē"/>
    <s v="Nē"/>
    <s v="Jā"/>
    <s v="Jā"/>
    <s v="Nē"/>
    <s v="Jā"/>
    <s v="Nē"/>
    <s v="Nē"/>
    <s v="Nē"/>
    <s v="Nē"/>
    <m/>
    <m/>
    <m/>
    <m/>
    <m/>
    <m/>
    <m/>
    <m/>
    <m/>
    <m/>
    <m/>
    <m/>
    <m/>
  </r>
  <r>
    <x v="0"/>
    <n v="320"/>
    <s v="2023-05-25 11:15:28"/>
    <n v="14"/>
    <s v="lv"/>
    <n v="281476597"/>
    <s v="2023-05-25 10:46:21"/>
    <s v="2023-05-25 11:15:28"/>
    <s v="лодка"/>
    <n v="16"/>
    <s v="sieviešu"/>
    <m/>
    <x v="0"/>
    <x v="0"/>
    <x v="0"/>
    <x v="0"/>
    <x v="0"/>
    <x v="0"/>
    <s v="Rīgā/ Rīgas rajonā"/>
    <m/>
    <s v="katoli(ieti)"/>
    <m/>
    <s v="Nē"/>
    <s v="Jā"/>
    <s v="Nē"/>
    <s v="Nē"/>
    <s v="Nē"/>
    <s v="Nē"/>
    <s v="Nē"/>
    <s v="Nē"/>
    <s v="Jā"/>
    <s v="Nē"/>
    <s v="Nē"/>
    <s v="Jā"/>
    <s v="Nē"/>
    <s v="Nē"/>
    <s v="Nē"/>
    <s v="Jā"/>
    <s v="Nē"/>
    <s v="Nē"/>
    <s v="Nē"/>
    <s v="Nē"/>
    <s v="Nē"/>
    <s v="Nē"/>
    <s v="Nē"/>
    <s v="Jā"/>
    <s v="Nē"/>
    <s v="Jā"/>
    <s v="Jā"/>
    <s v="Nē"/>
    <s v="ne a, ne b"/>
    <s v="tikai b"/>
    <s v="ne a, ne b"/>
    <s v="tikai b"/>
    <s v="tikai a"/>
    <s v="nezinu"/>
    <s v="Lielākoties vienlīdzīgi"/>
    <s v="Lielākoties nevienlīdzīgi"/>
    <s v="Vienlīdzīgi"/>
    <s v="Vienlīdzīgi"/>
    <s v="Nevienlīdzīgi"/>
    <s v="&quot;Latvija pirmajā vietā&quot;"/>
    <s v="Nacionālā Apvienība"/>
    <s v="&quot;Latvija pirmajā vietā&quot;"/>
    <s v="Politiskā partija &quot;Stabilitātei&quot;"/>
    <s v="Nacionālā Apvienība"/>
    <s v="Jaunā Vienotība"/>
    <s v="Politiskā partija &quot;Stabilitātei&quot;"/>
    <s v="Reizēm ekonomiskā un valsts stabilitāte varētu nozīmēt, ka atsevišķi ekoloģiskās politikas aspekti ir uz brīdi jāiepauzē."/>
    <s v="nē"/>
    <s v="Nacionālā Apvienība"/>
    <s v="&quot;Progresīvie&quot;"/>
    <s v="&quot;Latvija pirmajā vietā&quot;"/>
    <s v="Nacionālā Apvienība"/>
    <s v="Nacionālā Apvienība"/>
    <s v="Zaļo un Zemnieku savienība"/>
    <s v="Politiskā partija &quot;Stabilitātei&quot;"/>
    <s v="Jaunā Vienotība"/>
    <s v="&quot;Latvija pirmajā vietā&quot;"/>
    <s v="Nacionālā Apvienība"/>
    <s v="Politiskā partija &quot;Stabilitātei&quot;"/>
    <s v="&quot;Apvienotais saraksts&quot;"/>
    <s v="Jaunā Vienotība"/>
    <s v="&quot;Latvija pirmajā vietā&quot;"/>
    <s v="Ļoti"/>
    <s v="Ne sevišķi"/>
    <s v="Viduvēji"/>
    <s v="Ļoti"/>
    <s v="не знаю"/>
    <s v="Jā"/>
    <s v="Nē"/>
    <s v="Nē"/>
    <s v="Nē"/>
    <s v="Nē"/>
    <s v="Nē"/>
    <s v="2.."/>
    <n v="73"/>
    <n v="8"/>
    <n v="80"/>
    <n v="25"/>
    <s v="Drīzāk saspīlētas"/>
    <s v="Nav saspīlētas"/>
    <s v="Nav saspīlētas"/>
    <s v="(Gandrīz) nekad"/>
    <s v="Reti"/>
    <s v="Dažreiz"/>
    <s v="(Gandrīz) nekad"/>
    <s v="Dažreiz"/>
    <s v="(Gandrīz) nekad"/>
    <s v="Bieži"/>
    <s v="Reti"/>
    <s v="(Gandrīz) nekad"/>
    <s v="Bieži"/>
    <s v="Во время обучения в школе хотела высказывать и доносить свои мысли русским на русском языке, нежели кое-как на латышском"/>
    <s v="nē"/>
    <s v="N/A"/>
    <s v="N/A"/>
    <s v="N/A"/>
    <s v="N/A"/>
    <s v="Jā"/>
    <s v="Nē"/>
    <s v="Jā"/>
    <s v="Nē"/>
    <s v="N/A"/>
    <s v="N/A"/>
    <s v="N/A"/>
    <s v="Jā"/>
    <s v="(gandrīz) nekad"/>
    <s v="(gandrīz) katru dienu"/>
    <s v="(gandrīz) nekad"/>
    <s v="(gandrīz) nekad"/>
    <s v="(gandrīz) nekad"/>
    <s v="(gandrīz) nekad"/>
    <s v="pāris reižu nedēļā"/>
    <s v="(gandrīz) katru dienu"/>
    <s v="(gandrīz) katru dienu"/>
    <s v="(gandrīz) katru dienu"/>
    <s v="(gandrīz) katru dienu"/>
    <s v="(gandrīz) katru dienu"/>
    <s v="(gandrīz) katru dienu"/>
    <s v="pāris reižu nedēļā"/>
    <s v="pilsoniskās brīvības (vārda brīvība, tiesības uz tiesisko aizsardzību)"/>
    <s v="brīvas vēlēšanas un plurālisms"/>
    <s v="vienlīdz pieejama izglītība, veselības aprūpe, sociālais nodrošinājums"/>
    <m/>
    <m/>
    <s v="slikti"/>
    <s v="slikti"/>
    <s v="labi"/>
    <s v="citreiz labi, citreiz slikti"/>
    <s v="knapi/gandrīz necik"/>
    <s v="vidējo izglītību"/>
    <m/>
    <s v="N/A"/>
    <s v="N/A"/>
    <s v="N/A"/>
    <s v="Jā"/>
    <s v="vienlīdz latviešu un krievu"/>
    <m/>
    <s v="latviešu"/>
    <m/>
    <s v="Spēju pastāstīt par savu hobiju / darbu."/>
    <s v="Spēju uzrakstīt motivācijas vēstuli darbam/ par savu darba pieredzi."/>
    <s v="Viegli saprotu radio programmas / podkāstus par saviem hobijiem/darbības sfēru."/>
    <s v="Spēju izlasīt avīzi/īsstāstus."/>
    <m/>
    <m/>
    <m/>
    <m/>
    <m/>
    <m/>
    <m/>
    <m/>
    <m/>
    <m/>
    <m/>
    <m/>
    <m/>
    <m/>
    <m/>
    <m/>
    <m/>
    <s v="N/A"/>
    <s v="N/A"/>
    <s v="N/A"/>
    <s v="N/A"/>
    <s v="N/A"/>
    <s v="N/A"/>
    <m/>
    <m/>
    <m/>
    <m/>
    <m/>
    <s v="Nē"/>
    <s v="Nē"/>
    <s v="Nē"/>
    <s v="Jā"/>
    <s v="Nē"/>
    <s v="Nē"/>
    <s v="Nē"/>
    <s v="Nē"/>
    <s v="Nē"/>
    <s v="Nē"/>
    <s v="Nē"/>
    <s v="Nē"/>
    <s v="Nē"/>
    <s v="Nē"/>
    <s v="Nē"/>
    <m/>
    <s v="Nē"/>
    <m/>
    <s v="Nē"/>
    <m/>
    <s v="Nē"/>
    <m/>
    <s v="Nē"/>
    <m/>
    <s v="Nē"/>
    <s v="Nē"/>
    <s v="Nē"/>
    <s v="Nē"/>
    <s v="Nē"/>
    <s v="Nē"/>
    <s v="Nē"/>
    <s v="Nē"/>
    <s v="Nē"/>
    <s v="Nē"/>
    <s v="Nē"/>
    <s v="Nē"/>
    <s v="Nē"/>
    <s v="Nē"/>
    <s v="Jā"/>
    <m/>
    <s v="Nē"/>
    <m/>
    <s v="Nē"/>
    <m/>
    <s v="Nē"/>
    <m/>
    <s v="Nē"/>
    <m/>
    <s v="Jā"/>
    <s v="Jā"/>
    <s v="Jā"/>
    <s v="Nē"/>
    <s v="Jā"/>
    <s v="Jā"/>
    <s v="Nē"/>
    <s v="Jā"/>
    <s v="Nē"/>
    <s v="Nē"/>
    <s v="Nē"/>
    <s v="Nē"/>
    <m/>
    <m/>
    <m/>
    <m/>
    <m/>
    <m/>
    <m/>
    <m/>
    <m/>
    <m/>
    <m/>
    <m/>
    <m/>
  </r>
  <r>
    <x v="0"/>
    <n v="321"/>
    <s v="2023-05-25 11:08:32"/>
    <n v="14"/>
    <s v="ru"/>
    <n v="1979374456"/>
    <s v="2023-05-25 10:46:26"/>
    <s v="2023-05-25 11:08:32"/>
    <s v="лодка"/>
    <n v="17"/>
    <s v="vīriešu"/>
    <m/>
    <x v="0"/>
    <x v="0"/>
    <x v="0"/>
    <x v="0"/>
    <x v="0"/>
    <x v="0"/>
    <s v="Rīgā/ Rīgas rajonā"/>
    <m/>
    <s v="pareizticīgo"/>
    <m/>
    <s v="Jā"/>
    <s v="Jā"/>
    <s v="Nē"/>
    <s v="Nē"/>
    <s v="Nē"/>
    <s v="Nē"/>
    <s v="Nē"/>
    <s v="Nē"/>
    <s v="Nē"/>
    <s v="Nē"/>
    <s v="Nē"/>
    <s v="Jā"/>
    <s v="Jā"/>
    <s v="Nē"/>
    <s v="N/A"/>
    <s v="N/A"/>
    <s v="N/A"/>
    <s v="N/A"/>
    <s v="N/A"/>
    <s v="N/A"/>
    <s v="Jā"/>
    <s v="Jā"/>
    <s v="Jā"/>
    <s v="Nē"/>
    <s v="Jā"/>
    <s v="Nē"/>
    <s v="Nē"/>
    <s v="Nē"/>
    <s v="nezinu"/>
    <s v="tikai a"/>
    <s v="tikai a"/>
    <s v="a un b"/>
    <s v="tikai b"/>
    <s v="a un b"/>
    <s v="Lielākoties vienlīdzīgi"/>
    <s v="Lielākoties nevienlīdzīgi"/>
    <s v="Vienlīdzīgi"/>
    <s v="Vienlīdzīgi"/>
    <s v="Lielākoties nevienlīdzīgi"/>
    <s v="Jaunā Vienotība"/>
    <s v="Nacionālā Apvienība"/>
    <s v="Jaunā Vienotība"/>
    <s v="nezinu"/>
    <s v="&quot;Latvija pirmajā vietā&quot;"/>
    <s v="Politiskā partija &quot;Stabilitātei&quot;"/>
    <s v="&quot;Apvienotais saraksts&quot;"/>
    <s v="Globālā sasilšana ir šķērsojusi robežu, pēc kuras nav iespējams atgriezties, un cilvēkiem būs jāpielāgojas."/>
    <s v="jā, lielāko daļu no tā, ko iespējams šķirot"/>
    <s v="Zaļo un Zemnieku savienība"/>
    <s v="Zaļo un Zemnieku savienība"/>
    <s v="Politiskā partija &quot;Stabilitātei&quot;"/>
    <s v="&quot;Latvija pirmajā vietā&quot;"/>
    <s v="Politiskā partija &quot;Stabilitātei&quot;"/>
    <s v="Zaļo un Zemnieku savienība"/>
    <s v="&quot;Apvienotais saraksts&quot;"/>
    <s v="Jaunā Vienotība"/>
    <s v="nezinu"/>
    <s v="Zaļo un Zemnieku savienība"/>
    <s v="nezinu"/>
    <s v="Nacionālā Apvienība"/>
    <s v="Nacionālā Apvienība"/>
    <s v="Politiskā partija &quot;Stabilitātei&quot;"/>
    <s v="Ne sevišķi"/>
    <s v="Neinteresē"/>
    <s v="Ne sevišķi"/>
    <s v="Neinteresē"/>
    <s v="Не знаю"/>
    <s v="Nē"/>
    <s v="Jā"/>
    <s v="Nē"/>
    <s v="Nē"/>
    <s v="Nē"/>
    <s v="Nē"/>
    <s v="1.."/>
    <n v="17"/>
    <n v="77"/>
    <n v="82"/>
    <n v="12"/>
    <s v="Mazliet saspīlētas"/>
    <s v="Nav saspīlētas"/>
    <s v="Nav saspīlētas"/>
    <s v="Reti"/>
    <s v="Reti"/>
    <s v="(Gandrīz) nekad"/>
    <s v="(Gandrīz) nekad"/>
    <s v="Reti"/>
    <s v="Dažreiz"/>
    <s v="Reti"/>
    <s v="(Gandrīz) nekad"/>
    <s v="(Gandrīz) nekad"/>
    <s v="Dažreiz"/>
    <s v="Пришёл на почту забирать посылку."/>
    <s v="nē"/>
    <s v="N/A"/>
    <s v="N/A"/>
    <s v="N/A"/>
    <s v="N/A"/>
    <s v="N/A"/>
    <s v="N/A"/>
    <s v="N/A"/>
    <s v="Jā"/>
    <s v="N/A"/>
    <s v="N/A"/>
    <s v="N/A"/>
    <s v="Jā"/>
    <s v="pāris reižu mēnesī"/>
    <s v="pāris reižu nedēļā"/>
    <s v="(gandrīz) nekad"/>
    <s v="(gandrīz) katru dienu"/>
    <s v="(gandrīz) katru dienu"/>
    <s v="(gandrīz) katru dienu"/>
    <s v="reizi nedēļā"/>
    <s v="(gandrīz) katru dienu"/>
    <s v="(gandrīz) katru dienu"/>
    <s v="(gandrīz) nekad"/>
    <s v="(gandrīz) katru dienu"/>
    <s v="pāris reižu nedēļā"/>
    <s v="(gandrīz) katru dienu"/>
    <s v="pāris reižu nedēļā"/>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labi"/>
    <s v="labi"/>
    <s v="labi"/>
    <s v="labi"/>
    <s v="labi"/>
    <s v="vidējo izglītību"/>
    <m/>
    <s v="Nē"/>
    <s v="Jā"/>
    <s v="Nē"/>
    <s v="Nē"/>
    <s v="latviešu"/>
    <m/>
    <s v="latviešu"/>
    <m/>
    <s v="Spēju ilgstoši sarunāties ar vienaudžiem/piedalīties darba pārrunās."/>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Jā"/>
    <s v="Nē"/>
    <s v="Nē"/>
    <s v="Nē"/>
    <s v="Nē"/>
    <s v="Nē"/>
    <s v="Nē"/>
    <s v="Nē"/>
    <s v="Nē"/>
    <s v="Jā"/>
    <s v="Nē"/>
    <s v="Nē"/>
    <s v="Nē"/>
    <m/>
    <s v="Nē"/>
    <m/>
    <s v="Nē"/>
    <m/>
    <s v="Nē"/>
    <m/>
    <s v="Nē"/>
    <m/>
    <s v="Jā"/>
    <s v="Nē"/>
    <s v="Jā"/>
    <s v="Nē"/>
    <s v="Nē"/>
    <s v="Nē"/>
    <s v="Nē"/>
    <s v="Nē"/>
    <s v="Nē"/>
    <s v="Nē"/>
    <s v="Nē"/>
    <s v="Jā"/>
    <s v="Jā"/>
    <s v="Nē"/>
    <s v="Nē"/>
    <m/>
    <s v="Nē"/>
    <m/>
    <s v="Nē"/>
    <m/>
    <s v="Nē"/>
    <m/>
    <s v="Nē"/>
    <m/>
    <s v="Jā"/>
    <s v="Jā"/>
    <s v="Nē"/>
    <s v="Nē"/>
    <s v="Jā"/>
    <s v="Jā"/>
    <s v="Nē"/>
    <s v="Jā"/>
    <s v="Nē"/>
    <s v="Nē"/>
    <s v="Nē"/>
    <s v="Nē"/>
    <m/>
    <m/>
    <m/>
    <m/>
    <m/>
    <m/>
    <m/>
    <m/>
    <m/>
    <m/>
    <m/>
    <m/>
    <m/>
  </r>
  <r>
    <x v="0"/>
    <n v="322"/>
    <s v="2023-05-25 11:02:19"/>
    <n v="14"/>
    <s v="ru"/>
    <n v="1294923964"/>
    <s v="2023-05-25 10:46:29"/>
    <s v="2023-05-25 11:02:19"/>
    <s v="ronis"/>
    <n v="18"/>
    <s v="sieviešu"/>
    <m/>
    <x v="0"/>
    <x v="0"/>
    <x v="0"/>
    <x v="0"/>
    <x v="0"/>
    <x v="0"/>
    <s v="Rīgā/ Rīgas rajonā"/>
    <m/>
    <s v="pareizticīgo"/>
    <m/>
    <s v="Jā"/>
    <s v="Jā"/>
    <s v="Nē"/>
    <s v="Nē"/>
    <s v="Nē"/>
    <s v="Nē"/>
    <s v="Nē"/>
    <s v="Nē"/>
    <s v="Jā"/>
    <s v="Jā"/>
    <s v="Nē"/>
    <s v="Nē"/>
    <s v="Jā"/>
    <s v="Nē"/>
    <s v="Jā"/>
    <s v="Nē"/>
    <s v="Nē"/>
    <s v="Jā"/>
    <s v="Nē"/>
    <s v="Nē"/>
    <s v="Nē"/>
    <s v="Nē"/>
    <s v="Jā"/>
    <s v="Jā"/>
    <s v="Jā"/>
    <s v="Jā"/>
    <s v="Jā"/>
    <s v="Nē"/>
    <s v="tikai a"/>
    <s v="a un b"/>
    <s v="a un b"/>
    <s v="a un b"/>
    <s v="tikai b"/>
    <s v="a un b"/>
    <s v="Lielākoties vienlīdzīgi"/>
    <s v="Lielākoties vienlīdzīgi"/>
    <s v="Vienlīdzīgi"/>
    <s v="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Neinteresē"/>
    <s v="Ārkārtīgi"/>
    <s v="Viduvēji"/>
    <s v="Распространение какой-то информации."/>
    <s v="Jā"/>
    <s v="Nē"/>
    <s v="Nē"/>
    <s v="Jā"/>
    <s v="Jā"/>
    <s v="Nē"/>
    <s v="1....."/>
    <n v="85"/>
    <n v="20"/>
    <n v="80"/>
    <n v="1"/>
    <s v="Ļoti saspīlētas"/>
    <s v="Ļoti saspīlētas"/>
    <s v="Drīzāk saspīlētas"/>
    <s v="Bieži"/>
    <s v="Reti"/>
    <s v="Dažreiz"/>
    <s v="Dažreiz"/>
    <s v="Dažreiz"/>
    <s v="Bieži"/>
    <s v="Dažreiz"/>
    <s v="Dažreiz"/>
    <s v="Dažreiz"/>
    <s v="Dažreiz"/>
    <m/>
    <s v="nē"/>
    <s v="N/A"/>
    <s v="N/A"/>
    <s v="N/A"/>
    <s v="N/A"/>
    <s v="N/A"/>
    <s v="N/A"/>
    <s v="N/A"/>
    <s v="Jā"/>
    <s v="N/A"/>
    <s v="N/A"/>
    <s v="N/A"/>
    <s v="Jā"/>
    <s v="(gandrīz) nekad"/>
    <s v="(gandrīz) katru dienu"/>
    <s v="(gandrīz) katru dienu"/>
    <s v="pāris reižu nedēļā"/>
    <s v="(gandrīz) nekad"/>
    <s v="(gandrīz) nekad"/>
    <s v="(gandrīz) katru dienu"/>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īgas tiesības minoritātēm un ievainojamām sabiedrības grupām"/>
    <m/>
    <m/>
    <s v="slikti"/>
    <s v="slikti"/>
    <s v="labi"/>
    <s v="slikti"/>
    <s v="knapi/gandrīz necik"/>
    <s v="pamatizglītību"/>
    <m/>
    <s v="Nē"/>
    <s v="Jā"/>
    <s v="Nē"/>
    <s v="Nē"/>
    <s v="latvieš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0"/>
    <n v="323"/>
    <s v="2023-05-25 11:00:14"/>
    <n v="14"/>
    <s v="ru"/>
    <n v="1088125311"/>
    <s v="2023-05-25 10:46:34"/>
    <s v="2023-05-25 11:00:14"/>
    <s v="лодка"/>
    <n v="18"/>
    <s v="vīriešu"/>
    <m/>
    <x v="0"/>
    <x v="0"/>
    <x v="0"/>
    <x v="0"/>
    <x v="0"/>
    <x v="0"/>
    <s v="Cita atbilde"/>
    <s v="Не знаю"/>
    <s v="ateistu(ti), nereliģiozu"/>
    <m/>
    <s v="Nē"/>
    <s v="Jā"/>
    <s v="Nē"/>
    <s v="Nē"/>
    <s v="Nē"/>
    <s v="Nē"/>
    <s v="Nē"/>
    <s v="Nē"/>
    <s v="Nē"/>
    <s v="Nē"/>
    <s v="Nē"/>
    <s v="Nē"/>
    <s v="Jā"/>
    <s v="Nē"/>
    <s v="Nē"/>
    <s v="Nē"/>
    <s v="Nē"/>
    <s v="Jā"/>
    <s v="Nē"/>
    <s v="Nē"/>
    <s v="Nē"/>
    <s v="Jā"/>
    <s v="Jā"/>
    <s v="Nē"/>
    <s v="Jā"/>
    <s v="Nē"/>
    <s v="Nē"/>
    <s v="Nē"/>
    <s v="tikai b"/>
    <s v="nezinu"/>
    <s v="nezinu"/>
    <s v="nezinu"/>
    <s v="nezinu"/>
    <s v="nezinu"/>
    <s v="Lielākoties vienlīdzīgi"/>
    <s v="Lielākoties vienlīdzīgi"/>
    <s v="Vienlīdzīgi"/>
    <s v="Vienlīdzīgi"/>
    <s v="Vienlīdzīgi"/>
    <s v="&quot;Apvienotais saraksts&quot;"/>
    <s v="&quot;Progresīvie&quot;"/>
    <s v="Jaunā Vienotība"/>
    <s v="Jaunā Vienotība"/>
    <s v="nezinu"/>
    <s v="nezinu"/>
    <s v="nezinu"/>
    <s v="Reizēm ekonomiskā un valsts stabilitāte varētu nozīmēt, ka atsevišķi ekoloģiskās politikas aspekti ir uz brīdi jāiepauzē."/>
    <s v="jā, lielāko daļu no tā, ko iespējams šķirot"/>
    <s v="Zaļo un Zemnieku savienība"/>
    <s v="Zaļo un Zemnieku savienība"/>
    <s v="Zaļo un Zemnieku savienība"/>
    <s v="Zaļo un Zemnieku savienība"/>
    <s v="Jaunā Vienotība"/>
    <s v="Zaļo un Zemnieku savienība"/>
    <s v="Nacionālā Apvienība"/>
    <s v="Jaunā Vienotība"/>
    <s v="Jaunā Vienotība"/>
    <s v="&quot;Latvija pirmajā vietā&quot;"/>
    <s v="Nacionālā Apvienība"/>
    <s v="nezinu"/>
    <s v="nezinu"/>
    <s v="nezinu"/>
    <s v="Viduvēji"/>
    <s v="Neinteresē"/>
    <s v="Viduvēji"/>
    <s v="Viduvēji"/>
    <s v="Не знаю"/>
    <s v="Nē"/>
    <s v="Nē"/>
    <s v="Nē"/>
    <s v="Nē"/>
    <s v="Jā"/>
    <s v="Nē"/>
    <s v="1.."/>
    <n v="85"/>
    <n v="39"/>
    <n v="80"/>
    <n v="50"/>
    <s v="Mazliet saspīlētas"/>
    <s v="Mazliet saspīlētas"/>
    <s v="Nav saspīlētas"/>
    <s v="Reti"/>
    <s v="(Gandrīz) nekad"/>
    <s v="(Gandrīz) nekad"/>
    <s v="(Gandrīz) nekad"/>
    <s v="Dažreiz"/>
    <s v="(Gandrīz) nekad"/>
    <s v="(Gandrīz) nekad"/>
    <s v="(Gandrīz) nekad"/>
    <s v="(Gandrīz) nekad"/>
    <s v="Dažreiz"/>
    <m/>
    <s v="nē"/>
    <s v="N/A"/>
    <s v="N/A"/>
    <s v="N/A"/>
    <s v="N/A"/>
    <s v="N/A"/>
    <s v="N/A"/>
    <s v="N/A"/>
    <s v="Jā"/>
    <s v="N/A"/>
    <s v="N/A"/>
    <s v="N/A"/>
    <s v="Jā"/>
    <s v="(gandrīz) nekad"/>
    <s v="(gandrīz) nekad"/>
    <s v="(gandrīz) nekad"/>
    <s v="(gandrīz) nekad"/>
    <s v="(gandrīz) nekad"/>
    <s v="(gandrīz) nekad"/>
    <s v="(gandrīz) katru dienu"/>
    <s v="(gandrīz) nekad"/>
    <s v="(gandrīz) nekad"/>
    <s v="(gandrīz) nekad"/>
    <s v="(gandrīz) nekad"/>
    <s v="(gandrīz) nekad"/>
    <s v="(gandrīz) nekad"/>
    <s v="pāris reižu nedēļā"/>
    <s v="brīvas vēlēšanas un plurālisms"/>
    <s v="vienlīdz pieejama izglītība, veselības aprūpe, sociālais nodrošinājums"/>
    <s v="varas līdzsvars starp parlamentu, prezidentu un tiesām, lai neviena no institūcijām nespētu sevī koncentrēt lielāko daļu varas"/>
    <m/>
    <m/>
    <s v="citreiz labi, citreiz slikti"/>
    <s v="slikti"/>
    <s v="labi"/>
    <s v="labi"/>
    <s v="citreiz labi, citreiz slikti"/>
    <s v="vidējo izglītību"/>
    <m/>
    <s v="N/A"/>
    <s v="N/A"/>
    <s v="N/A"/>
    <s v="Jā"/>
    <s v="vienlīdz latviešu un krievu"/>
    <m/>
    <s v="latviešu"/>
    <m/>
    <s v="Spēju ilgstoši sarunāties ar vienaudžiem/piedalīties darba pārrunās."/>
    <s v="Spēju uzrakstīt motivācijas vēstuli darbam/ par savu darba pieredzi."/>
    <s v="Viegli saprotu televīzijas pārraides vai Youtube video par saviem hobijiem/darbības sfēru."/>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Jā"/>
    <s v="Jā"/>
    <s v="Jā"/>
    <s v="Nē"/>
    <s v="Jā"/>
    <s v="Nē"/>
    <s v="Nē"/>
    <s v="Jā"/>
    <s v="Nē"/>
    <m/>
    <m/>
    <m/>
    <m/>
    <m/>
    <m/>
    <m/>
    <m/>
    <m/>
    <m/>
    <m/>
    <m/>
    <m/>
  </r>
  <r>
    <x v="0"/>
    <n v="324"/>
    <s v="2023-05-25 11:00:58"/>
    <n v="14"/>
    <s v="ru"/>
    <n v="1687438203"/>
    <s v="2023-05-25 10:46:41"/>
    <s v="2023-05-25 11:00:58"/>
    <s v="ronis"/>
    <n v="18"/>
    <s v="vīriešu"/>
    <m/>
    <x v="0"/>
    <x v="0"/>
    <x v="0"/>
    <x v="0"/>
    <x v="0"/>
    <x v="0"/>
    <s v="Cita atbilde"/>
    <s v="Kalngale"/>
    <s v="ateistu(ti), nereliģiozu"/>
    <m/>
    <s v="Nē"/>
    <s v="Jā"/>
    <s v="Nē"/>
    <s v="Nē"/>
    <s v="Nē"/>
    <s v="Nē"/>
    <s v="Nē"/>
    <s v="Jā"/>
    <s v="Nē"/>
    <s v="Nē"/>
    <s v="Nē"/>
    <s v="Nē"/>
    <s v="Nē"/>
    <s v="Nē"/>
    <s v="Jā"/>
    <s v="Nē"/>
    <s v="Nē"/>
    <s v="Nē"/>
    <s v="Nē"/>
    <s v="Nē"/>
    <s v="Nē"/>
    <s v="Jā"/>
    <s v="Nē"/>
    <s v="Nē"/>
    <s v="Nē"/>
    <s v="Nē"/>
    <s v="Nē"/>
    <s v="Nē"/>
    <s v="nezinu"/>
    <s v="a un b"/>
    <s v="nezinu"/>
    <s v="nezinu"/>
    <s v="nezinu"/>
    <s v="nezinu"/>
    <s v="Lielākoties vienlīdzīgi"/>
    <s v="Lielākoties nevienlīdzīgi"/>
    <s v="Vienlīdzīgi"/>
    <s v="Vienlīdzīgi"/>
    <s v="Lielākoties vienlīdzīgi"/>
    <s v="Nacionālā Apvienība"/>
    <s v="nezinu"/>
    <s v="Nacionālā Apvienība"/>
    <s v="Nacionālā Apvienība"/>
    <s v="Nacionālā Apvienība"/>
    <s v="Nacionālā Apvienība"/>
    <s v="Nacionālā Apvienība"/>
    <s v="Cīņai ar klimata pārmaiņām būtu jābūt vairumam pasaules valstu galvenajai prioritātei."/>
    <s v="jā, visu, ko iespējams šķirot"/>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Zaļo un Zemnieku savienība"/>
    <s v="Viduvēji"/>
    <s v="Neinteresē"/>
    <s v="Viduvēji"/>
    <s v="Viduvēji"/>
    <s v="В душе не знаю"/>
    <s v="Nē"/>
    <s v="Jā"/>
    <s v="Nē"/>
    <s v="Nē"/>
    <s v="Nē"/>
    <s v="Nē"/>
    <s v="2.."/>
    <n v="100"/>
    <n v="1"/>
    <n v="50"/>
    <n v="19"/>
    <s v="Drīzāk saspīlētas"/>
    <s v="Mazliet saspīlētas"/>
    <s v="Mazliet saspīlētas"/>
    <s v="Bieži"/>
    <s v="Dažreiz"/>
    <s v="Bieži"/>
    <s v="Bieži"/>
    <s v="Bieži"/>
    <s v="Bieži"/>
    <s v="Bieži"/>
    <s v="Bieži"/>
    <s v="Bieži"/>
    <s v="Bieži"/>
    <s v="Когда хотел найти туалет ,но понятия не имел как это на арабском ."/>
    <s v="nē"/>
    <s v="N/A"/>
    <s v="N/A"/>
    <s v="N/A"/>
    <s v="N/A"/>
    <s v="Jā"/>
    <s v="Nē"/>
    <s v="Nē"/>
    <s v="Nē"/>
    <s v="Jā"/>
    <s v="Nē"/>
    <s v="Nē"/>
    <s v="Nē"/>
    <s v="reizi nedēļā"/>
    <s v="pāris reižu nedēļā"/>
    <s v="(gandrīz) nekad"/>
    <s v="(gandrīz) nekad"/>
    <s v="(gandrīz) nekad"/>
    <s v="(gandrīz) nekad"/>
    <s v="reizi nedēļā"/>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citreiz labi, citreiz slikti"/>
    <s v="citreiz labi, citreiz slikti"/>
    <s v="slikti"/>
    <s v="vidējo izglītību"/>
    <m/>
    <s v="Nē"/>
    <s v="Jā"/>
    <s v="Nē"/>
    <s v="Nē"/>
    <s v="krievu"/>
    <m/>
    <s v="Cita atbilde"/>
    <s v="Английский"/>
    <s v="Spēju veikt pasūtījumu restorānā."/>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Nē"/>
    <s v="Nē"/>
    <s v="Jā"/>
    <s v="Nē"/>
    <s v="Nē"/>
    <s v="Nē"/>
    <s v="Nē"/>
    <m/>
    <s v="Все равно всех освободим !"/>
    <m/>
    <m/>
    <m/>
    <m/>
    <m/>
    <m/>
    <m/>
    <m/>
    <m/>
    <m/>
    <m/>
  </r>
  <r>
    <x v="0"/>
    <n v="325"/>
    <s v="2023-05-25 11:10:43"/>
    <n v="14"/>
    <s v="ru"/>
    <n v="510065400"/>
    <s v="2023-05-25 10:46:42"/>
    <s v="2023-05-25 11:10:43"/>
    <s v="ronis"/>
    <n v="17"/>
    <s v="sieviešu"/>
    <m/>
    <x v="0"/>
    <x v="0"/>
    <x v="0"/>
    <x v="0"/>
    <x v="0"/>
    <x v="0"/>
    <s v="Rīgā/ Rīgas rajonā"/>
    <m/>
    <s v="ateistu(ti), nereliģiozu"/>
    <m/>
    <s v="Jā"/>
    <s v="Nē"/>
    <s v="Nē"/>
    <s v="Jā"/>
    <s v="Nē"/>
    <s v="Nē"/>
    <s v="Nē"/>
    <s v="Nē"/>
    <s v="Jā"/>
    <s v="Jā"/>
    <s v="Nē"/>
    <s v="Nē"/>
    <s v="Nē"/>
    <s v="Nē"/>
    <s v="Jā"/>
    <s v="Nē"/>
    <s v="Nē"/>
    <s v="Jā"/>
    <s v="Nē"/>
    <s v="Jā"/>
    <s v="Nē"/>
    <s v="Jā"/>
    <s v="Nē"/>
    <s v="Nē"/>
    <s v="Jā"/>
    <s v="Nē"/>
    <s v="Jā"/>
    <s v="Nē"/>
    <s v="ne a, ne b"/>
    <s v="a un b"/>
    <s v="a un b"/>
    <s v="tikai a"/>
    <s v="tikai a"/>
    <s v="a un b"/>
    <s v="Vienlīdzīgi"/>
    <s v="Lielākoties nevienlīdzīgi"/>
    <s v="Lielākoties vienlīdzīgi"/>
    <s v="Nevienlīdzīgi"/>
    <s v="Nevienlīdzīgi"/>
    <s v="&quot;Progresīvie&quot;"/>
    <s v="Nacionālā Apvienība"/>
    <s v="Politiskā partija &quot;Stabilitātei&quot;"/>
    <s v="&quot;Latvija pirmajā vietā&quot;"/>
    <s v="Nacionālā Apvienība"/>
    <s v="&quot;Progresīvie&quot;"/>
    <s v="Jaunā Vienotība"/>
    <s v="Klimata pārmaiņas – tas ir ciklisks un dabisks process."/>
    <s v="jā, daļu no tā, ko iespējams šķirot"/>
    <s v="Nacionālā Apvienība"/>
    <s v="Jaunā Vienotība"/>
    <s v="Zaļo un Zemnieku savienība"/>
    <s v="Politiskā partija &quot;Stabilitātei&quot;"/>
    <s v="&quot;Progresīvie&quot;"/>
    <s v="&quot;Latvija pirmajā vietā&quot;"/>
    <s v="Jaunā Vienotība"/>
    <s v="Jaunā Vienotība"/>
    <s v="Nacionālā Apvienība"/>
    <s v="Politiskā partija &quot;Stabilitātei&quot;"/>
    <s v="&quot;Progresīvie&quot;"/>
    <s v="&quot;Progresīvie&quot;"/>
    <s v="&quot;Latvija pirmajā vietā&quot;"/>
    <s v="Nacionālā Apvienība"/>
    <s v="Viduvēji"/>
    <s v="Neinteresē"/>
    <s v="Viduvēji"/>
    <s v="Ļoti"/>
    <s v="Политическая идеология/тактика, при который обещаны решения глобальных проблем в короткие сроки"/>
    <s v="Nē"/>
    <s v="Nē"/>
    <s v="Nē"/>
    <s v="Nē"/>
    <s v="Jā"/>
    <s v="Nē"/>
    <s v="1.."/>
    <n v="50"/>
    <n v="1"/>
    <n v="100"/>
    <n v="70"/>
    <s v="Mazliet saspīlētas"/>
    <s v="Nav saspīlētas"/>
    <s v="Mazliet saspīlētas"/>
    <s v="(Gandrīz) nekad"/>
    <s v="(Gandrīz) nekad"/>
    <s v="(Gandrīz) nekad"/>
    <s v="(Gandrīz) nekad"/>
    <s v="(Gandrīz) nekad"/>
    <s v="Bieži"/>
    <s v="Dažreiz"/>
    <s v="Dažreiz"/>
    <s v="Dažreiz"/>
    <s v="Dažreiz"/>
    <s v="В больнице обратилась врачу на русском с целью узнать о результатах рентгена, он на это негативно отреагировал."/>
    <s v="nē"/>
    <s v="N/A"/>
    <s v="N/A"/>
    <s v="N/A"/>
    <s v="N/A"/>
    <s v="Jā"/>
    <s v="Nē"/>
    <s v="Jā"/>
    <s v="Nē"/>
    <s v="Jā"/>
    <s v="Jā"/>
    <s v="Jā"/>
    <s v="Nē"/>
    <s v="(gandrīz) nekad"/>
    <s v="pāris reižu nedēļā"/>
    <s v="(gandrīz) katru dienu"/>
    <s v="pāris reižu mēnesī"/>
    <s v="(gandrīz) nekad"/>
    <s v="(gandrīz) nekad"/>
    <s v="(gandrīz) katru dienu"/>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vienlīdzīgas tiesības minoritātēm un ievainojamām sabiedrības grupām"/>
    <m/>
    <m/>
    <s v="citreiz labi, citreiz slikti"/>
    <s v="citreiz labi, citreiz slikti"/>
    <s v="citreiz labi, citreiz slikti"/>
    <s v="citreiz labi, citreiz slikti"/>
    <s v="labi"/>
    <s v="vidējo izglītību"/>
    <m/>
    <s v="N/A"/>
    <s v="N/A"/>
    <s v="N/A"/>
    <s v="Jā"/>
    <s v="krievu"/>
    <m/>
    <s v="latviešu"/>
    <m/>
    <s v="Spēju ilgstoši sarunāties ar vienaudžiem/piedalīties darba pārrunās."/>
    <s v="Spēju uzrakstīt garāku sacerējumu/ kursa darbu"/>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s v="🙀"/>
    <m/>
    <m/>
    <m/>
    <m/>
    <m/>
    <m/>
    <m/>
    <m/>
    <m/>
    <m/>
    <m/>
  </r>
  <r>
    <x v="0"/>
    <n v="327"/>
    <s v="2023-05-25 11:31:35"/>
    <n v="14"/>
    <s v="ru"/>
    <n v="1195803165"/>
    <s v="2023-05-25 10:46:42"/>
    <s v="2023-05-25 11:31:35"/>
    <s v="лодка"/>
    <n v="18"/>
    <s v="sieviešu"/>
    <m/>
    <x v="0"/>
    <x v="0"/>
    <x v="0"/>
    <x v="0"/>
    <x v="0"/>
    <x v="0"/>
    <s v="Rīgā/ Rīgas rajonā"/>
    <m/>
    <s v="ateistu(ti), nereliģiozu"/>
    <m/>
    <s v="Jā"/>
    <s v="Nē"/>
    <s v="Nē"/>
    <s v="Jā"/>
    <s v="Nē"/>
    <s v="Jā"/>
    <s v="Nē"/>
    <s v="Nē"/>
    <s v="Jā"/>
    <s v="Nē"/>
    <s v="Jā"/>
    <s v="Nē"/>
    <s v="Jā"/>
    <s v="Nē"/>
    <s v="Jā"/>
    <s v="Nē"/>
    <s v="Jā"/>
    <s v="Nē"/>
    <s v="Nē"/>
    <s v="Jā"/>
    <s v="Nē"/>
    <s v="Jā"/>
    <s v="Nē"/>
    <s v="Jā"/>
    <s v="Nē"/>
    <s v="Jā"/>
    <s v="Nē"/>
    <s v="Nē"/>
    <s v="tikai b"/>
    <s v="tikai a"/>
    <s v="tikai b"/>
    <s v="tikai a"/>
    <s v="ne a, ne b"/>
    <s v="tikai b"/>
    <s v="Lielākoties nevienlīdzīgi"/>
    <s v="Lielākoties vienlīdzīgi"/>
    <s v="Lielākoties vienlīdzīgi"/>
    <s v="Lielākoties nevienlīdzīgi"/>
    <s v="Lielākoties vienlīdzīgi"/>
    <s v="Nacionālā Apvienība"/>
    <s v="&quot;Progresīvie&quot;"/>
    <s v="Jaunā Vienotība"/>
    <s v="Politiskā partija &quot;Stabilitātei&quot;"/>
    <s v="&quot;Latvija pirmajā vietā&quot;"/>
    <s v="&quot;Progresīvie&quot;"/>
    <s v="&quot;Latvija pirmajā vietā&quot;"/>
    <s v="Reizēm ekonomiskā un valsts stabilitāte varētu nozīmēt, ka atsevišķi ekoloģiskās politikas aspekti ir uz brīdi jāiepauzē."/>
    <s v="jā, visu, ko iespējams šķirot"/>
    <s v="Nacionālā Apvienība"/>
    <s v="&quot;Apvienotais saraksts&quot;"/>
    <s v="Zaļo un Zemnieku savienība"/>
    <s v="Politiskā partija &quot;Stabilitātei&quot;"/>
    <s v="&quot;Latvija pirmajā vietā&quot;"/>
    <s v="Zaļo un Zemnieku savienība"/>
    <s v="Politiskā partija &quot;Stabilitātei&quot;"/>
    <s v="&quot;Latvija pirmajā vietā&quot;"/>
    <s v="Nacionālā Apvienība"/>
    <s v="Politiskā partija &quot;Stabilitātei&quot;"/>
    <s v="&quot;Apvienotais saraksts&quot;"/>
    <s v="&quot;Progresīvie&quot;"/>
    <s v="Jaunā Vienotība"/>
    <s v="&quot;Latvija pirmajā vietā&quot;"/>
    <s v="Viduvēji"/>
    <s v="Ne sevišķi"/>
    <s v="Ļoti"/>
    <s v="Viduvēji"/>
    <s v="Популизм - это стремление понравиться наибольшему количеству людей, предлагая им хорошее будущее, впрочем, не уточняя детали его достижения."/>
    <s v="Nē"/>
    <s v="Nē"/>
    <s v="Nē"/>
    <s v="Jā"/>
    <s v="Jā"/>
    <s v="Jā"/>
    <s v="2.."/>
    <n v="40"/>
    <n v="9"/>
    <n v="82"/>
    <n v="19"/>
    <s v="Ļoti saspīlētas"/>
    <s v="Drīzāk saspīlētas"/>
    <s v="Drīzāk saspīlētas"/>
    <s v="(Gandrīz) nekad"/>
    <s v="(Gandrīz) nekad"/>
    <s v="(Gandrīz) nekad"/>
    <s v="(Gandrīz) nekad"/>
    <s v="(Gandrīz) nekad"/>
    <s v="Reti"/>
    <s v="Bieži"/>
    <s v="(Gandrīz) nekad"/>
    <s v="(Gandrīz) nekad"/>
    <s v="Dažreiz"/>
    <s v="Я использовала русский язык в этих ситуациях._x000a_В магазине с продавщицей, когда была ребёнком. Она была недовольна, когда я сказала ей &quot;спасибо&quot; и раздражённо спрашивала, не учат ли нас латышскому в школе._x000a_На перемене, спрашивая вопросы про расписание школьного мероприятия у своей классной руководительницы (латышки). Она была недовольна и заставила меня говорить с ней по-латышски (она отлично знает русский)."/>
    <s v="nē"/>
    <s v="N/A"/>
    <s v="N/A"/>
    <s v="N/A"/>
    <s v="N/A"/>
    <s v="Jā"/>
    <s v="Jā"/>
    <s v="Nē"/>
    <s v="Nē"/>
    <s v="N/A"/>
    <s v="N/A"/>
    <s v="N/A"/>
    <s v="Jā"/>
    <s v="(gandrīz) nekad"/>
    <s v="pāris reižu mēnesī"/>
    <s v="(gandrīz) nekad"/>
    <s v="(gandrīz) nekad"/>
    <s v="(gandrīz) nekad"/>
    <s v="(gandrīz) nekad"/>
    <s v="pāris reižu nedēļā"/>
    <s v="(gandrīz) katru dienu"/>
    <s v="(gandrīz) katru dienu"/>
    <s v="(gandrīz) nekad"/>
    <s v="(gandrīz) katru dienu"/>
    <s v="(gandrīz) katru dienu"/>
    <s v="(gandrīz) katru dienu"/>
    <s v="(gandrīz) nekad"/>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knapi/gandrīz necik"/>
    <s v="knapi/gandrīz necik"/>
    <s v="citreiz labi, citreiz slikti"/>
    <s v="slikti"/>
    <s v="knapi/gandrīz necik"/>
    <s v="pamatizglītību"/>
    <m/>
    <s v="N/A"/>
    <s v="N/A"/>
    <s v="N/A"/>
    <s v="Jā"/>
    <s v="krievu"/>
    <m/>
    <s v="vienlīdz latviešu un krievu"/>
    <m/>
    <s v="Spēju pastāstīt par savu hobiju / darbu."/>
    <s v="Spēju uzrakstīt motivācijas vēstuli darbam/ par savu darba pieredzi."/>
    <s v="Viegli saprotu televīzijas pārraides vai Youtube video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Jā"/>
    <s v="Nē"/>
    <s v="Nē"/>
    <s v="Nē"/>
    <s v="Nē"/>
    <s v="Nē"/>
    <s v="Nē"/>
    <s v="Nē"/>
    <s v="Nē"/>
    <s v="Nē"/>
    <s v="Nē"/>
    <s v="Nē"/>
    <s v="Jā"/>
    <s v="Nē"/>
    <s v="Nē"/>
    <m/>
    <s v="Nē"/>
    <m/>
    <s v="Nē"/>
    <m/>
    <s v="Nē"/>
    <m/>
    <s v="Nē"/>
    <m/>
    <s v="Nē"/>
    <s v="Nē"/>
    <s v="Nē"/>
    <s v="Nē"/>
    <s v="Jā"/>
    <s v="Nē"/>
    <s v="Nē"/>
    <s v="Jā"/>
    <s v="Jā"/>
    <s v="Nē"/>
    <s v="Jā"/>
    <s v="Nē"/>
    <m/>
    <m/>
    <m/>
    <m/>
    <m/>
    <m/>
    <m/>
    <m/>
    <m/>
    <m/>
    <m/>
    <m/>
    <m/>
  </r>
  <r>
    <x v="0"/>
    <n v="328"/>
    <s v="2023-05-25 11:03:41"/>
    <n v="14"/>
    <s v="ru"/>
    <n v="1230713186"/>
    <s v="2023-05-25 10:46:47"/>
    <s v="2023-05-25 11:03:41"/>
    <s v="лодка"/>
    <n v="18"/>
    <s v="vīriešu"/>
    <m/>
    <x v="0"/>
    <x v="0"/>
    <x v="0"/>
    <x v="0"/>
    <x v="0"/>
    <x v="0"/>
    <s v="Rīgā/ Rīgas rajonā"/>
    <m/>
    <s v="ateistu(ti), nereliģiozu"/>
    <m/>
    <s v="Jā"/>
    <s v="Jā"/>
    <s v="Nē"/>
    <s v="Jā"/>
    <s v="Nē"/>
    <s v="Nē"/>
    <s v="Nē"/>
    <s v="Jā"/>
    <s v="Jā"/>
    <s v="Jā"/>
    <s v="Nē"/>
    <s v="Jā"/>
    <s v="Nē"/>
    <s v="Nē"/>
    <s v="Jā"/>
    <s v="Jā"/>
    <s v="Nē"/>
    <s v="Nē"/>
    <s v="Nē"/>
    <s v="Nē"/>
    <s v="Nē"/>
    <s v="Jā"/>
    <s v="Jā"/>
    <s v="Jā"/>
    <s v="Nē"/>
    <s v="Jā"/>
    <s v="Jā"/>
    <s v="Nē"/>
    <s v="tikai a"/>
    <s v="nezinu"/>
    <s v="a un b"/>
    <s v="a un b"/>
    <s v="a un b"/>
    <s v="tikai a"/>
    <s v="Vienlīdzīgi"/>
    <s v="Vienlīdzīgi"/>
    <s v="Vienlīdzīgi"/>
    <s v="Vienlīdzīgi"/>
    <s v="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Viduvēji"/>
    <s v="Neinteresē"/>
    <s v="Viduvēji"/>
    <s v="Viduvēji"/>
    <s v="не знаю"/>
    <s v="Nē"/>
    <s v="Nē"/>
    <s v="Jā"/>
    <s v="Nē"/>
    <s v="Jā"/>
    <s v="Nē"/>
    <s v="2.."/>
    <n v="72"/>
    <n v="1"/>
    <n v="74"/>
    <n v="50"/>
    <s v="Mazliet saspīlētas"/>
    <s v="Mazliet saspīlētas"/>
    <s v="Nav saspīlētas"/>
    <s v="(Gandrīz) nekad"/>
    <s v="(Gandrīz) nekad"/>
    <s v="(Gandrīz) nekad"/>
    <s v="(Gandrīz) nekad"/>
    <s v="(Gandrīz) nekad"/>
    <s v="(Gandrīz) nekad"/>
    <s v="Reti"/>
    <s v="(Gandrīz) nekad"/>
    <s v="(Gandrīz) nekad"/>
    <s v="Reti"/>
    <m/>
    <s v="jā, privāta darba devēja labā"/>
    <s v="N/A"/>
    <s v="N/A"/>
    <s v="N/A"/>
    <s v="Jā"/>
    <s v="Jā"/>
    <s v="Nē"/>
    <s v="Jā"/>
    <s v="Nē"/>
    <s v="Jā"/>
    <s v="Nē"/>
    <s v="Jā"/>
    <s v="Nē"/>
    <s v="(gandrīz) nekad"/>
    <s v="pāris reižu nedēļā"/>
    <s v="(gandrīz) katru dienu"/>
    <s v="(gandrīz) nekad"/>
    <s v="(gandrīz) nekad"/>
    <s v="(gandrīz) nekad"/>
    <s v="pāris reižu nedēļā"/>
    <s v="(gandrīz) katru dienu"/>
    <s v="(gandrīz) katru dienu"/>
    <s v="(gandrīz) katru dienu"/>
    <s v="(gandrīz) katru dienu"/>
    <s v="(gandrīz) katru dienu"/>
    <s v="(gandrīz) katru dienu"/>
    <s v="(gandrīz) katru dienu"/>
    <s v="vienlīdzīgas tiesības minoritātēm un ievainojamām sabiedrības grupām"/>
    <s v="brīvas vēlēšanas un plurālisms"/>
    <s v="vienlīdz pieejama izglītība, veselības aprūpe, sociālais nodrošinājums"/>
    <m/>
    <m/>
    <s v="citreiz labi, citreiz slikti"/>
    <s v="citreiz labi, citreiz slikti"/>
    <s v="citreiz labi, citreiz slikti"/>
    <s v="nezinu"/>
    <s v="ļoti labi"/>
    <s v="pamatizglītību"/>
    <m/>
    <s v="N/A"/>
    <s v="N/A"/>
    <s v="N/A"/>
    <s v="Jā"/>
    <s v="krievu"/>
    <m/>
    <s v="latviešu"/>
    <m/>
    <s v="Spēju veikt pasūtījumu restorānā."/>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Jā"/>
    <s v="Jā"/>
    <s v="Nē"/>
    <s v="Nē"/>
    <s v="Nē"/>
    <s v="Nē"/>
    <s v="Nē"/>
    <s v="Nē"/>
    <s v="Nē"/>
    <s v="Nē"/>
    <s v="Nē"/>
    <s v="Nē"/>
    <s v="Nē"/>
    <s v="Nē"/>
    <s v="Nē"/>
    <m/>
    <s v="Nē"/>
    <m/>
    <s v="Nē"/>
    <m/>
    <s v="Nē"/>
    <m/>
    <s v="Nē"/>
    <m/>
    <s v="Jā"/>
    <s v="Nē"/>
    <s v="Nē"/>
    <s v="Nē"/>
    <s v="Jā"/>
    <s v="Jā"/>
    <s v="Nē"/>
    <s v="Jā"/>
    <s v="Nē"/>
    <s v="Nē"/>
    <s v="Jā"/>
    <s v="Nē"/>
    <m/>
    <m/>
    <m/>
    <m/>
    <m/>
    <m/>
    <m/>
    <m/>
    <m/>
    <m/>
    <m/>
    <m/>
    <m/>
  </r>
  <r>
    <x v="0"/>
    <n v="329"/>
    <s v="2023-05-25 11:03:53"/>
    <n v="14"/>
    <s v="ru"/>
    <n v="1037563278"/>
    <s v="2023-05-25 10:46:54"/>
    <s v="2023-05-25 11:03:53"/>
    <s v="лодка"/>
    <n v="17"/>
    <s v="sieviešu"/>
    <m/>
    <x v="0"/>
    <x v="0"/>
    <x v="0"/>
    <x v="0"/>
    <x v="0"/>
    <x v="0"/>
    <s v="Rīgā/ Rīgas rajonā"/>
    <m/>
    <s v="ateistu(ti), nereliģiozu"/>
    <m/>
    <s v="N/A"/>
    <s v="N/A"/>
    <s v="N/A"/>
    <s v="N/A"/>
    <s v="N/A"/>
    <s v="N/A"/>
    <s v="Jā"/>
    <s v="Jā"/>
    <s v="Jā"/>
    <s v="Jā"/>
    <s v="Nē"/>
    <s v="Jā"/>
    <s v="Nē"/>
    <s v="Nē"/>
    <s v="Nē"/>
    <s v="Nē"/>
    <s v="Nē"/>
    <s v="Nē"/>
    <s v="Nē"/>
    <s v="Jā"/>
    <s v="Nē"/>
    <s v="N/A"/>
    <s v="N/A"/>
    <s v="N/A"/>
    <s v="N/A"/>
    <s v="N/A"/>
    <s v="N/A"/>
    <s v="Jā"/>
    <s v="nezinu"/>
    <s v="nezinu"/>
    <s v="nezinu"/>
    <s v="tikai a"/>
    <s v="tikai a"/>
    <s v="tikai a"/>
    <s v="Lielākoties vienlīdzīgi"/>
    <s v="Lielākoties vienlīdzīgi"/>
    <s v="Vienlīdzīgi"/>
    <s v="Lielākoties vienlīdzīgi"/>
    <s v="Nevienlīdzīgi"/>
    <s v="Jaunā Vienotība"/>
    <s v="Nacionālā Apvienība"/>
    <s v="nezinu"/>
    <s v="&quot;Latvija pirmajā vietā&quot;"/>
    <s v="Zaļo un Zemnieku savienība"/>
    <s v="Jaunā Vienotība"/>
    <s v="Politiskā partija &quot;Stabilitātei&quot;"/>
    <s v="Cīņai ar klimata pārmaiņām būtu jābūt vairumam pasaules valstu galvenajai prioritātei."/>
    <s v="jā, lielāko daļu no tā, ko iespējams šķirot"/>
    <s v="Nacionālā Apvienība"/>
    <s v="Zaļo un Zemnieku savienība"/>
    <s v="Jaunā Vienotība"/>
    <s v="&quot;Progresīvie&quot;"/>
    <s v="&quot;Apvienotais saraksts&quot;"/>
    <s v="Zaļo un Zemnieku savienība"/>
    <s v="&quot;Apvienotais saraksts&quot;"/>
    <s v="&quot;Latvija pirmajā vietā&quot;"/>
    <s v="&quot;Apvienotais saraksts&quot;"/>
    <s v="&quot;Apvienotais saraksts&quot;"/>
    <s v="Jaunā Vienotība"/>
    <s v="Jaunā Vienotība"/>
    <s v="Jaunā Vienotība"/>
    <s v="&quot;Latvija pirmajā vietā&quot;"/>
    <s v="Ne sevišķi"/>
    <s v="Ārkārtīgi"/>
    <s v="Ārkārtīgi"/>
    <s v="Ārkārtīgi"/>
    <s v="Не знаю"/>
    <s v="Nē"/>
    <s v="Nē"/>
    <s v="Nē"/>
    <s v="Jā"/>
    <s v="Jā"/>
    <s v="Nē"/>
    <s v="1.."/>
    <n v="100"/>
    <n v="1"/>
    <n v="100"/>
    <n v="22"/>
    <s v="Drīzāk saspīlētas"/>
    <s v="Mazliet saspīlētas"/>
    <s v="Nav saspīlētas"/>
    <s v="Reti"/>
    <s v="(Gandrīz) nekad"/>
    <s v="(Gandrīz) nekad"/>
    <s v="(Gandrīz) nekad"/>
    <s v="(Gandrīz) nekad"/>
    <s v="Bieži"/>
    <s v="Dažreiz"/>
    <s v="(Gandrīz) nekad"/>
    <s v="Dažreiz"/>
    <s v="Bieži"/>
    <s v="Я пришла в паспортный центр оформлять новые документы. Меня стали дискриминацировать за то что я говорила по русски, несмотря на то что там обязаны говорить на трёх языках"/>
    <s v="nē"/>
    <s v="N/A"/>
    <s v="N/A"/>
    <s v="N/A"/>
    <s v="N/A"/>
    <s v="N/A"/>
    <s v="N/A"/>
    <s v="N/A"/>
    <s v="Jā"/>
    <s v="N/A"/>
    <s v="N/A"/>
    <s v="N/A"/>
    <s v="Jā"/>
    <s v="(gandrīz) nekad"/>
    <s v="pāris reižu nedēļā"/>
    <s v="(gandrīz) nekad"/>
    <s v="(gandrīz) nekad"/>
    <s v="(gandrīz) nekad"/>
    <s v="pāris reižu mēnesī"/>
    <s v="pāris reižu nedēļā"/>
    <s v="(gandrīz) katru dienu"/>
    <s v="(gandrīz) katru dienu"/>
    <s v="(gandrīz) katru dienu"/>
    <s v="(gandrīz) katru dienu"/>
    <s v="(gandrīz) katru dienu"/>
    <s v="(gandrīz) katru dienu"/>
    <s v="pāris reižu mēnesī"/>
    <s v="pilsoniskās brīvības (vārda brīvība, tiesības uz tiesisko aizsardzību)"/>
    <s v="brīvas vēlēšanas un plurālisms"/>
    <s v="vienlīdzīgas tiesības minoritātēm un ievainojamām sabiedrības grupām"/>
    <m/>
    <m/>
    <s v="knapi/gandrīz necik"/>
    <s v="knapi/gandrīz necik"/>
    <s v="citreiz labi, citreiz slikti"/>
    <s v="knapi/gandrīz necik"/>
    <s v="knapi/gandrīz necik"/>
    <s v="vidējo izglītību"/>
    <m/>
    <s v="N/A"/>
    <s v="N/A"/>
    <s v="N/A"/>
    <s v="Jā"/>
    <s v="krievu"/>
    <m/>
    <s v="vienlīdz latviešu un krievu"/>
    <m/>
    <s v="Spēju pastāstīt par savu hobiju / darbu."/>
    <s v="Spēju uzrakstīt vēstuli draugam."/>
    <s v="Saprotu norādes, kur iet."/>
    <s v="Spēju izlasīt avīzi/īsstāstus."/>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Jā"/>
    <s v="Nē"/>
    <s v="Nē"/>
    <m/>
    <s v="Nē"/>
    <m/>
    <s v="Nē"/>
    <m/>
    <s v="Nē"/>
    <m/>
    <s v="Nē"/>
    <m/>
    <s v="Jā"/>
    <s v="Jā"/>
    <s v="Jā"/>
    <s v="Nē"/>
    <s v="Jā"/>
    <s v="Jā"/>
    <s v="Nē"/>
    <s v="Jā"/>
    <s v="Nē"/>
    <s v="Nē"/>
    <s v="Nē"/>
    <s v="Nē"/>
    <m/>
    <m/>
    <m/>
    <m/>
    <m/>
    <m/>
    <m/>
    <m/>
    <m/>
    <m/>
    <m/>
    <m/>
    <m/>
  </r>
  <r>
    <x v="0"/>
    <n v="331"/>
    <s v="2023-05-25 11:00:17"/>
    <n v="14"/>
    <s v="ru"/>
    <n v="1298930416"/>
    <s v="2023-05-25 10:47:24"/>
    <s v="2023-05-25 11:00:17"/>
    <s v="лодка"/>
    <n v="16"/>
    <s v="sieviešu"/>
    <m/>
    <x v="0"/>
    <x v="1"/>
    <x v="1"/>
    <x v="0"/>
    <x v="0"/>
    <x v="0"/>
    <s v="Cita atbilde"/>
    <s v="Харьков"/>
    <s v="pareizticīgo"/>
    <m/>
    <s v="Jā"/>
    <s v="Nē"/>
    <s v="Nē"/>
    <s v="Nē"/>
    <s v="Nē"/>
    <s v="Nē"/>
    <s v="Nē"/>
    <s v="Nē"/>
    <s v="Jā"/>
    <s v="Nē"/>
    <s v="Nē"/>
    <s v="Nē"/>
    <s v="Nē"/>
    <s v="Nē"/>
    <s v="Nē"/>
    <s v="Jā"/>
    <s v="Nē"/>
    <s v="Jā"/>
    <s v="Nē"/>
    <s v="Jā"/>
    <s v="Nē"/>
    <s v="Jā"/>
    <s v="Nē"/>
    <s v="Jā"/>
    <s v="Jā"/>
    <s v="Nē"/>
    <s v="Nē"/>
    <s v="Nē"/>
    <m/>
    <m/>
    <m/>
    <m/>
    <m/>
    <m/>
    <s v="Lielākoties vienlīdzīgi"/>
    <s v="Vienlīdzīgi"/>
    <s v="Vienlīdzīgi"/>
    <s v="Lielākoties nevienlīdzīgi"/>
    <s v="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Viduvēji"/>
    <s v="Ļoti"/>
    <s v="Ārkārtīgi"/>
    <s v="Ļoti"/>
    <s v="Не знаю"/>
    <s v="N/A"/>
    <s v="N/A"/>
    <s v="N/A"/>
    <s v="N/A"/>
    <s v="N/A"/>
    <s v="N/A"/>
    <m/>
    <m/>
    <m/>
    <m/>
    <m/>
    <m/>
    <m/>
    <m/>
    <m/>
    <m/>
    <m/>
    <m/>
    <m/>
    <m/>
    <m/>
    <m/>
    <m/>
    <m/>
    <m/>
    <s v="nē"/>
    <s v="N/A"/>
    <s v="N/A"/>
    <s v="N/A"/>
    <s v="N/A"/>
    <s v="Nē"/>
    <s v="Jā"/>
    <s v="Jā"/>
    <s v="Nē"/>
    <s v="N/A"/>
    <s v="N/A"/>
    <s v="N/A"/>
    <s v="Jā"/>
    <m/>
    <m/>
    <m/>
    <m/>
    <m/>
    <m/>
    <m/>
    <m/>
    <m/>
    <m/>
    <m/>
    <m/>
    <m/>
    <m/>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nezinu"/>
    <s v="citreiz labi, citreiz slikti"/>
    <s v="labi"/>
    <s v="nezinu"/>
    <s v="nezinu"/>
    <s v="vidējo izglītību"/>
    <m/>
    <s v="Jā"/>
    <s v="Jā"/>
    <s v="Nē"/>
    <s v="Nē"/>
    <s v="Cita atbilde"/>
    <s v="Украинский"/>
    <s v="Cita atbilde"/>
    <s v="Украинский"/>
    <m/>
    <m/>
    <m/>
    <m/>
    <s v="Latviski nerunāju it nemaz."/>
    <s v="Latviski nemāku rakstīt."/>
    <s v="Latviešu valodu nesaprotu vispār."/>
    <s v="Es neko nespēju izlasīt latviski."/>
    <s v="Reti"/>
    <s v="Reti"/>
    <s v="(Gandrīz) nekad"/>
    <s v="(Gandrīz) nekad"/>
    <s v="(Gandrīz) nekad"/>
    <s v="Bieži"/>
    <s v="Bieži"/>
    <s v="Bieži"/>
    <s v="Bieži"/>
    <s v="Dažreiz"/>
    <s v="Jā, personisku iemeslu dēļ"/>
    <m/>
    <s v="Es ceru, ka parādīsies iespēja"/>
    <s v="Nē"/>
    <s v="Nē"/>
    <s v="Jā"/>
    <s v="Jā"/>
    <s v="Nē"/>
    <s v="Nē"/>
    <n v="51"/>
    <n v="1"/>
    <m/>
    <m/>
    <s v="Я не знаю"/>
    <s v="Nē"/>
    <s v="Nē"/>
    <s v="Nē"/>
    <s v="Nē"/>
    <s v="Nē"/>
    <s v="Nē"/>
    <s v="Nē"/>
    <s v="Nē"/>
    <s v="Nē"/>
    <s v="Nē"/>
    <s v="Nē"/>
    <s v="Nē"/>
    <s v="Nē"/>
    <s v="Nē"/>
    <s v="Nē"/>
    <s v="Укр марафон"/>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0"/>
    <n v="332"/>
    <s v="2023-05-25 11:14:13"/>
    <n v="14"/>
    <s v="lv"/>
    <n v="1643774271"/>
    <s v="2023-05-25 10:49:26"/>
    <s v="2023-05-25 11:14:13"/>
    <s v="ronis"/>
    <n v="18"/>
    <s v="vīriešu"/>
    <m/>
    <x v="0"/>
    <x v="0"/>
    <x v="0"/>
    <x v="0"/>
    <x v="0"/>
    <x v="0"/>
    <s v="Rīgā/ Rīgas rajonā"/>
    <m/>
    <s v="ateistu(ti), nereliģiozu"/>
    <m/>
    <s v="Jā"/>
    <s v="Jā"/>
    <s v="Nē"/>
    <s v="Nē"/>
    <s v="Nē"/>
    <s v="Nē"/>
    <s v="Nē"/>
    <s v="Jā"/>
    <s v="Jā"/>
    <s v="Nē"/>
    <s v="Nē"/>
    <s v="Jā"/>
    <s v="Nē"/>
    <s v="Nē"/>
    <s v="Jā"/>
    <s v="Jā"/>
    <s v="Nē"/>
    <s v="Jā"/>
    <s v="Nē"/>
    <s v="Nē"/>
    <s v="Nē"/>
    <s v="Jā"/>
    <s v="Nē"/>
    <s v="Nē"/>
    <s v="Nē"/>
    <s v="Jā"/>
    <s v="Jā"/>
    <s v="Nē"/>
    <s v="tikai a"/>
    <s v="tikai b"/>
    <s v="ne a, ne b"/>
    <s v="tikai b"/>
    <s v="ne a, ne b"/>
    <s v="tikai b"/>
    <s v="Vienlīdzīgi"/>
    <s v="Nevienlīdzīgi"/>
    <s v="Vienlīdzīgi"/>
    <s v="Vienlīdzīgi"/>
    <s v="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nezinu"/>
    <s v="nezinu"/>
    <s v="nezinu"/>
    <s v="Neinteresē"/>
    <s v="Neinteresē"/>
    <s v="Ļoti"/>
    <s v="Neinteresē"/>
    <s v="Krišjāns Kariņš un Levits"/>
    <s v="Nē"/>
    <s v="Nē"/>
    <s v="Nē"/>
    <s v="Nē"/>
    <s v="Jā"/>
    <s v="Nē"/>
    <s v="1.."/>
    <n v="28"/>
    <n v="64"/>
    <n v="63"/>
    <n v="81"/>
    <s v="Es nezinu"/>
    <s v="Nav saspīlētas"/>
    <s v="Nav saspīlētas"/>
    <s v="(Gandrīz) nekad"/>
    <s v="(Gandrīz) nekad"/>
    <s v="Reti"/>
    <s v="Reti"/>
    <s v="Dažreiz"/>
    <s v="(Gandrīz) nekad"/>
    <s v="(Gandrīz) nekad"/>
    <s v="(Gandrīz) nekad"/>
    <s v="(Gandrīz) nekad"/>
    <s v="Dažreiz"/>
    <s v="Man nav sajūtas kā kāda no valodām ir nepareiza. Protams latviski es runāju sliktāk, bet tas nekā mani neierobežo un netraucē."/>
    <s v="jā, privāta darba devēja labā"/>
    <s v="N/A"/>
    <s v="N/A"/>
    <s v="N/A"/>
    <s v="Jā"/>
    <s v="Jā"/>
    <s v="Nē"/>
    <s v="Jā"/>
    <s v="Nē"/>
    <s v="Jā"/>
    <s v="Nē"/>
    <s v="Jā"/>
    <s v="Nē"/>
    <s v="(gandrīz) nekad"/>
    <s v="(gandrīz) katru dienu"/>
    <s v="(gandrīz) katru dienu"/>
    <s v="reizi nedēļā"/>
    <s v="(gandrīz) nekad"/>
    <s v="reizi nedēļā"/>
    <s v="(gandrīz) katru dienu"/>
    <s v="(gandrīz) katru dienu"/>
    <s v="(gandrīz) katru dienu"/>
    <s v="pāris reižu nedēļā"/>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nezinu"/>
    <s v="citreiz labi, citreiz slikti"/>
    <s v="citreiz labi, citreiz slikti"/>
    <s v="nezinu"/>
    <s v="nezinu"/>
    <s v="pamatizglītību"/>
    <m/>
    <s v="N/A"/>
    <s v="N/A"/>
    <s v="N/A"/>
    <s v="Jā"/>
    <s v="latviešu"/>
    <m/>
    <s v="latvieš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Nē"/>
    <s v="Jā"/>
    <s v="Nē"/>
    <s v="Nē"/>
    <s v="Jā"/>
    <s v="Jā"/>
    <s v="Nē"/>
    <s v="Jā"/>
    <s v="Nē"/>
    <s v="Nē"/>
    <s v="Nē"/>
    <s v="Nē"/>
    <m/>
    <m/>
    <m/>
    <m/>
    <m/>
    <m/>
    <m/>
    <m/>
    <m/>
    <m/>
    <m/>
    <m/>
    <m/>
  </r>
  <r>
    <x v="0"/>
    <n v="333"/>
    <s v="2023-05-25 11:15:05"/>
    <n v="14"/>
    <s v="ru"/>
    <n v="227665822"/>
    <s v="2023-05-25 10:49:31"/>
    <s v="2023-05-25 11:15:05"/>
    <s v="лодка"/>
    <n v="17"/>
    <s v="sieviešu"/>
    <m/>
    <x v="1"/>
    <x v="0"/>
    <x v="0"/>
    <x v="0"/>
    <x v="0"/>
    <x v="0"/>
    <s v="Rīgā/ Rīgas rajonā"/>
    <m/>
    <s v="pareizticīgo"/>
    <m/>
    <s v="Nē"/>
    <s v="Jā"/>
    <s v="Nē"/>
    <s v="Nē"/>
    <s v="Jā"/>
    <s v="Nē"/>
    <s v="Nē"/>
    <s v="Jā"/>
    <s v="Jā"/>
    <s v="Nē"/>
    <s v="Nē"/>
    <s v="Jā"/>
    <s v="Nē"/>
    <s v="Nē"/>
    <s v="Nē"/>
    <s v="Nē"/>
    <s v="Nē"/>
    <s v="Jā"/>
    <s v="Nē"/>
    <s v="Nē"/>
    <s v="Nē"/>
    <s v="Jā"/>
    <s v="Nē"/>
    <s v="Nē"/>
    <s v="Nē"/>
    <s v="Jā"/>
    <s v="Nē"/>
    <s v="Nē"/>
    <s v="tikai b"/>
    <s v="a un b"/>
    <s v="a un b"/>
    <s v="tikai b"/>
    <s v="tikai a"/>
    <s v="a un b"/>
    <s v="Lielākoties vienlīdzīgi"/>
    <s v="Lielākoties nevienlīdzīgi"/>
    <s v="Lielākoties vienlīdzīgi"/>
    <s v="Lielākoties vienlīdzīgi"/>
    <s v="Nevienlīdzīgi"/>
    <s v="nezinu"/>
    <s v="Jaunā Vienotība"/>
    <s v="Nacionālā Apvienība"/>
    <s v="&quot;Progresīvie&quot;"/>
    <s v="Politiskā partija &quot;Stabilitātei&quot;"/>
    <s v="Zaļo un Zemnieku savienība"/>
    <s v="nezinu"/>
    <s v="Cīņai ar klimata pārmaiņām būtu jābūt vairumam pasaules valstu galvenajai prioritātei."/>
    <s v="jā, lielāko daļu no tā, ko iespējams šķirot"/>
    <s v="Politiskā partija &quot;Stabilitātei&quot;"/>
    <s v="&quot;Apvienotais saraksts&quot;"/>
    <s v="Nacionālā Apvienība"/>
    <s v="&quot;Apvienotais saraksts&quot;"/>
    <s v="Jaunā Vienotība"/>
    <s v="&quot;Latvija pirmajā vietā&quot;"/>
    <s v="Nacionālā Apvienība"/>
    <s v="&quot;Progresīvie&quot;"/>
    <s v="&quot;Latvija pirmajā vietā&quot;"/>
    <s v="Nacionālā Apvienība"/>
    <s v="&quot;Latvija pirmajā vietā&quot;"/>
    <s v="Nacionālā Apvienība"/>
    <s v="nezinu"/>
    <s v="nezinu"/>
    <s v="Neinteresē"/>
    <s v="Viduvēji"/>
    <s v="Ārkārtīgi"/>
    <s v="Viduvēji"/>
    <s v="Не знаю."/>
    <s v="Nē"/>
    <s v="Nē"/>
    <s v="Nē"/>
    <s v="Nē"/>
    <s v="Jā"/>
    <s v="Nē"/>
    <s v="1.."/>
    <n v="60"/>
    <n v="70"/>
    <n v="35"/>
    <n v="80"/>
    <s v="Mazliet saspīlētas"/>
    <s v="Mazliet saspīlētas"/>
    <s v="Nav saspīlētas"/>
    <s v="Reti"/>
    <s v="Bieži"/>
    <s v="(Gandrīz) nekad"/>
    <s v="Reti"/>
    <s v="Reti"/>
    <s v="(Gandrīz) nekad"/>
    <s v="Dažreiz"/>
    <s v="(Gandrīz) nekad"/>
    <s v="(Gandrīz) nekad"/>
    <s v="Reti"/>
    <s v="В медицинской сфере использовала русский язык ,поняла ,что собеседник разговаривает на латышском и пришлось перейти на другой язык."/>
    <s v="nē"/>
    <s v="N/A"/>
    <s v="N/A"/>
    <s v="N/A"/>
    <s v="N/A"/>
    <s v="Jā"/>
    <s v="Nē"/>
    <s v="Nē"/>
    <s v="Nē"/>
    <s v="Jā"/>
    <s v="Nē"/>
    <s v="Jā"/>
    <s v="Nē"/>
    <s v="(gandrīz) nekad"/>
    <s v="pāris reižu nedēļā"/>
    <s v="(gandrīz) nekad"/>
    <s v="(gandrīz) nekad"/>
    <s v="(gandrīz) nekad"/>
    <s v="(gandrīz) nekad"/>
    <s v="pāris reižu nedēļā"/>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aras līdzsvars starp parlamentu, prezidentu un tiesām, lai neviena no institūcijām nespētu sevī koncentrēt lielāko daļu varas"/>
    <m/>
    <m/>
    <s v="citreiz labi, citreiz slikti"/>
    <s v="citreiz labi, citreiz slikti"/>
    <s v="knapi/gandrīz necik"/>
    <s v="labi"/>
    <s v="slikti"/>
    <s v="vidējo izglītību"/>
    <m/>
    <s v="N/A"/>
    <s v="N/A"/>
    <s v="N/A"/>
    <s v="Jā"/>
    <s v="vienlīdz latviešu un krievu"/>
    <m/>
    <s v="latviešu"/>
    <m/>
    <m/>
    <m/>
    <m/>
    <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Jā"/>
    <s v="Nē"/>
    <s v="Jā"/>
    <s v="Jā"/>
    <s v="Nē"/>
    <s v="Jā"/>
    <s v="Nē"/>
    <s v="Nē"/>
    <s v="Nē"/>
    <s v="Nē"/>
    <m/>
    <m/>
    <m/>
    <m/>
    <m/>
    <m/>
    <m/>
    <m/>
    <m/>
    <m/>
    <m/>
    <m/>
    <m/>
  </r>
  <r>
    <x v="0"/>
    <n v="334"/>
    <s v="2023-05-25 11:06:41"/>
    <n v="14"/>
    <s v="ru"/>
    <n v="1949614885"/>
    <s v="2023-05-25 10:50:16"/>
    <s v="2023-05-25 11:06:41"/>
    <s v="лодка"/>
    <n v="18"/>
    <s v="sieviešu"/>
    <m/>
    <x v="0"/>
    <x v="0"/>
    <x v="0"/>
    <x v="0"/>
    <x v="0"/>
    <x v="0"/>
    <s v="Rīgā/ Rīgas rajonā"/>
    <m/>
    <s v="pareizticīgo"/>
    <m/>
    <s v="N/A"/>
    <s v="N/A"/>
    <s v="N/A"/>
    <s v="N/A"/>
    <s v="N/A"/>
    <s v="N/A"/>
    <s v="Jā"/>
    <s v="Jā"/>
    <s v="Jā"/>
    <s v="Nē"/>
    <s v="Nē"/>
    <s v="Nē"/>
    <s v="Nē"/>
    <s v="Nē"/>
    <s v="N/A"/>
    <s v="N/A"/>
    <s v="N/A"/>
    <s v="N/A"/>
    <s v="N/A"/>
    <s v="N/A"/>
    <s v="Jā"/>
    <s v="N/A"/>
    <s v="N/A"/>
    <s v="N/A"/>
    <s v="N/A"/>
    <s v="N/A"/>
    <s v="N/A"/>
    <s v="Jā"/>
    <m/>
    <m/>
    <m/>
    <m/>
    <m/>
    <m/>
    <s v="Lielākoties vienlīdzīgi"/>
    <s v="Lielākoties nevienlīdzīgi"/>
    <s v="Lielākoties vienlīdzīgi"/>
    <s v="Lielākoties vienlīdzīgi"/>
    <s v="Lielākoties 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interesē"/>
    <s v="Neinteresē"/>
    <s v="Neinteresē"/>
    <s v="Neinteresē"/>
    <m/>
    <s v="Jā"/>
    <s v="Nē"/>
    <s v="Nē"/>
    <s v="Nē"/>
    <s v="Jā"/>
    <s v="Nē"/>
    <s v="2.."/>
    <n v="69"/>
    <n v="50"/>
    <n v="59"/>
    <n v="73"/>
    <s v="Drīzāk saspīlētas"/>
    <s v="Mazliet saspīlētas"/>
    <s v="Nav saspīlētas"/>
    <s v="(Gandrīz) nekad"/>
    <s v="(Gandrīz) nekad"/>
    <s v="(Gandrīz) nekad"/>
    <s v="(Gandrīz) nekad"/>
    <s v="(Gandrīz) nekad"/>
    <s v="Reti"/>
    <s v="(Gandrīz) nekad"/>
    <s v="Reti"/>
    <s v="Reti"/>
    <s v="Reti"/>
    <m/>
    <s v="nē"/>
    <s v="N/A"/>
    <s v="N/A"/>
    <s v="N/A"/>
    <s v="N/A"/>
    <s v="Jā"/>
    <s v="Nē"/>
    <s v="Nē"/>
    <s v="Nē"/>
    <s v="Jā"/>
    <s v="Nē"/>
    <s v="Nē"/>
    <s v="Nē"/>
    <s v="pāris reižu mēnesī"/>
    <s v="(gandrīz) nekad"/>
    <s v="(gandrīz) nekad"/>
    <s v="pāris reižu nedēļā"/>
    <s v="pāris reižu nedēļā"/>
    <s v="pāris reižu nedēļā"/>
    <s v="(gandrīz) katru dienu"/>
    <s v="(gandrīz) katru dienu"/>
    <s v="(gandrīz) katru dienu"/>
    <s v="pāris reižu nedēļā"/>
    <s v="(gandrīz) katru dienu"/>
    <s v="pāris reižu nedēļā"/>
    <s v="pāris reižu nedēļā"/>
    <s v="pāris reižu nedēļā"/>
    <s v="vienlīdz pieejama izglītība, veselības aprūpe, sociālais nodrošinājums"/>
    <s v="varas līdzsvars starp parlamentu, prezidentu un tiesām, lai neviena no institūcijām nespētu sevī koncentrēt lielāko daļu varas"/>
    <s v="pilsoniskās brīvības (vārda brīvība, tiesības uz tiesisko aizsardzību)"/>
    <m/>
    <m/>
    <s v="nezinu"/>
    <s v="nezinu"/>
    <s v="nezinu"/>
    <s v="nezinu"/>
    <s v="nezinu"/>
    <s v="pamatizglītību"/>
    <m/>
    <s v="N/A"/>
    <s v="N/A"/>
    <s v="N/A"/>
    <s v="Jā"/>
    <s v="vienlīdz latviešu un krievu"/>
    <m/>
    <s v="vienlīdz latviešu un krievu"/>
    <m/>
    <s v="Spēju ilgstoši sarunāties ar vienaudžiem/piedalīties darba pārrunās."/>
    <s v="Spēju uzrakstīt motivācijas vēstuli darbam/ par savu darba pieredzi."/>
    <s v="Viegli saprotu radio programmas / podkāstus par saviem hobijiem/darbības sfēru."/>
    <s v="Spēju izlasīt garus tekstus par vēstures, politikas un zinātnes tēmām."/>
    <m/>
    <m/>
    <m/>
    <m/>
    <m/>
    <m/>
    <m/>
    <m/>
    <m/>
    <m/>
    <m/>
    <m/>
    <m/>
    <m/>
    <m/>
    <m/>
    <m/>
    <s v="N/A"/>
    <s v="N/A"/>
    <s v="N/A"/>
    <s v="N/A"/>
    <s v="N/A"/>
    <s v="N/A"/>
    <m/>
    <m/>
    <m/>
    <m/>
    <m/>
    <s v="Nē"/>
    <s v="Nē"/>
    <s v="Nē"/>
    <s v="Nē"/>
    <s v="Nē"/>
    <s v="Nē"/>
    <s v="Nē"/>
    <s v="Nē"/>
    <s v="Nē"/>
    <s v="Nē"/>
    <s v="Nē"/>
    <s v="Nē"/>
    <s v="Nē"/>
    <s v="Nē"/>
    <s v="Jā"/>
    <m/>
    <s v="Nē"/>
    <m/>
    <s v="Nē"/>
    <m/>
    <s v="Nē"/>
    <m/>
    <s v="Nē"/>
    <m/>
    <s v="Nē"/>
    <s v="Nē"/>
    <s v="Nē"/>
    <s v="Nē"/>
    <s v="Nē"/>
    <s v="Nē"/>
    <s v="Nē"/>
    <s v="Nē"/>
    <s v="Nē"/>
    <s v="Nē"/>
    <s v="Nē"/>
    <s v="Nē"/>
    <s v="Nē"/>
    <s v="Nē"/>
    <s v="Jā"/>
    <m/>
    <s v="Nē"/>
    <m/>
    <s v="Nē"/>
    <m/>
    <s v="Nē"/>
    <m/>
    <s v="Nē"/>
    <m/>
    <s v="Jā"/>
    <s v="Jā"/>
    <s v="Nē"/>
    <s v="Nē"/>
    <s v="Jā"/>
    <s v="Jā"/>
    <s v="Nē"/>
    <s v="Jā"/>
    <s v="Nē"/>
    <s v="Nē"/>
    <s v="Nē"/>
    <s v="Nē"/>
    <m/>
    <m/>
    <m/>
    <m/>
    <m/>
    <m/>
    <m/>
    <m/>
    <m/>
    <m/>
    <m/>
    <m/>
    <m/>
  </r>
  <r>
    <x v="1"/>
    <n v="148"/>
    <s v="2023-09-15 08:19:41"/>
    <n v="14"/>
    <s v="lv"/>
    <n v="770285311"/>
    <s v="2023-09-15 08:04:27"/>
    <s v="2023-09-15 08:19:41"/>
    <s v="putns"/>
    <n v="17"/>
    <s v="vīriešu"/>
    <m/>
    <x v="1"/>
    <x v="1"/>
    <x v="0"/>
    <x v="0"/>
    <x v="0"/>
    <x v="0"/>
    <s v="Kurzemē"/>
    <m/>
    <s v="pareizticīgo"/>
    <m/>
    <s v="Nē"/>
    <s v="Nē"/>
    <s v="Nē"/>
    <s v="Nē"/>
    <s v="Nē"/>
    <s v="Jā"/>
    <s v="Nē"/>
    <s v="Nē"/>
    <s v="Nē"/>
    <s v="Nē"/>
    <s v="Nē"/>
    <s v="Jā"/>
    <s v="Nē"/>
    <s v="Nē"/>
    <s v="Nē"/>
    <s v="Jā"/>
    <s v="Jā"/>
    <s v="Nē"/>
    <s v="Jā"/>
    <s v="Nē"/>
    <s v="Nē"/>
    <s v="Jā"/>
    <s v="Nē"/>
    <s v="Nē"/>
    <s v="Nē"/>
    <s v="Nē"/>
    <s v="Nē"/>
    <s v="Nē"/>
    <s v="tikai b"/>
    <s v="tikai b"/>
    <s v="tikai b"/>
    <s v="tikai a"/>
    <s v="tikai a"/>
    <s v="tikai b"/>
    <s v="Nevienlīdzīgi"/>
    <s v="Nevienlīdzīgi"/>
    <s v="Lielākoties nevienlīdzīgi"/>
    <s v="Vienlīdzīgi"/>
    <s v="Lielākoties nevienlīdzīgi"/>
    <s v="&quot;Apvienotais saraksts&quot;"/>
    <s v="Jaunā Vienotība"/>
    <s v="Nacionālā Apvienība"/>
    <s v="Zaļo un Zemnieku savienība"/>
    <s v="&quot;Progresīvie&quot;"/>
    <s v="Politiskā partija &quot;Stabilitātei&quot;"/>
    <s v="&quot;Latvija pirmajā vietā&quot;"/>
    <s v="Klimata pārmaiņas – tas ir ciklisks un dabisks process."/>
    <s v="jā, lielāko daļu no tā, ko iespējams šķirot"/>
    <s v="Jaunā Vienotība"/>
    <s v="&quot;Progresīvie&quot;"/>
    <s v="&quot;Latvija pirmajā vietā&quot;"/>
    <s v="&quot;Apvienotais saraksts&quot;"/>
    <s v="Zaļo un Zemnieku savienība"/>
    <s v="&quot;Apvienotais saraksts&quot;"/>
    <s v="Nacionālā Apvienība"/>
    <s v="Zaļo un Zemnieku savienība"/>
    <s v="Politiskā partija &quot;Stabilitātei&quot;"/>
    <s v="Nacionālā Apvienība"/>
    <s v="&quot;Progresīvie&quot;"/>
    <s v="Nacionālā Apvienība"/>
    <s v="&quot;Latvija pirmajā vietā&quot;"/>
    <s v="&quot;Progresīvie&quot;"/>
    <s v="Ne sevišķi"/>
    <s v="Neinteresē"/>
    <s v="Viduvēji"/>
    <s v="Neinteresē"/>
    <s v="Nezinu"/>
    <s v="Nē"/>
    <s v="Nē"/>
    <s v="Nē"/>
    <s v="Jā"/>
    <s v="Jā"/>
    <s v="Nē"/>
    <s v="1.."/>
    <n v="100"/>
    <n v="100"/>
    <m/>
    <m/>
    <s v="Drīzāk saspīlētas"/>
    <s v="Nav saspīlētas"/>
    <s v="Ļoti saspīlētas"/>
    <s v="(Gandrīz) nekad"/>
    <s v="(Gandrīz) nekad"/>
    <s v="(Gandrīz) nekad"/>
    <s v="(Gandrīz) nekad"/>
    <s v="(Gandrīz) nekad"/>
    <m/>
    <m/>
    <m/>
    <m/>
    <m/>
    <m/>
    <s v="nē"/>
    <s v="N/A"/>
    <s v="N/A"/>
    <s v="N/A"/>
    <s v="N/A"/>
    <s v="Jā"/>
    <s v="Nē"/>
    <s v="Nē"/>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vienlīdz pieejama izglītība, veselības aprūpe, sociālais nodrošinājums"/>
    <s v="varas līdzsvars starp parlamentu, prezidentu un tiesām, lai neviena no institūcijām nespētu sevī koncentrēt lielāko daļu varas"/>
    <m/>
    <m/>
    <s v="ļoti labi"/>
    <s v="labi"/>
    <s v="labi"/>
    <s v="citreiz labi, citreiz slikti"/>
    <s v="ļoti lab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Jā"/>
    <s v="Nē"/>
    <s v="Nē"/>
    <s v="Nē"/>
    <s v="Nē"/>
    <s v="Nē"/>
    <m/>
    <s v="Jā"/>
    <s v="24Tv"/>
    <s v="Nē"/>
    <m/>
    <s v="Nē"/>
    <m/>
    <s v="Nē"/>
    <m/>
    <s v="Nē"/>
    <s v="Nē"/>
    <s v="Nē"/>
    <s v="Nē"/>
    <s v="Nē"/>
    <s v="Nē"/>
    <s v="Nē"/>
    <s v="Nē"/>
    <s v="Nē"/>
    <s v="Nē"/>
    <s v="Nē"/>
    <s v="Nē"/>
    <s v="Nē"/>
    <s v="Nē"/>
    <s v="Nē"/>
    <s v="Nē"/>
    <s v="Nē"/>
    <s v="Nē"/>
    <s v="Jā"/>
    <m/>
    <s v="Nē"/>
    <m/>
    <s v="Nē"/>
    <m/>
    <s v="Nē"/>
    <m/>
    <s v="Nē"/>
    <m/>
    <s v="Jā"/>
    <s v="Jā"/>
    <s v="Jā"/>
    <s v="Nē"/>
    <s v="Jā"/>
    <s v="Jā"/>
    <s v="Nē"/>
    <s v="Jā"/>
    <s v="Nē"/>
    <s v="Nē"/>
    <s v="Jā"/>
    <s v="Nē"/>
    <s v="Jā"/>
    <s v="Nē"/>
    <m/>
    <m/>
    <m/>
    <m/>
    <m/>
    <m/>
  </r>
  <r>
    <x v="1"/>
    <n v="149"/>
    <s v="2023-09-15 08:37:57"/>
    <n v="14"/>
    <s v="lv"/>
    <n v="1791145845"/>
    <s v="2023-09-15 08:04:32"/>
    <s v="2023-09-15 08:37:57"/>
    <s v="putns"/>
    <n v="17"/>
    <s v="vīriešu"/>
    <m/>
    <x v="1"/>
    <x v="1"/>
    <x v="0"/>
    <x v="0"/>
    <x v="0"/>
    <x v="0"/>
    <s v="Kurzemē"/>
    <m/>
    <s v="ateistu(ti), nereliģiozu"/>
    <m/>
    <s v="Jā"/>
    <s v="Nē"/>
    <s v="Nē"/>
    <s v="Nē"/>
    <s v="Nē"/>
    <s v="Nē"/>
    <s v="Nē"/>
    <s v="Nē"/>
    <s v="Nē"/>
    <s v="Jā"/>
    <s v="Nē"/>
    <s v="Nē"/>
    <s v="Nē"/>
    <s v="Nē"/>
    <s v="Nē"/>
    <s v="Nē"/>
    <s v="Nē"/>
    <s v="Nē"/>
    <s v="Jā"/>
    <s v="Nē"/>
    <s v="Nē"/>
    <s v="Nē"/>
    <s v="Nē"/>
    <s v="Jā"/>
    <s v="Nē"/>
    <s v="Nē"/>
    <s v="Nē"/>
    <s v="Nē"/>
    <s v="nezinu"/>
    <s v="nezinu"/>
    <s v="nezinu"/>
    <s v="nezinu"/>
    <s v="nezinu"/>
    <s v="nezinu"/>
    <s v="Lielākoties vienlīdzīgi"/>
    <s v="Nevienlīdzīgi"/>
    <s v="Lielākoties nevienlīdzīgi"/>
    <s v="Vienlīdzīgi"/>
    <s v="Lielākoties nevienlīdzīgi"/>
    <s v="Nacionālā Apvienība"/>
    <s v="&quot;Apvienotais saraksts&quot;"/>
    <s v="Nacionālā Apvienība"/>
    <s v="Politiskā partija &quot;Stabilitātei&quot;"/>
    <s v="&quot;Progresīvie&quot;"/>
    <s v="&quot;Apvienotais saraksts&quot;"/>
    <s v="Jaunā Vienotība"/>
    <s v="Globālā sasilšana ir šķērsojusi robežu, pēc kuras nav iespējams atgriezties, un cilvēkiem būs jāpielāgojas."/>
    <s v="nē"/>
    <s v="&quot;Progresīvie&quot;"/>
    <s v="Jaunā Vienotība"/>
    <s v="Zaļo un Zemnieku savienība"/>
    <s v="Nacionālā Apvienība"/>
    <s v="&quot;Latvija pirmajā vietā&quot;"/>
    <s v="&quot;Progresīvie&quot;"/>
    <s v="Zaļo un Zemnieku savienība"/>
    <s v="&quot;Apvienotais saraksts&quot;"/>
    <s v="Jaunā Vienotība"/>
    <s v="Politiskā partija &quot;Stabilitātei&quot;"/>
    <s v="Politiskā partija &quot;Stabilitātei&quot;"/>
    <s v="Nacionālā Apvienība"/>
    <s v="&quot;Latvija pirmajā vietā&quot;"/>
    <s v="&quot;Progresīvie&quot;"/>
    <s v="Neinteresē"/>
    <s v="Neinteresē"/>
    <s v="Ne sevišķi"/>
    <s v="Neinteresē"/>
    <s v="Nespēju izskaidrot"/>
    <s v="Jā"/>
    <s v="Nē"/>
    <s v="Nē"/>
    <s v="Nē"/>
    <s v="Nē"/>
    <s v="Nē"/>
    <s v="2.."/>
    <n v="100"/>
    <n v="1"/>
    <m/>
    <m/>
    <s v="Ļoti saspīlētas"/>
    <s v="Ļoti saspīlētas"/>
    <s v="Ļoti saspīlētas"/>
    <s v="(Gandrīz) nekad"/>
    <s v="(Gandrīz) nekad"/>
    <s v="(Gandrīz) nekad"/>
    <s v="(Gandrīz) nekad"/>
    <s v="(Gandrīz) nekad"/>
    <m/>
    <m/>
    <m/>
    <m/>
    <m/>
    <m/>
    <s v="nē"/>
    <s v="N/A"/>
    <s v="N/A"/>
    <s v="N/A"/>
    <s v="N/A"/>
    <s v="N/A"/>
    <s v="N/A"/>
    <s v="N/A"/>
    <s v="Jā"/>
    <s v="N/A"/>
    <s v="N/A"/>
    <s v="N/A"/>
    <s v="Jā"/>
    <s v="(gandrīz) katru dienu"/>
    <s v="pāris reižu nedēļā"/>
    <s v="pāris reižu mēnesī"/>
    <s v="reizi nedēļā"/>
    <s v="reizi nedēļā"/>
    <s v="(gandrīz) nekad"/>
    <s v="(gandrīz) katru dienu"/>
    <s v="(gandrīz) nekad"/>
    <s v="(gandrīz) nekad"/>
    <s v="(gandrīz) nekad"/>
    <s v="(gandrīz) nekad"/>
    <s v="(gandrīz) nekad"/>
    <s v="(gandrīz) nekad"/>
    <s v="(gandrīz) nekad"/>
    <s v="vienlīdzīgas tiesības minoritātēm un ievainojamām sabiedrības grupām"/>
    <s v="pilsoniskās brīvības (vārda brīvība, tiesības uz tiesisko aizsardzību)"/>
    <s v="brīvas vēlēšanas un plurālisms"/>
    <m/>
    <m/>
    <s v="citreiz labi, citreiz slikti"/>
    <s v="slikti"/>
    <s v="labi"/>
    <s v="slikti"/>
    <s v="Knapi / gandrīz necik"/>
    <s v="pamatizglītību"/>
    <m/>
    <s v="Jā"/>
    <s v="Nē"/>
    <s v="Nē"/>
    <s v="Nē"/>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Nē"/>
    <s v="Nē"/>
    <s v="Nē"/>
    <s v="Nē"/>
    <s v="Nē"/>
    <s v="Nē"/>
    <s v="Nē"/>
    <s v="Nē"/>
    <s v="Nē"/>
    <s v="Nē"/>
    <s v="Nē"/>
    <s v="Jā"/>
    <s v="Nē"/>
    <s v="Nē"/>
    <m/>
    <s v="Nē"/>
    <m/>
    <s v="Nē"/>
    <m/>
    <s v="Nē"/>
    <m/>
    <s v="Nē"/>
    <m/>
    <s v="Jā"/>
    <s v="Nē"/>
    <s v="Nē"/>
    <s v="Nē"/>
    <s v="Nē"/>
    <s v="Nē"/>
    <s v="Nē"/>
    <s v="Nē"/>
    <s v="Nē"/>
    <s v="Nē"/>
    <s v="Nē"/>
    <s v="Nē"/>
    <s v="Nē"/>
    <s v="Nē"/>
    <s v="Nē"/>
    <s v="Nē"/>
    <s v="Nē"/>
    <s v="Nē"/>
    <s v="Nē"/>
    <m/>
    <s v="Nē"/>
    <m/>
    <s v="Nē"/>
    <m/>
    <s v="Nē"/>
    <m/>
    <s v="Nē"/>
    <m/>
    <s v="Jā"/>
    <s v="Jā"/>
    <s v="Jā"/>
    <s v="Nē"/>
    <s v="Jā"/>
    <s v="Nē"/>
    <s v="Nē"/>
    <s v="Jā"/>
    <s v="Nē"/>
    <s v="Nē"/>
    <s v="Jā"/>
    <s v="Nē"/>
    <s v="Jā"/>
    <s v="Nē"/>
    <m/>
    <s v="LGBTQ ir nepareizi un neatbalsto to, fui."/>
    <m/>
    <m/>
    <m/>
    <m/>
  </r>
  <r>
    <x v="1"/>
    <n v="151"/>
    <s v="2023-09-15 08:24:56"/>
    <n v="14"/>
    <s v="lv"/>
    <n v="1825640439"/>
    <s v="2023-09-15 08:04:38"/>
    <s v="2023-09-15 08:24:56"/>
    <s v="putns"/>
    <n v="18"/>
    <s v="sieviešu"/>
    <m/>
    <x v="1"/>
    <x v="1"/>
    <x v="0"/>
    <x v="1"/>
    <x v="0"/>
    <x v="0"/>
    <s v="Kurzemē"/>
    <m/>
    <s v="ateistu(ti), nereliģiozu"/>
    <m/>
    <s v="N/A"/>
    <s v="N/A"/>
    <s v="N/A"/>
    <s v="N/A"/>
    <s v="N/A"/>
    <s v="N/A"/>
    <s v="Jā"/>
    <s v="N/A"/>
    <s v="N/A"/>
    <s v="N/A"/>
    <s v="N/A"/>
    <s v="N/A"/>
    <s v="N/A"/>
    <s v="Jā"/>
    <s v="N/A"/>
    <s v="N/A"/>
    <s v="N/A"/>
    <s v="N/A"/>
    <s v="N/A"/>
    <s v="N/A"/>
    <s v="Jā"/>
    <s v="N/A"/>
    <s v="N/A"/>
    <s v="N/A"/>
    <s v="N/A"/>
    <s v="N/A"/>
    <s v="N/A"/>
    <s v="Jā"/>
    <s v="a un b"/>
    <s v="a un b"/>
    <s v="nezinu"/>
    <s v="tikai a"/>
    <s v="tikai b"/>
    <s v="tikai a"/>
    <s v="Lielākoties nevienlīdzīgi"/>
    <s v="Lielākoties vienlīdzīgi"/>
    <s v="Lielākoties vienlīdzīgi"/>
    <s v="Lielākoties vienlīdzīgi"/>
    <s v="Lielākoties 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Neinteresē"/>
    <s v="Ļoti"/>
    <s v="Viduvēji"/>
    <s v="nav ne jausmas kas tas ir"/>
    <s v="Nē"/>
    <s v="Nē"/>
    <s v="Nē"/>
    <s v="Jā"/>
    <s v="Jā"/>
    <s v="Nē"/>
    <s v="2.."/>
    <n v="50"/>
    <n v="95"/>
    <m/>
    <m/>
    <s v="Nav saspīlētas"/>
    <s v="Drīzāk saspīlētas"/>
    <s v="Nav saspīlētas"/>
    <s v="(Gandrīz) nekad"/>
    <s v="Reti"/>
    <s v="(Gandrīz) nekad"/>
    <s v="Reti"/>
    <s v="(Gandrīz) nekad"/>
    <m/>
    <m/>
    <m/>
    <m/>
    <m/>
    <s v="nav tādas nepareizas valodas. katrs runā kā grib."/>
    <s v="nē"/>
    <s v="N/A"/>
    <s v="N/A"/>
    <s v="N/A"/>
    <s v="N/A"/>
    <s v="N/A"/>
    <s v="N/A"/>
    <s v="N/A"/>
    <s v="Jā"/>
    <s v="Jā"/>
    <s v="Nē"/>
    <s v="Nē"/>
    <s v="Nē"/>
    <s v="(gandrīz) katru dienu"/>
    <s v="(gandrīz) katru dienu"/>
    <s v="(gandrīz) katru dienu"/>
    <s v="(gandrīz) katru dienu"/>
    <s v="(gandrīz) katru dienu"/>
    <s v="(gandrīz) katru dienu"/>
    <s v="(gandrīz) katru dienu"/>
    <s v="(gandrīz) nekad"/>
    <s v="reizi nedēļā"/>
    <s v="(gandrīz) nekad"/>
    <s v="reizi nedēļā"/>
    <s v="(gandrīz) nekad"/>
    <s v="reizi nedēļā"/>
    <s v="reizi nedēļā"/>
    <s v="pilsoniskās brīvības (vārda brīvība, tiesības uz tiesisko aizsardzību)"/>
    <s v="vienlīdz pieejama izglītība, veselības aprūpe, sociālais nodrošinājums"/>
    <s v="vienlīdzīgas tiesības minoritātēm un ievainojamām sabiedrības grupām"/>
    <m/>
    <m/>
    <s v="citreiz labi, citreiz slikti"/>
    <s v="citreiz labi, citreiz slikti"/>
    <s v="citreiz labi, citreiz slikti"/>
    <s v="citreiz labi, citreiz slikti"/>
    <s v="citreiz labi, citreiz slikti"/>
    <s v="Cita atbilde"/>
    <s v="mācos vēl teķī, takā ir tika pamatizglītība"/>
    <s v="Jā"/>
    <s v="Nē"/>
    <s v="Nē"/>
    <s v="Nē"/>
    <s v="Cita atbilde"/>
    <s v="angļu valodu"/>
    <s v="latviešu"/>
    <m/>
    <s v="Spēju veikt pasūtījumu restorānā."/>
    <s v="{if(is_empty(tongueLAT_SQ001.NAOK), 'latviski','krieviski')} nemāku rakstīt."/>
    <s v="Saprotu norādes, kur iet."/>
    <s v="{if(is_empty(tongueLAT_SQ001.NAOK), 'latviski','krieviski')} spēju izlasīt ēdienkarti restorānā."/>
    <m/>
    <m/>
    <m/>
    <m/>
    <m/>
    <m/>
    <m/>
    <m/>
    <m/>
    <m/>
    <m/>
    <m/>
    <m/>
    <m/>
    <m/>
    <m/>
    <m/>
    <s v="N/A"/>
    <s v="N/A"/>
    <s v="N/A"/>
    <s v="N/A"/>
    <s v="N/A"/>
    <s v="N/A"/>
    <m/>
    <m/>
    <m/>
    <m/>
    <m/>
    <s v="Nē"/>
    <s v="Nē"/>
    <s v="Jā"/>
    <s v="Nē"/>
    <s v="Nē"/>
    <s v="Nē"/>
    <s v="Nē"/>
    <s v="Nē"/>
    <s v="Nē"/>
    <s v="Nē"/>
    <s v="Nē"/>
    <s v="Jā"/>
    <s v="Nē"/>
    <s v="Jā"/>
    <s v="Nē"/>
    <s v="Nē"/>
    <m/>
    <s v="Nē"/>
    <m/>
    <s v="Nē"/>
    <m/>
    <s v="Nē"/>
    <m/>
    <s v="Nē"/>
    <m/>
    <s v="Jā"/>
    <s v="Nē"/>
    <s v="Nē"/>
    <s v="Nē"/>
    <s v="Nē"/>
    <s v="Nē"/>
    <s v="Nē"/>
    <s v="Jā"/>
    <s v="Nē"/>
    <s v="Jā"/>
    <s v="Nē"/>
    <s v="Nē"/>
    <s v="Jā"/>
    <s v="Nē"/>
    <s v="Nē"/>
    <s v="Nē"/>
    <s v="Jā"/>
    <s v="Nē"/>
    <s v="Nē"/>
    <m/>
    <s v="Nē"/>
    <m/>
    <s v="Nē"/>
    <m/>
    <s v="Nē"/>
    <m/>
    <s v="Nē"/>
    <m/>
    <s v="Nē"/>
    <s v="Jā"/>
    <s v="Jā"/>
    <s v="Nē"/>
    <s v="Jā"/>
    <s v="Nē"/>
    <s v="Nē"/>
    <s v="Jā"/>
    <s v="Jā"/>
    <s v="Nē"/>
    <s v="Nē"/>
    <s v="Nē"/>
    <s v="Jā"/>
    <s v="Nē"/>
    <m/>
    <s v="pleh"/>
    <m/>
    <m/>
    <m/>
    <m/>
  </r>
  <r>
    <x v="1"/>
    <n v="153"/>
    <s v="2023-09-15 08:27:20"/>
    <n v="14"/>
    <s v="ru"/>
    <n v="303802979"/>
    <s v="2023-09-15 08:04:40"/>
    <s v="2023-09-15 08:27:20"/>
    <s v="столб"/>
    <n v="16"/>
    <s v="vīriešu"/>
    <m/>
    <x v="0"/>
    <x v="0"/>
    <x v="0"/>
    <x v="0"/>
    <x v="0"/>
    <x v="0"/>
    <s v="Kurzemē"/>
    <m/>
    <s v="ateistu(ti), nereliģiozu"/>
    <m/>
    <s v="Nē"/>
    <s v="Nē"/>
    <s v="Nē"/>
    <s v="Jā"/>
    <s v="Nē"/>
    <s v="Jā"/>
    <s v="Nē"/>
    <s v="Jā"/>
    <s v="Jā"/>
    <s v="Nē"/>
    <s v="Jā"/>
    <s v="Jā"/>
    <s v="Nē"/>
    <s v="Nē"/>
    <s v="Jā"/>
    <s v="Nē"/>
    <s v="Nē"/>
    <s v="Nē"/>
    <s v="Nē"/>
    <s v="Jā"/>
    <s v="Nē"/>
    <s v="Nē"/>
    <s v="Nē"/>
    <s v="Jā"/>
    <s v="Nē"/>
    <s v="Nē"/>
    <s v="Jā"/>
    <s v="Nē"/>
    <s v="a un b"/>
    <s v="tikai b"/>
    <s v="a un b"/>
    <s v="a un b"/>
    <s v="tikai a"/>
    <s v="tikai b"/>
    <s v="Vienlīdzīgi"/>
    <s v="Lielākoties vienlīdzīgi"/>
    <s v="Vienlīdzīgi"/>
    <s v="Vienlīdzīgi"/>
    <s v="Lielākoties 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Ne sevišķi"/>
    <s v="Neinteresē"/>
    <s v="Viduvēji"/>
    <s v="Neinteresē"/>
    <s v="не знаю"/>
    <s v="Nē"/>
    <s v="Nē"/>
    <s v="Jā"/>
    <s v="Nē"/>
    <s v="Jā"/>
    <s v="Nē"/>
    <s v="2.."/>
    <n v="70"/>
    <n v="35"/>
    <n v="65"/>
    <n v="1"/>
    <s v="Nav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pāris reižu nedēļā"/>
    <s v="(gandrīz) nekad"/>
    <s v="(gandrīz) nekad"/>
    <s v="(gandrīz) nekad"/>
    <s v="(gandrīz) nekad"/>
    <s v="(gandrīz) katru dienu"/>
    <s v="(gandrīz) katru dienu"/>
    <s v="(gandrīz) katru dienu"/>
    <s v="(gandrīz) nekad"/>
    <s v="(gandrīz) katru dienu"/>
    <s v="(gandrīz) katru dienu"/>
    <s v="(gandrīz) katru dienu"/>
    <s v="(gandrīz) nekad"/>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slikti"/>
    <s v="slikti"/>
    <s v="citreiz labi, citreiz slikti"/>
    <s v="citreiz labi, citreiz slikti"/>
    <s v="citreiz labi, citreiz slikti"/>
    <s v="pamatizglītību"/>
    <m/>
    <s v="N/A"/>
    <s v="N/A"/>
    <s v="N/A"/>
    <s v="Jā"/>
    <s v="latviešu"/>
    <m/>
    <s v="vidusskolā neesmu gājis"/>
    <m/>
    <s v="Spēju pastāstīt par savu hobiju / darbu."/>
    <s v="Spēju uzrakstīt motivācijas vēstuli darbam / par savu darba pieredzi."/>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Nē"/>
    <s v="Nē"/>
    <s v="Nē"/>
    <s v="Jā"/>
    <s v="Nē"/>
    <s v="Nē"/>
    <s v="Jā"/>
    <s v="Nē"/>
    <s v="Nē"/>
    <s v="Jā"/>
    <s v="Nē"/>
    <s v="Nē"/>
    <s v="Nē"/>
    <m/>
    <m/>
    <m/>
    <m/>
    <m/>
    <m/>
  </r>
  <r>
    <x v="1"/>
    <n v="154"/>
    <s v="2023-09-15 08:20:35"/>
    <n v="14"/>
    <s v="ru"/>
    <n v="1776140325"/>
    <s v="2023-09-15 08:04:40"/>
    <s v="2023-09-15 08:20:35"/>
    <s v="столб"/>
    <n v="17"/>
    <s v="vīriešu"/>
    <m/>
    <x v="0"/>
    <x v="0"/>
    <x v="0"/>
    <x v="0"/>
    <x v="0"/>
    <x v="0"/>
    <s v="Kurzemē"/>
    <m/>
    <s v="pareizticīgo"/>
    <m/>
    <s v="Jā"/>
    <s v="Nē"/>
    <s v="Nē"/>
    <s v="Nē"/>
    <s v="Nē"/>
    <s v="Nē"/>
    <s v="Nē"/>
    <s v="Jā"/>
    <s v="Jā"/>
    <s v="Nē"/>
    <s v="Nē"/>
    <s v="Jā"/>
    <s v="Nē"/>
    <s v="Nē"/>
    <s v="Nē"/>
    <s v="Jā"/>
    <s v="Nē"/>
    <s v="Nē"/>
    <s v="Jā"/>
    <s v="Jā"/>
    <s v="Nē"/>
    <s v="Jā"/>
    <s v="Jā"/>
    <s v="Jā"/>
    <s v="Jā"/>
    <s v="Jā"/>
    <s v="Jā"/>
    <s v="Nē"/>
    <s v="nezinu"/>
    <s v="nezinu"/>
    <s v="nezinu"/>
    <s v="nezinu"/>
    <s v="nezinu"/>
    <s v="nezinu"/>
    <s v="Vienlīdzīgi"/>
    <s v="Nevienlīdzīgi"/>
    <s v="Vienlīdzīgi"/>
    <s v="Vienlīdzīgi"/>
    <s v="Ne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Ne sevišķi"/>
    <s v="Neinteresē"/>
    <s v="Viduvēji"/>
    <s v="Neinteresē"/>
    <s v="политика расчитанная на большое кол-во людей"/>
    <s v="Nē"/>
    <s v="Nē"/>
    <s v="Nē"/>
    <s v="Nē"/>
    <s v="Jā"/>
    <s v="Nē"/>
    <s v="2.."/>
    <n v="100"/>
    <n v="1"/>
    <n v="100"/>
    <n v="50"/>
    <s v="Drīzāk saspīlētas"/>
    <s v="Drīzāk saspīlētas"/>
    <s v="Ļoti saspīlētas"/>
    <s v="(Gandrīz) nekad"/>
    <s v="(Gandrīz) nekad"/>
    <s v="(Gandrīz) nekad"/>
    <s v="(Gandrīz) nekad"/>
    <s v="(Gandrīz) nekad"/>
    <s v="Nezinu"/>
    <s v="Dažreiz"/>
    <s v="(Gandrīz) nekad"/>
    <s v="Dažreiz"/>
    <s v="Dažreiz"/>
    <s v="не могу вспомнить ни одну такую ситуацию"/>
    <s v="nē"/>
    <s v="N/A"/>
    <s v="N/A"/>
    <s v="N/A"/>
    <s v="N/A"/>
    <s v="N/A"/>
    <s v="N/A"/>
    <s v="N/A"/>
    <s v="Jā"/>
    <s v="N/A"/>
    <s v="N/A"/>
    <s v="N/A"/>
    <s v="Jā"/>
    <s v="(gandrīz) nekad"/>
    <s v="pāris reižu nedēļā"/>
    <s v="(gandrīz) nekad"/>
    <s v="(gandrīz) nekad"/>
    <s v="(gandrīz) nekad"/>
    <s v="(gandrīz) nekad"/>
    <s v="reizi nedēļā"/>
    <s v="(gandrīz) katru dienu"/>
    <s v="(gandrīz) katru dienu"/>
    <s v="(gandrīz) nekad"/>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nezinu"/>
    <s v="nezinu"/>
    <s v="nezinu"/>
    <s v="nezinu"/>
    <s v="ļoti labi"/>
    <s v="vidējo izglītību"/>
    <m/>
    <s v="N/A"/>
    <s v="N/A"/>
    <s v="N/A"/>
    <s v="Jā"/>
    <s v="krievu"/>
    <m/>
    <s v="latviešu"/>
    <m/>
    <s v="Spēju pastāstīt par savu hobiju / darbu."/>
    <s v="Spēju uzrakstīt vēstuli draugam."/>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s v="Да на здоровье!"/>
    <m/>
    <m/>
    <m/>
    <m/>
  </r>
  <r>
    <x v="1"/>
    <n v="155"/>
    <s v="2023-09-15 08:37:38"/>
    <n v="14"/>
    <s v="lv"/>
    <n v="228729157"/>
    <s v="2023-09-15 08:04:44"/>
    <s v="2023-09-15 08:37:38"/>
    <s v="putns"/>
    <n v="16"/>
    <s v="vīriešu"/>
    <m/>
    <x v="1"/>
    <x v="1"/>
    <x v="0"/>
    <x v="0"/>
    <x v="0"/>
    <x v="0"/>
    <s v="Kurzemē"/>
    <m/>
    <s v="pareizticīgo"/>
    <m/>
    <s v="Jā"/>
    <s v="Jā"/>
    <s v="Nē"/>
    <s v="Nē"/>
    <s v="Nē"/>
    <s v="Nē"/>
    <s v="Nē"/>
    <s v="Nē"/>
    <s v="Nē"/>
    <s v="Nē"/>
    <s v="Nē"/>
    <s v="Nē"/>
    <s v="Jā"/>
    <s v="Nē"/>
    <s v="Nē"/>
    <s v="Jā"/>
    <s v="Nē"/>
    <s v="Nē"/>
    <s v="Nē"/>
    <s v="Nē"/>
    <s v="Nē"/>
    <s v="Jā"/>
    <s v="Nē"/>
    <s v="Nē"/>
    <s v="Nē"/>
    <s v="Nē"/>
    <s v="Nē"/>
    <s v="Nē"/>
    <s v="a un b"/>
    <s v="tikai a"/>
    <s v="tikai b"/>
    <s v="tikai b"/>
    <s v="tikai b"/>
    <s v="tikai a"/>
    <s v="Lielākoties vienlīdzīgi"/>
    <s v="Nevienlīdzīgi"/>
    <s v="Lielākoties nevienlīdzīgi"/>
    <s v="Vienlīdzīgi"/>
    <s v="Lielākoties nevienlīdzīgi"/>
    <s v="&quot;Latvija pirmajā vietā&quot;"/>
    <s v="Jaunā Vienotība"/>
    <s v="Nacionālā Apvienība"/>
    <s v="Politiskā partija &quot;Stabilitātei&quot;"/>
    <s v="&quot;Progresīvie&quot;"/>
    <s v="Zaļo un Zemnieku savienība"/>
    <s v="&quot;Progresīvie&quot;"/>
    <s v="Cīņai ar klimata pārmaiņām būtu jābūt vairumam pasaules valstu galvenajai prioritātei."/>
    <s v="jā, lielāko daļu no tā, ko iespējams šķirot"/>
    <s v="&quot;Progresīvie&quot;"/>
    <s v="Jaunā Vienotība"/>
    <s v="Zaļo un Zemnieku savienība"/>
    <s v="Nacionālā Apvienība"/>
    <s v="Politiskā partija &quot;Stabilitātei&quot;"/>
    <s v="&quot;Latvija pirmajā vietā&quot;"/>
    <s v="Nacionālā Apvienība"/>
    <s v="Jaunā Vienotība"/>
    <s v="Jaunā Vienotība"/>
    <s v="Nacionālā Apvienība"/>
    <s v="Jaunā Vienotība"/>
    <s v="Politiskā partija &quot;Stabilitātei&quot;"/>
    <s v="Zaļo un Zemnieku savienība"/>
    <s v="Jaunā Vienotība"/>
    <s v="Ļoti"/>
    <s v="Neinteresē"/>
    <s v="Viduvēji"/>
    <s v="Neinteresē"/>
    <s v="Kaut kas, kas ir populārs politikā mūsdienas."/>
    <s v="Nē"/>
    <s v="Nē"/>
    <s v="Nē"/>
    <s v="Jā"/>
    <s v="Jā"/>
    <s v="Nē"/>
    <s v="2.."/>
    <n v="69"/>
    <n v="16"/>
    <m/>
    <m/>
    <s v="Drīzāk saspīlētas"/>
    <s v="Mazliet saspīlētas"/>
    <s v="Drīzāk saspīlētas"/>
    <s v="(Gandrīz) nekad"/>
    <s v="Dažreiz"/>
    <s v="Reti"/>
    <s v="Reti"/>
    <s v="Reti"/>
    <m/>
    <m/>
    <m/>
    <m/>
    <m/>
    <s v="Izmantoju angļu valodu, lai komunicētos."/>
    <s v="nē"/>
    <s v="N/A"/>
    <s v="N/A"/>
    <s v="N/A"/>
    <s v="N/A"/>
    <s v="Nē"/>
    <s v="Jā"/>
    <s v="Nē"/>
    <s v="Nē"/>
    <s v="Jā"/>
    <s v="Nē"/>
    <s v="Nē"/>
    <s v="Nē"/>
    <s v="(gandrīz) katru dienu"/>
    <s v="(gandrīz) katru dienu"/>
    <s v="pāris reižu nedēļā"/>
    <s v="(gandrīz) katru dienu"/>
    <s v="(gandrīz) katru dienu"/>
    <s v="(gandrīz) katru dienu"/>
    <s v="(gandrīz) katru dienu"/>
    <s v="pāris reižu mēnesī"/>
    <s v="pāris reižu nedēļā"/>
    <s v="reizi nedēļā"/>
    <s v="pāris reižu nedēļā"/>
    <s v="(gandrīz) nekad"/>
    <s v="reizi nedēļā"/>
    <s v="pāris reižu mēnesī"/>
    <s v="vienlīdz pieejama izglītība, veselības aprūpe, sociālais nodrošinājums"/>
    <s v="pilsoniskās brīvības (vārda brīvība, tiesības uz tiesisko aizsardzību)"/>
    <s v="brīvas vēlēšanas un plurālisms"/>
    <m/>
    <m/>
    <s v="citreiz labi, citreiz slikti"/>
    <s v="labi"/>
    <s v="ļoti labi"/>
    <s v="citreiz labi, citreiz slikti"/>
    <s v="labi"/>
    <s v="pamatizglītību"/>
    <m/>
    <s v="N/A"/>
    <s v="N/A"/>
    <s v="N/A"/>
    <s v="Jā"/>
    <s v="latviešu"/>
    <m/>
    <s v="latviešu"/>
    <m/>
    <s v="Spēju veikt pasūtījumu restorānā."/>
    <s v="Spēju uzrakstīt vēstuli draugam."/>
    <s v="Viegli saprotu televīzijas pārraides vai Youtube video par saviem hobijiem / darbības sfēru."/>
    <s v="{if(is_empty(tongueLAT_SQ001.NAOK), 'latviski','krieviski')} spēju izlasīt ēdienkarti restorānā."/>
    <m/>
    <m/>
    <m/>
    <m/>
    <m/>
    <m/>
    <m/>
    <m/>
    <m/>
    <m/>
    <m/>
    <m/>
    <m/>
    <m/>
    <m/>
    <m/>
    <m/>
    <s v="N/A"/>
    <s v="N/A"/>
    <s v="N/A"/>
    <s v="N/A"/>
    <s v="N/A"/>
    <s v="N/A"/>
    <m/>
    <m/>
    <m/>
    <m/>
    <m/>
    <s v="Nē"/>
    <s v="Nē"/>
    <s v="Nē"/>
    <s v="Nē"/>
    <s v="Nē"/>
    <s v="Nē"/>
    <s v="Nē"/>
    <s v="Nē"/>
    <s v="Jā"/>
    <s v="Nē"/>
    <s v="Nē"/>
    <s v="Nē"/>
    <s v="Nē"/>
    <s v="Jā"/>
    <s v="Nē"/>
    <s v="Nē"/>
    <m/>
    <s v="Nē"/>
    <m/>
    <s v="Nē"/>
    <m/>
    <s v="Nē"/>
    <m/>
    <s v="Nē"/>
    <m/>
    <s v="Jā"/>
    <s v="Nē"/>
    <s v="Nē"/>
    <s v="Jā"/>
    <s v="Nē"/>
    <s v="Nē"/>
    <s v="Nē"/>
    <s v="Nē"/>
    <s v="Nē"/>
    <s v="Nē"/>
    <s v="Nē"/>
    <s v="Nē"/>
    <s v="Nē"/>
    <s v="Nē"/>
    <s v="Nē"/>
    <s v="Nē"/>
    <s v="Jā"/>
    <s v="Nē"/>
    <s v="Nē"/>
    <m/>
    <s v="Nē"/>
    <m/>
    <s v="Nē"/>
    <m/>
    <s v="Nē"/>
    <m/>
    <s v="Nē"/>
    <m/>
    <s v="Jā"/>
    <s v="Jā"/>
    <s v="Jā"/>
    <s v="Nē"/>
    <s v="Jā"/>
    <s v="Nē"/>
    <s v="Nē"/>
    <s v="Jā"/>
    <s v="Jā"/>
    <s v="Nē"/>
    <s v="Jā"/>
    <s v="Nē"/>
    <s v="Jā"/>
    <s v="Nē"/>
    <m/>
    <s v="Es neatbalstu LGBTQ un nemaz neinteresē tā sfēra."/>
    <m/>
    <m/>
    <m/>
    <m/>
  </r>
  <r>
    <x v="1"/>
    <n v="156"/>
    <s v="2023-09-15 08:27:30"/>
    <n v="14"/>
    <s v="lv"/>
    <n v="1073393827"/>
    <s v="2023-09-15 08:04:44"/>
    <s v="2023-09-15 08:27:30"/>
    <s v="putns"/>
    <n v="17"/>
    <s v="vīriešu"/>
    <m/>
    <x v="1"/>
    <x v="0"/>
    <x v="0"/>
    <x v="0"/>
    <x v="0"/>
    <x v="0"/>
    <s v="Kurzemē"/>
    <m/>
    <s v="ateistu(ti), nereliģiozu"/>
    <m/>
    <s v="Jā"/>
    <s v="Jā"/>
    <s v="Nē"/>
    <s v="Nē"/>
    <s v="Nē"/>
    <s v="Nē"/>
    <s v="Nē"/>
    <s v="Nē"/>
    <s v="Jā"/>
    <s v="Nē"/>
    <s v="Nē"/>
    <s v="Nē"/>
    <s v="Jā"/>
    <s v="Nē"/>
    <s v="Jā"/>
    <s v="Jā"/>
    <s v="Jā"/>
    <s v="Nē"/>
    <s v="Nē"/>
    <s v="Nē"/>
    <s v="Nē"/>
    <s v="Jā"/>
    <s v="Jā"/>
    <s v="Nē"/>
    <s v="Jā"/>
    <s v="Nē"/>
    <s v="Jā"/>
    <s v="Nē"/>
    <s v="tikai a"/>
    <s v="tikai b"/>
    <s v="tikai a"/>
    <s v="a un b"/>
    <s v="tikai b"/>
    <s v="a un b"/>
    <s v="Lielākoties nevienlīdzīgi"/>
    <s v="Nevienlīdzīgi"/>
    <s v="Lielākoties vienlīdzīgi"/>
    <s v="Lielākoties vienlīdzīgi"/>
    <s v="Nevienlīdzīgi"/>
    <s v="Nacionālā Apvienība"/>
    <s v="&quot;Apvienotais saraksts&quot;"/>
    <s v="Zaļo un Zemnieku savienība"/>
    <s v="&quot;Progresīvie&quot;"/>
    <s v="Politiskā partija &quot;Stabilitātei&quot;"/>
    <s v="Jaunā Vienotība"/>
    <s v="&quot;Latvija pirmajā vietā&quot;"/>
    <s v="Cīņai ar klimata pārmaiņām būtu jābūt vairumam pasaules valstu galvenajai prioritātei."/>
    <s v="jā, lielāko daļu no tā, ko iespējams šķirot"/>
    <s v="Jaunā Vienotība"/>
    <s v="&quot;Apvienotais saraksts&quot;"/>
    <s v="Politiskā partija &quot;Stabilitātei&quot;"/>
    <s v="&quot;Latvija pirmajā vietā&quot;"/>
    <s v="&quot;Progresīvie&quot;"/>
    <s v="Zaļo un Zemnieku savienība"/>
    <s v="Nacionālā Apvienība"/>
    <s v="&quot;Apvienotais saraksts&quot;"/>
    <s v="Politiskā partija &quot;Stabilitātei&quot;"/>
    <s v="Nacionālā Apvienība"/>
    <s v="&quot;Progresīvie&quot;"/>
    <s v="Jaunā Vienotība"/>
    <s v="&quot;Latvija pirmajā vietā&quot;"/>
    <s v="Zaļo un Zemnieku savienība"/>
    <s v="Ne sevišķi"/>
    <s v="Ļoti"/>
    <s v="Viduvēji"/>
    <s v="Ļoti"/>
    <s v="Kaut kas saistīts ar popularitāti, cik daudz cilvēku atbalsta kādu politiķi"/>
    <s v="Nē"/>
    <s v="Jā"/>
    <s v="Nē"/>
    <s v="Nē"/>
    <s v="Nē"/>
    <s v="Nē"/>
    <s v="1.."/>
    <n v="35"/>
    <n v="90"/>
    <n v="63"/>
    <n v="40"/>
    <s v="Drīzāk saspīlētas"/>
    <s v="Ļoti saspīlētas"/>
    <s v="Mazliet saspīlētas"/>
    <s v="(Gandrīz) nekad"/>
    <s v="(Gandrīz) nekad"/>
    <s v="(Gandrīz) nekad"/>
    <s v="Nezinu"/>
    <s v="(Gandrīz) nekad"/>
    <s v="(Gandrīz) nekad"/>
    <s v="(Gandrīz) nekad"/>
    <s v="(Gandrīz) nekad"/>
    <s v="Nezinu"/>
    <s v="(Gandrīz) nekad"/>
    <m/>
    <s v="nē"/>
    <s v="N/A"/>
    <s v="N/A"/>
    <s v="N/A"/>
    <s v="N/A"/>
    <s v="N/A"/>
    <s v="N/A"/>
    <s v="N/A"/>
    <s v="Jā"/>
    <s v="N/A"/>
    <s v="N/A"/>
    <s v="N/A"/>
    <s v="Jā"/>
    <s v="(gandrīz) katru dienu"/>
    <s v="(gandrīz) katru dienu"/>
    <s v="(gandrīz) katru dienu"/>
    <s v="(gandrīz) katru dienu"/>
    <s v="(gandrīz) katru dienu"/>
    <s v="(gandrīz) nekad"/>
    <s v="(gandrīz) katru dienu"/>
    <s v="(gandrīz) katru dienu"/>
    <s v="(gandrīz) katru dienu"/>
    <s v="pāris reižu nedēļā"/>
    <s v="(gandrīz) katru dienu"/>
    <s v="(gandrīz) katru dienu"/>
    <s v="pāris reižu nedēļā"/>
    <s v="pāris reižu nedēļā"/>
    <s v="pilsoniskās brīvības (vārda brīvība, tiesības uz tiesisko aizsardzību)"/>
    <s v="vienlīdzīgas tiesības minoritātēm un ievainojamām sabiedrības grupām"/>
    <s v="brīvas vēlēšanas un plurālisms"/>
    <m/>
    <m/>
    <s v="labi"/>
    <s v="citreiz labi, citreiz slikti"/>
    <s v="citreiz labi, citreiz slikti"/>
    <s v="citreiz labi, citreiz slikti"/>
    <s v="slikti"/>
    <s v="pamat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Nē"/>
    <s v="Nē"/>
    <s v="Jā"/>
    <s v="Nē"/>
    <s v="Nē"/>
    <s v="Nē"/>
    <s v="Nē"/>
    <s v="Nē"/>
    <s v="Jā"/>
    <s v="Nē"/>
    <s v="Nē"/>
    <s v="Nē"/>
    <m/>
    <m/>
    <m/>
    <m/>
    <m/>
    <m/>
  </r>
  <r>
    <x v="1"/>
    <n v="157"/>
    <s v="2023-09-15 08:25:37"/>
    <n v="14"/>
    <s v="ru"/>
    <n v="1302742803"/>
    <s v="2023-09-15 08:04:49"/>
    <s v="2023-09-15 08:25:37"/>
    <s v="столб"/>
    <n v="17"/>
    <s v="vīriešu"/>
    <m/>
    <x v="1"/>
    <x v="0"/>
    <x v="0"/>
    <x v="0"/>
    <x v="0"/>
    <x v="0"/>
    <s v="Kurzemē"/>
    <m/>
    <s v="pareizticīgo"/>
    <m/>
    <s v="Nē"/>
    <s v="Jā"/>
    <s v="Nē"/>
    <s v="Nē"/>
    <s v="Nē"/>
    <s v="Nē"/>
    <s v="Nē"/>
    <s v="Jā"/>
    <s v="Jā"/>
    <s v="Nē"/>
    <s v="Nē"/>
    <s v="Jā"/>
    <s v="Nē"/>
    <s v="Nē"/>
    <s v="Nē"/>
    <s v="Jā"/>
    <s v="Nē"/>
    <s v="Nē"/>
    <s v="Nē"/>
    <s v="Nē"/>
    <s v="Nē"/>
    <s v="Nē"/>
    <s v="Jā"/>
    <s v="Jā"/>
    <s v="Jā"/>
    <s v="Jā"/>
    <s v="Jā"/>
    <s v="Nē"/>
    <s v="a un b"/>
    <s v="tikai a"/>
    <s v="a un b"/>
    <s v="tikai a"/>
    <s v="tikai b"/>
    <s v="a un b"/>
    <s v="Vienlīdzīgi"/>
    <s v="Nevienlīdzīgi"/>
    <s v="Vienlīdzīgi"/>
    <s v="Vienlīdzīgi"/>
    <s v="Vienlīdzīgi"/>
    <s v="&quot;Progresīvie&quot;"/>
    <s v="&quot;Apvienotais saraksts&quot;"/>
    <s v="Politiskā partija &quot;Stabilitātei&quot;"/>
    <s v="&quot;Latvija pirmajā vietā&quot;"/>
    <s v="Zaļo un Zemnieku savienība"/>
    <s v="Nacionālā Apvienība"/>
    <s v="Jaunā Vienotība"/>
    <s v="Cīņai ar klimata pārmaiņām būtu jābūt vairumam pasaules valstu galvenajai prioritātei."/>
    <s v="jā, lielāko daļu no tā, ko iespējams šķirot"/>
    <s v="&quot;Apvienotais saraksts&quot;"/>
    <s v="Zaļo un Zemnieku savienība"/>
    <s v="&quot;Progresīvie&quot;"/>
    <s v="Politiskā partija &quot;Stabilitātei&quot;"/>
    <s v="Jaunā Vienotība"/>
    <s v="Nacionālā Apvienība"/>
    <s v="&quot;Latvija pirmajā vietā&quot;"/>
    <s v="Nacionālā Apvienība"/>
    <s v="Jaunā Vienotība"/>
    <s v="Politiskā partija &quot;Stabilitātei&quot;"/>
    <s v="nezinu"/>
    <s v="nezinu"/>
    <s v="Zaļo un Zemnieku savienība"/>
    <s v="nezinu"/>
    <s v="Viduvēji"/>
    <s v="Ļoti"/>
    <s v="Ļoti"/>
    <s v="Ne sevišķi"/>
    <s v="не знаю"/>
    <s v="Nē"/>
    <s v="Nē"/>
    <s v="Nē"/>
    <s v="Nē"/>
    <s v="Jā"/>
    <s v="Nē"/>
    <s v="1....."/>
    <n v="1"/>
    <n v="50"/>
    <n v="100"/>
    <n v="27"/>
    <s v="Mazliet saspīlētas"/>
    <s v="Nav saspīlētas"/>
    <s v="Nav saspīlētas"/>
    <s v="Nezinu"/>
    <s v="(Gandrīz) nekad"/>
    <s v="(Gandrīz) nekad"/>
    <s v="Nezinu"/>
    <s v="Reti"/>
    <s v="(Gandrīz) nekad"/>
    <s v="(Gandrīz) nekad"/>
    <s v="(Gandrīz) nekad"/>
    <s v="(Gandrīz) nekad"/>
    <s v="(Gandrīz) nekad"/>
    <s v="Общался с друзьями"/>
    <s v="nē"/>
    <s v="N/A"/>
    <s v="N/A"/>
    <s v="N/A"/>
    <s v="N/A"/>
    <s v="Jā"/>
    <s v="Nē"/>
    <s v="Jā"/>
    <s v="Nē"/>
    <s v="Jā"/>
    <s v="Nē"/>
    <s v="Nē"/>
    <s v="Nē"/>
    <s v="(gandrīz) nekad"/>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āris reižu nedēļā"/>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slikti"/>
    <s v="Knapi / gandrīz necik"/>
    <s v="Knapi / gandrīz necik"/>
    <s v="Knapi / gandrīz necik"/>
    <s v="Knapi / gandrīz necik"/>
    <s v="vidējo izglītību"/>
    <m/>
    <s v="N/A"/>
    <s v="N/A"/>
    <s v="N/A"/>
    <s v="Jā"/>
    <s v="krievu"/>
    <m/>
    <s v="krievu"/>
    <m/>
    <m/>
    <m/>
    <m/>
    <m/>
    <m/>
    <m/>
    <m/>
    <m/>
    <m/>
    <m/>
    <m/>
    <m/>
    <m/>
    <m/>
    <m/>
    <m/>
    <m/>
    <m/>
    <m/>
    <m/>
    <m/>
    <s v="N/A"/>
    <s v="N/A"/>
    <s v="N/A"/>
    <s v="N/A"/>
    <s v="N/A"/>
    <s v="N/A"/>
    <m/>
    <m/>
    <m/>
    <m/>
    <m/>
    <s v="Nē"/>
    <s v="Nē"/>
    <s v="Nē"/>
    <s v="Nē"/>
    <s v="Nē"/>
    <s v="Nē"/>
    <s v="Nē"/>
    <s v="Nē"/>
    <s v="Nē"/>
    <s v="Nē"/>
    <s v="Nē"/>
    <s v="Jā"/>
    <s v="Nē"/>
    <s v="Nē"/>
    <s v="Nē"/>
    <s v="Jā"/>
    <m/>
    <s v="Nē"/>
    <m/>
    <s v="Nē"/>
    <m/>
    <s v="Nē"/>
    <m/>
    <s v="Nē"/>
    <m/>
    <s v="Nē"/>
    <s v="Nē"/>
    <s v="Nē"/>
    <s v="Nē"/>
    <s v="Nē"/>
    <s v="Nē"/>
    <s v="Nē"/>
    <s v="Nē"/>
    <s v="Nē"/>
    <s v="Nē"/>
    <s v="Nē"/>
    <s v="Nē"/>
    <s v="Nē"/>
    <s v="Nē"/>
    <s v="Nē"/>
    <s v="Nē"/>
    <s v="Jā"/>
    <s v="Nē"/>
    <s v="Nē"/>
    <m/>
    <s v="Nē"/>
    <m/>
    <s v="Nē"/>
    <m/>
    <s v="Nē"/>
    <m/>
    <s v="Nē"/>
    <m/>
    <s v="Nē"/>
    <s v="Jā"/>
    <s v="Nē"/>
    <s v="Nē"/>
    <s v="Jā"/>
    <s v="Jā"/>
    <s v="Nē"/>
    <s v="Jā"/>
    <s v="Nē"/>
    <s v="Nē"/>
    <s v="Jā"/>
    <s v="Nē"/>
    <s v="Jā"/>
    <s v="Nē"/>
    <m/>
    <m/>
    <m/>
    <m/>
    <m/>
    <m/>
  </r>
  <r>
    <x v="1"/>
    <n v="158"/>
    <s v="2023-09-15 08:35:47"/>
    <n v="14"/>
    <s v="lv"/>
    <n v="1787296331"/>
    <s v="2023-09-15 08:04:50"/>
    <s v="2023-09-15 08:35:47"/>
    <s v="putns"/>
    <n v="17"/>
    <s v="vīriešu"/>
    <m/>
    <x v="1"/>
    <x v="1"/>
    <x v="0"/>
    <x v="0"/>
    <x v="0"/>
    <x v="0"/>
    <s v="Kurzemē"/>
    <m/>
    <s v="pareizticīgo"/>
    <m/>
    <s v="Jā"/>
    <s v="Jā"/>
    <s v="Nē"/>
    <s v="Nē"/>
    <s v="Nē"/>
    <s v="Nē"/>
    <s v="Nē"/>
    <s v="Jā"/>
    <s v="Jā"/>
    <s v="Nē"/>
    <s v="Nē"/>
    <s v="Jā"/>
    <s v="Nē"/>
    <s v="Nē"/>
    <s v="Jā"/>
    <s v="Jā"/>
    <s v="Nē"/>
    <s v="Nē"/>
    <s v="Nē"/>
    <s v="Nē"/>
    <s v="Nē"/>
    <s v="Jā"/>
    <s v="Nē"/>
    <s v="Jā"/>
    <s v="Jā"/>
    <s v="Jā"/>
    <s v="Nē"/>
    <s v="Nē"/>
    <s v="tikai b"/>
    <s v="a un b"/>
    <s v="ne a, ne b"/>
    <s v="ne a, ne b"/>
    <s v="tikai a"/>
    <s v="tikai a"/>
    <s v="Vienlīdzīgi"/>
    <s v="Lielākoties vienlīdzīgi"/>
    <s v="Lielākoties vienlīdzīgi"/>
    <s v="Lielākoties vienlīdzīgi"/>
    <s v="Lielākoties vienlīdzīgi"/>
    <s v="Jaunā Vienotība"/>
    <s v="&quot;Latvija pirmajā vietā&quot;"/>
    <s v="Zaļo un Zemnieku savienība"/>
    <s v="&quot;Progresīvie&quot;"/>
    <s v="Politiskā partija &quot;Stabilitātei&quot;"/>
    <s v="Nacionālā Apvienība"/>
    <s v="&quot;Apvienotais saraksts&quot;"/>
    <s v="Globālā sasilšana ir šķērsojusi robežu, pēc kuras nav iespējams atgriezties, un cilvēkiem būs jāpielāgojas."/>
    <s v="jā, lielāko daļu no tā, ko iespējams šķirot"/>
    <s v="Zaļo un Zemnieku savienība"/>
    <s v="Nacionālā Apvienība"/>
    <s v="Politiskā partija &quot;Stabilitātei&quot;"/>
    <s v="&quot;Apvienotais saraksts&quot;"/>
    <s v="&quot;Progresīvie&quot;"/>
    <s v="&quot;Latvija pirmajā vietā&quot;"/>
    <s v="Jaunā Vienotība"/>
    <s v="Zaļo un Zemnieku savienība"/>
    <s v="&quot;Apvienotais saraksts&quot;"/>
    <s v="Jaunā Vienotība"/>
    <s v="Nacionālā Apvienība"/>
    <s v="Politiskā partija &quot;Stabilitātei&quot;"/>
    <s v="&quot;Progresīvie&quot;"/>
    <s v="&quot;Latvija pirmajā vietā&quot;"/>
    <s v="Viduvēji"/>
    <s v="Viduvēji"/>
    <s v="Viduvēji"/>
    <s v="Ne sevišķi"/>
    <s v="Kad valdība vai politiķi cenšas iekarot valsts pederīgo merķus un domas."/>
    <s v="Nē"/>
    <s v="Nē"/>
    <s v="Nē"/>
    <s v="Jā"/>
    <s v="Jā"/>
    <s v="Nē"/>
    <s v="2.."/>
    <n v="84"/>
    <n v="100"/>
    <m/>
    <m/>
    <s v="Mazliet saspīlētas"/>
    <s v="Nav saspīlētas"/>
    <s v="Mazliet saspīlētas"/>
    <s v="(Gandrīz) nekad"/>
    <s v="(Gandrīz) nekad"/>
    <s v="(Gandrīz) nekad"/>
    <s v="(Gandrīz) nekad"/>
    <s v="(Gandrīz) nekad"/>
    <m/>
    <m/>
    <m/>
    <m/>
    <m/>
    <m/>
    <s v="nē"/>
    <s v="N/A"/>
    <s v="N/A"/>
    <s v="N/A"/>
    <s v="N/A"/>
    <s v="Jā"/>
    <s v="Nē"/>
    <s v="Jā"/>
    <s v="Nē"/>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labi"/>
    <s v="labi"/>
    <s v="slikti"/>
    <s v="citreiz labi, citreiz slikti"/>
    <s v="citreiz labi, citreiz slikti"/>
    <s v="pamatizglītību"/>
    <m/>
    <s v="N/A"/>
    <s v="N/A"/>
    <s v="N/A"/>
    <s v="Jā"/>
    <s v="latviešu"/>
    <m/>
    <s v="latviešu"/>
    <m/>
    <s v="Spēju pastāstīt par savu hobiju / darbu."/>
    <s v="Spēju uzrakstīt vēstuli draugam."/>
    <s v="{if(is_empty(tongueLAT_SQ001.NAOK), 'latviešu','krievu')} valodu nesaprotu vispār."/>
    <s v="{if(is_empty(tongueLAT_SQ001.NAOK), 'latviski','krieviski')} spēju izlasīt ēdienkarti restorānā."/>
    <m/>
    <m/>
    <m/>
    <m/>
    <m/>
    <m/>
    <m/>
    <m/>
    <m/>
    <m/>
    <m/>
    <m/>
    <m/>
    <m/>
    <m/>
    <m/>
    <m/>
    <s v="N/A"/>
    <s v="N/A"/>
    <s v="N/A"/>
    <s v="N/A"/>
    <s v="N/A"/>
    <s v="N/A"/>
    <m/>
    <m/>
    <m/>
    <m/>
    <m/>
    <s v="Nē"/>
    <s v="Nē"/>
    <s v="Jā"/>
    <s v="Jā"/>
    <s v="Nē"/>
    <s v="Nē"/>
    <s v="Nē"/>
    <s v="Nē"/>
    <s v="Nē"/>
    <s v="Nē"/>
    <s v="Nē"/>
    <s v="Jā"/>
    <s v="Nē"/>
    <s v="Nē"/>
    <s v="Nē"/>
    <s v="Nē"/>
    <m/>
    <s v="Jā"/>
    <s v="TV6, STV Pirmā"/>
    <s v="Nē"/>
    <m/>
    <s v="Nē"/>
    <m/>
    <s v="Nē"/>
    <m/>
    <s v="Nē"/>
    <s v="Nē"/>
    <s v="Nē"/>
    <s v="Jā"/>
    <s v="Nē"/>
    <s v="Nē"/>
    <s v="Nē"/>
    <s v="Nē"/>
    <s v="Nē"/>
    <s v="Jā"/>
    <s v="Nē"/>
    <s v="Nē"/>
    <s v="Nē"/>
    <s v="Nē"/>
    <s v="Nē"/>
    <s v="Nē"/>
    <s v="Jā"/>
    <s v="Nē"/>
    <s v="Nē"/>
    <m/>
    <s v="Jā"/>
    <s v="Delfi"/>
    <s v="Nē"/>
    <m/>
    <s v="Nē"/>
    <m/>
    <s v="Nē"/>
    <m/>
    <s v="Jā"/>
    <s v="Jā"/>
    <s v="Jā"/>
    <s v="Nē"/>
    <s v="Jā"/>
    <s v="Nē"/>
    <s v="Nē"/>
    <s v="Jā"/>
    <s v="Nē"/>
    <s v="Nē"/>
    <s v="Nē"/>
    <s v="Nē"/>
    <s v="Jā"/>
    <s v="Nē"/>
    <m/>
    <m/>
    <m/>
    <m/>
    <m/>
    <m/>
  </r>
  <r>
    <x v="1"/>
    <n v="161"/>
    <s v="2023-09-15 08:22:10"/>
    <n v="14"/>
    <s v="lv"/>
    <n v="1886195831"/>
    <s v="2023-09-15 08:05:00"/>
    <s v="2023-09-15 08:22:10"/>
    <s v="putns"/>
    <n v="17"/>
    <s v="sieviešu"/>
    <m/>
    <x v="0"/>
    <x v="0"/>
    <x v="0"/>
    <x v="0"/>
    <x v="0"/>
    <x v="0"/>
    <s v="Kurzemē"/>
    <m/>
    <s v="ateistu(ti), nereliģiozu"/>
    <m/>
    <s v="Nē"/>
    <s v="Jā"/>
    <s v="Nē"/>
    <s v="Nē"/>
    <s v="Nē"/>
    <s v="Nē"/>
    <s v="Nē"/>
    <s v="Nē"/>
    <s v="Nē"/>
    <s v="Nē"/>
    <s v="Jā"/>
    <s v="Nē"/>
    <s v="Nē"/>
    <s v="Nē"/>
    <s v="Nē"/>
    <s v="Nē"/>
    <s v="Nē"/>
    <s v="Nē"/>
    <s v="Jā"/>
    <s v="Nē"/>
    <s v="Nē"/>
    <s v="Nē"/>
    <s v="Jā"/>
    <s v="Nē"/>
    <s v="Nē"/>
    <s v="Nē"/>
    <s v="Nē"/>
    <s v="Nē"/>
    <s v="tikai b"/>
    <s v="tikai a"/>
    <s v="a un b"/>
    <s v="tikai b"/>
    <s v="tikai b"/>
    <s v="ne a, ne b"/>
    <s v="Lielākoties nevienlīdzīgi"/>
    <s v="Lielākoties nevienlīdzīgi"/>
    <s v="Lielākoties vienlīdzīgi"/>
    <s v="Lielākoties vienlīdzīgi"/>
    <s v="Lielākoties 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Viduvēji"/>
    <s v="Viduvēji"/>
    <s v="Viduvēji"/>
    <s v="nezinu"/>
    <s v="Jā"/>
    <s v="Nē"/>
    <s v="Jā"/>
    <s v="Jā"/>
    <s v="Jā"/>
    <s v="Nē"/>
    <s v="2........"/>
    <n v="27"/>
    <n v="43"/>
    <n v="60"/>
    <n v="10"/>
    <s v="Drīzāk saspīlētas"/>
    <s v="Drīzāk saspīlētas"/>
    <s v="Mazliet saspīlētas"/>
    <s v="(Gandrīz) nekad"/>
    <s v="Dažreiz"/>
    <s v="(Gandrīz) nekad"/>
    <s v="(Gandrīz) nekad"/>
    <s v="Dažreiz"/>
    <s v="Dažreiz"/>
    <s v="Dažreiz"/>
    <s v="Dažreiz"/>
    <s v="Dažreiz"/>
    <s v="Dažreiz"/>
    <s v="nezinu"/>
    <s v="nē"/>
    <s v="N/A"/>
    <s v="N/A"/>
    <s v="N/A"/>
    <s v="N/A"/>
    <s v="N/A"/>
    <s v="N/A"/>
    <s v="N/A"/>
    <s v="Jā"/>
    <s v="N/A"/>
    <s v="N/A"/>
    <s v="N/A"/>
    <s v="Jā"/>
    <s v="(gandrīz) katru dienu"/>
    <s v="(gandrīz) katru dienu"/>
    <s v="(gandrīz) nekad"/>
    <s v="(gandrīz) katru dienu"/>
    <s v="(gandrīz) nekad"/>
    <s v="(gandrīz) nekad"/>
    <s v="(gandrīz) katru dienu"/>
    <s v="(gandrīz) katru dienu"/>
    <s v="(gandrīz) katru dienu"/>
    <s v="(gandrīz) nekad"/>
    <s v="(gandrīz) katru dienu"/>
    <s v="(gandrīz) nekad"/>
    <s v="(gandrīz) katru dienu"/>
    <s v="(gandrīz) nekad"/>
    <s v="pilsoniskās brīvības (vārda brīvība, tiesības uz tiesisko aizsardzību)"/>
    <s v="brīvas vēlēšanas un plurālisms"/>
    <s v="vienlīdzīgas tiesības minoritātēm un ievainojamām sabiedrības grupām"/>
    <m/>
    <m/>
    <s v="slikti"/>
    <s v="slikti"/>
    <s v="labi"/>
    <s v="slikti"/>
    <s v="slikti"/>
    <s v="pamatizglītību"/>
    <m/>
    <s v="N/A"/>
    <s v="N/A"/>
    <s v="N/A"/>
    <s v="Jā"/>
    <s v="vienlīdz latviešu un kriev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Nē"/>
    <s v="Nē"/>
    <s v="Nē"/>
    <s v="Jā"/>
    <s v="Nē"/>
    <s v="Nē"/>
    <s v="Nē"/>
    <s v="Jā"/>
    <m/>
    <s v="Nē"/>
    <m/>
    <s v="Nē"/>
    <m/>
    <s v="Nē"/>
    <m/>
    <s v="Nē"/>
    <m/>
    <s v="Nē"/>
    <s v="Nē"/>
    <s v="Nē"/>
    <s v="Nē"/>
    <s v="Nē"/>
    <s v="Nē"/>
    <s v="Nē"/>
    <s v="Nē"/>
    <s v="Nē"/>
    <s v="Nē"/>
    <s v="Nē"/>
    <s v="Nē"/>
    <s v="Nē"/>
    <s v="Nē"/>
    <s v="Nē"/>
    <s v="Nē"/>
    <s v="Jā"/>
    <s v="Nē"/>
    <s v="Nē"/>
    <m/>
    <s v="Nē"/>
    <m/>
    <s v="Nē"/>
    <m/>
    <s v="Nē"/>
    <m/>
    <s v="Nē"/>
    <m/>
    <s v="Nē"/>
    <s v="Nē"/>
    <s v="Nē"/>
    <s v="Nē"/>
    <s v="Jā"/>
    <s v="Jā"/>
    <s v="Nē"/>
    <s v="Jā"/>
    <s v="Nē"/>
    <s v="Nē"/>
    <s v="Nē"/>
    <s v="Nē"/>
    <s v="Nē"/>
    <s v="Nē"/>
    <m/>
    <m/>
    <m/>
    <m/>
    <m/>
    <m/>
  </r>
  <r>
    <x v="1"/>
    <n v="162"/>
    <s v="2023-09-15 08:56:06"/>
    <n v="14"/>
    <s v="ru"/>
    <n v="1233722396"/>
    <s v="2023-09-15 08:05:03"/>
    <s v="2023-09-15 08:56:06"/>
    <s v="столб"/>
    <n v="17"/>
    <s v="vīriešu"/>
    <m/>
    <x v="0"/>
    <x v="0"/>
    <x v="0"/>
    <x v="0"/>
    <x v="0"/>
    <x v="0"/>
    <s v="Kurzemē"/>
    <m/>
    <s v="ateistu(ti), nereliģiozu"/>
    <m/>
    <s v="Nē"/>
    <s v="Nē"/>
    <s v="Nē"/>
    <s v="Nē"/>
    <s v="Jā"/>
    <s v="Jā"/>
    <s v="Nē"/>
    <s v="Nē"/>
    <s v="Nē"/>
    <s v="Nē"/>
    <s v="Jā"/>
    <s v="Jā"/>
    <s v="Nē"/>
    <s v="Nē"/>
    <s v="Jā"/>
    <s v="Jā"/>
    <s v="Nē"/>
    <s v="Nē"/>
    <s v="Nē"/>
    <s v="Nē"/>
    <s v="Nē"/>
    <s v="Nē"/>
    <s v="Jā"/>
    <s v="Nē"/>
    <s v="Jā"/>
    <s v="Jā"/>
    <s v="Nē"/>
    <s v="Nē"/>
    <s v="tikai b"/>
    <s v="nezinu"/>
    <s v="a un b"/>
    <s v="a un b"/>
    <s v="tikai b"/>
    <s v="nezinu"/>
    <s v="Lielākoties nevienlīdzīgi"/>
    <s v="Lielākoties vienlīdzīgi"/>
    <s v="Vienlīdzīgi"/>
    <s v="Vienlīdzīgi"/>
    <s v="Vienlīdzīgi"/>
    <s v="Politiskā partija &quot;Stabilitātei&quot;"/>
    <s v="nezinu"/>
    <s v="nezinu"/>
    <s v="nezinu"/>
    <s v="nezinu"/>
    <s v="nezinu"/>
    <s v="nezinu"/>
    <s v="Cīņai ar klimata pārmaiņām būtu jābūt vairumam pasaules valstu galvenajai prioritātei."/>
    <s v="jā, lielāko daļu no tā, ko iespējams šķirot"/>
    <s v="Zaļo un Zemnieku savienība"/>
    <s v="nezinu"/>
    <s v="nezinu"/>
    <s v="nezinu"/>
    <s v="nezinu"/>
    <s v="nezinu"/>
    <s v="nezinu"/>
    <s v="nezinu"/>
    <s v="nezinu"/>
    <s v="nezinu"/>
    <s v="nezinu"/>
    <s v="nezinu"/>
    <s v="nezinu"/>
    <s v="nezinu"/>
    <s v="Ārkārtīgi"/>
    <s v="Ne sevišķi"/>
    <s v="Viduvēji"/>
    <s v="Viduvēji"/>
    <s v="Пропаганда навязанное мнение или что то в этом духе, наверное."/>
    <s v="Nē"/>
    <s v="Nē"/>
    <s v="Nē"/>
    <s v="Jā"/>
    <s v="Jā"/>
    <s v="Nē"/>
    <s v="1.."/>
    <n v="70"/>
    <n v="40"/>
    <n v="70"/>
    <n v="14"/>
    <s v="Drīzāk saspīlētas"/>
    <s v="Mazliet saspīlētas"/>
    <s v="Nav saspīlētas"/>
    <s v="(Gandrīz) nekad"/>
    <s v="(Gandrīz) nekad"/>
    <s v="(Gandrīz) nekad"/>
    <s v="Reti"/>
    <s v="Reti"/>
    <s v="Dažreiz"/>
    <s v="Dažreiz"/>
    <s v="Reti"/>
    <s v="Reti"/>
    <s v="Reti"/>
    <s v="Дома с родителями, с целью пообщаться."/>
    <s v="nē"/>
    <s v="N/A"/>
    <s v="N/A"/>
    <s v="N/A"/>
    <s v="N/A"/>
    <s v="Nē"/>
    <s v="Nē"/>
    <s v="Jā"/>
    <s v="Nē"/>
    <s v="Nē"/>
    <s v="Nē"/>
    <s v="Jā"/>
    <s v="Nē"/>
    <s v="reizi nedēļā"/>
    <s v="(gandrīz) katru dienu"/>
    <s v="(gandrīz) katru dienu"/>
    <s v="pāris reižu nedēļā"/>
    <s v="(gandrīz) katru dienu"/>
    <s v="pāris reižu nedēļā"/>
    <s v="reizi nedēļā"/>
    <s v="(gandrīz) katru dienu"/>
    <s v="(gandrīz) katru dienu"/>
    <s v="(gandrīz) katru dienu"/>
    <s v="(gandrīz) katru dienu"/>
    <s v="(gandrīz) katru dienu"/>
    <s v="pāris reižu nedēļā"/>
    <s v="pāris reižu mēnesī"/>
    <s v="vienlīdz pieejama izglītība, veselības aprūpe, sociālais nodrošinājums"/>
    <s v="brīvas vēlēšanas un plurālisms"/>
    <s v="pilsoniskās brīvības (vārda brīvība, tiesības uz tiesisko aizsardzību)"/>
    <m/>
    <m/>
    <s v="citreiz labi, citreiz slikti"/>
    <s v="citreiz labi, citreiz slikti"/>
    <s v="slikti"/>
    <s v="citreiz labi, citreiz slikti"/>
    <s v="citreiz labi, citreiz slikti"/>
    <s v="vidējo izglītību"/>
    <m/>
    <s v="Nē"/>
    <s v="Nē"/>
    <s v="Jā"/>
    <s v="Nē"/>
    <s v="latviešu"/>
    <m/>
    <s v="latviešu"/>
    <m/>
    <s v="Spēju veikt pasūtījumu restorānā."/>
    <s v="Spēju uzrakstīt motivācijas vēstuli darbam / par savu darba pieredzi."/>
    <s v="Viegli saprotu televīzijas pārraides vai Youtube video par saviem hobijiem / 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Jā"/>
    <s v="Jā"/>
    <s v="Nē"/>
    <s v="Nē"/>
    <s v="Nē"/>
    <s v="Nē"/>
    <s v="Nē"/>
    <m/>
    <s v="Nē"/>
    <m/>
    <s v="Nē"/>
    <m/>
    <s v="Nē"/>
    <m/>
    <s v="Nē"/>
    <m/>
    <s v="Nē"/>
    <s v="Nē"/>
    <s v="Nē"/>
    <s v="Nē"/>
    <s v="Jā"/>
    <s v="Jā"/>
    <s v="Nē"/>
    <s v="Jā"/>
    <s v="Nē"/>
    <s v="Nē"/>
    <s v="Nē"/>
    <s v="Nē"/>
    <s v="Nē"/>
    <s v="Nē"/>
    <m/>
    <s v="Вопросы были в пределах адекватности._x000a_Только пару вопросов заставили меня засомневаться в равных отношениях между русскими и латышами._x000a_Особенно тот вопрос в котором нужно было разъяснить и написать свою мысли связанные с тем как ты себя ощущаешь русским, вроде как. Я практически уверен что каждый второй русскоязычный человек возмутился тем фактом, что язык на котором он говорит назвали не русским, а каким-то другим словом. Конечно возможно что этот вопрос был намеренно написан именно в такой форме, что бы мы подумали какой именно язык «такой та такой-то». Искренни верю что те кто писал этот опросник не питают какой либо ненависти к русскоговорящим."/>
    <m/>
    <m/>
    <m/>
    <m/>
  </r>
  <r>
    <x v="1"/>
    <n v="163"/>
    <s v="2023-09-15 08:24:31"/>
    <n v="14"/>
    <s v="lv"/>
    <n v="2048815827"/>
    <s v="2023-09-15 08:05:03"/>
    <s v="2023-09-15 08:24:31"/>
    <s v="putns"/>
    <n v="16"/>
    <s v="vīriešu"/>
    <m/>
    <x v="1"/>
    <x v="1"/>
    <x v="0"/>
    <x v="0"/>
    <x v="0"/>
    <x v="0"/>
    <s v="Kurzemē"/>
    <m/>
    <s v="pareizticīgo"/>
    <m/>
    <s v="Nē"/>
    <s v="Nē"/>
    <s v="Nē"/>
    <s v="Nē"/>
    <s v="Jā"/>
    <s v="Jā"/>
    <s v="Nē"/>
    <s v="Jā"/>
    <s v="Jā"/>
    <s v="Jā"/>
    <s v="Nē"/>
    <s v="Nē"/>
    <s v="Nē"/>
    <s v="Nē"/>
    <s v="Nē"/>
    <s v="Nē"/>
    <s v="Nē"/>
    <s v="Jā"/>
    <s v="Nē"/>
    <s v="Jā"/>
    <s v="Nē"/>
    <s v="Jā"/>
    <s v="Nē"/>
    <s v="Jā"/>
    <s v="Nē"/>
    <s v="Nē"/>
    <s v="Nē"/>
    <s v="Nē"/>
    <s v="nezinu"/>
    <s v="nezinu"/>
    <s v="a un b"/>
    <s v="nezinu"/>
    <s v="tikai b"/>
    <s v="a un b"/>
    <s v="Nevienlīdzīgi"/>
    <s v="Lielākoties nevienlīdzīgi"/>
    <s v="Lielākoties nevienlīdzīgi"/>
    <s v="Lielākoties nevienlīdzīgi"/>
    <s v="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Neinteresē"/>
    <s v="Neinteresē"/>
    <s v="Ne sevišķi"/>
    <s v="Ne sevišķi"/>
    <s v="nezinu"/>
    <s v="Nē"/>
    <s v="Nē"/>
    <s v="Nē"/>
    <s v="Jā"/>
    <s v="Jā"/>
    <s v="Nē"/>
    <s v="1.."/>
    <n v="90"/>
    <n v="100"/>
    <m/>
    <m/>
    <s v="Drīzāk saspīlētas"/>
    <s v="Drīzāk saspīlētas"/>
    <s v="Nav saspīlētas"/>
    <s v="(Gandrīz) nekad"/>
    <s v="(Gandrīz) nekad"/>
    <s v="(Gandrīz) nekad"/>
    <s v="(Gandrīz) nekad"/>
    <s v="(Gandrīz) nekad"/>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citreiz labi, citreiz slikti"/>
    <s v="labi"/>
    <s v="citreiz labi, citreiz slikti"/>
    <s v="slikti"/>
    <s v="nezinu"/>
    <s v="vidējo izglītību"/>
    <m/>
    <s v="N/A"/>
    <s v="N/A"/>
    <s v="N/A"/>
    <s v="Jā"/>
    <s v="latviešu"/>
    <m/>
    <s v="latviešu"/>
    <m/>
    <s v="{if(is_empty(tongueLAT_SQ001.NAOK), 'latviski','krieviski')} nerunāju it nemaz."/>
    <s v="Spēju uzrakstīt vēstuli draugam."/>
    <s v="Saprotu norādes, kur iet."/>
    <s v="{if(is_empty(tongueLAT_SQ001.NAOK), 'latviski','krieviski')} spēju izlasīt ēdienkarti restorānā."/>
    <m/>
    <m/>
    <m/>
    <m/>
    <m/>
    <m/>
    <m/>
    <m/>
    <m/>
    <m/>
    <m/>
    <m/>
    <m/>
    <m/>
    <m/>
    <m/>
    <m/>
    <s v="N/A"/>
    <s v="N/A"/>
    <s v="N/A"/>
    <s v="N/A"/>
    <s v="N/A"/>
    <s v="N/A"/>
    <m/>
    <m/>
    <m/>
    <m/>
    <m/>
    <s v="Nē"/>
    <s v="Nē"/>
    <s v="Nē"/>
    <s v="Nē"/>
    <s v="Nē"/>
    <s v="Nē"/>
    <s v="Nē"/>
    <s v="Nē"/>
    <s v="Jā"/>
    <s v="Nē"/>
    <s v="Nē"/>
    <s v="Jā"/>
    <s v="Nē"/>
    <s v="Nē"/>
    <s v="Nē"/>
    <s v="Nē"/>
    <m/>
    <s v="Nē"/>
    <m/>
    <s v="Nē"/>
    <m/>
    <s v="Nē"/>
    <m/>
    <s v="Nē"/>
    <m/>
    <s v="Nē"/>
    <s v="Nē"/>
    <s v="Nē"/>
    <s v="Nē"/>
    <s v="Nē"/>
    <s v="Nē"/>
    <s v="Nē"/>
    <s v="Nē"/>
    <s v="Nē"/>
    <s v="Nē"/>
    <s v="Nē"/>
    <s v="Nē"/>
    <s v="Nē"/>
    <s v="Nē"/>
    <s v="Nē"/>
    <s v="Nē"/>
    <s v="Jā"/>
    <s v="Nē"/>
    <s v="Nē"/>
    <m/>
    <s v="Nē"/>
    <m/>
    <s v="Nē"/>
    <m/>
    <s v="Nē"/>
    <m/>
    <s v="Nē"/>
    <m/>
    <s v="Nē"/>
    <s v="Jā"/>
    <s v="Jā"/>
    <s v="Nē"/>
    <s v="Jā"/>
    <s v="Nē"/>
    <s v="Nē"/>
    <s v="Jā"/>
    <s v="Nē"/>
    <s v="Nē"/>
    <s v="Nē"/>
    <s v="Nē"/>
    <s v="Jā"/>
    <s v="Nē"/>
    <m/>
    <m/>
    <m/>
    <m/>
    <m/>
    <m/>
  </r>
  <r>
    <x v="1"/>
    <n v="164"/>
    <s v="2023-09-15 08:27:02"/>
    <n v="14"/>
    <s v="ru"/>
    <n v="1637421867"/>
    <s v="2023-09-15 08:05:08"/>
    <s v="2023-09-15 08:27:02"/>
    <s v="столб"/>
    <n v="17"/>
    <s v="vīriešu"/>
    <m/>
    <x v="0"/>
    <x v="0"/>
    <x v="0"/>
    <x v="0"/>
    <x v="0"/>
    <x v="0"/>
    <s v="Kurzemē"/>
    <m/>
    <s v="pareizticīgo"/>
    <m/>
    <s v="Jā"/>
    <s v="Jā"/>
    <s v="Nē"/>
    <s v="Nē"/>
    <s v="Nē"/>
    <s v="Nē"/>
    <s v="Nē"/>
    <s v="Nē"/>
    <s v="Jā"/>
    <s v="Jā"/>
    <s v="Nē"/>
    <s v="Nē"/>
    <s v="Jā"/>
    <s v="Nē"/>
    <s v="Nē"/>
    <s v="Nē"/>
    <s v="Nē"/>
    <s v="Nē"/>
    <s v="Nē"/>
    <s v="Nē"/>
    <s v="Jā"/>
    <s v="Jā"/>
    <s v="Jā"/>
    <s v="Jā"/>
    <s v="Jā"/>
    <s v="Jā"/>
    <s v="Jā"/>
    <s v="Nē"/>
    <s v="nezinu"/>
    <s v="a un b"/>
    <s v="a un b"/>
    <s v="a un b"/>
    <s v="tikai b"/>
    <s v="tikai b"/>
    <s v="Vienlīdzīgi"/>
    <s v="Nevienlīdzīgi"/>
    <s v="Vienlīdzīgi"/>
    <s v="Vienlīdzīgi"/>
    <s v="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Ārkārtīgi"/>
    <s v="Neinteresē"/>
    <s v="Ļoti"/>
    <s v="Viduvēji"/>
    <s v="не знаю"/>
    <s v="Nē"/>
    <s v="Jā"/>
    <s v="Nē"/>
    <s v="Nē"/>
    <s v="Jā"/>
    <s v="Nē"/>
    <s v="1....."/>
    <n v="30"/>
    <n v="10"/>
    <n v="100"/>
    <n v="49"/>
    <s v="Drīzāk saspīlētas"/>
    <s v="Mazliet saspīlētas"/>
    <s v="Nav saspīlētas"/>
    <s v="(Gandrīz) nekad"/>
    <s v="(Gandrīz) nekad"/>
    <s v="(Gandrīz) nekad"/>
    <s v="(Gandrīz) nekad"/>
    <s v="(Gandrīz) nekad"/>
    <s v="Reti"/>
    <s v="Dažreiz"/>
    <s v="(Gandrīz) nekad"/>
    <s v="Reti"/>
    <s v="Dažreiz"/>
    <s v="Русский яхык убирают из всех школ, заставляют говорить только на латышском"/>
    <s v="nē"/>
    <s v="N/A"/>
    <s v="N/A"/>
    <s v="N/A"/>
    <s v="N/A"/>
    <s v="N/A"/>
    <s v="N/A"/>
    <s v="N/A"/>
    <s v="Jā"/>
    <s v="N/A"/>
    <s v="N/A"/>
    <s v="N/A"/>
    <s v="Jā"/>
    <s v="(gandrīz) nekad"/>
    <s v="reizi nedēļā"/>
    <s v="(gandrīz) nekad"/>
    <s v="pāris reižu mēnesī"/>
    <s v="pāris reižu mēnesī"/>
    <s v="(gandrīz) nekad"/>
    <s v="(gandrīz) katru dienu"/>
    <s v="(gandrīz) katru dienu"/>
    <s v="(gandrīz) katru dienu"/>
    <s v="(gandrīz) katru dienu"/>
    <s v="(gandrīz) katru dienu"/>
    <s v="(gandrīz) katru dienu"/>
    <s v="(gandrīz) katru dienu"/>
    <s v="(gandrīz) katru dienu"/>
    <s v="pilsoniskās brīvības (vārda brīvība, tiesības uz tiesisko aizsardzību)"/>
    <s v="brīvas vēlēšanas un plurālisms"/>
    <s v="varas līdzsvars starp parlamentu, prezidentu un tiesām, lai neviena no institūcijām nespētu sevī koncentrēt lielāko daļu varas"/>
    <m/>
    <m/>
    <s v="nezinu"/>
    <s v="nezinu"/>
    <s v="nezinu"/>
    <s v="nezinu"/>
    <s v="nezinu"/>
    <s v="pamatizglītību"/>
    <m/>
    <s v="N/A"/>
    <s v="N/A"/>
    <s v="N/A"/>
    <s v="Jā"/>
    <s v="vienlīdz latviešu un krievu"/>
    <m/>
    <s v="latviešu"/>
    <m/>
    <s v="Spēju pastāstīt par savu hobiju / darbu."/>
    <s v="Spēju uzrakstīt vēstuli draugam."/>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Jā"/>
    <s v="Nē"/>
    <s v="Nē"/>
    <s v="Nē"/>
    <s v="Nē"/>
    <s v="Nē"/>
    <s v="Nē"/>
    <s v="Nē"/>
    <s v="Nē"/>
    <s v="Nē"/>
    <s v="Nē"/>
    <s v="Nē"/>
    <s v="Nē"/>
    <s v="Nē"/>
    <s v="Jā"/>
    <s v="Nē"/>
    <s v="Nē"/>
    <m/>
    <s v="Nē"/>
    <m/>
    <s v="Nē"/>
    <m/>
    <s v="Nē"/>
    <m/>
    <s v="Nē"/>
    <m/>
    <s v="Jā"/>
    <s v="Jā"/>
    <s v="Nē"/>
    <s v="Nē"/>
    <s v="Jā"/>
    <s v="Jā"/>
    <s v="Nē"/>
    <s v="Jā"/>
    <s v="Nē"/>
    <s v="Nē"/>
    <s v="Jā"/>
    <s v="Nē"/>
    <s v="Jā"/>
    <s v="Nē"/>
    <m/>
    <m/>
    <m/>
    <m/>
    <m/>
    <m/>
  </r>
  <r>
    <x v="1"/>
    <n v="165"/>
    <s v="2023-09-15 08:25:28"/>
    <n v="14"/>
    <s v="ru"/>
    <n v="1623365468"/>
    <s v="2023-09-15 08:05:20"/>
    <s v="2023-09-15 08:25:28"/>
    <s v="столб"/>
    <n v="17"/>
    <s v="sieviešu"/>
    <m/>
    <x v="0"/>
    <x v="0"/>
    <x v="0"/>
    <x v="0"/>
    <x v="0"/>
    <x v="0"/>
    <s v="Kurzemē"/>
    <m/>
    <s v="ateistu(ti), nereliģiozu"/>
    <m/>
    <s v="Jā"/>
    <s v="Nē"/>
    <s v="Nē"/>
    <s v="Nē"/>
    <s v="Nē"/>
    <s v="Nē"/>
    <s v="Nē"/>
    <s v="Nē"/>
    <s v="Jā"/>
    <s v="Nē"/>
    <s v="Nē"/>
    <s v="Nē"/>
    <s v="Nē"/>
    <s v="Nē"/>
    <s v="Nē"/>
    <s v="Nē"/>
    <s v="Nē"/>
    <s v="Nē"/>
    <s v="Nē"/>
    <s v="Nē"/>
    <s v="Jā"/>
    <s v="Nē"/>
    <s v="Nē"/>
    <s v="Nē"/>
    <s v="Nē"/>
    <s v="Nē"/>
    <s v="Jā"/>
    <s v="Nē"/>
    <s v="nezinu"/>
    <s v="nezinu"/>
    <s v="nezinu"/>
    <s v="nezinu"/>
    <s v="nezinu"/>
    <s v="nezinu"/>
    <s v="Nevienlīdzīgi"/>
    <s v="Lielākoties nevienlīdzīgi"/>
    <s v="Lielākoties nevienlīdzīgi"/>
    <s v="Lielākoties vienlīdzīgi"/>
    <s v="Lielākoties nevienlīdzīgi"/>
    <s v="nezinu"/>
    <s v="&quot;Progresīvie&quot;"/>
    <s v="Politiskā partija &quot;Stabilitātei&quot;"/>
    <s v="nezinu"/>
    <s v="nezinu"/>
    <s v="&quot;Progresīvie&quot;"/>
    <s v="nezinu"/>
    <s v="Cīņai ar klimata pārmaiņām būtu jābūt vairumam pasaules valstu galvenajai prioritātei."/>
    <s v="jā, lielāko daļu no tā, ko iespējams šķirot"/>
    <s v="Zaļo un Zemnieku savienība"/>
    <s v="Zaļo un Zemnieku savienība"/>
    <s v="Zaļo un Zemnieku savienība"/>
    <s v="Nacionālā Apvienība"/>
    <s v="&quot;Latvija pirmajā vietā&quot;"/>
    <s v="Zaļo un Zemnieku savienība"/>
    <s v="nezinu"/>
    <s v="nezinu"/>
    <s v="nezinu"/>
    <s v="nezinu"/>
    <s v="nezinu"/>
    <s v="nezinu"/>
    <s v="nezinu"/>
    <s v="nezinu"/>
    <s v="Ļoti"/>
    <s v="Ārkārtīgi"/>
    <s v="Viduvēji"/>
    <s v="Ārkārtīgi"/>
    <s v="Не знаю"/>
    <s v="Nē"/>
    <s v="Nē"/>
    <s v="Nē"/>
    <s v="Nē"/>
    <s v="Nē"/>
    <s v="Jā"/>
    <s v="1.."/>
    <n v="18"/>
    <n v="35"/>
    <n v="65"/>
    <n v="1"/>
    <s v="Nav saspīlētas"/>
    <s v="Nav saspīlētas"/>
    <s v="Nav saspīlētas"/>
    <s v="(Gandrīz) nekad"/>
    <s v="(Gandrīz) nekad"/>
    <s v="Nezinu"/>
    <s v="(Gandrīz) nekad"/>
    <s v="Reti"/>
    <s v="Nezinu"/>
    <s v="Dažreiz"/>
    <s v="Nezinu"/>
    <s v="(Gandrīz) nekad"/>
    <s v="Reti"/>
    <s v="Я была в техникуме, общалась с другом на русском. К нам подошёл учитель и сказал, что даже между собой мы должны говорить на латышском"/>
    <s v="nē"/>
    <s v="N/A"/>
    <s v="N/A"/>
    <s v="N/A"/>
    <s v="N/A"/>
    <s v="N/A"/>
    <s v="N/A"/>
    <s v="N/A"/>
    <s v="Jā"/>
    <s v="Jā"/>
    <s v="Nē"/>
    <s v="Nē"/>
    <s v="Nē"/>
    <s v="reizi nedēļā"/>
    <s v="reizi nedēļā"/>
    <s v="(gandrīz) nekad"/>
    <s v="pāris reižu mēnesī"/>
    <s v="(gandrīz) nekad"/>
    <s v="(gandrīz) nekad"/>
    <s v="(gandrīz) katru dienu"/>
    <s v="(gandrīz) katru dienu"/>
    <s v="(gandrīz) katru dienu"/>
    <s v="(gandrīz) nekad"/>
    <s v="(gandrīz) katru dienu"/>
    <s v="(gandrīz) nekad"/>
    <s v="(gandrīz) katru dienu"/>
    <s v="(gandrīz) katru dienu"/>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slikti"/>
    <s v="slikti"/>
    <s v="labi"/>
    <s v="labi"/>
    <s v="citreiz labi, citreiz slikti"/>
    <s v="Arodskolu / profesionālo izglītību"/>
    <m/>
    <s v="N/A"/>
    <s v="N/A"/>
    <s v="N/A"/>
    <s v="Jā"/>
    <s v="krievu"/>
    <m/>
    <s v="latviešu"/>
    <m/>
    <s v="Spēju pastāstīt par savu hobiju / darbu."/>
    <s v="Spēju uzrakstīt garāku sacerējumu / kursa darbu."/>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Jā"/>
    <s v="Nē"/>
    <s v="Jā"/>
    <s v="Jā"/>
    <s v="Nē"/>
    <s v="Jā"/>
    <s v="Nē"/>
    <s v="Nē"/>
    <s v="Nē"/>
    <s v="Nē"/>
    <s v="Jā"/>
    <s v="Nē"/>
    <m/>
    <m/>
    <m/>
    <m/>
    <m/>
    <m/>
  </r>
  <r>
    <x v="1"/>
    <n v="166"/>
    <s v="2023-09-15 08:26:26"/>
    <n v="14"/>
    <s v="lv"/>
    <n v="1030688516"/>
    <s v="2023-09-15 08:05:26"/>
    <s v="2023-09-15 08:26:26"/>
    <s v="putns"/>
    <n v="17"/>
    <s v="sieviešu"/>
    <m/>
    <x v="1"/>
    <x v="1"/>
    <x v="0"/>
    <x v="0"/>
    <x v="0"/>
    <x v="0"/>
    <s v="Kurzemē"/>
    <m/>
    <s v="Cita atbilde"/>
    <s v="Septītās dienas Adventistu"/>
    <s v="Jā"/>
    <s v="Jā"/>
    <s v="Nē"/>
    <s v="Nē"/>
    <s v="Nē"/>
    <s v="Nē"/>
    <s v="Nē"/>
    <s v="Nē"/>
    <s v="Nē"/>
    <s v="Nē"/>
    <s v="Jā"/>
    <s v="Nē"/>
    <s v="Jā"/>
    <s v="Nē"/>
    <s v="Nē"/>
    <s v="Jā"/>
    <s v="Jā"/>
    <s v="Nē"/>
    <s v="Nē"/>
    <s v="Nē"/>
    <s v="Nē"/>
    <s v="Jā"/>
    <s v="Nē"/>
    <s v="Jā"/>
    <s v="Jā"/>
    <s v="Jā"/>
    <s v="Jā"/>
    <s v="Nē"/>
    <s v="a un b"/>
    <s v="a un b"/>
    <s v="a un b"/>
    <s v="tikai a"/>
    <s v="a un b"/>
    <s v="tikai a"/>
    <s v="Vienlīdzīgi"/>
    <s v="Lielākoties nevienlīdzīgi"/>
    <s v="Lielākoties vienlīdzīgi"/>
    <s v="Vienlīdzīgi"/>
    <s v="Nevienlīdzīgi"/>
    <s v="&quot;Latvija pirmajā vietā&quot;"/>
    <s v="Nacionālā Apvienība"/>
    <s v="Jaunā Vienotība"/>
    <s v="Politiskā partija &quot;Stabilitātei&quot;"/>
    <s v="&quot;Apvienotais saraksts&quot;"/>
    <s v="&quot;Progresīvie&quot;"/>
    <s v="Zaļo un Zemnieku savienība"/>
    <s v="Cīņai ar klimata pārmaiņām būtu jābūt vairumam pasaules valstu galvenajai prioritātei."/>
    <s v="jā, visu, ko iespējams šķirot"/>
    <s v="Zaļo un Zemnieku savienība"/>
    <s v="Jaunā Vienotība"/>
    <s v="Nacionālā Apvienība"/>
    <s v="Politiskā partija &quot;Stabilitātei&quot;"/>
    <s v="&quot;Progresīvie&quot;"/>
    <s v="Politiskā partija &quot;Stabilitātei&quot;"/>
    <s v="&quot;Apvienotais saraksts&quot;"/>
    <s v="Jaunā Vienotība"/>
    <s v="Zaļo un Zemnieku savienība"/>
    <s v="Nacionālā Apvienība"/>
    <s v="Politiskā partija &quot;Stabilitātei&quot;"/>
    <s v="&quot;Apvienotais saraksts&quot;"/>
    <s v="&quot;Apvienotais saraksts&quot;"/>
    <s v="&quot;Latvija pirmajā vietā&quot;"/>
    <s v="Ne sevišķi"/>
    <s v="Ārkārtīgi"/>
    <s v="Ļoti"/>
    <s v="Ļoti"/>
    <s v="Politiķi saka lietas lai izpatiktu iedzīvotājiem"/>
    <s v="Nē"/>
    <s v="Nē"/>
    <s v="Nē"/>
    <s v="Nē"/>
    <s v="Jā"/>
    <s v="Nē"/>
    <s v="1.."/>
    <n v="40"/>
    <n v="55"/>
    <m/>
    <m/>
    <s v="Drīzāk saspīlētas"/>
    <s v="Mazliet saspīlētas"/>
    <s v="Mazliet saspīlētas"/>
    <s v="Reti"/>
    <s v="Reti"/>
    <s v="Reti"/>
    <s v="Dažreiz"/>
    <s v="Dažreiz"/>
    <m/>
    <m/>
    <m/>
    <m/>
    <m/>
    <m/>
    <s v="nē"/>
    <s v="N/A"/>
    <s v="N/A"/>
    <s v="N/A"/>
    <s v="N/A"/>
    <s v="N/A"/>
    <s v="N/A"/>
    <s v="N/A"/>
    <s v="Jā"/>
    <s v="N/A"/>
    <s v="N/A"/>
    <s v="N/A"/>
    <s v="Jā"/>
    <s v="(gandrīz) katru dienu"/>
    <s v="(gandrīz) katru dienu"/>
    <s v="(gandrīz) katru dienu"/>
    <s v="(gandrīz) katru dienu"/>
    <s v="(gandrīz) katru dienu"/>
    <s v="(gandrīz) katru dienu"/>
    <s v="(gandrīz) katru dienu"/>
    <s v="pāris reižu nedēļā"/>
    <s v="pāris reižu mēnesī"/>
    <s v="pāris reižu mēnesī"/>
    <s v="(gandrīz) nekad"/>
    <s v="(gandrīz) nekad"/>
    <s v="(gandrīz) nekad"/>
    <s v="pāris reižu mēnesī"/>
    <s v="pilsoniskās brīvības (vārda brīvība, tiesības uz tiesisko aizsardzību)"/>
    <s v="vienlīdz pieejama izglītība, veselības aprūpe, sociālais nodrošinājums"/>
    <s v="brīvas vēlēšanas un plurālisms"/>
    <m/>
    <m/>
    <s v="labi"/>
    <s v="labi"/>
    <s v="citreiz labi, citreiz slikti"/>
    <s v="citreiz labi, citreiz slikti"/>
    <s v="citreiz labi, citreiz slikti"/>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Nē"/>
    <s v="Nē"/>
    <s v="Jā"/>
    <s v="Nē"/>
    <s v="Nē"/>
    <s v="Nē"/>
    <s v="Nē"/>
    <s v="Nē"/>
    <m/>
    <s v="Nē"/>
    <m/>
    <s v="Nē"/>
    <m/>
    <s v="Nē"/>
    <m/>
    <s v="Nē"/>
    <m/>
    <s v="Jā"/>
    <s v="Nē"/>
    <s v="Nē"/>
    <s v="Nē"/>
    <s v="Nē"/>
    <s v="Nē"/>
    <s v="Nē"/>
    <s v="Nē"/>
    <s v="Nē"/>
    <s v="Nē"/>
    <s v="Nē"/>
    <s v="Nē"/>
    <s v="Nē"/>
    <s v="Nē"/>
    <s v="Nē"/>
    <s v="Nē"/>
    <s v="Jā"/>
    <s v="Nē"/>
    <s v="Nē"/>
    <m/>
    <s v="Nē"/>
    <m/>
    <s v="Nē"/>
    <m/>
    <s v="Nē"/>
    <m/>
    <s v="Nē"/>
    <m/>
    <s v="Jā"/>
    <s v="Jā"/>
    <s v="Nē"/>
    <s v="Nē"/>
    <s v="Jā"/>
    <s v="Nē"/>
    <s v="Nē"/>
    <s v="Jā"/>
    <s v="Nē"/>
    <s v="Nē"/>
    <s v="Jā"/>
    <s v="Nē"/>
    <s v="Jā"/>
    <s v="Nē"/>
    <m/>
    <m/>
    <m/>
    <m/>
    <m/>
    <m/>
  </r>
  <r>
    <x v="1"/>
    <n v="168"/>
    <s v="2023-09-15 08:30:15"/>
    <n v="14"/>
    <s v="ru"/>
    <n v="1934275432"/>
    <s v="2023-09-15 08:05:36"/>
    <s v="2023-09-15 08:30:15"/>
    <s v="столб"/>
    <n v="17"/>
    <s v="sieviešu"/>
    <m/>
    <x v="0"/>
    <x v="0"/>
    <x v="0"/>
    <x v="0"/>
    <x v="0"/>
    <x v="0"/>
    <s v="Kurzemē"/>
    <m/>
    <s v="pareizticīgo"/>
    <m/>
    <s v="Jā"/>
    <s v="Jā"/>
    <s v="Nē"/>
    <s v="Nē"/>
    <s v="Nē"/>
    <s v="Nē"/>
    <s v="Nē"/>
    <s v="Jā"/>
    <s v="Jā"/>
    <s v="Nē"/>
    <s v="Nē"/>
    <s v="Jā"/>
    <s v="Nē"/>
    <s v="Nē"/>
    <s v="Jā"/>
    <s v="Jā"/>
    <s v="Nē"/>
    <s v="Nē"/>
    <s v="Nē"/>
    <s v="Nē"/>
    <s v="Nē"/>
    <s v="Nē"/>
    <s v="Nē"/>
    <s v="Jā"/>
    <s v="Nē"/>
    <s v="Nē"/>
    <s v="Jā"/>
    <s v="Nē"/>
    <s v="ne a, ne b"/>
    <s v="tikai a"/>
    <s v="a un b"/>
    <s v="tikai b"/>
    <s v="ne a, ne b"/>
    <s v="tikai a"/>
    <s v="Lielākoties nevienlīdzīgi"/>
    <s v="Nevienlīdzīgi"/>
    <s v="Lielākoties vienlīdzīgi"/>
    <s v="Nevienlīdzīgi"/>
    <s v="Nevienlīdzīgi"/>
    <s v="&quot;Apvienotais saraksts&quot;"/>
    <s v="&quot;Progresīvie&quot;"/>
    <s v="Politiskā partija &quot;Stabilitātei&quot;"/>
    <s v="&quot;Progresīvie&quot;"/>
    <s v="Zaļo un Zemnieku savienība"/>
    <s v="&quot;Apvienotais saraksts&quot;"/>
    <s v="Jaunā Vienotība"/>
    <s v="Cīņai ar klimata pārmaiņām būtu jābūt vairumam pasaules valstu galvenajai prioritātei."/>
    <s v="jā, daļu no tā, ko iespējams šķirot"/>
    <s v="Jaunā Vienotība"/>
    <s v="&quot;Progresīvie&quot;"/>
    <s v="&quot;Progresīvie&quot;"/>
    <s v="&quot;Latvija pirmajā vietā&quot;"/>
    <s v="Nacionālā Apvienība"/>
    <s v="Zaļo un Zemnieku savienība"/>
    <s v="Jaunā Vienotība"/>
    <s v="Politiskā partija &quot;Stabilitātei&quot;"/>
    <s v="&quot;Progresīvie&quot;"/>
    <s v="Zaļo un Zemnieku savienība"/>
    <s v="Politiskā partija &quot;Stabilitātei&quot;"/>
    <s v="Jaunā Vienotība"/>
    <s v="Nacionālā Apvienība"/>
    <s v="&quot;Latvija pirmajā vietā&quot;"/>
    <s v="Viduvēji"/>
    <s v="Viduvēji"/>
    <s v="Viduvēji"/>
    <s v="Ļoti"/>
    <m/>
    <s v="Jā"/>
    <s v="Nē"/>
    <s v="Nē"/>
    <s v="Jā"/>
    <s v="Nē"/>
    <s v="Nē"/>
    <s v="1.."/>
    <n v="100"/>
    <n v="50"/>
    <n v="80"/>
    <n v="1"/>
    <s v="Mazliet saspīlētas"/>
    <s v="Mazliet saspīlētas"/>
    <s v="Nav saspīlētas"/>
    <s v="Reti"/>
    <s v="Dažreiz"/>
    <s v="Reti"/>
    <s v="Reti"/>
    <s v="Reti"/>
    <s v="Bieži"/>
    <s v="Dažreiz"/>
    <s v="Dažreiz"/>
    <s v="Reti"/>
    <s v="Reti"/>
    <m/>
    <s v="nē"/>
    <s v="N/A"/>
    <s v="N/A"/>
    <s v="N/A"/>
    <s v="N/A"/>
    <s v="Jā"/>
    <s v="Nē"/>
    <s v="Nē"/>
    <s v="Nē"/>
    <s v="N/A"/>
    <s v="N/A"/>
    <s v="N/A"/>
    <s v="Jā"/>
    <s v="(gandrīz) nekad"/>
    <s v="(gandrīz) katru dienu"/>
    <s v="pāris reižu nedēļā"/>
    <s v="(gandrīz) nekad"/>
    <s v="pāris reižu nedēļā"/>
    <s v="pāris reižu mēnesī"/>
    <s v="(gandrīz) katru dienu"/>
    <s v="(gandrīz) katru dienu"/>
    <s v="(gandrīz) katru dienu"/>
    <s v="(gandrīz) nekad"/>
    <s v="(gandrīz) katru dienu"/>
    <s v="pāris reižu mēnesī"/>
    <s v="pāris reižu nedēļā"/>
    <s v="pāris reižu mēnesī"/>
    <s v="vienlīdz pieejama izglītība, veselības aprūpe, sociālais nodrošinājums"/>
    <s v="pilsoniskās brīvības (vārda brīvība, tiesības uz tiesisko aizsardzību)"/>
    <s v="brīvas vēlēšanas un plurālisms"/>
    <m/>
    <m/>
    <s v="labi"/>
    <s v="labi"/>
    <s v="labi"/>
    <s v="citreiz labi, citreiz slikti"/>
    <s v="citreiz labi, citreiz slikti"/>
    <s v="pamatizglītību"/>
    <m/>
    <s v="N/A"/>
    <s v="N/A"/>
    <s v="N/A"/>
    <s v="Jā"/>
    <s v="krievu"/>
    <m/>
    <s v="latviešu"/>
    <m/>
    <s v="Spēju pastāstīt par savu hobiju / darbu."/>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Nē"/>
    <s v="Nē"/>
    <s v="Nē"/>
    <s v="Nē"/>
    <s v="Nē"/>
    <s v="Nē"/>
    <s v="Nē"/>
    <s v="Jā"/>
    <s v="Nē"/>
    <s v="Nē"/>
    <s v="Nē"/>
    <s v="Nē"/>
    <s v="Nē"/>
    <m/>
    <s v="Nē"/>
    <m/>
    <s v="Nē"/>
    <m/>
    <s v="Nē"/>
    <m/>
    <s v="Nē"/>
    <m/>
    <s v="Nē"/>
    <s v="Nē"/>
    <s v="Nē"/>
    <s v="Nē"/>
    <s v="Nē"/>
    <s v="Nē"/>
    <s v="Nē"/>
    <s v="Nē"/>
    <s v="Nē"/>
    <s v="Nē"/>
    <s v="Nē"/>
    <s v="Nē"/>
    <s v="Nē"/>
    <s v="Nē"/>
    <s v="Nē"/>
    <s v="Nē"/>
    <s v="Nē"/>
    <s v="Nē"/>
    <s v="Jā"/>
    <m/>
    <s v="Jā"/>
    <s v="liepājniekiem, delfi"/>
    <s v="Nē"/>
    <m/>
    <s v="Nē"/>
    <m/>
    <s v="Nē"/>
    <m/>
    <s v="Jā"/>
    <s v="Nē"/>
    <s v="Nē"/>
    <s v="Nē"/>
    <s v="Jā"/>
    <s v="Jā"/>
    <s v="Nē"/>
    <s v="Jā"/>
    <s v="Nē"/>
    <s v="Nē"/>
    <s v="Nē"/>
    <s v="Nē"/>
    <s v="Nē"/>
    <s v="Nē"/>
    <m/>
    <m/>
    <m/>
    <m/>
    <m/>
    <m/>
  </r>
  <r>
    <x v="1"/>
    <n v="169"/>
    <s v="2023-09-15 08:21:38"/>
    <n v="14"/>
    <s v="lv"/>
    <n v="1250623411"/>
    <s v="2023-09-15 08:05:36"/>
    <s v="2023-09-15 08:21:38"/>
    <s v="putns"/>
    <n v="17"/>
    <s v="vīriešu"/>
    <m/>
    <x v="1"/>
    <x v="1"/>
    <x v="0"/>
    <x v="0"/>
    <x v="0"/>
    <x v="0"/>
    <s v="Kurzemē"/>
    <m/>
    <s v="ateistu(ti), nereliģiozu"/>
    <m/>
    <s v="Nē"/>
    <s v="Nē"/>
    <s v="Nē"/>
    <s v="Nē"/>
    <s v="Jā"/>
    <s v="Nē"/>
    <s v="Nē"/>
    <s v="Jā"/>
    <s v="Nē"/>
    <s v="Nē"/>
    <s v="Nē"/>
    <s v="Jā"/>
    <s v="Nē"/>
    <s v="Nē"/>
    <s v="Nē"/>
    <s v="Nē"/>
    <s v="Jā"/>
    <s v="Nē"/>
    <s v="Nē"/>
    <s v="Jā"/>
    <s v="Nē"/>
    <s v="Nē"/>
    <s v="Nē"/>
    <s v="Nē"/>
    <s v="Nē"/>
    <s v="Nē"/>
    <s v="Nē"/>
    <s v="Jā"/>
    <s v="tikai b"/>
    <s v="tikai b"/>
    <s v="tikai a"/>
    <s v="a un b"/>
    <s v="tikai a"/>
    <s v="tikai b"/>
    <s v="Lielākoties vienlīdzīgi"/>
    <s v="Lielākoties nevienlīdzīgi"/>
    <s v="Lielākoties vienlīdzīgi"/>
    <s v="Vienlīdzīgi"/>
    <s v="Nezinu"/>
    <s v="&quot;Latvija pirmajā vietā&quot;"/>
    <s v="Nacionālā Apvienība"/>
    <s v="Politiskā partija &quot;Stabilitātei&quot;"/>
    <s v="Jaunā Vienotība"/>
    <s v="&quot;Apvienotais saraksts&quot;"/>
    <s v="Politiskā partija &quot;Stabilitātei&quot;"/>
    <s v="&quot;Progresīvie&quot;"/>
    <s v="Cīņai ar klimata pārmaiņām būtu jābūt vairumam pasaules valstu galvenajai prioritātei."/>
    <s v="nē"/>
    <s v="Jaunā Vienotība"/>
    <s v="&quot;Progresīvie&quot;"/>
    <s v="&quot;Progresīvie&quot;"/>
    <s v="Nacionālā Apvienība"/>
    <s v="Zaļo un Zemnieku savienība"/>
    <s v="Zaļo un Zemnieku savienība"/>
    <s v="Politiskā partija &quot;Stabilitātei&quot;"/>
    <s v="Jaunā Vienotība"/>
    <s v="Politiskā partija &quot;Stabilitātei&quot;"/>
    <s v="&quot;Progresīvie&quot;"/>
    <s v="&quot;Latvija pirmajā vietā&quot;"/>
    <s v="&quot;Latvija pirmajā vietā&quot;"/>
    <s v="&quot;Progresīvie&quot;"/>
    <s v="Zaļo un Zemnieku savienība"/>
    <s v="Viduvēji"/>
    <s v="Neinteresē"/>
    <s v="Ne sevišķi"/>
    <s v="Neinteresē"/>
    <s v="nezinu"/>
    <s v="Jā"/>
    <s v="Nē"/>
    <s v="Nē"/>
    <s v="Nē"/>
    <s v="Jā"/>
    <s v="Nē"/>
    <s v="2.."/>
    <n v="30"/>
    <n v="62"/>
    <m/>
    <m/>
    <s v="Drīzāk saspīlētas"/>
    <s v="Mazliet saspīlētas"/>
    <s v="Nav saspīlētas"/>
    <s v="(Gandrīz) nekad"/>
    <s v="(Gandrīz) nekad"/>
    <s v="(Gandrīz) nekad"/>
    <s v="(Gandrīz) nekad"/>
    <s v="(Gandrīz) nekad"/>
    <m/>
    <m/>
    <m/>
    <m/>
    <m/>
    <m/>
    <s v="nē"/>
    <s v="N/A"/>
    <s v="N/A"/>
    <s v="N/A"/>
    <s v="N/A"/>
    <s v="Nē"/>
    <s v="Jā"/>
    <s v="Nē"/>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aras līdzsvars starp parlamentu, prezidentu un tiesām, lai neviena no institūcijām nespētu sevī koncentrēt lielāko daļu varas"/>
    <m/>
    <m/>
    <s v="citreiz labi, citreiz slikti"/>
    <s v="slikti"/>
    <s v="labi"/>
    <s v="nezinu"/>
    <s v="slikt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Nē"/>
    <s v="Nē"/>
    <s v="Nē"/>
    <s v="Nē"/>
    <s v="Nē"/>
    <s v="Jā"/>
    <s v="Nē"/>
    <s v="Nē"/>
    <s v="Jā"/>
    <s v="Nē"/>
    <s v="Nē"/>
    <s v="Nē"/>
    <s v="Nē"/>
    <m/>
    <s v="Nē"/>
    <m/>
    <s v="Nē"/>
    <m/>
    <s v="Nē"/>
    <m/>
    <s v="Nē"/>
    <m/>
    <s v="Nē"/>
    <s v="Nē"/>
    <s v="Nē"/>
    <s v="Nē"/>
    <s v="Nē"/>
    <s v="Nē"/>
    <s v="Nē"/>
    <s v="Nē"/>
    <s v="Nē"/>
    <s v="Nē"/>
    <s v="Nē"/>
    <s v="Nē"/>
    <s v="Nē"/>
    <s v="Nē"/>
    <s v="Nē"/>
    <s v="Nē"/>
    <s v="Nē"/>
    <s v="Nē"/>
    <s v="Jā"/>
    <m/>
    <s v="Nē"/>
    <m/>
    <s v="Nē"/>
    <m/>
    <s v="Nē"/>
    <m/>
    <s v="Nē"/>
    <m/>
    <s v="Nē"/>
    <s v="Jā"/>
    <s v="Nē"/>
    <s v="Nē"/>
    <s v="Jā"/>
    <s v="Nē"/>
    <s v="Nē"/>
    <s v="Jā"/>
    <s v="Nē"/>
    <s v="Nē"/>
    <s v="Nē"/>
    <s v="Nē"/>
    <s v="Nē"/>
    <s v="Nē"/>
    <m/>
    <m/>
    <m/>
    <m/>
    <m/>
    <m/>
  </r>
  <r>
    <x v="1"/>
    <n v="170"/>
    <s v="2023-09-15 08:26:06"/>
    <n v="14"/>
    <s v="lv"/>
    <n v="721964482"/>
    <s v="2023-09-15 08:05:37"/>
    <s v="2023-09-15 08:26:06"/>
    <s v="putns"/>
    <n v="16"/>
    <s v="sieviešu"/>
    <m/>
    <x v="1"/>
    <x v="1"/>
    <x v="0"/>
    <x v="0"/>
    <x v="0"/>
    <x v="0"/>
    <s v="Kurzemē"/>
    <m/>
    <s v="ateistu(ti), nereliģiozu"/>
    <m/>
    <s v="Jā"/>
    <s v="Nē"/>
    <s v="Nē"/>
    <s v="Nē"/>
    <s v="Nē"/>
    <s v="Nē"/>
    <s v="Nē"/>
    <s v="Jā"/>
    <s v="Jā"/>
    <s v="Nē"/>
    <s v="Nē"/>
    <s v="Nē"/>
    <s v="Nē"/>
    <s v="Nē"/>
    <s v="Jā"/>
    <s v="Nē"/>
    <s v="Nē"/>
    <s v="Nē"/>
    <s v="Nē"/>
    <s v="Nē"/>
    <s v="Nē"/>
    <s v="Jā"/>
    <s v="Jā"/>
    <s v="Jā"/>
    <s v="Jā"/>
    <s v="Jā"/>
    <s v="Nē"/>
    <s v="Nē"/>
    <s v="nezinu"/>
    <s v="nezinu"/>
    <s v="nezinu"/>
    <s v="tikai b"/>
    <s v="tikai a"/>
    <s v="tikai a"/>
    <s v="Lielākoties nevienlīdzīgi"/>
    <s v="Lielākoties nevienlīdzīgi"/>
    <s v="Lielākoties vienlīdzīgi"/>
    <s v="Lielākoties nevienlīdzīgi"/>
    <s v="Lielākoties 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Zaļo un Zemnieku savienība"/>
    <s v="&quot;Latvija pirmajā vietā&quot;"/>
    <s v="Politiskā partija &quot;Stabilitātei&quot;"/>
    <s v="nezinu"/>
    <s v="nezinu"/>
    <s v="nezinu"/>
    <s v="Politiskā partija &quot;Stabilitātei&quot;"/>
    <s v="Nacionālā Apvienība"/>
    <s v="&quot;Latvija pirmajā vietā&quot;"/>
    <s v="Viduvēji"/>
    <s v="Ne sevišķi"/>
    <s v="Ļoti"/>
    <s v="Ārkārtīgi"/>
    <s v="cenšanās par katru cenu, pat ar nepiepildāmiem solījumiem un meliem iekarot tautas simpātijas."/>
    <s v="Jā"/>
    <s v="Nē"/>
    <s v="Nē"/>
    <s v="Jā"/>
    <s v="Jā"/>
    <s v="Nē"/>
    <s v="1.."/>
    <n v="75"/>
    <n v="80"/>
    <m/>
    <m/>
    <s v="Drīzāk saspīlētas"/>
    <s v="Nav saspīlētas"/>
    <s v="Mazliet saspīlētas"/>
    <s v="(Gandrīz) nekad"/>
    <s v="(Gandrīz) nekad"/>
    <s v="(Gandrīz) nekad"/>
    <s v="(Gandrīz) nekad"/>
    <s v="(Gandrīz) nekad"/>
    <m/>
    <m/>
    <m/>
    <m/>
    <m/>
    <m/>
    <s v="nē"/>
    <s v="N/A"/>
    <s v="N/A"/>
    <s v="N/A"/>
    <s v="N/A"/>
    <s v="Jā"/>
    <s v="Nē"/>
    <s v="Jā"/>
    <s v="Nē"/>
    <s v="Jā"/>
    <s v="Nē"/>
    <s v="Nē"/>
    <s v="Nē"/>
    <s v="(gandrīz) katru dienu"/>
    <s v="(gandrīz) katru dienu"/>
    <s v="(gandrīz) katru dienu"/>
    <s v="(gandrīz) katru dienu"/>
    <s v="(gandrīz) katru dienu"/>
    <s v="(gandrīz) katru dienu"/>
    <s v="(gandrīz) katru dienu"/>
    <s v="pāris reižu mēnesī"/>
    <s v="reizi nedēļā"/>
    <s v="(gandrīz) katru dienu"/>
    <s v="reizi nedēļā"/>
    <s v="(gandrīz) nekad"/>
    <s v="(gandrīz) nekad"/>
    <s v="reizi nedēļā"/>
    <s v="vienlīdz pieejama izglītība, veselības aprūpe, sociālais nodrošinājums"/>
    <s v="pilsoniskās brīvības (vārda brīvība, tiesības uz tiesisko aizsardzību)"/>
    <s v="brīvas vēlēšanas un plurālisms"/>
    <m/>
    <m/>
    <s v="citreiz labi, citreiz slikti"/>
    <s v="citreiz labi, citreiz slikti"/>
    <s v="slikti"/>
    <s v="slikti"/>
    <s v="slikti"/>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garus tekstus par vēstures, politikas un zinātnes tēmām."/>
    <m/>
    <m/>
    <m/>
    <m/>
    <m/>
    <m/>
    <m/>
    <m/>
    <m/>
    <m/>
    <m/>
    <m/>
    <m/>
    <m/>
    <m/>
    <m/>
    <m/>
    <s v="N/A"/>
    <s v="N/A"/>
    <s v="N/A"/>
    <s v="N/A"/>
    <s v="N/A"/>
    <s v="N/A"/>
    <m/>
    <m/>
    <m/>
    <m/>
    <m/>
    <s v="Nē"/>
    <s v="Nē"/>
    <s v="Jā"/>
    <s v="Jā"/>
    <s v="Nē"/>
    <s v="Nē"/>
    <s v="Nē"/>
    <s v="Nē"/>
    <s v="Jā"/>
    <s v="Nē"/>
    <s v="Jā"/>
    <s v="Jā"/>
    <s v="Nē"/>
    <s v="Jā"/>
    <s v="Nē"/>
    <s v="Nē"/>
    <m/>
    <s v="Nē"/>
    <m/>
    <s v="Nē"/>
    <m/>
    <s v="Nē"/>
    <m/>
    <s v="Nē"/>
    <m/>
    <s v="Jā"/>
    <s v="Nē"/>
    <s v="Nē"/>
    <s v="Jā"/>
    <s v="Nē"/>
    <s v="Nē"/>
    <s v="Nē"/>
    <s v="Nē"/>
    <s v="Nē"/>
    <s v="Nē"/>
    <s v="Nē"/>
    <s v="Nē"/>
    <s v="Jā"/>
    <s v="Nē"/>
    <s v="Nē"/>
    <s v="Nē"/>
    <s v="Jā"/>
    <s v="Nē"/>
    <s v="Nē"/>
    <m/>
    <s v="Nē"/>
    <m/>
    <s v="Nē"/>
    <m/>
    <s v="Nē"/>
    <m/>
    <s v="Nē"/>
    <m/>
    <s v="Jā"/>
    <s v="Jā"/>
    <s v="Jā"/>
    <s v="Nē"/>
    <s v="Nē"/>
    <s v="Nē"/>
    <s v="Nē"/>
    <s v="Jā"/>
    <s v="Nē"/>
    <s v="Nē"/>
    <s v="Nē"/>
    <s v="Nē"/>
    <s v="Jā"/>
    <s v="Nē"/>
    <m/>
    <s v="Superīga aptauja, gribētu nākotnē redzēt, kam tā paredzēta un vai bijusi noderīga."/>
    <m/>
    <m/>
    <m/>
    <m/>
  </r>
  <r>
    <x v="1"/>
    <n v="172"/>
    <s v="2023-09-15 08:36:11"/>
    <n v="14"/>
    <s v="lv"/>
    <n v="1324669549"/>
    <s v="2023-09-15 08:05:40"/>
    <s v="2023-09-15 08:36:11"/>
    <s v="putns"/>
    <n v="17"/>
    <s v="vīriešu"/>
    <m/>
    <x v="1"/>
    <x v="1"/>
    <x v="0"/>
    <x v="0"/>
    <x v="0"/>
    <x v="0"/>
    <s v="Kurzemē"/>
    <m/>
    <s v="pareizticīgo"/>
    <m/>
    <s v="Jā"/>
    <s v="Nē"/>
    <s v="Jā"/>
    <s v="Nē"/>
    <s v="Nē"/>
    <s v="Nē"/>
    <s v="Nē"/>
    <s v="Jā"/>
    <s v="Nē"/>
    <s v="Jā"/>
    <s v="Nē"/>
    <s v="Jā"/>
    <s v="Nē"/>
    <s v="Nē"/>
    <s v="Nē"/>
    <s v="Jā"/>
    <s v="Nē"/>
    <s v="Nē"/>
    <s v="Jā"/>
    <s v="Nē"/>
    <s v="Nē"/>
    <s v="Jā"/>
    <s v="Jā"/>
    <s v="Nē"/>
    <s v="Jā"/>
    <s v="Nē"/>
    <s v="Nē"/>
    <s v="Nē"/>
    <s v="a un b"/>
    <s v="tikai b"/>
    <s v="a un b"/>
    <s v="tikai b"/>
    <s v="a un b"/>
    <s v="ne a, ne b"/>
    <s v="Lielākoties nevienlīdzīgi"/>
    <s v="Lielākoties nevienlīdzīgi"/>
    <s v="Lielākoties vienlīdzīgi"/>
    <s v="Lielākoties vienlīdzīgi"/>
    <s v="Lielākoties vienlīdzīgi"/>
    <s v="Nacionālā Apvienība"/>
    <s v="&quot;Progresīvie&quot;"/>
    <s v="Jaunā Vienotība"/>
    <s v="Politiskā partija &quot;Stabilitātei&quot;"/>
    <s v="&quot;Latvija pirmajā vietā&quot;"/>
    <s v="&quot;Apvienotais saraksts&quot;"/>
    <s v="Zaļo un Zemnieku savienība"/>
    <s v="Reizēm ekonomiskā un valsts stabilitāte varētu nozīmēt, ka atsevišķi ekoloģiskās politikas aspekti ir uz brīdi jāiepauzē."/>
    <s v="nē"/>
    <s v="&quot;Progresīvie&quot;"/>
    <s v="Jaunā Vienotība"/>
    <s v="Zaļo un Zemnieku savienība"/>
    <s v="&quot;Latvija pirmajā vietā&quot;"/>
    <s v="Nacionālā Apvienība"/>
    <s v="Politiskā partija &quot;Stabilitātei&quot;"/>
    <s v="&quot;Apvienotais saraksts&quot;"/>
    <s v="Zaļo un Zemnieku savienība"/>
    <s v="&quot;Progresīvie&quot;"/>
    <s v="&quot;Latvija pirmajā vietā&quot;"/>
    <s v="Jaunā Vienotība"/>
    <s v="&quot;Apvienotais saraksts&quot;"/>
    <s v="Politiskā partija &quot;Stabilitātei&quot;"/>
    <s v="Nacionālā Apvienība"/>
    <s v="Viduvēji"/>
    <s v="Viduvēji"/>
    <s v="Ļoti"/>
    <s v="Ļoti"/>
    <s v="Izdzirdot vārdu populisms, pirmā doma(cilvēks), kas man nāk prātā ir Donalds Tramps. Viņš tik labi spēj spēlēt uz cilvēku jūtām, emocijām un pašreizējo valsts situāciju. Piemērs - Let's make America great again!... acīm redzot republikāņus tas aizkustināja."/>
    <s v="Jā"/>
    <s v="Jā"/>
    <s v="Nē"/>
    <s v="Jā"/>
    <s v="Nē"/>
    <s v="Nē"/>
    <s v="2.."/>
    <n v="80"/>
    <n v="95"/>
    <m/>
    <m/>
    <s v="Mazliet saspīlētas"/>
    <s v="Mazliet saspīlētas"/>
    <s v="Nav saspīlētas"/>
    <s v="(Gandrīz) nekad"/>
    <s v="Reti"/>
    <s v="Reti"/>
    <s v="Reti"/>
    <s v="Dažreiz"/>
    <m/>
    <m/>
    <m/>
    <m/>
    <m/>
    <m/>
    <s v="nē"/>
    <s v="N/A"/>
    <s v="N/A"/>
    <s v="N/A"/>
    <s v="N/A"/>
    <s v="Jā"/>
    <s v="Jā"/>
    <s v="Jā"/>
    <s v="Nē"/>
    <s v="N/A"/>
    <s v="N/A"/>
    <s v="N/A"/>
    <s v="Jā"/>
    <s v="(gandrīz) katru dienu"/>
    <s v="(gandrīz) katru dienu"/>
    <s v="(gandrīz) katru dienu"/>
    <s v="(gandrīz) katru dienu"/>
    <s v="(gandrīz) katru dienu"/>
    <s v="(gandrīz) katru dienu"/>
    <s v="(gandrīz) katru dienu"/>
    <s v="(gandrīz) nekad"/>
    <s v="(gandrīz) nekad"/>
    <s v="(gandrīz) nekad"/>
    <s v="pāris reižu mēnesī"/>
    <s v="pāris reižu mēnesī"/>
    <s v="(gandrīz) nekad"/>
    <s v="pāris reižu mēnesī"/>
    <s v="pilsoniskās brīvības (vārda brīvība, tiesības uz tiesisko aizsardzību)"/>
    <s v="brīvas vēlēšanas un plurālisms"/>
    <s v="vienlīdz pieejama izglītība, veselības aprūpe, sociālais nodrošinājums"/>
    <m/>
    <m/>
    <s v="citreiz labi, citreiz slikti"/>
    <s v="labi"/>
    <s v="citreiz labi, citreiz slikti"/>
    <s v="citreiz labi, citreiz slikti"/>
    <s v="citreiz labi, citreiz slikti"/>
    <s v="pamatizglītību"/>
    <m/>
    <s v="N/A"/>
    <s v="N/A"/>
    <s v="N/A"/>
    <s v="Jā"/>
    <s v="latviešu"/>
    <m/>
    <s v="latviešu"/>
    <m/>
    <s v="Spēju veikt pasūtījumu restorānā."/>
    <s v="{if(is_empty(tongueLAT_SQ001.NAOK), 'latviski','krieviski')} nemāku rakstīt."/>
    <s v="Saprotu norādes, kur iet."/>
    <s v="Es neko nespēju izlasīt {if(is_empty(tongueLAT_SQ001.NAOK), 'latviski','krieviski')}."/>
    <m/>
    <m/>
    <m/>
    <m/>
    <m/>
    <m/>
    <m/>
    <m/>
    <m/>
    <m/>
    <m/>
    <m/>
    <m/>
    <m/>
    <m/>
    <m/>
    <m/>
    <s v="N/A"/>
    <s v="N/A"/>
    <s v="N/A"/>
    <s v="N/A"/>
    <s v="N/A"/>
    <s v="N/A"/>
    <m/>
    <m/>
    <m/>
    <m/>
    <m/>
    <s v="Nē"/>
    <s v="Nē"/>
    <s v="Nē"/>
    <s v="Jā"/>
    <s v="Nē"/>
    <s v="Nē"/>
    <s v="Nē"/>
    <s v="Nē"/>
    <s v="Nē"/>
    <s v="Nē"/>
    <s v="Jā"/>
    <s v="Jā"/>
    <s v="Nē"/>
    <s v="Jā"/>
    <s v="Nē"/>
    <s v="Nē"/>
    <m/>
    <s v="Nē"/>
    <m/>
    <s v="Nē"/>
    <m/>
    <s v="Nē"/>
    <m/>
    <s v="Nē"/>
    <m/>
    <s v="Nē"/>
    <s v="Nē"/>
    <s v="Nē"/>
    <s v="Jā"/>
    <s v="Nē"/>
    <s v="Nē"/>
    <s v="Nē"/>
    <s v="Nē"/>
    <s v="Nē"/>
    <s v="Nē"/>
    <s v="Nē"/>
    <s v="Nē"/>
    <s v="Nē"/>
    <s v="Nē"/>
    <s v="Nē"/>
    <s v="Nē"/>
    <s v="Jā"/>
    <s v="Nē"/>
    <s v="Nē"/>
    <m/>
    <s v="Nē"/>
    <m/>
    <s v="Nē"/>
    <m/>
    <s v="Nē"/>
    <m/>
    <s v="Nē"/>
    <m/>
    <s v="Jā"/>
    <s v="Nē"/>
    <s v="Nē"/>
    <s v="Nē"/>
    <s v="Jā"/>
    <s v="Nē"/>
    <s v="Nē"/>
    <s v="Jā"/>
    <s v="Nē"/>
    <s v="Nē"/>
    <s v="Nē"/>
    <s v="Nē"/>
    <s v="Jā"/>
    <s v="Nē"/>
    <m/>
    <s v="Aptauja bija diezgan laba, pāris drukas kļūdas : )."/>
    <m/>
    <m/>
    <m/>
    <m/>
  </r>
  <r>
    <x v="1"/>
    <n v="179"/>
    <s v="2023-09-15 08:34:42"/>
    <n v="14"/>
    <s v="lv"/>
    <n v="350355152"/>
    <s v="2023-09-15 08:07:05"/>
    <s v="2023-09-15 08:34:42"/>
    <s v="putns"/>
    <n v="17"/>
    <s v="vīriešu"/>
    <m/>
    <x v="1"/>
    <x v="1"/>
    <x v="0"/>
    <x v="0"/>
    <x v="0"/>
    <x v="0"/>
    <s v="Kurzemē"/>
    <m/>
    <s v="ateistu(ti), nereliģiozu"/>
    <m/>
    <s v="Jā"/>
    <s v="Jā"/>
    <s v="Nē"/>
    <s v="Nē"/>
    <s v="Nē"/>
    <s v="Nē"/>
    <s v="Nē"/>
    <s v="Jā"/>
    <s v="Jā"/>
    <s v="Jā"/>
    <s v="Jā"/>
    <s v="Jā"/>
    <s v="Jā"/>
    <s v="Nē"/>
    <s v="Nē"/>
    <s v="Nē"/>
    <s v="Nē"/>
    <s v="Jā"/>
    <s v="Nē"/>
    <s v="Jā"/>
    <s v="Nē"/>
    <s v="Jā"/>
    <s v="Jā"/>
    <s v="Jā"/>
    <s v="Jā"/>
    <s v="Nē"/>
    <s v="Nē"/>
    <s v="Nē"/>
    <s v="nezinu"/>
    <s v="tikai b"/>
    <s v="a un b"/>
    <s v="tikai b"/>
    <s v="tikai b"/>
    <s v="tikai b"/>
    <s v="Lielākoties vienlīdzīgi"/>
    <s v="Lielākoties vienlīdzīgi"/>
    <s v="Lielākoties vienlīdzīgi"/>
    <s v="Lielākoties vienlīdzīgi"/>
    <s v="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Ārkārtīgi"/>
    <s v="Ne sevišķi"/>
    <s v="Ne sevišķi"/>
    <s v="Ļoti"/>
    <s v="Politiķis vai politiķu grupa, kas cenšās piekļauties tautai ar visādiem solijumiem."/>
    <s v="Jā"/>
    <s v="Nē"/>
    <s v="Jā"/>
    <s v="Jā"/>
    <s v="Jā"/>
    <s v="Nē"/>
    <s v="2...."/>
    <n v="80"/>
    <n v="80"/>
    <m/>
    <m/>
    <s v="Mazliet saspīlētas"/>
    <s v="Mazliet saspīlētas"/>
    <s v="Nav saspīlētas"/>
    <s v="(Gandrīz) nekad"/>
    <s v="(Gandrīz) nekad"/>
    <s v="(Gandrīz) nekad"/>
    <s v="(Gandrīz) nekad"/>
    <s v="(Gandrīz) nekad"/>
    <m/>
    <m/>
    <m/>
    <m/>
    <m/>
    <m/>
    <s v="jā, valsts iestādē"/>
    <s v="N/A"/>
    <s v="N/A"/>
    <s v="N/A"/>
    <s v="Jā"/>
    <s v="Jā"/>
    <s v="Nē"/>
    <s v="Nē"/>
    <s v="Nē"/>
    <s v="Jā"/>
    <s v="Nē"/>
    <s v="Nē"/>
    <s v="Nē"/>
    <s v="(gandrīz) katru dienu"/>
    <s v="(gandrīz) katru dienu"/>
    <s v="(gandrīz) katru dienu"/>
    <s v="pāris reižu nedēļā"/>
    <s v="(gandrīz) katru dienu"/>
    <s v="pāris reižu nedēļā"/>
    <s v="(gandrīz) katru dienu"/>
    <s v="(gandrīz) nekad"/>
    <s v="(gandrīz) nekad"/>
    <s v="(gandrīz) nekad"/>
    <s v="pāris reižu mēnesī"/>
    <s v="(gandrīz) nekad"/>
    <s v="pāris reižu mēnesī"/>
    <s v="pāris reižu mēnesī"/>
    <s v="pilsoniskās brīvības (vārda brīvība, tiesības uz tiesisko aizsardzību)"/>
    <s v="vienlīdz pieejama izglītība, veselības aprūpe, sociālais nodrošinājums"/>
    <s v="varas līdzsvars starp parlamentu, prezidentu un tiesām, lai neviena no institūcijām nespētu sevī koncentrēt lielāko daļu varas"/>
    <m/>
    <m/>
    <s v="labi"/>
    <s v="labi"/>
    <s v="citreiz labi, citreiz slikti"/>
    <s v="citreiz labi, citreiz slikti"/>
    <s v="citreiz labi, citreiz slikti"/>
    <s v="pamatizglītību"/>
    <m/>
    <s v="Jā"/>
    <s v="Nē"/>
    <s v="Nē"/>
    <s v="Nē"/>
    <s v="latviešu"/>
    <m/>
    <s v="latviešu"/>
    <m/>
    <s v="Spēju veikt pasūtījumu restorānā."/>
    <s v="{if(is_empty(tongueLAT_SQ001.NAOK), 'latviski','krieviski')} nemāku rakstīt."/>
    <s v="Saprotu norādes, kur iet."/>
    <s v="Es neko nespēju izlasīt {if(is_empty(tongueLAT_SQ001.NAOK), 'latviski','krieviski')}."/>
    <m/>
    <m/>
    <m/>
    <m/>
    <m/>
    <m/>
    <m/>
    <m/>
    <m/>
    <m/>
    <m/>
    <m/>
    <m/>
    <m/>
    <m/>
    <m/>
    <m/>
    <s v="N/A"/>
    <s v="N/A"/>
    <s v="N/A"/>
    <s v="N/A"/>
    <s v="N/A"/>
    <s v="N/A"/>
    <m/>
    <m/>
    <m/>
    <m/>
    <m/>
    <s v="Nē"/>
    <s v="Nē"/>
    <s v="Nē"/>
    <s v="Nē"/>
    <s v="Nē"/>
    <s v="Nē"/>
    <s v="Nē"/>
    <s v="Nē"/>
    <s v="Nē"/>
    <s v="Nē"/>
    <s v="Nē"/>
    <s v="Jā"/>
    <s v="Nē"/>
    <s v="Nē"/>
    <s v="Nē"/>
    <s v="Nē"/>
    <m/>
    <s v="Nē"/>
    <m/>
    <s v="Nē"/>
    <m/>
    <s v="Nē"/>
    <m/>
    <s v="Nē"/>
    <m/>
    <s v="Jā"/>
    <s v="Jā"/>
    <s v="Nē"/>
    <s v="Nē"/>
    <s v="Nē"/>
    <s v="Nē"/>
    <s v="Nē"/>
    <s v="Nē"/>
    <s v="Nē"/>
    <s v="Nē"/>
    <s v="Nē"/>
    <s v="Nē"/>
    <s v="Jā"/>
    <s v="Nē"/>
    <s v="Nē"/>
    <s v="Nē"/>
    <s v="Nē"/>
    <s v="Nē"/>
    <s v="Nē"/>
    <m/>
    <s v="Jā"/>
    <s v="Liepājniekiem.lv"/>
    <s v="Nē"/>
    <m/>
    <s v="Nē"/>
    <m/>
    <s v="Nē"/>
    <m/>
    <s v="Jā"/>
    <s v="Nē"/>
    <s v="Nē"/>
    <s v="Nē"/>
    <s v="Jā"/>
    <s v="Nē"/>
    <s v="Nē"/>
    <s v="Jā"/>
    <s v="Jā"/>
    <s v="Nē"/>
    <s v="Jā"/>
    <s v="Nē"/>
    <s v="Nē"/>
    <s v="Nē"/>
    <s v="Discord"/>
    <s v="Nezinu daudz ko par politiku, bet centos atbildēt uz cik daudz es varēju."/>
    <m/>
    <m/>
    <m/>
    <m/>
  </r>
  <r>
    <x v="1"/>
    <n v="180"/>
    <s v="2023-09-15 08:27:52"/>
    <n v="14"/>
    <s v="lv"/>
    <n v="864657265"/>
    <s v="2023-09-15 08:07:52"/>
    <s v="2023-09-15 08:27:52"/>
    <s v="putns"/>
    <n v="17"/>
    <s v="vīriešu"/>
    <m/>
    <x v="1"/>
    <x v="1"/>
    <x v="0"/>
    <x v="0"/>
    <x v="0"/>
    <x v="0"/>
    <s v="Kurzemē"/>
    <m/>
    <s v="ateistu(ti), nereliģiozu"/>
    <m/>
    <s v="Jā"/>
    <s v="Nē"/>
    <s v="Nē"/>
    <s v="Nē"/>
    <s v="Nē"/>
    <s v="Jā"/>
    <s v="Nē"/>
    <s v="Jā"/>
    <s v="Nē"/>
    <s v="Nē"/>
    <s v="Nē"/>
    <s v="Nē"/>
    <s v="Jā"/>
    <s v="Nē"/>
    <s v="Jā"/>
    <s v="Nē"/>
    <s v="Nē"/>
    <s v="Nē"/>
    <s v="Nē"/>
    <s v="Nē"/>
    <s v="Nē"/>
    <s v="Jā"/>
    <s v="Nē"/>
    <s v="Jā"/>
    <s v="Nē"/>
    <s v="Nē"/>
    <s v="Nē"/>
    <s v="Nē"/>
    <s v="tikai b"/>
    <s v="tikai a"/>
    <s v="a un b"/>
    <s v="a un b"/>
    <s v="tikai a"/>
    <s v="tikai a"/>
    <s v="Lielākoties vienlīdzīgi"/>
    <s v="Lielākoties nevienlīdzīgi"/>
    <s v="Lielākoties vienlīdzīgi"/>
    <s v="Lielākoties nevienlīdzīgi"/>
    <s v="Lielākoties vienlīdzīgi"/>
    <s v="Jaunā Vienotība"/>
    <s v="Nacionālā Apvienība"/>
    <s v="Zaļo un Zemnieku savienība"/>
    <s v="Jaunā Vienotība"/>
    <s v="Politiskā partija &quot;Stabilitātei&quot;"/>
    <s v="nezinu"/>
    <s v="&quot;Latvija pirmajā vietā&quot;"/>
    <s v="Reizēm ekonomiskā un valsts stabilitāte varētu nozīmēt, ka atsevišķi ekoloģiskās politikas aspekti ir uz brīdi jāiepauzē."/>
    <s v="jā, lielāko daļu no tā, ko iespējams šķirot"/>
    <s v="Zaļo un Zemnieku savienība"/>
    <s v="Politiskā partija &quot;Stabilitātei&quot;"/>
    <s v="Zaļo un Zemnieku savienība"/>
    <s v="Jaunā Vienotība"/>
    <s v="Nacionālā Apvienība"/>
    <s v="Zaļo un Zemnieku savienība"/>
    <s v="Politiskā partija &quot;Stabilitātei&quot;"/>
    <s v="Jaunā Vienotība"/>
    <s v="nezinu"/>
    <s v="Zaļo un Zemnieku savienība"/>
    <s v="Politiskā partija &quot;Stabilitātei&quot;"/>
    <s v="Nacionālā Apvienība"/>
    <s v="&quot;Apvienotais saraksts&quot;"/>
    <s v="&quot;Latvija pirmajā vietā&quot;"/>
    <s v="Ne sevišķi"/>
    <s v="Neinteresē"/>
    <s v="Viduvēji"/>
    <s v="Viduvēji"/>
    <s v="Nezinu, nav ne mazākās jausmas"/>
    <s v="Nē"/>
    <s v="Nē"/>
    <s v="Nē"/>
    <s v="Jā"/>
    <s v="Jā"/>
    <s v="Nē"/>
    <s v="1.."/>
    <n v="34"/>
    <n v="81"/>
    <m/>
    <m/>
    <s v="Nav saspīlētas"/>
    <s v="Nav saspīlētas"/>
    <s v="Nav saspīlētas"/>
    <s v="Nezinu"/>
    <s v="(Gandrīz) nekad"/>
    <s v="Nezinu"/>
    <s v="Nezinu"/>
    <s v="Nezinu"/>
    <m/>
    <m/>
    <m/>
    <m/>
    <m/>
    <m/>
    <s v="nē"/>
    <s v="N/A"/>
    <s v="N/A"/>
    <s v="N/A"/>
    <s v="N/A"/>
    <s v="Jā"/>
    <s v="Nē"/>
    <s v="Nē"/>
    <s v="Nē"/>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brīvas vēlēšanas un plurālisms"/>
    <s v="vienlīdzīgas tiesības minoritātēm un ievainojamām sabiedrības grupām"/>
    <m/>
    <m/>
    <s v="labi"/>
    <s v="labi"/>
    <s v="citreiz labi, citreiz slikti"/>
    <s v="labi"/>
    <s v="citreiz labi, citreiz slikti"/>
    <s v="pamatizglītību"/>
    <m/>
    <s v="N/A"/>
    <s v="N/A"/>
    <s v="N/A"/>
    <s v="Jā"/>
    <s v="latviešu"/>
    <m/>
    <s v="Cita atbilde"/>
    <s v="Pašlaik vēl neesmu pabeidzis"/>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Nē"/>
    <s v="Nē"/>
    <s v="Nē"/>
    <s v="Nē"/>
    <s v="Nē"/>
    <s v="Nē"/>
    <s v="Jā"/>
    <s v="Nē"/>
    <s v="Jā"/>
    <s v="Nē"/>
    <s v="Nē"/>
    <s v="Nē"/>
    <s v="Nē"/>
    <s v="Nē"/>
    <m/>
    <s v="Nē"/>
    <m/>
    <s v="Nē"/>
    <m/>
    <s v="Nē"/>
    <m/>
    <s v="Nē"/>
    <m/>
    <s v="Nē"/>
    <s v="Nē"/>
    <s v="Nē"/>
    <s v="Nē"/>
    <s v="Nē"/>
    <s v="Nē"/>
    <s v="Nē"/>
    <s v="Nē"/>
    <s v="Nē"/>
    <s v="Nē"/>
    <s v="Nē"/>
    <s v="Nē"/>
    <s v="Nē"/>
    <s v="Nē"/>
    <s v="Nē"/>
    <s v="Nē"/>
    <s v="Nē"/>
    <s v="Nē"/>
    <s v="Jā"/>
    <m/>
    <s v="Nē"/>
    <m/>
    <s v="Nē"/>
    <m/>
    <s v="Nē"/>
    <m/>
    <s v="Nē"/>
    <m/>
    <s v="Jā"/>
    <s v="Jā"/>
    <s v="Nē"/>
    <s v="Nē"/>
    <s v="Jā"/>
    <s v="Nē"/>
    <s v="Nē"/>
    <s v="Jā"/>
    <s v="Jā"/>
    <s v="Nē"/>
    <s v="Nē"/>
    <s v="Nē"/>
    <s v="Jā"/>
    <s v="Nē"/>
    <m/>
    <s v="Man nav ko teikt"/>
    <m/>
    <m/>
    <m/>
    <m/>
  </r>
  <r>
    <x v="1"/>
    <n v="181"/>
    <s v="2023-09-15 08:31:36"/>
    <n v="14"/>
    <s v="ru"/>
    <n v="207341340"/>
    <s v="2023-09-15 08:07:59"/>
    <s v="2023-09-15 08:31:36"/>
    <s v="столб"/>
    <n v="17"/>
    <s v="sieviešu"/>
    <m/>
    <x v="0"/>
    <x v="0"/>
    <x v="0"/>
    <x v="0"/>
    <x v="0"/>
    <x v="0"/>
    <s v="Kurzemē"/>
    <m/>
    <s v="pareizticīgo"/>
    <m/>
    <s v="Jā"/>
    <s v="Nē"/>
    <s v="Jā"/>
    <s v="Jā"/>
    <s v="Nē"/>
    <s v="Jā"/>
    <s v="Nē"/>
    <s v="Jā"/>
    <s v="Jā"/>
    <s v="Nē"/>
    <s v="Nē"/>
    <s v="Jā"/>
    <s v="Nē"/>
    <s v="Nē"/>
    <s v="Nē"/>
    <s v="Nē"/>
    <s v="Nē"/>
    <s v="Nē"/>
    <s v="Nē"/>
    <s v="Jā"/>
    <s v="Nē"/>
    <s v="Nē"/>
    <s v="Jā"/>
    <s v="Jā"/>
    <s v="Nē"/>
    <s v="Jā"/>
    <s v="Nē"/>
    <s v="Nē"/>
    <s v="tikai a"/>
    <s v="ne a, ne b"/>
    <s v="ne a, ne b"/>
    <s v="tikai b"/>
    <s v="tikai a"/>
    <s v="ne a, ne b"/>
    <s v="Vienlīdzīgi"/>
    <s v="Lielākoties vienlīdzīgi"/>
    <s v="Vienlīdzīgi"/>
    <s v="Vienlīdzīgi"/>
    <s v="Vienlīdzīgi"/>
    <s v="nezinu"/>
    <s v="nezinu"/>
    <s v="nezinu"/>
    <s v="nezinu"/>
    <s v="nezinu"/>
    <s v="nezinu"/>
    <s v="nezinu"/>
    <s v="Klimata pārmaiņām nav nekādu pārliecinošu pierādījumu."/>
    <s v="jā, daļu no tā, ko iespējams šķirot"/>
    <s v="nezinu"/>
    <s v="nezinu"/>
    <s v="nezinu"/>
    <s v="nezinu"/>
    <s v="nezinu"/>
    <s v="nezinu"/>
    <s v="nezinu"/>
    <s v="nezinu"/>
    <s v="nezinu"/>
    <s v="nezinu"/>
    <s v="nezinu"/>
    <s v="nezinu"/>
    <s v="nezinu"/>
    <s v="nezinu"/>
    <s v="Ne sevišķi"/>
    <s v="Ne sevišķi"/>
    <s v="Ne sevišķi"/>
    <s v="Ne sevišķi"/>
    <s v="не знаю"/>
    <s v="Nē"/>
    <s v="Nē"/>
    <s v="Nē"/>
    <s v="Nē"/>
    <s v="Jā"/>
    <s v="Nē"/>
    <s v="1.."/>
    <n v="80"/>
    <n v="1"/>
    <n v="100"/>
    <n v="1"/>
    <s v="Ļoti saspīlētas"/>
    <s v="Drīzāk saspīlētas"/>
    <s v="Nav saspīlētas"/>
    <s v="Reti"/>
    <s v="Reti"/>
    <s v="Reti"/>
    <s v="Reti"/>
    <s v="Reti"/>
    <s v="Bieži"/>
    <s v="Bieži"/>
    <s v="Reti"/>
    <s v="Reti"/>
    <s v="Dažreiz"/>
    <s v="Использую русский только у врачей, ибо боюсь, что могу не понять"/>
    <s v="nē"/>
    <s v="N/A"/>
    <s v="N/A"/>
    <s v="N/A"/>
    <s v="N/A"/>
    <s v="Nē"/>
    <s v="Nē"/>
    <s v="Jā"/>
    <s v="Nē"/>
    <s v="Nē"/>
    <s v="Nē"/>
    <s v="Jā"/>
    <s v="Nē"/>
    <s v="(gandrīz) nekad"/>
    <s v="(gandrīz) nekad"/>
    <s v="(gandrīz) nekad"/>
    <s v="(gandrīz) nekad"/>
    <s v="(gandrīz) nekad"/>
    <s v="(gandrīz) nekad"/>
    <s v="reizi nedēļā"/>
    <s v="(gandrīz) katru dienu"/>
    <s v="(gandrīz) katru dienu"/>
    <s v="(gandrīz) katru dienu"/>
    <s v="(gandrīz) katru dienu"/>
    <s v="(gandrīz) katru dienu"/>
    <s v="(gandrīz) katru dienu"/>
    <s v="(gandrīz) katru dienu"/>
    <s v="varas līdzsvars starp parlamentu, prezidentu un tiesām, lai neviena no institūcijām nespētu sevī koncentrēt lielāko daļu varas"/>
    <s v="vienlīdzīgas tiesības minoritātēm un ievainojamām sabiedrības grupām"/>
    <s v="vienlīdz pieejama izglītība, veselības aprūpe, sociālais nodrošinājums"/>
    <m/>
    <m/>
    <s v="slikti"/>
    <s v="slikti"/>
    <s v="slikti"/>
    <s v="slikti"/>
    <s v="slikti"/>
    <s v="pamatizglītību"/>
    <m/>
    <s v="N/A"/>
    <s v="N/A"/>
    <s v="N/A"/>
    <s v="Jā"/>
    <s v="krievu"/>
    <m/>
    <s v="latviešu"/>
    <m/>
    <s v="Spēju veikt pasūtījumu restorānā."/>
    <s v="Spēju uzrakstīt vēstuli draugam."/>
    <s v="Viegli saprotu televīzijas pārraides vai Youtube video par saviem hobijiem / darbības sfēru."/>
    <s v="Spēju izlasīt avīzi / īsstāstus."/>
    <m/>
    <m/>
    <m/>
    <m/>
    <m/>
    <m/>
    <m/>
    <m/>
    <m/>
    <m/>
    <m/>
    <m/>
    <m/>
    <m/>
    <m/>
    <m/>
    <m/>
    <s v="N/A"/>
    <s v="N/A"/>
    <s v="N/A"/>
    <s v="N/A"/>
    <s v="N/A"/>
    <s v="N/A"/>
    <m/>
    <m/>
    <m/>
    <m/>
    <m/>
    <s v="Nē"/>
    <s v="Nē"/>
    <s v="Nē"/>
    <s v="Nē"/>
    <s v="Nē"/>
    <s v="Nē"/>
    <s v="Jā"/>
    <s v="Nē"/>
    <s v="Nē"/>
    <s v="Jā"/>
    <s v="Nē"/>
    <s v="Nē"/>
    <s v="Nē"/>
    <s v="Nē"/>
    <s v="Nē"/>
    <s v="Nē"/>
    <m/>
    <s v="Nē"/>
    <m/>
    <s v="Nē"/>
    <m/>
    <s v="Nē"/>
    <m/>
    <s v="Nē"/>
    <m/>
    <s v="Nē"/>
    <s v="Nē"/>
    <s v="Nē"/>
    <s v="Nē"/>
    <s v="Nē"/>
    <s v="Nē"/>
    <s v="Nē"/>
    <s v="Nē"/>
    <s v="Nē"/>
    <s v="Nē"/>
    <s v="Nē"/>
    <s v="Nē"/>
    <s v="Nē"/>
    <s v="Jā"/>
    <s v="Nē"/>
    <s v="Nē"/>
    <s v="Nē"/>
    <s v="Nē"/>
    <s v="Nē"/>
    <m/>
    <s v="Nē"/>
    <m/>
    <s v="Nē"/>
    <m/>
    <s v="Nē"/>
    <m/>
    <s v="Nē"/>
    <m/>
    <s v="Jā"/>
    <s v="Jā"/>
    <s v="Jā"/>
    <s v="Jā"/>
    <s v="Jā"/>
    <s v="Jā"/>
    <s v="Nē"/>
    <s v="Jā"/>
    <s v="Nē"/>
    <s v="Nē"/>
    <s v="Nē"/>
    <s v="Nē"/>
    <s v="Nē"/>
    <s v="Nē"/>
    <m/>
    <m/>
    <m/>
    <m/>
    <m/>
    <m/>
  </r>
  <r>
    <x v="1"/>
    <n v="184"/>
    <s v="2023-09-15 08:35:42"/>
    <n v="14"/>
    <s v="ru"/>
    <n v="1142518920"/>
    <s v="2023-09-15 08:10:15"/>
    <s v="2023-09-15 08:35:42"/>
    <s v="putns"/>
    <n v="18"/>
    <s v="vīriešu"/>
    <m/>
    <x v="0"/>
    <x v="1"/>
    <x v="1"/>
    <x v="0"/>
    <x v="0"/>
    <x v="0"/>
    <s v="Cita atbilde"/>
    <s v="Украина"/>
    <s v="Cita atbilde"/>
    <s v="скептик"/>
    <s v="Jā"/>
    <s v="Jā"/>
    <s v="Nē"/>
    <s v="Nē"/>
    <s v="Jā"/>
    <s v="Nē"/>
    <s v="Nē"/>
    <s v="Jā"/>
    <s v="Nē"/>
    <s v="Jā"/>
    <s v="Nē"/>
    <s v="Jā"/>
    <s v="Nē"/>
    <s v="Nē"/>
    <s v="Jā"/>
    <s v="Nē"/>
    <s v="Jā"/>
    <s v="Nē"/>
    <s v="Nē"/>
    <s v="Jā"/>
    <s v="Nē"/>
    <s v="Nē"/>
    <s v="Nē"/>
    <s v="Jā"/>
    <s v="Jā"/>
    <s v="Jā"/>
    <s v="Jā"/>
    <s v="Nē"/>
    <s v="ne a, ne b"/>
    <s v="tikai a"/>
    <s v="tikai a"/>
    <s v="tikai a"/>
    <s v="tikai a"/>
    <s v="tikai a"/>
    <s v="Nevienlīdzīgi"/>
    <s v="Nevienlīdzīgi"/>
    <s v="Lielākoties nevienlīdzīgi"/>
    <s v="Lielākoties nevienlīdzīgi"/>
    <s v="Lielākoties ne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Neinteresē"/>
    <s v="Viduvēji"/>
    <s v="Viduvēji"/>
    <s v="В публицистике: политика, направленная на удовлетворение интересов наименее обеспеченных слоёв населения путём простого."/>
    <s v="N/A"/>
    <s v="N/A"/>
    <s v="N/A"/>
    <s v="N/A"/>
    <s v="N/A"/>
    <s v="N/A"/>
    <m/>
    <m/>
    <m/>
    <m/>
    <m/>
    <m/>
    <m/>
    <m/>
    <m/>
    <m/>
    <m/>
    <m/>
    <m/>
    <m/>
    <m/>
    <m/>
    <m/>
    <m/>
    <m/>
    <s v="nē"/>
    <s v="N/A"/>
    <s v="N/A"/>
    <s v="N/A"/>
    <s v="N/A"/>
    <s v="N/A"/>
    <s v="N/A"/>
    <s v="N/A"/>
    <s v="Jā"/>
    <s v="N/A"/>
    <s v="N/A"/>
    <s v="N/A"/>
    <s v="Jā"/>
    <m/>
    <m/>
    <m/>
    <m/>
    <m/>
    <m/>
    <m/>
    <m/>
    <m/>
    <m/>
    <m/>
    <m/>
    <m/>
    <m/>
    <s v="brīvas vēlēšanas un plurālisms"/>
    <s v="pilsoniskās brīvības (vārda brīvība, tiesības uz tiesisko aizsardzību)"/>
    <s v="varas līdzsvars starp parlamentu, prezidentu un tiesām, lai neviena no institūcijām nespētu sevī koncentrēt lielāko daļu varas"/>
    <m/>
    <m/>
    <s v="labi"/>
    <s v="ļoti labi"/>
    <s v="labi"/>
    <s v="labi"/>
    <s v="labi"/>
    <s v="vidējo izglītību"/>
    <m/>
    <s v="Nē"/>
    <s v="Nē"/>
    <s v="Jā"/>
    <s v="Nē"/>
    <s v="Cita atbilde"/>
    <s v="на украинском"/>
    <s v="Cita atbilde"/>
    <s v="на украинском"/>
    <m/>
    <m/>
    <m/>
    <m/>
    <s v="Spēju veikt pasūtījumu restorānā."/>
    <s v="Latviski nemāku rakstīt."/>
    <s v="Viegli saprotu televīzijas pārraides vai Youtube video par saviem hobijiem / darbības sfēru."/>
    <s v="Spēju izlasīt avīzi / īsstāstus."/>
    <s v="Dažreiz"/>
    <s v="Dažreiz"/>
    <s v="(Gandrīz) nekad"/>
    <s v="(Gandrīz) nekad"/>
    <s v="Reti"/>
    <s v="Bieži"/>
    <s v="Bieži"/>
    <s v="Bieži"/>
    <s v="Bieži"/>
    <s v="Bieži"/>
    <s v="Jā, darba un personisku iemeslu dēļ."/>
    <m/>
    <s v="Man jau ir konkrēts plāns (esmu pieteicies kursā / pie privātskolotāja utt., ir sarunāts valodas tandēms)."/>
    <s v="Nē"/>
    <s v="Jā"/>
    <s v="Nē"/>
    <s v="Nē"/>
    <s v="Nē"/>
    <s v="Nē"/>
    <n v="87"/>
    <n v="1"/>
    <m/>
    <m/>
    <s v="негатив, разногласия иза языка"/>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Nē"/>
    <s v="Nē"/>
    <s v="Nē"/>
    <s v="Jā"/>
    <s v="Jā"/>
    <s v="Nē"/>
    <s v="Nē"/>
    <s v="Nē"/>
    <s v="Nē"/>
    <s v="Nē"/>
    <s v="Nē"/>
    <s v="Nē"/>
    <s v="Nē"/>
    <m/>
    <m/>
    <m/>
    <m/>
    <m/>
    <m/>
  </r>
  <r>
    <x v="1"/>
    <n v="185"/>
    <s v="2023-09-15 08:39:32"/>
    <n v="14"/>
    <s v="lv"/>
    <n v="827550823"/>
    <s v="2023-09-15 08:10:55"/>
    <s v="2023-09-15 08:39:32"/>
    <s v="putns"/>
    <n v="17"/>
    <s v="vīriešu"/>
    <m/>
    <x v="1"/>
    <x v="1"/>
    <x v="0"/>
    <x v="0"/>
    <x v="0"/>
    <x v="0"/>
    <s v="Kurzemē"/>
    <m/>
    <s v="Cita atbilde"/>
    <s v="Neesmu ticīgais"/>
    <s v="Jā"/>
    <s v="Nē"/>
    <s v="Nē"/>
    <s v="Nē"/>
    <s v="Nē"/>
    <s v="Nē"/>
    <s v="Nē"/>
    <s v="Nē"/>
    <s v="Nē"/>
    <s v="Nē"/>
    <s v="Nē"/>
    <s v="Jā"/>
    <s v="Nē"/>
    <s v="Nē"/>
    <s v="Nē"/>
    <s v="Nē"/>
    <s v="Nē"/>
    <s v="Nē"/>
    <s v="Jā"/>
    <s v="Nē"/>
    <s v="Nē"/>
    <s v="Nē"/>
    <s v="Jā"/>
    <s v="Nē"/>
    <s v="Nē"/>
    <s v="Nē"/>
    <s v="Nē"/>
    <s v="Nē"/>
    <s v="a un b"/>
    <s v="tikai b"/>
    <s v="tikai b"/>
    <s v="nezinu"/>
    <s v="tikai a"/>
    <s v="tikai b"/>
    <s v="Nezinu"/>
    <s v="Lielākoties vienlīdzīgi"/>
    <s v="Lielākoties vienlīdzīgi"/>
    <s v="Lielākoties vienlīdzīgi"/>
    <s v="Lielākoties nevienlīdzīgi"/>
    <s v="nezinu"/>
    <s v="nezinu"/>
    <s v="Jaunā Vienotība"/>
    <s v="Nacionālā Apvienība"/>
    <s v="Nacionālā Apvienība"/>
    <s v="nezinu"/>
    <s v="Nacionālā Apvienība"/>
    <s v="Cīņai ar klimata pārmaiņām būtu jābūt vairumam pasaules valstu galvenajai prioritātei."/>
    <s v="jā, lielāko daļu no tā, ko iespējams šķirot"/>
    <s v="Zaļo un Zemnieku savienība"/>
    <s v="&quot;Latvija pirmajā vietā&quot;"/>
    <s v="Politiskā partija &quot;Stabilitātei&quot;"/>
    <s v="nezinu"/>
    <s v="&quot;Apvienotais saraksts&quot;"/>
    <s v="Zaļo un Zemnieku savienība"/>
    <s v="Jaunā Vienotība"/>
    <s v="Nacionālā Apvienība"/>
    <s v="&quot;Progresīvie&quot;"/>
    <s v="&quot;Apvienotais saraksts&quot;"/>
    <s v="nezinu"/>
    <s v="Politiskā partija &quot;Stabilitātei&quot;"/>
    <s v="Jaunā Vienotība"/>
    <s v="nezinu"/>
    <s v="Viduvēji"/>
    <s v="Neinteresē"/>
    <s v="Viduvēji"/>
    <s v="Ļoti"/>
    <s v="Populisms izklausas kad tā svarētu būt viedoklis ar ko sakrīt liela dala populācijas"/>
    <s v="Nē"/>
    <s v="Nē"/>
    <s v="Jā"/>
    <s v="Nē"/>
    <s v="Nē"/>
    <s v="Nē"/>
    <s v="2.."/>
    <n v="59"/>
    <n v="50"/>
    <m/>
    <m/>
    <s v="Mazliet saspīlētas"/>
    <s v="Nav saspīlētas"/>
    <s v="Nav saspīlētas"/>
    <s v="(Gandrīz) nekad"/>
    <s v="(Gandrīz) nekad"/>
    <s v="(Gandrīz) nekad"/>
    <s v="(Gandrīz) nekad"/>
    <s v="(Gandrīz) nekad"/>
    <m/>
    <m/>
    <m/>
    <m/>
    <m/>
    <m/>
    <s v="nē"/>
    <s v="N/A"/>
    <s v="N/A"/>
    <s v="N/A"/>
    <s v="N/A"/>
    <s v="N/A"/>
    <s v="N/A"/>
    <s v="N/A"/>
    <s v="Jā"/>
    <s v="Jā"/>
    <s v="Nē"/>
    <s v="Nē"/>
    <s v="Nē"/>
    <s v="(gandrīz) katru dienu"/>
    <s v="(gandrīz) katru dienu"/>
    <s v="(gandrīz) katru dienu"/>
    <s v="pāris reižu nedēļā"/>
    <s v="(gandrīz) katru dienu"/>
    <s v="(gandrīz) nekad"/>
    <s v="(gandrīz) katru dienu"/>
    <s v="pāris reižu nedēļā"/>
    <s v="pāris reižu nedēļā"/>
    <s v="(gandrīz) katru dienu"/>
    <s v="(gandrīz) nekad"/>
    <s v="pāris reižu mēnesī"/>
    <s v="pāris reižu mēnesī"/>
    <s v="pāris reižu mēnesī"/>
    <s v="brīvas vēlēšanas un plurālisms"/>
    <s v="varas līdzsvars starp parlamentu, prezidentu un tiesām, lai neviena no institūcijām nespētu sevī koncentrēt lielāko daļu varas"/>
    <s v="vienlīdz pieejama izglītība, veselības aprūpe, sociālais nodrošinājums"/>
    <m/>
    <m/>
    <s v="labi"/>
    <s v="citreiz labi, citreiz slikti"/>
    <s v="labi"/>
    <s v="nezinu"/>
    <s v="ļoti labi"/>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Jā"/>
    <s v="Nē"/>
    <s v="Nē"/>
    <m/>
    <s v="Nē"/>
    <m/>
    <s v="Nē"/>
    <m/>
    <s v="Nē"/>
    <m/>
    <s v="Nē"/>
    <m/>
    <s v="Jā"/>
    <s v="Nē"/>
    <s v="Jā"/>
    <s v="Nē"/>
    <s v="Jā"/>
    <s v="Nē"/>
    <s v="Nē"/>
    <s v="Nē"/>
    <s v="Nē"/>
    <s v="Nē"/>
    <s v="Nē"/>
    <s v="Nē"/>
    <s v="Nē"/>
    <s v="Nē"/>
    <m/>
    <m/>
    <m/>
    <m/>
    <m/>
    <m/>
  </r>
  <r>
    <x v="1"/>
    <n v="188"/>
    <s v="2023-09-15 09:01:55"/>
    <n v="14"/>
    <s v="lv"/>
    <n v="382316171"/>
    <s v="2023-09-15 08:44:47"/>
    <s v="2023-09-15 09:01:55"/>
    <s v="putns"/>
    <n v="17"/>
    <s v="vīriešu"/>
    <m/>
    <x v="1"/>
    <x v="1"/>
    <x v="0"/>
    <x v="1"/>
    <x v="0"/>
    <x v="0"/>
    <s v="Kurzemē"/>
    <m/>
    <s v="Cita atbilde"/>
    <s v="nezinu"/>
    <s v="Nē"/>
    <s v="Jā"/>
    <s v="Nē"/>
    <s v="Nē"/>
    <s v="Nē"/>
    <s v="Nē"/>
    <s v="Nē"/>
    <s v="Nē"/>
    <s v="Jā"/>
    <s v="Nē"/>
    <s v="Nē"/>
    <s v="Nē"/>
    <s v="Jā"/>
    <s v="Nē"/>
    <s v="Nē"/>
    <s v="Jā"/>
    <s v="Nē"/>
    <s v="Nē"/>
    <s v="Nē"/>
    <s v="Nē"/>
    <s v="Nē"/>
    <s v="Nē"/>
    <s v="Nē"/>
    <s v="Jā"/>
    <s v="Nē"/>
    <s v="Nē"/>
    <s v="Nē"/>
    <s v="Nē"/>
    <s v="tikai b"/>
    <s v="a un b"/>
    <s v="nezinu"/>
    <s v="tikai a"/>
    <s v="ne a, ne b"/>
    <s v="tikai b"/>
    <s v="Lielākoties vienlīdzīgi"/>
    <s v="Lielākoties nevienlīdzīgi"/>
    <s v="Lielākoties vienlīdzīgi"/>
    <s v="Vienlīdzīgi"/>
    <s v="Nezinu"/>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Neinteresē"/>
    <s v="Neinteresē"/>
    <s v="Viduvēji"/>
    <s v="Ne sevišķi"/>
    <s v="nezinu"/>
    <s v="Nē"/>
    <s v="Nē"/>
    <s v="Nē"/>
    <s v="Nē"/>
    <s v="Jā"/>
    <s v="Nē"/>
    <s v="2.."/>
    <n v="75"/>
    <n v="95"/>
    <m/>
    <m/>
    <s v="Mazliet saspīlētas"/>
    <s v="Nav saspīlētas"/>
    <s v="Nav saspīlētas"/>
    <s v="(Gandrīz) nekad"/>
    <s v="(Gandrīz) nekad"/>
    <s v="(Gandrīz) nekad"/>
    <s v="(Gandrīz) nekad"/>
    <s v="(Gandrīz) nekad"/>
    <m/>
    <m/>
    <m/>
    <m/>
    <m/>
    <m/>
    <s v="nē"/>
    <s v="N/A"/>
    <s v="N/A"/>
    <s v="N/A"/>
    <s v="N/A"/>
    <s v="N/A"/>
    <s v="N/A"/>
    <s v="N/A"/>
    <s v="Jā"/>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 pieejama izglītība, veselības aprūpe, sociālais nodrošinājums"/>
    <m/>
    <m/>
    <s v="Knapi / gandrīz necik"/>
    <s v="labi"/>
    <s v="nezinu"/>
    <s v="nezinu"/>
    <s v="nezinu"/>
    <s v="pamatizglītību"/>
    <m/>
    <s v="N/A"/>
    <s v="N/A"/>
    <s v="N/A"/>
    <s v="Jā"/>
    <s v="latviešu"/>
    <m/>
    <s v="latviešu"/>
    <m/>
    <s v="{if(is_empty(tongueLAT_SQ001.NAOK), 'latviski','krieviski')} nerunāju it nemaz."/>
    <s v="Spēju uzrakstīt vēstuli draugam."/>
    <s v="Saprotu norādes, kur iet."/>
    <s v="Spēju izlasīt avīzi / īsstāstus."/>
    <m/>
    <m/>
    <m/>
    <m/>
    <m/>
    <m/>
    <m/>
    <m/>
    <m/>
    <m/>
    <m/>
    <m/>
    <m/>
    <m/>
    <m/>
    <m/>
    <m/>
    <s v="N/A"/>
    <s v="N/A"/>
    <s v="N/A"/>
    <s v="N/A"/>
    <s v="N/A"/>
    <s v="N/A"/>
    <m/>
    <m/>
    <m/>
    <m/>
    <m/>
    <s v="Nē"/>
    <s v="Nē"/>
    <s v="Nē"/>
    <s v="Jā"/>
    <s v="Nē"/>
    <s v="Nē"/>
    <s v="Nē"/>
    <s v="Nē"/>
    <s v="Nē"/>
    <s v="Nē"/>
    <s v="Jā"/>
    <s v="Jā"/>
    <s v="Nē"/>
    <s v="Nē"/>
    <s v="Nē"/>
    <s v="Nē"/>
    <m/>
    <s v="Nē"/>
    <m/>
    <s v="Nē"/>
    <m/>
    <s v="Nē"/>
    <m/>
    <s v="Nē"/>
    <m/>
    <s v="Nē"/>
    <s v="Nē"/>
    <s v="Nē"/>
    <s v="Nē"/>
    <s v="Nē"/>
    <s v="Nē"/>
    <s v="Nē"/>
    <s v="Nē"/>
    <s v="Nē"/>
    <s v="Nē"/>
    <s v="Nē"/>
    <s v="Nē"/>
    <s v="Nē"/>
    <s v="Nē"/>
    <s v="Nē"/>
    <s v="Nē"/>
    <s v="Nē"/>
    <s v="Nē"/>
    <s v="Jā"/>
    <m/>
    <s v="Nē"/>
    <m/>
    <s v="Nē"/>
    <m/>
    <s v="Nē"/>
    <m/>
    <s v="Nē"/>
    <m/>
    <s v="Jā"/>
    <s v="Jā"/>
    <s v="Jā"/>
    <s v="Nē"/>
    <s v="Jā"/>
    <s v="Nē"/>
    <s v="Nē"/>
    <s v="Jā"/>
    <s v="Nē"/>
    <s v="Nē"/>
    <s v="Nē"/>
    <s v="Nē"/>
    <s v="Jā"/>
    <s v="Nē"/>
    <m/>
    <m/>
    <m/>
    <m/>
    <m/>
    <m/>
  </r>
  <r>
    <x v="1"/>
    <n v="189"/>
    <s v="2023-09-15 08:58:45"/>
    <n v="14"/>
    <s v="lv"/>
    <n v="192272517"/>
    <s v="2023-09-15 08:45:05"/>
    <s v="2023-09-15 08:58:45"/>
    <s v="putns"/>
    <n v="17"/>
    <s v="vīriešu"/>
    <m/>
    <x v="1"/>
    <x v="1"/>
    <x v="0"/>
    <x v="0"/>
    <x v="0"/>
    <x v="0"/>
    <s v="Kurzemē"/>
    <m/>
    <s v="ateistu(ti), nereliģiozu"/>
    <m/>
    <s v="N/A"/>
    <s v="N/A"/>
    <s v="N/A"/>
    <s v="N/A"/>
    <s v="N/A"/>
    <s v="N/A"/>
    <s v="Jā"/>
    <s v="Jā"/>
    <s v="Nē"/>
    <s v="Nē"/>
    <s v="Nē"/>
    <s v="Nē"/>
    <s v="Nē"/>
    <s v="Nē"/>
    <s v="Nē"/>
    <s v="Jā"/>
    <s v="Nē"/>
    <s v="Nē"/>
    <s v="Nē"/>
    <s v="Nē"/>
    <s v="Nē"/>
    <s v="N/A"/>
    <s v="N/A"/>
    <s v="N/A"/>
    <s v="N/A"/>
    <s v="N/A"/>
    <s v="N/A"/>
    <s v="Jā"/>
    <s v="nezinu"/>
    <s v="nezinu"/>
    <s v="nezinu"/>
    <s v="a un b"/>
    <s v="a un b"/>
    <s v="nezinu"/>
    <s v="Vienlīdzīgi"/>
    <s v="Vienlīdzīgi"/>
    <s v="Vienlīdzīgi"/>
    <s v="Vienlīdzīgi"/>
    <s v="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 sevišķi"/>
    <s v="Ne sevišķi"/>
    <s v="Ne sevišķi"/>
    <s v="Ne sevišķi"/>
    <s v="Es pats pat nezinu kas tas tads ir"/>
    <s v="Nē"/>
    <s v="Nē"/>
    <s v="Jā"/>
    <s v="Jā"/>
    <s v="Nē"/>
    <s v="Nē"/>
    <s v="1.."/>
    <n v="50"/>
    <n v="50"/>
    <m/>
    <m/>
    <s v="Nav saspīlētas"/>
    <s v="Nav saspīlētas"/>
    <s v="Nav saspīlētas"/>
    <s v="Nezinu"/>
    <s v="Nezinu"/>
    <s v="Nezinu"/>
    <s v="Nezinu"/>
    <s v="Nezinu"/>
    <m/>
    <m/>
    <m/>
    <m/>
    <m/>
    <m/>
    <s v="nē"/>
    <s v="N/A"/>
    <s v="N/A"/>
    <s v="N/A"/>
    <s v="N/A"/>
    <s v="N/A"/>
    <s v="N/A"/>
    <s v="N/A"/>
    <s v="Jā"/>
    <s v="N/A"/>
    <s v="N/A"/>
    <s v="N/A"/>
    <s v="Jā"/>
    <s v="(gandrīz) katru dienu"/>
    <s v="pāris reižu nedēļā"/>
    <s v="pāris reižu nedēļā"/>
    <s v="pāris reižu nedēļā"/>
    <s v="pāris reižu nedēļā"/>
    <s v="(gandrīz) nekad"/>
    <s v="(gandrīz) katru dienu"/>
    <s v="(gandrīz) nekad"/>
    <s v="pāris reižu nedēļā"/>
    <s v="pāris reižu nedēļā"/>
    <s v="pāris reižu nedēļā"/>
    <s v="(gandrīz) nekad"/>
    <s v="pāris reižu mēnesī"/>
    <s v="reizi nedēļā"/>
    <s v="pilsoniskās brīvības (vārda brīvība, tiesības uz tiesisko aizsardzību)"/>
    <s v="brīvas vēlēšanas un plurālisms"/>
    <s v="vienlīdz pieejama izglītība, veselības aprūpe, sociālais nodrošinājums"/>
    <m/>
    <m/>
    <s v="nezinu"/>
    <s v="nezinu"/>
    <s v="nezinu"/>
    <s v="nezinu"/>
    <s v="nezinu"/>
    <s v="vidējo izglītību"/>
    <m/>
    <s v="N/A"/>
    <s v="N/A"/>
    <s v="N/A"/>
    <s v="Jā"/>
    <s v="latviešu"/>
    <m/>
    <s v="vienlīdz latviešu un krievu"/>
    <m/>
    <s v="Spēju ilgstoši sarunāties ar vienaudžiem / piedalīties darba pārrunās."/>
    <s v="Spēju uzrakstīt vēstuli draugam."/>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Nē"/>
    <s v="Nē"/>
    <s v="Nē"/>
    <s v="Nē"/>
    <s v="Nē"/>
    <s v="Nē"/>
    <s v="Nē"/>
    <s v="Nē"/>
    <s v="Nē"/>
    <s v="Jā"/>
    <m/>
    <s v="Nē"/>
    <m/>
    <s v="Nē"/>
    <m/>
    <s v="Nē"/>
    <m/>
    <s v="Nē"/>
    <m/>
    <s v="Jā"/>
    <s v="Nē"/>
    <s v="Nē"/>
    <s v="Nē"/>
    <s v="Jā"/>
    <s v="Nē"/>
    <s v="Nē"/>
    <s v="Jā"/>
    <s v="Jā"/>
    <s v="Nē"/>
    <s v="Jā"/>
    <s v="Nē"/>
    <s v="Nē"/>
    <s v="Nē"/>
    <m/>
    <m/>
    <m/>
    <m/>
    <m/>
    <m/>
  </r>
  <r>
    <x v="1"/>
    <n v="190"/>
    <s v="2023-09-15 09:12:23"/>
    <n v="14"/>
    <s v="lv"/>
    <n v="175149449"/>
    <s v="2023-09-15 08:45:16"/>
    <s v="2023-09-15 09:12:23"/>
    <s v="putns"/>
    <n v="17"/>
    <s v="vīriešu"/>
    <m/>
    <x v="1"/>
    <x v="1"/>
    <x v="0"/>
    <x v="0"/>
    <x v="0"/>
    <x v="0"/>
    <s v="Kurzemē"/>
    <m/>
    <s v="Cita atbilde"/>
    <s v="nevienu"/>
    <s v="Nē"/>
    <s v="Nē"/>
    <s v="Jā"/>
    <s v="Nē"/>
    <s v="Nē"/>
    <s v="Nē"/>
    <s v="Nē"/>
    <s v="Nē"/>
    <s v="Jā"/>
    <s v="Jā"/>
    <s v="Nē"/>
    <s v="Nē"/>
    <s v="Nē"/>
    <s v="Nē"/>
    <s v="Nē"/>
    <s v="Nē"/>
    <s v="Nē"/>
    <s v="Nē"/>
    <s v="Jā"/>
    <s v="Nē"/>
    <s v="Nē"/>
    <s v="Nē"/>
    <s v="Nē"/>
    <s v="Jā"/>
    <s v="Nē"/>
    <s v="Nē"/>
    <s v="Nē"/>
    <s v="Nē"/>
    <s v="ne a, ne b"/>
    <s v="ne a, ne b"/>
    <s v="a un b"/>
    <s v="a un b"/>
    <s v="tikai b"/>
    <s v="tikai b"/>
    <s v="Vienlīdzīgi"/>
    <s v="Lielākoties nevienlīdzīgi"/>
    <s v="Lielākoties vienlīdzīgi"/>
    <s v="Lielākoties vienlīdzīgi"/>
    <s v="Lielākoties nevienlīdzīgi"/>
    <s v="&quot;Progresīvie&quot;"/>
    <s v="Jaunā Vienotība"/>
    <s v="Zaļo un Zemnieku savienība"/>
    <s v="Nacionālā Apvienība"/>
    <s v="Zaļo un Zemnieku savienība"/>
    <s v="&quot;Apvienotais saraksts&quot;"/>
    <s v="Nacionālā Apvienība"/>
    <s v="Klimata pārmaiņām nav nekādu pārliecinošu pierādījumu."/>
    <s v="jā, daļu no tā, ko iespējams šķirot"/>
    <s v="Jaunā Vienotība"/>
    <s v="&quot;Progresīvie&quot;"/>
    <s v="&quot;Latvija pirmajā vietā&quot;"/>
    <s v="Politiskā partija &quot;Stabilitātei&quot;"/>
    <s v="Nacionālā Apvienība"/>
    <s v="Zaļo un Zemnieku savienība"/>
    <s v="Nacionālā Apvienība"/>
    <s v="nezinu"/>
    <s v="Politiskā partija &quot;Stabilitātei&quot;"/>
    <s v="Zaļo un Zemnieku savienība"/>
    <s v="Nacionālā Apvienība"/>
    <s v="Zaļo un Zemnieku savienība"/>
    <s v="Nacionālā Apvienība"/>
    <s v="Jaunā Vienotība"/>
    <s v="Viduvēji"/>
    <s v="Neinteresē"/>
    <s v="Viduvēji"/>
    <s v="Ne sevišķi"/>
    <s v="nezinu"/>
    <s v="Nē"/>
    <s v="Nē"/>
    <s v="Nē"/>
    <s v="Jā"/>
    <s v="Jā"/>
    <s v="Nē"/>
    <s v="1.."/>
    <n v="35"/>
    <n v="100"/>
    <m/>
    <m/>
    <s v="Mazliet saspīlētas"/>
    <s v="Nav saspīlētas"/>
    <s v="Mazliet saspīlētas"/>
    <s v="(Gandrīz) nekad"/>
    <s v="Reti"/>
    <s v="Dažreiz"/>
    <s v="(Gandrīz) nekad"/>
    <s v="Dažreiz"/>
    <m/>
    <m/>
    <m/>
    <m/>
    <m/>
    <s v="Izmanotoju citas valodas lai komunikacetos vdeo speles"/>
    <s v="nē"/>
    <s v="N/A"/>
    <s v="N/A"/>
    <s v="N/A"/>
    <s v="N/A"/>
    <s v="N/A"/>
    <s v="N/A"/>
    <s v="N/A"/>
    <s v="Jā"/>
    <s v="N/A"/>
    <s v="N/A"/>
    <s v="N/A"/>
    <s v="Jā"/>
    <s v="(gandrīz) katru dienu"/>
    <s v="(gandrīz) katru dienu"/>
    <s v="(gandrīz) katru dienu"/>
    <s v="(gandrīz) katru dienu"/>
    <s v="(gandrīz) katru dienu"/>
    <s v="(gandrīz) katru dienu"/>
    <s v="(gandrīz) katru dienu"/>
    <s v="(gandrīz) nekad"/>
    <s v="pāris reižu mēnesī"/>
    <s v="(gandrīz) nekad"/>
    <s v="pāris reižu mēnesī"/>
    <s v="pāris reižu mēnesī"/>
    <s v="(gandrīz) nekad"/>
    <s v="reizi nedēļā"/>
    <s v="pilsoniskās brīvības (vārda brīvība, tiesības uz tiesisko aizsardzību)"/>
    <s v="vienlīdz pieejama izglītība, veselības aprūpe, sociālais nodrošinājums"/>
    <s v="brīvas vēlēšanas un plurālisms"/>
    <m/>
    <m/>
    <s v="labi"/>
    <s v="ļoti labi"/>
    <s v="labi"/>
    <s v="citreiz labi, citreiz slikti"/>
    <s v="citreiz labi, citreiz slikti"/>
    <s v="pamatizglītību"/>
    <m/>
    <s v="N/A"/>
    <s v="N/A"/>
    <s v="N/A"/>
    <s v="Jā"/>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Nē"/>
    <s v="Nē"/>
    <s v="Nē"/>
    <s v="Nē"/>
    <s v="Nē"/>
    <s v="Nē"/>
    <s v="Nē"/>
    <s v="Nē"/>
    <s v="Nē"/>
    <s v="Jā"/>
    <s v="Nē"/>
    <s v="Nē"/>
    <s v="Nē"/>
    <s v="Nē"/>
    <m/>
    <s v="Jā"/>
    <m/>
    <s v="Jā"/>
    <m/>
    <s v="Nē"/>
    <m/>
    <s v="Nē"/>
    <m/>
    <s v="Nē"/>
    <s v="Nē"/>
    <s v="Nē"/>
    <s v="Nē"/>
    <s v="Nē"/>
    <s v="Nē"/>
    <s v="Nē"/>
    <s v="Nē"/>
    <s v="Nē"/>
    <s v="Nē"/>
    <s v="Nē"/>
    <s v="Nē"/>
    <s v="Jā"/>
    <s v="Nē"/>
    <s v="Nē"/>
    <s v="Nē"/>
    <s v="Nē"/>
    <s v="Nē"/>
    <s v="Nē"/>
    <m/>
    <s v="Jā"/>
    <m/>
    <s v="Nē"/>
    <m/>
    <s v="Nē"/>
    <m/>
    <s v="Nē"/>
    <m/>
    <s v="Jā"/>
    <s v="Jā"/>
    <s v="Nē"/>
    <s v="Nē"/>
    <s v="Jā"/>
    <s v="Nē"/>
    <s v="Nē"/>
    <s v="Nē"/>
    <s v="Nē"/>
    <s v="Nē"/>
    <s v="Nē"/>
    <s v="Nē"/>
    <s v="Jā"/>
    <s v="Nē"/>
    <m/>
    <m/>
    <m/>
    <m/>
    <m/>
    <m/>
  </r>
  <r>
    <x v="1"/>
    <n v="191"/>
    <s v="2023-09-15 09:11:08"/>
    <n v="14"/>
    <s v="ru"/>
    <n v="1443384328"/>
    <s v="2023-09-15 08:45:17"/>
    <s v="2023-09-15 09:11:08"/>
    <s v="столб"/>
    <n v="17"/>
    <s v="vīriešu"/>
    <m/>
    <x v="0"/>
    <x v="0"/>
    <x v="0"/>
    <x v="0"/>
    <x v="0"/>
    <x v="0"/>
    <s v="Kurzemē"/>
    <m/>
    <s v="pareizticīgo"/>
    <m/>
    <s v="N/A"/>
    <s v="N/A"/>
    <s v="N/A"/>
    <s v="N/A"/>
    <s v="N/A"/>
    <s v="N/A"/>
    <s v="Jā"/>
    <s v="N/A"/>
    <s v="N/A"/>
    <s v="N/A"/>
    <s v="N/A"/>
    <s v="N/A"/>
    <s v="N/A"/>
    <s v="Jā"/>
    <s v="N/A"/>
    <s v="N/A"/>
    <s v="N/A"/>
    <s v="N/A"/>
    <s v="N/A"/>
    <s v="N/A"/>
    <s v="Jā"/>
    <s v="N/A"/>
    <s v="N/A"/>
    <s v="N/A"/>
    <s v="N/A"/>
    <s v="N/A"/>
    <s v="N/A"/>
    <s v="Jā"/>
    <s v="a un b"/>
    <s v="a un b"/>
    <s v="nezinu"/>
    <s v="tikai a"/>
    <s v="nezinu"/>
    <s v="nezinu"/>
    <s v="Lielākoties vienlīdzīgi"/>
    <s v="Lielākoties vienlīdzīgi"/>
    <s v="Vienlīdzīgi"/>
    <s v="Nezinu"/>
    <s v="Nezinu"/>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Neinteresē"/>
    <s v="Ne sevišķi"/>
    <s v="Neinteresē"/>
    <s v="не знаю"/>
    <s v="Nē"/>
    <s v="Jā"/>
    <s v="Jā"/>
    <s v="Jā"/>
    <s v="Jā"/>
    <s v="Nē"/>
    <s v="1.."/>
    <n v="65"/>
    <n v="45"/>
    <n v="56"/>
    <n v="80"/>
    <s v="Drīzāk saspīlētas"/>
    <s v="Mazliet saspīlētas"/>
    <s v="Nav saspīlētas"/>
    <s v="Nezinu"/>
    <s v="(Gandrīz) nekad"/>
    <s v="Nezinu"/>
    <s v="Nezinu"/>
    <s v="(Gandrīz) nekad"/>
    <s v="Nezinu"/>
    <s v="(Gandrīz) nekad"/>
    <s v="Nezinu"/>
    <s v="Nezinu"/>
    <s v="Reti"/>
    <s v="в магазине ,в очереди у кассы, когда общался с другом , паре пенсионеров не понравилось что мы говорили на русском рядом с ними"/>
    <s v="nē"/>
    <s v="N/A"/>
    <s v="N/A"/>
    <s v="N/A"/>
    <s v="N/A"/>
    <s v="N/A"/>
    <s v="N/A"/>
    <s v="N/A"/>
    <s v="Jā"/>
    <s v="N/A"/>
    <s v="N/A"/>
    <s v="N/A"/>
    <s v="Jā"/>
    <s v="(gandrīz) nekad"/>
    <s v="(gandrīz) katru dienu"/>
    <s v="(gandrīz) nekad"/>
    <s v="reizi nedēļā"/>
    <s v="(gandrīz) nekad"/>
    <s v="(gandrīz) nekad"/>
    <s v="(gandrīz) katru dienu"/>
    <s v="(gandrīz) katru dienu"/>
    <s v="pāris reižu nedēļā"/>
    <s v="(gandrīz) nekad"/>
    <s v="(gandrīz) katru dienu"/>
    <s v="(gandrīz) nekad"/>
    <s v="(gandrīz) katru dienu"/>
    <s v="pāris reižu nedēļā"/>
    <s v="varas līdzsvars starp parlamentu, prezidentu un tiesām, lai neviena no institūcijām nespētu sevī koncentrēt lielāko daļu varas"/>
    <s v="pilsoniskās brīvības (vārda brīvība, tiesības uz tiesisko aizsardzību)"/>
    <s v="vienlīdzīgas tiesības minoritātēm un ievainojamām sabiedrības grupām"/>
    <m/>
    <m/>
    <s v="citreiz labi, citreiz slikti"/>
    <s v="citreiz labi, citreiz slikti"/>
    <s v="ļoti labi"/>
    <s v="citreiz labi, citreiz slikti"/>
    <s v="slikti"/>
    <s v="Cita atbilde"/>
    <s v="не полное средние"/>
    <s v="N/A"/>
    <s v="N/A"/>
    <s v="N/A"/>
    <s v="Jā"/>
    <s v="latviešu"/>
    <m/>
    <s v="latviešu"/>
    <m/>
    <s v="Spēju ilgstoši sarunāties ar vienaudžiem / piedalīties darba pārrunās."/>
    <s v="Spēju uzrakstīt garāku sacerējumu / kursa darbu."/>
    <s v="Viegli saprotu televīzijas pārraides vai Youtube video par saviem hobijiem / 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Jā"/>
    <m/>
    <s v="Nē"/>
    <m/>
    <s v="Nē"/>
    <m/>
    <s v="Nē"/>
    <m/>
    <s v="Nē"/>
    <m/>
    <s v="Jā"/>
    <s v="Jā"/>
    <s v="Nē"/>
    <s v="Nē"/>
    <s v="Nē"/>
    <s v="Nē"/>
    <s v="Nē"/>
    <s v="Nē"/>
    <s v="Nē"/>
    <s v="Jā"/>
    <s v="Nē"/>
    <s v="Nē"/>
    <s v="Nē"/>
    <s v="Jā"/>
    <s v="Nē"/>
    <s v="Nē"/>
    <s v="Nē"/>
    <s v="Nē"/>
    <s v="Nē"/>
    <m/>
    <s v="Nē"/>
    <m/>
    <s v="Nē"/>
    <m/>
    <s v="Nē"/>
    <m/>
    <s v="Nē"/>
    <m/>
    <s v="Jā"/>
    <s v="Nē"/>
    <s v="Nē"/>
    <s v="Nē"/>
    <s v="Jā"/>
    <s v="Jā"/>
    <s v="Nē"/>
    <s v="Jā"/>
    <s v="Nē"/>
    <s v="Nē"/>
    <s v="Nē"/>
    <s v="Nē"/>
    <s v="Nē"/>
    <s v="Nē"/>
    <s v="Discord"/>
    <m/>
    <m/>
    <m/>
    <m/>
    <m/>
  </r>
  <r>
    <x v="1"/>
    <n v="192"/>
    <s v="2023-09-15 09:03:35"/>
    <n v="14"/>
    <s v="lv"/>
    <n v="357615941"/>
    <s v="2023-09-15 08:45:19"/>
    <s v="2023-09-15 09:03:35"/>
    <s v="putns"/>
    <n v="17"/>
    <s v="vīriešu"/>
    <m/>
    <x v="1"/>
    <x v="1"/>
    <x v="0"/>
    <x v="0"/>
    <x v="0"/>
    <x v="0"/>
    <s v="Kurzemē"/>
    <m/>
    <s v="pareizticīgo"/>
    <m/>
    <s v="Jā"/>
    <s v="Jā"/>
    <s v="Nē"/>
    <s v="Nē"/>
    <s v="Nē"/>
    <s v="Nē"/>
    <s v="Nē"/>
    <s v="Nē"/>
    <s v="Jā"/>
    <s v="Nē"/>
    <s v="Jā"/>
    <s v="Nē"/>
    <s v="Nē"/>
    <s v="Nē"/>
    <s v="Jā"/>
    <s v="Nē"/>
    <s v="Nē"/>
    <s v="Nē"/>
    <s v="Nē"/>
    <s v="Nē"/>
    <s v="Nē"/>
    <s v="Jā"/>
    <s v="Nē"/>
    <s v="Nē"/>
    <s v="Nē"/>
    <s v="Nē"/>
    <s v="Jā"/>
    <s v="Nē"/>
    <s v="a un b"/>
    <s v="nezinu"/>
    <s v="tikai a"/>
    <s v="a un b"/>
    <s v="tikai b"/>
    <s v="tikai a"/>
    <s v="Vienlīdzīgi"/>
    <s v="Nevienlīdzīgi"/>
    <s v="Vienlīdzīgi"/>
    <s v="Vienlīdzīgi"/>
    <s v="Lielākoties nevienlīdzīgi"/>
    <s v="nezinu"/>
    <s v="Jaunā Vienotība"/>
    <s v="Zaļo un Zemnieku savienība"/>
    <s v="Jaunā Vienotība"/>
    <s v="&quot;Latvija pirmajā vietā&quot;"/>
    <s v="Jaunā Vienotība"/>
    <s v="nezinu"/>
    <s v="Globālā sasilšana ir šķērsojusi robežu, pēc kuras nav iespējams atgriezties, un cilvēkiem būs jāpielāgojas."/>
    <s v="jā, lielāko daļu no tā, ko iespējams šķirot"/>
    <s v="Jaunā Vienotība"/>
    <s v="Nacionālā Apvienība"/>
    <s v="Zaļo un Zemnieku savienība"/>
    <s v="&quot;Apvienotais saraksts&quot;"/>
    <s v="Politiskā partija &quot;Stabilitātei&quot;"/>
    <s v="&quot;Latvija pirmajā vietā&quot;"/>
    <s v="&quot;Progresīvie&quot;"/>
    <s v="&quot;Apvienotais saraksts&quot;"/>
    <s v="Politiskā partija &quot;Stabilitātei&quot;"/>
    <s v="&quot;Latvija pirmajā vietā&quot;"/>
    <s v="Zaļo un Zemnieku savienība"/>
    <s v="Jaunā Vienotība"/>
    <s v="Nacionālā Apvienība"/>
    <s v="&quot;Progresīvie&quot;"/>
    <s v="Viduvēji"/>
    <s v="Viduvēji"/>
    <s v="Ārkārtīgi"/>
    <s v="Ārkārtīgi"/>
    <s v="nezinu"/>
    <s v="Jā"/>
    <s v="Nē"/>
    <s v="Nē"/>
    <s v="Jā"/>
    <s v="Nē"/>
    <s v="Jā"/>
    <s v="2.."/>
    <n v="68"/>
    <n v="50"/>
    <m/>
    <m/>
    <s v="Nav saspīlētas"/>
    <s v="Nav saspīlētas"/>
    <s v="Drīzāk saspīlētas"/>
    <s v="(Gandrīz) nekad"/>
    <s v="(Gandrīz) nekad"/>
    <s v="(Gandrīz) nekad"/>
    <s v="(Gandrīz) nekad"/>
    <s v="(Gandrīz) nekad"/>
    <m/>
    <m/>
    <m/>
    <m/>
    <m/>
    <m/>
    <s v="nē"/>
    <s v="N/A"/>
    <s v="N/A"/>
    <s v="N/A"/>
    <s v="N/A"/>
    <s v="N/A"/>
    <s v="N/A"/>
    <s v="N/A"/>
    <s v="Jā"/>
    <s v="N/A"/>
    <s v="N/A"/>
    <s v="N/A"/>
    <s v="Jā"/>
    <s v="(gandrīz) katru dienu"/>
    <s v="(gandrīz) katru dienu"/>
    <s v="(gandrīz) katru dienu"/>
    <s v="(gandrīz) katru dienu"/>
    <s v="(gandrīz) katru dienu"/>
    <s v="(gandrīz) katru dienu"/>
    <s v="(gandrīz) katru dienu"/>
    <s v="(gandrīz) nekad"/>
    <s v="pāris reižu nedēļā"/>
    <s v="(gandrīz) katru dienu"/>
    <s v="(gandrīz) nekad"/>
    <s v="(gandrīz) nekad"/>
    <s v="(gandrīz) nekad"/>
    <s v="(gandrīz) nekad"/>
    <s v="brīvas vēlēšanas un plurālisms"/>
    <s v="pilsoniskās brīvības (vārda brīvība, tiesības uz tiesisko aizsardzību)"/>
    <s v="vienlīdzīgas tiesības minoritātēm un ievainojamām sabiedrības grupām"/>
    <m/>
    <m/>
    <s v="slikti"/>
    <s v="citreiz labi, citreiz slikti"/>
    <s v="ļoti labi"/>
    <s v="ļoti labi"/>
    <s v="ļoti labi"/>
    <s v="universitātes līmeni: bakalauru"/>
    <m/>
    <s v="N/A"/>
    <s v="N/A"/>
    <s v="N/A"/>
    <s v="Jā"/>
    <s v="latviešu"/>
    <m/>
    <s v="latviešu"/>
    <m/>
    <s v="Spēju ilgstoši sarunāties ar vienaudžiem / piedalīties darba pārrunās."/>
    <s v="{if(is_empty(tongueLAT_SQ001.NAOK), 'latviski','krieviski')} nemāku rakstīt."/>
    <s v="Viegli saprotu radio programmas / podkāstus par saviem hobijiem / darbības sfēru."/>
    <s v="Es neko nespēju izlasīt {if(is_empty(tongueLAT_SQ001.NAOK), 'latviski','krieviski')}."/>
    <m/>
    <m/>
    <m/>
    <m/>
    <m/>
    <m/>
    <m/>
    <m/>
    <m/>
    <m/>
    <m/>
    <m/>
    <m/>
    <m/>
    <m/>
    <m/>
    <m/>
    <s v="N/A"/>
    <s v="N/A"/>
    <s v="N/A"/>
    <s v="N/A"/>
    <s v="N/A"/>
    <s v="N/A"/>
    <m/>
    <m/>
    <m/>
    <m/>
    <m/>
    <s v="Nē"/>
    <s v="Nē"/>
    <s v="Jā"/>
    <s v="Nē"/>
    <s v="Nē"/>
    <s v="Nē"/>
    <s v="Nē"/>
    <s v="Nē"/>
    <s v="Nē"/>
    <s v="Nē"/>
    <s v="Nē"/>
    <s v="Jā"/>
    <s v="Nē"/>
    <s v="Nē"/>
    <s v="Nē"/>
    <s v="Nē"/>
    <m/>
    <s v="Nē"/>
    <m/>
    <s v="Nē"/>
    <m/>
    <s v="Nē"/>
    <m/>
    <s v="Nē"/>
    <m/>
    <s v="Jā"/>
    <s v="Nē"/>
    <s v="Nē"/>
    <s v="Nē"/>
    <s v="Nē"/>
    <s v="Nē"/>
    <s v="Nē"/>
    <s v="Nē"/>
    <s v="Nē"/>
    <s v="Nē"/>
    <s v="Nē"/>
    <s v="Nē"/>
    <s v="Jā"/>
    <s v="Nē"/>
    <s v="Nē"/>
    <s v="Nē"/>
    <s v="Jā"/>
    <s v="Nē"/>
    <s v="Nē"/>
    <m/>
    <s v="Nē"/>
    <m/>
    <s v="Nē"/>
    <m/>
    <s v="Nē"/>
    <m/>
    <s v="Nē"/>
    <m/>
    <s v="Jā"/>
    <s v="Jā"/>
    <s v="Nē"/>
    <s v="Nē"/>
    <s v="Jā"/>
    <s v="Nē"/>
    <s v="Nē"/>
    <s v="Nē"/>
    <s v="Jā"/>
    <s v="Nē"/>
    <s v="Jā"/>
    <s v="Nē"/>
    <s v="Jā"/>
    <s v="Nē"/>
    <m/>
    <m/>
    <m/>
    <m/>
    <m/>
    <m/>
  </r>
  <r>
    <x v="1"/>
    <n v="193"/>
    <s v="2023-09-15 08:58:38"/>
    <n v="14"/>
    <s v="lv"/>
    <n v="849616456"/>
    <s v="2023-09-15 08:46:05"/>
    <s v="2023-09-15 08:58:38"/>
    <s v="putns"/>
    <n v="17"/>
    <s v="vīriešu"/>
    <m/>
    <x v="1"/>
    <x v="1"/>
    <x v="0"/>
    <x v="0"/>
    <x v="0"/>
    <x v="0"/>
    <s v="Kurzemē"/>
    <m/>
    <s v="pareizticīgo"/>
    <m/>
    <s v="Nē"/>
    <s v="Jā"/>
    <s v="Nē"/>
    <s v="Nē"/>
    <s v="Nē"/>
    <s v="Nē"/>
    <s v="Nē"/>
    <s v="Jā"/>
    <s v="Nē"/>
    <s v="Nē"/>
    <s v="Nē"/>
    <s v="Nē"/>
    <s v="Nē"/>
    <s v="Nē"/>
    <s v="Nē"/>
    <s v="Nē"/>
    <s v="Nē"/>
    <s v="Jā"/>
    <s v="Nē"/>
    <s v="Nē"/>
    <s v="Nē"/>
    <s v="Jā"/>
    <s v="Nē"/>
    <s v="Nē"/>
    <s v="Nē"/>
    <s v="Nē"/>
    <s v="Nē"/>
    <s v="Nē"/>
    <s v="nezinu"/>
    <s v="nezinu"/>
    <s v="nezinu"/>
    <s v="nezinu"/>
    <s v="nezinu"/>
    <s v="nezinu"/>
    <s v="Vienlīdzīgi"/>
    <s v="Nevienlīdzīgi"/>
    <s v="Vienlīdzīgi"/>
    <s v="Vienlīdzīgi"/>
    <s v="Vienlīdzīgi"/>
    <s v="Jaunā Vienotība"/>
    <s v="nezinu"/>
    <s v="nezinu"/>
    <s v="nezinu"/>
    <s v="nezinu"/>
    <s v="nezinu"/>
    <s v="nezinu"/>
    <s v="Reizēm ekonomiskā un valsts stabilitāte varētu nozīmēt, ka atsevišķi ekoloģiskās politikas aspekti ir uz brīdi jāiepauzē."/>
    <s v="jā, visu, ko iespējams šķirot"/>
    <s v="nezinu"/>
    <s v="nezinu"/>
    <s v="nezinu"/>
    <s v="nezinu"/>
    <s v="nezinu"/>
    <s v="nezinu"/>
    <s v="nezinu"/>
    <s v="nezinu"/>
    <s v="nezinu"/>
    <s v="nezinu"/>
    <s v="nezinu"/>
    <s v="nezinu"/>
    <s v="nezinu"/>
    <s v="nezinu"/>
    <s v="Neinteresē"/>
    <s v="Neinteresē"/>
    <s v="Neinteresē"/>
    <s v="Neinteresē"/>
    <s v="Nezinu"/>
    <s v="Nē"/>
    <s v="Jā"/>
    <s v="Nē"/>
    <s v="Nē"/>
    <s v="Nē"/>
    <s v="Nē"/>
    <s v="1.."/>
    <n v="100"/>
    <n v="100"/>
    <m/>
    <m/>
    <s v="Es nezinu"/>
    <s v="Es nezinu"/>
    <s v="Nav saspīlētas"/>
    <s v="(Gandrīz) nekad"/>
    <s v="(Gandrīz) nekad"/>
    <s v="(Gandrīz) nekad"/>
    <s v="(Gandrīz) nekad"/>
    <s v="(Gandrīz) nekad"/>
    <m/>
    <m/>
    <m/>
    <m/>
    <m/>
    <m/>
    <s v="nē"/>
    <s v="N/A"/>
    <s v="N/A"/>
    <s v="N/A"/>
    <s v="N/A"/>
    <s v="N/A"/>
    <s v="N/A"/>
    <s v="N/A"/>
    <s v="Jā"/>
    <s v="N/A"/>
    <s v="N/A"/>
    <s v="N/A"/>
    <s v="Jā"/>
    <s v="(gandrīz) nekad"/>
    <s v="(gandrīz) nekad"/>
    <s v="(gandrīz) nekad"/>
    <s v="(gandrīz) nekad"/>
    <s v="(gandrīz) nekad"/>
    <s v="(gandrīz) nekad"/>
    <s v="(gandrīz) nekad"/>
    <s v="(gandrīz) nekad"/>
    <s v="(gandrīz) nekad"/>
    <s v="(gandrīz) nekad"/>
    <s v="(gandrīz) nekad"/>
    <s v="(gandrīz) nekad"/>
    <s v="(gandrīz) nekad"/>
    <s v="(gandrīz) nekad"/>
    <s v="brīvas vēlēšanas un plurālisms"/>
    <s v="vienlīdz pieejama izglītība, veselības aprūpe, sociālais nodrošinājums"/>
    <s v="varas līdzsvars starp parlamentu, prezidentu un tiesām, lai neviena no institūcijām nespētu sevī koncentrēt lielāko daļu varas"/>
    <m/>
    <m/>
    <s v="nezinu"/>
    <s v="nezinu"/>
    <s v="nezinu"/>
    <s v="nezinu"/>
    <s v="nezinu"/>
    <s v="Universitātes līmeni: doktora grād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Nē"/>
    <s v="Nē"/>
    <s v="Nē"/>
    <s v="Nē"/>
    <s v="Nē"/>
    <s v="Nē"/>
    <s v="Nē"/>
    <s v="Nē"/>
    <s v="Nē"/>
    <s v="Nē"/>
    <s v="Nē"/>
    <s v="Jā"/>
    <m/>
    <m/>
    <m/>
    <m/>
    <m/>
    <m/>
  </r>
  <r>
    <x v="1"/>
    <n v="195"/>
    <s v="2023-09-15 09:03:18"/>
    <n v="14"/>
    <s v="ru"/>
    <n v="1876053566"/>
    <s v="2023-09-15 08:47:37"/>
    <s v="2023-09-15 09:03:18"/>
    <s v="столб"/>
    <n v="17"/>
    <s v="vīriešu"/>
    <m/>
    <x v="1"/>
    <x v="0"/>
    <x v="0"/>
    <x v="0"/>
    <x v="0"/>
    <x v="0"/>
    <s v="Kurzemē"/>
    <m/>
    <s v="ateistu(ti), nereliģiozu"/>
    <m/>
    <s v="Nē"/>
    <s v="Nē"/>
    <s v="Nē"/>
    <s v="Nē"/>
    <s v="Jā"/>
    <s v="Nē"/>
    <s v="Nē"/>
    <s v="Jā"/>
    <s v="Jā"/>
    <s v="Nē"/>
    <s v="Nē"/>
    <s v="Nē"/>
    <s v="Nē"/>
    <s v="Nē"/>
    <s v="Nē"/>
    <s v="Nē"/>
    <s v="Nē"/>
    <s v="Nē"/>
    <s v="Jā"/>
    <s v="Jā"/>
    <s v="Nē"/>
    <s v="Nē"/>
    <s v="Nē"/>
    <s v="Nē"/>
    <s v="Nē"/>
    <s v="Jā"/>
    <s v="Nē"/>
    <s v="Nē"/>
    <s v="tikai a"/>
    <s v="tikai a"/>
    <s v="ne a, ne b"/>
    <s v="tikai b"/>
    <s v="tikai a"/>
    <s v="tikai b"/>
    <s v="Vienlīdzīgi"/>
    <s v="Vienlīdzīgi"/>
    <s v="Vienlīdzīgi"/>
    <s v="Lielākoties vienlīdzīgi"/>
    <s v="Vienlīdzīgi"/>
    <s v="Politiskā partija &quot;Stabilitātei&quot;"/>
    <s v="Nacionālā Apvienība"/>
    <s v="&quot;Apvienotais saraksts&quot;"/>
    <s v="Zaļo un Zemnieku savienība"/>
    <s v="&quot;Latvija pirmajā vietā&quot;"/>
    <s v="&quot;Apvienotais saraksts&quot;"/>
    <s v="Politiskā partija &quot;Stabilitātei&quot;"/>
    <s v="Klimata pārmaiņas – tas ir ciklisks un dabisks process."/>
    <s v="nē"/>
    <s v="Nacionālā Apvienība"/>
    <s v="&quot;Progresīvie&quot;"/>
    <s v="&quot;Apvienotais saraksts&quot;"/>
    <s v="Politiskā partija &quot;Stabilitātei&quot;"/>
    <s v="&quot;Progresīvie&quot;"/>
    <s v="Nacionālā Apvienība"/>
    <s v="Zaļo un Zemnieku savienība"/>
    <s v="Jaunā Vienotība"/>
    <s v="Jaunā Vienotība"/>
    <s v="&quot;Latvija pirmajā vietā&quot;"/>
    <s v="Nacionālā Apvienība"/>
    <s v="Zaļo un Zemnieku savienība"/>
    <s v="Politiskā partija &quot;Stabilitātei&quot;"/>
    <s v="Nacionālā Apvienība"/>
    <s v="Ļoti"/>
    <s v="Neinteresē"/>
    <s v="Ļoti"/>
    <s v="Neinteresē"/>
    <s v="Человек пытается поднять свой авторитет в глазах большинства используя современные тренды"/>
    <s v="Nē"/>
    <s v="Nē"/>
    <s v="Nē"/>
    <s v="Nē"/>
    <s v="Jā"/>
    <s v="Nē"/>
    <s v="1.."/>
    <n v="1"/>
    <n v="81"/>
    <n v="100"/>
    <n v="90"/>
    <s v="Mazliet saspīlētas"/>
    <s v="Nav saspīlētas"/>
    <s v="Nav saspīlētas"/>
    <s v="(Gandrīz) nekad"/>
    <s v="(Gandrīz) nekad"/>
    <s v="(Gandrīz) nekad"/>
    <s v="(Gandrīz) nekad"/>
    <s v="(Gandrīz) nekad"/>
    <s v="Reti"/>
    <s v="Dažreiz"/>
    <s v="Reti"/>
    <s v="Dažreiz"/>
    <s v="Dažreiz"/>
    <m/>
    <s v="nē"/>
    <s v="N/A"/>
    <s v="N/A"/>
    <s v="N/A"/>
    <s v="N/A"/>
    <s v="Nē"/>
    <s v="Nē"/>
    <s v="Jā"/>
    <s v="Nē"/>
    <s v="N/A"/>
    <s v="N/A"/>
    <s v="N/A"/>
    <s v="Jā"/>
    <s v="(gandrīz) nekad"/>
    <s v="(gandrīz) katru dienu"/>
    <s v="reizi nedēļā"/>
    <s v="(gandrīz) nekad"/>
    <s v="(gandrīz) nekad"/>
    <s v="(gandrīz) nekad"/>
    <s v="pāris reižu nedēļā"/>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aras līdzsvars starp parlamentu, prezidentu un tiesām, lai neviena no institūcijām nespētu sevī koncentrēt lielāko daļu varas"/>
    <m/>
    <m/>
    <s v="slikti"/>
    <s v="slikti"/>
    <s v="slikti"/>
    <s v="citreiz labi, citreiz slikti"/>
    <s v="slikti"/>
    <s v="Arodskolu / profesionālo 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Nē"/>
    <s v="Новостные телеграм каналы которые не собираются поддерживать какую либо власть, нет ин ереса смоетрть латышей или русских, которые другтна лруга тявкают"/>
    <s v="Nē"/>
    <m/>
    <s v="Nē"/>
    <m/>
    <s v="Jā"/>
    <s v="Форумы, телеграм каналы"/>
    <s v="Nē"/>
    <m/>
    <s v="Jā"/>
    <s v="Nē"/>
    <s v="Jā"/>
    <s v="Nē"/>
    <s v="Jā"/>
    <s v="Jā"/>
    <s v="Nē"/>
    <s v="Jā"/>
    <s v="Nē"/>
    <s v="Nē"/>
    <s v="Nē"/>
    <s v="Nē"/>
    <s v="Jā"/>
    <s v="Nē"/>
    <m/>
    <m/>
    <m/>
    <m/>
    <m/>
    <m/>
  </r>
  <r>
    <x v="1"/>
    <n v="197"/>
    <s v="2023-09-15 11:55:49"/>
    <n v="14"/>
    <s v="lv"/>
    <n v="106073575"/>
    <s v="2023-09-15 11:31:38"/>
    <s v="2023-09-15 11:55:49"/>
    <s v="siers"/>
    <n v="17"/>
    <s v="sieviešu"/>
    <m/>
    <x v="1"/>
    <x v="1"/>
    <x v="0"/>
    <x v="1"/>
    <x v="0"/>
    <x v="0"/>
    <s v="Kurzemē"/>
    <m/>
    <s v="ateistu(ti), nereliģiozu"/>
    <m/>
    <s v="Jā"/>
    <s v="Jā"/>
    <s v="Nē"/>
    <s v="Nē"/>
    <s v="Nē"/>
    <s v="Nē"/>
    <s v="Nē"/>
    <s v="Nē"/>
    <s v="Nē"/>
    <s v="Nē"/>
    <s v="Nē"/>
    <s v="Nē"/>
    <s v="Jā"/>
    <s v="Nē"/>
    <s v="Jā"/>
    <s v="Nē"/>
    <s v="Nē"/>
    <s v="Nē"/>
    <s v="Nē"/>
    <s v="Nē"/>
    <s v="Nē"/>
    <s v="Nē"/>
    <s v="Jā"/>
    <s v="Jā"/>
    <s v="Nē"/>
    <s v="Jā"/>
    <s v="Nē"/>
    <s v="Nē"/>
    <s v="nezinu"/>
    <s v="a un b"/>
    <s v="nezinu"/>
    <s v="tikai a"/>
    <s v="a un b"/>
    <s v="tikai a"/>
    <s v="Lielākoties vienlīdzīgi"/>
    <s v="Vienlīdzīgi"/>
    <s v="Vienlīdzīgi"/>
    <s v="Vienlīdzīgi"/>
    <s v="Vienlīdzīgi"/>
    <s v="Jaunā Vienotība"/>
    <s v="Nacionālā Apvienība"/>
    <s v="nezinu"/>
    <s v="Zaļo un Zemnieku savienība"/>
    <s v="&quot;Progresīvie&quot;"/>
    <s v="nezinu"/>
    <s v="nezinu"/>
    <s v="Reizēm ekonomiskā un valsts stabilitāte varētu nozīmēt, ka atsevišķi ekoloģiskās politikas aspekti ir uz brīdi jāiepauzē."/>
    <s v="jā, visu, ko iespējams šķirot"/>
    <s v="Politiskā partija &quot;Stabilitātei&quot;"/>
    <s v="nezinu"/>
    <s v="&quot;Progresīvie&quot;"/>
    <s v="nezinu"/>
    <s v="Jaunā Vienotība"/>
    <s v="Zaļo un Zemnieku savienība"/>
    <s v="&quot;Latvija pirmajā vietā&quot;"/>
    <s v="&quot;Apvienotais saraksts&quot;"/>
    <s v="Nacionālā Apvienība"/>
    <s v="Jaunā Vienotība"/>
    <s v="nezinu"/>
    <s v="&quot;Progresīvie&quot;"/>
    <s v="Politiskā partija &quot;Stabilitātei&quot;"/>
    <s v="&quot;Latvija pirmajā vietā&quot;"/>
    <s v="Viduvēji"/>
    <s v="Viduvēji"/>
    <s v="Neinteresē"/>
    <s v="Ārkārtīgi"/>
    <s v="Vēlami, bet neiespējami piepildāmi solījumi, kuri gūst masveida atbalstu"/>
    <s v="Nē"/>
    <s v="Nē"/>
    <s v="Nē"/>
    <s v="Nē"/>
    <s v="Jā"/>
    <s v="Nē"/>
    <s v="1.."/>
    <n v="40"/>
    <n v="70"/>
    <m/>
    <m/>
    <s v="Drīzāk saspīlētas"/>
    <s v="Mazliet saspīlētas"/>
    <s v="Mazliet saspīlētas"/>
    <s v="Reti"/>
    <s v="(Gandrīz) nekad"/>
    <s v="(Gandrīz) nekad"/>
    <s v="(Gandrīz) nekad"/>
    <s v="(Gandrīz) nekad"/>
    <m/>
    <m/>
    <m/>
    <m/>
    <m/>
    <s v="Strādājot klientu apkalpošanas sfērā ir cilvēki, kas skatās nicinoši, jo nezinu krievu valodu un piedāvāju runāt angliski/latviski, vai cenšos saprast ko viņi saka"/>
    <s v="jā, privāta darba devēja labā"/>
    <s v="N/A"/>
    <s v="N/A"/>
    <s v="N/A"/>
    <s v="Jā"/>
    <s v="N/A"/>
    <s v="N/A"/>
    <s v="N/A"/>
    <s v="Jā"/>
    <s v="N/A"/>
    <s v="N/A"/>
    <s v="N/A"/>
    <s v="Jā"/>
    <s v="pāris reižu mēnesī"/>
    <s v="pāris reižu mēnesī"/>
    <s v="pāris reižu mēnesī"/>
    <s v="pāris reižu mēnesī"/>
    <s v="pāris reižu mēnesī"/>
    <s v="pāris reižu mēnesī"/>
    <s v="pāris reižu mēnesī"/>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ienlīdzīgas tiesības minoritātēm un ievainojamām sabiedrības grupām"/>
    <m/>
    <m/>
    <s v="labi"/>
    <s v="citreiz labi, citreiz slikti"/>
    <s v="labi"/>
    <s v="citreiz labi, citreiz slikti"/>
    <s v="citreiz labi, citreiz slikti"/>
    <s v="pamatizglītību"/>
    <m/>
    <s v="N/A"/>
    <s v="N/A"/>
    <s v="N/A"/>
    <s v="Jā"/>
    <s v="latviešu"/>
    <m/>
    <s v="latviešu"/>
    <m/>
    <s v="{if(is_empty(tongueLAT_SQ001.NAOK), 'latviski','krieviski')} nerunāju it nemaz."/>
    <s v="Spēju uzrakstīt vēstuli draugam."/>
    <s v="Saprotu norādes, kur iet."/>
    <s v="{if(is_empty(tongueLAT_SQ001.NAOK), 'latviski','krieviski')} spēju izlasīt ēdienkarti restorānā."/>
    <m/>
    <m/>
    <m/>
    <m/>
    <m/>
    <m/>
    <m/>
    <m/>
    <m/>
    <m/>
    <m/>
    <m/>
    <m/>
    <m/>
    <m/>
    <m/>
    <m/>
    <s v="N/A"/>
    <s v="N/A"/>
    <s v="N/A"/>
    <s v="N/A"/>
    <s v="N/A"/>
    <s v="N/A"/>
    <m/>
    <m/>
    <m/>
    <m/>
    <m/>
    <s v="Nē"/>
    <s v="Nē"/>
    <s v="Nē"/>
    <s v="Nē"/>
    <s v="Nē"/>
    <s v="Nē"/>
    <s v="Nē"/>
    <s v="Nē"/>
    <s v="Nē"/>
    <s v="Nē"/>
    <s v="Nē"/>
    <s v="Nē"/>
    <s v="Nē"/>
    <s v="Nē"/>
    <s v="Nē"/>
    <s v="Nē"/>
    <s v="Tv neskatos"/>
    <s v="Nē"/>
    <m/>
    <s v="Nē"/>
    <m/>
    <s v="Nē"/>
    <m/>
    <s v="Nē"/>
    <m/>
    <s v="Nē"/>
    <s v="Nē"/>
    <s v="Nē"/>
    <s v="Nē"/>
    <s v="Nē"/>
    <s v="Nē"/>
    <s v="Nē"/>
    <s v="Nē"/>
    <s v="Nē"/>
    <s v="Nē"/>
    <s v="Nē"/>
    <s v="Nē"/>
    <s v="Nē"/>
    <s v="Nē"/>
    <s v="Nē"/>
    <s v="Nē"/>
    <s v="Nē"/>
    <s v="Nē"/>
    <s v="Jā"/>
    <m/>
    <s v="Nē"/>
    <m/>
    <s v="Nē"/>
    <m/>
    <s v="Nē"/>
    <m/>
    <s v="Nē"/>
    <m/>
    <s v="Jā"/>
    <s v="Jā"/>
    <s v="Nē"/>
    <s v="Nē"/>
    <s v="Nē"/>
    <s v="Jā"/>
    <s v="Nē"/>
    <s v="Jā"/>
    <s v="Nē"/>
    <s v="Nē"/>
    <s v="Nē"/>
    <s v="Nē"/>
    <s v="Jā"/>
    <s v="Nē"/>
    <m/>
    <m/>
    <m/>
    <m/>
    <m/>
    <m/>
  </r>
  <r>
    <x v="1"/>
    <n v="198"/>
    <s v="2023-09-15 11:50:44"/>
    <n v="14"/>
    <s v="lv"/>
    <n v="447539026"/>
    <s v="2023-09-15 11:31:40"/>
    <s v="2023-09-15 11:50:44"/>
    <s v="siers"/>
    <n v="17"/>
    <s v="sieviešu"/>
    <m/>
    <x v="1"/>
    <x v="1"/>
    <x v="0"/>
    <x v="0"/>
    <x v="0"/>
    <x v="0"/>
    <s v="Kurzemē"/>
    <m/>
    <s v="pareizticīgo"/>
    <m/>
    <s v="Jā"/>
    <s v="Nē"/>
    <s v="Jā"/>
    <s v="Nē"/>
    <s v="Nē"/>
    <s v="Nē"/>
    <s v="Nē"/>
    <s v="Nē"/>
    <s v="Jā"/>
    <s v="Nē"/>
    <s v="Nē"/>
    <s v="Jā"/>
    <s v="Nē"/>
    <s v="Nē"/>
    <s v="Nē"/>
    <s v="Nē"/>
    <s v="Jā"/>
    <s v="Nē"/>
    <s v="Nē"/>
    <s v="Jā"/>
    <s v="Nē"/>
    <s v="Jā"/>
    <s v="Nē"/>
    <s v="Jā"/>
    <s v="Nē"/>
    <s v="Jā"/>
    <s v="Nē"/>
    <s v="Nē"/>
    <s v="tikai a"/>
    <s v="a un b"/>
    <s v="a un b"/>
    <s v="tikai b"/>
    <s v="tikai a"/>
    <s v="tikai a"/>
    <s v="Vienlīdzīgi"/>
    <s v="Nevienlīdzīgi"/>
    <s v="Lielākoties vienlīdzīgi"/>
    <s v="Nezinu"/>
    <s v="Nevienlīdzīgi"/>
    <s v="Jaunā Vienotība"/>
    <s v="&quot;Progresīvie&quot;"/>
    <s v="&quot;Apvienotais saraksts&quot;"/>
    <s v="&quot;Latvija pirmajā vietā&quot;"/>
    <s v="Nacionālā Apvienība"/>
    <s v="&quot;Progresīvie&quot;"/>
    <s v="nezinu"/>
    <s v="Cīņai ar klimata pārmaiņām būtu jābūt vairumam pasaules valstu galvenajai prioritātei."/>
    <s v="jā, daļu no tā, ko iespējams šķirot"/>
    <s v="Jaunā Vienotība"/>
    <s v="Nacionālā Apvienība"/>
    <s v="&quot;Latvija pirmajā vietā&quot;"/>
    <s v="Politiskā partija &quot;Stabilitātei&quot;"/>
    <s v="nezinu"/>
    <s v="Politiskā partija &quot;Stabilitātei&quot;"/>
    <s v="nezinu"/>
    <s v="Jaunā Vienotība"/>
    <s v="Nacionālā Apvienība"/>
    <s v="Zaļo un Zemnieku savienība"/>
    <s v="&quot;Latvija pirmajā vietā&quot;"/>
    <s v="Politiskā partija &quot;Stabilitātei&quot;"/>
    <s v="&quot;Latvija pirmajā vietā&quot;"/>
    <s v="&quot;Progresīvie&quot;"/>
    <s v="Ne sevišķi"/>
    <s v="Neinteresē"/>
    <s v="Viduvēji"/>
    <s v="Ļoti"/>
    <s v="nezinu"/>
    <s v="Nē"/>
    <s v="Nē"/>
    <s v="Jā"/>
    <s v="Jā"/>
    <s v="Jā"/>
    <s v="Nē"/>
    <s v="2.."/>
    <n v="100"/>
    <n v="100"/>
    <m/>
    <m/>
    <s v="Mazliet saspīlētas"/>
    <s v="Drīzāk saspīlētas"/>
    <s v="Mazliet saspīlētas"/>
    <s v="Dažreiz"/>
    <s v="Bieži"/>
    <s v="(Gandrīz) nekad"/>
    <s v="Nezinu"/>
    <s v="Bieži"/>
    <m/>
    <m/>
    <m/>
    <m/>
    <m/>
    <s v="Veikalā un skolā ir gadījies tā, ka runāju latviski, bet krievvalodīgie nesprot"/>
    <s v="nē"/>
    <s v="N/A"/>
    <s v="N/A"/>
    <s v="N/A"/>
    <s v="N/A"/>
    <s v="N/A"/>
    <s v="N/A"/>
    <s v="N/A"/>
    <s v="Jā"/>
    <s v="Nē"/>
    <s v="Nē"/>
    <s v="Jā"/>
    <s v="Nē"/>
    <s v="(gandrīz) katru dienu"/>
    <s v="(gandrīz) katru dienu"/>
    <s v="(gandrīz) katru dienu"/>
    <s v="(gandrīz) katru dienu"/>
    <s v="(gandrīz) katru dienu"/>
    <s v="(gandrīz) katru dienu"/>
    <s v="(gandrīz) katru dienu"/>
    <s v="(gandrīz) nekad"/>
    <s v="reizi nedēļā"/>
    <s v="(gandrīz) nekad"/>
    <s v="pāris reižu nedēļā"/>
    <s v="(gandrīz) nekad"/>
    <s v="(gandrīz) nekad"/>
    <s v="pāris reižu mēnesī"/>
    <s v="brīvas vēlēšanas un plurālisms"/>
    <s v="vienlīdz pieejama izglītība, veselības aprūpe, sociālais nodrošinājums"/>
    <s v="pilsoniskās brīvības (vārda brīvība, tiesības uz tiesisko aizsardzību)"/>
    <m/>
    <m/>
    <s v="labi"/>
    <s v="labi"/>
    <s v="ļoti labi"/>
    <s v="citreiz labi, citreiz slikti"/>
    <s v="labi"/>
    <s v="pamatizglītību"/>
    <m/>
    <s v="N/A"/>
    <s v="N/A"/>
    <s v="N/A"/>
    <s v="Jā"/>
    <s v="latviešu"/>
    <m/>
    <s v="latviešu"/>
    <m/>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Nē"/>
    <s v="Jā"/>
    <s v="Nē"/>
    <s v="Nē"/>
    <s v="Nē"/>
    <s v="Nē"/>
    <s v="Nē"/>
    <s v="Nē"/>
    <s v="Nē"/>
    <s v="Nē"/>
    <s v="Nē"/>
    <s v="Nē"/>
    <s v="Nē"/>
    <s v="Nē"/>
    <m/>
    <s v="Jā"/>
    <s v="TV3"/>
    <s v="Nē"/>
    <m/>
    <s v="Nē"/>
    <m/>
    <s v="Nē"/>
    <m/>
    <s v="Nē"/>
    <s v="Nē"/>
    <s v="Nē"/>
    <s v="Nē"/>
    <s v="Nē"/>
    <s v="Nē"/>
    <s v="Nē"/>
    <s v="Nē"/>
    <s v="Nē"/>
    <s v="Nē"/>
    <s v="Nē"/>
    <s v="Nē"/>
    <s v="Nē"/>
    <s v="Nē"/>
    <s v="Nē"/>
    <s v="Nē"/>
    <s v="Nē"/>
    <s v="Nē"/>
    <s v="Jā"/>
    <m/>
    <s v="Nē"/>
    <m/>
    <s v="Nē"/>
    <m/>
    <s v="Nē"/>
    <m/>
    <s v="Nē"/>
    <m/>
    <s v="Jā"/>
    <s v="Nē"/>
    <s v="Nē"/>
    <s v="Nē"/>
    <s v="Jā"/>
    <s v="Nē"/>
    <s v="Nē"/>
    <s v="Jā"/>
    <s v="Nē"/>
    <s v="Nē"/>
    <s v="Nē"/>
    <s v="Nē"/>
    <s v="Jā"/>
    <s v="Nē"/>
    <m/>
    <m/>
    <m/>
    <m/>
    <m/>
    <m/>
  </r>
  <r>
    <x v="1"/>
    <n v="199"/>
    <s v="2023-09-15 11:53:08"/>
    <n v="14"/>
    <s v="lv"/>
    <n v="1254056029"/>
    <s v="2023-09-15 11:31:45"/>
    <s v="2023-09-15 11:53:08"/>
    <s v="siers"/>
    <n v="17"/>
    <s v="sieviešu"/>
    <m/>
    <x v="1"/>
    <x v="0"/>
    <x v="0"/>
    <x v="0"/>
    <x v="0"/>
    <x v="0"/>
    <s v="Kurzemē"/>
    <m/>
    <s v="Cita atbilde"/>
    <s v="Nepiederu ne vienam"/>
    <s v="Nē"/>
    <s v="Jā"/>
    <s v="Nē"/>
    <s v="Nē"/>
    <s v="Nē"/>
    <s v="Nē"/>
    <s v="Nē"/>
    <s v="Jā"/>
    <s v="Nē"/>
    <s v="Nē"/>
    <s v="Nē"/>
    <s v="Nē"/>
    <s v="Jā"/>
    <s v="Nē"/>
    <s v="Jā"/>
    <s v="Nē"/>
    <s v="Nē"/>
    <s v="Nē"/>
    <s v="Nē"/>
    <s v="Nē"/>
    <s v="Nē"/>
    <s v="Jā"/>
    <s v="Nē"/>
    <s v="Nē"/>
    <s v="Jā"/>
    <s v="Nē"/>
    <s v="Nē"/>
    <s v="Nē"/>
    <s v="ne a, ne b"/>
    <s v="tikai b"/>
    <s v="ne a, ne b"/>
    <s v="tikai b"/>
    <s v="tikai a"/>
    <s v="tikai a"/>
    <s v="Lielākoties vienlīdzīgi"/>
    <s v="Lielākoties nevienlīdzīgi"/>
    <s v="Lielākoties vienlīdzīgi"/>
    <s v="Lielākoties vienlīdzīgi"/>
    <s v="Lielākoties nevienlīdzīgi"/>
    <s v="nezinu"/>
    <s v="Politiskā partija &quot;Stabilitātei&quot;"/>
    <s v="Jaunā Vienotība"/>
    <s v="nezinu"/>
    <s v="Nacionālā Apvienība"/>
    <s v="nezinu"/>
    <s v="nezinu"/>
    <s v="Cīņai ar klimata pārmaiņām būtu jābūt vairumam pasaules valstu galvenajai prioritātei."/>
    <s v="jā, daļu no tā, ko iespējams šķirot"/>
    <s v="nezinu"/>
    <s v="nezinu"/>
    <s v="Zaļo un Zemnieku savienība"/>
    <s v="nezinu"/>
    <s v="nezinu"/>
    <s v="Zaļo un Zemnieku savienība"/>
    <s v="Nacionālā Apvienība"/>
    <s v="nezinu"/>
    <s v="&quot;Latvija pirmajā vietā&quot;"/>
    <s v="Nacionālā Apvienība"/>
    <s v="nezinu"/>
    <s v="nezinu"/>
    <s v="nezinu"/>
    <s v="nezinu"/>
    <s v="Viduvēji"/>
    <s v="Ļoti"/>
    <s v="Viduvēji"/>
    <s v="Ļoti"/>
    <s v="Man ienāk prātā, kaut kāds veids, kādā veidā cilvēks uzrunā tautu. Tādā veidā populizējot to."/>
    <s v="Nē"/>
    <s v="Nē"/>
    <s v="Nē"/>
    <s v="Jā"/>
    <s v="Jā"/>
    <s v="Nē"/>
    <s v="2.."/>
    <n v="65"/>
    <n v="90"/>
    <n v="69"/>
    <n v="10"/>
    <s v="Drīzāk saspīlētas"/>
    <s v="Nav saspīlētas"/>
    <s v="Nav saspīlētas"/>
    <s v="(Gandrīz) nekad"/>
    <s v="(Gandrīz) nekad"/>
    <s v="(Gandrīz) nekad"/>
    <s v="(Gandrīz) nekad"/>
    <s v="Reti"/>
    <s v="(Gandrīz) nekad"/>
    <s v="Reti"/>
    <s v="(Gandrīz) nekad"/>
    <s v="Reti"/>
    <s v="Dažreiz"/>
    <s v="Ieejot veikalā, sarunājos ar brāli krievu valodā.(visu dzīvi dzīvojam Latvijā un runājām abas valodās). Kad kāda garāmgājēja izdzirdēja, ka izmantojam krievu valodu, teica, ka mūs visus drīz aizsūtīs uz Krieviju."/>
    <s v="nē"/>
    <s v="N/A"/>
    <s v="N/A"/>
    <s v="N/A"/>
    <s v="N/A"/>
    <s v="Jā"/>
    <s v="Nē"/>
    <s v="Nē"/>
    <s v="Nē"/>
    <s v="Jā"/>
    <s v="Jā"/>
    <s v="Nē"/>
    <s v="Nē"/>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citreiz labi, citreiz slikti"/>
    <s v="citreiz labi, citreiz slikti"/>
    <s v="citreiz labi, citreiz slikti"/>
    <s v="slikti"/>
    <s v="citreiz labi, citreiz slikti"/>
    <s v="pamatizglītību"/>
    <m/>
    <s v="Nē"/>
    <s v="Jā"/>
    <s v="Nē"/>
    <s v="Nē"/>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Jā"/>
    <s v="Nē"/>
    <s v="Nē"/>
    <m/>
    <s v="Nē"/>
    <m/>
    <s v="Nē"/>
    <m/>
    <s v="Nē"/>
    <m/>
    <s v="Nē"/>
    <m/>
    <s v="Jā"/>
    <s v="Jā"/>
    <s v="Nē"/>
    <s v="Nē"/>
    <s v="Jā"/>
    <s v="Nē"/>
    <s v="Jā"/>
    <s v="Jā"/>
    <s v="Nē"/>
    <s v="Nē"/>
    <s v="Nē"/>
    <s v="Nē"/>
    <s v="Jā"/>
    <s v="Nē"/>
    <m/>
    <m/>
    <m/>
    <m/>
    <m/>
    <m/>
  </r>
  <r>
    <x v="1"/>
    <n v="200"/>
    <s v="2023-09-15 11:59:06"/>
    <n v="14"/>
    <s v="lv"/>
    <n v="1610984850"/>
    <s v="2023-09-15 11:31:48"/>
    <s v="2023-09-15 11:59:06"/>
    <s v="siers"/>
    <n v="17"/>
    <s v="sieviešu"/>
    <m/>
    <x v="1"/>
    <x v="1"/>
    <x v="0"/>
    <x v="0"/>
    <x v="0"/>
    <x v="0"/>
    <s v="Kurzemē"/>
    <m/>
    <s v="ateistu(ti), nereliģiozu"/>
    <m/>
    <s v="Jā"/>
    <s v="Nē"/>
    <s v="Nē"/>
    <s v="Nē"/>
    <s v="Nē"/>
    <s v="Nē"/>
    <s v="Nē"/>
    <s v="Nē"/>
    <s v="Jā"/>
    <s v="Nē"/>
    <s v="Nē"/>
    <s v="Nē"/>
    <s v="Jā"/>
    <s v="Nē"/>
    <s v="Jā"/>
    <s v="Nē"/>
    <s v="Nē"/>
    <s v="Nē"/>
    <s v="Nē"/>
    <s v="Nē"/>
    <s v="Nē"/>
    <s v="Jā"/>
    <s v="Jā"/>
    <s v="Jā"/>
    <s v="Jā"/>
    <s v="Nē"/>
    <s v="Jā"/>
    <s v="Nē"/>
    <s v="a un b"/>
    <s v="tikai a"/>
    <s v="tikai b"/>
    <s v="tikai b"/>
    <s v="tikai b"/>
    <s v="tikai b"/>
    <s v="Nevienlīdzīgi"/>
    <s v="Lielākoties vienlīdzīgi"/>
    <s v="Lielākoties vienlīdzīgi"/>
    <s v="Vienlīdzīgi"/>
    <s v="Lielākoties nevienlīdzīgi"/>
    <s v="nezinu"/>
    <s v="nezinu"/>
    <s v="nezinu"/>
    <s v="nezinu"/>
    <s v="nezinu"/>
    <s v="nezinu"/>
    <s v="nezinu"/>
    <s v="Cīņai ar klimata pārmaiņām būtu jābūt vairumam pasaules valstu galvenajai prioritātei."/>
    <s v="jā, daļu no tā, ko iespējams šķirot"/>
    <s v="Zaļo un Zemnieku savienība"/>
    <s v="Jaunā Vienotība"/>
    <s v="nezinu"/>
    <s v="nezinu"/>
    <s v="nezinu"/>
    <s v="nezinu"/>
    <s v="nezinu"/>
    <s v="nezinu"/>
    <s v="nezinu"/>
    <s v="nezinu"/>
    <s v="nezinu"/>
    <s v="nezinu"/>
    <s v="nezinu"/>
    <s v="nezinu"/>
    <s v="Viduvēji"/>
    <s v="Viduvēji"/>
    <s v="Ļoti"/>
    <s v="Ārkārtīgi"/>
    <s v="Nezinu"/>
    <s v="Nē"/>
    <s v="Jā"/>
    <s v="Nē"/>
    <s v="Nē"/>
    <s v="Nē"/>
    <s v="Nē"/>
    <s v="2.."/>
    <n v="18"/>
    <n v="73"/>
    <m/>
    <m/>
    <s v="Drīzāk saspīlētas"/>
    <s v="Mazliet saspīlētas"/>
    <s v="Nav saspīlētas"/>
    <s v="(Gandrīz) nekad"/>
    <s v="Reti"/>
    <s v="(Gandrīz) nekad"/>
    <s v="Reti"/>
    <s v="Dažreiz"/>
    <m/>
    <m/>
    <m/>
    <m/>
    <m/>
    <s v="Runājot ar cilvēkiem, kuriem dzimtā valoda ir krievu valoda par tēmu: vai Latvijā dzīvojošajiem krieviem būtu jāliek obligāts latviešu valodas tests eksāmens?"/>
    <s v="nē"/>
    <s v="N/A"/>
    <s v="N/A"/>
    <s v="N/A"/>
    <s v="N/A"/>
    <s v="Jā"/>
    <s v="Nē"/>
    <s v="Jā"/>
    <s v="Nē"/>
    <s v="Jā"/>
    <s v="Nē"/>
    <s v="Jā"/>
    <s v="Nē"/>
    <s v="(gandrīz) katru dienu"/>
    <s v="(gandrīz) katru dienu"/>
    <s v="(gandrīz) katru dienu"/>
    <s v="(gandrīz) katru dienu"/>
    <s v="(gandrīz) katru dienu"/>
    <s v="(gandrīz) katru dienu"/>
    <s v="(gandrīz) katru dienu"/>
    <s v="pāris reižu mēnesī"/>
    <s v="pāris reižu mēnesī"/>
    <s v="(gandrīz) nekad"/>
    <s v="pāris reižu mēnesī"/>
    <s v="(gandrīz) nekad"/>
    <s v="pāris reižu mēnesī"/>
    <s v="(gandrīz) nekad"/>
    <s v="pilsoniskās brīvības (vārda brīvība, tiesības uz tiesisko aizsardzību)"/>
    <s v="vienlīdzīgas tiesības minoritātēm un ievainojamām sabiedrības grupām"/>
    <s v="brīvas vēlēšanas un plurālisms"/>
    <m/>
    <m/>
    <s v="labi"/>
    <s v="citreiz labi, citreiz slikti"/>
    <s v="citreiz labi, citreiz slikti"/>
    <s v="labi"/>
    <s v="ļoti labi"/>
    <s v="pamatizglītību"/>
    <m/>
    <s v="N/A"/>
    <s v="N/A"/>
    <s v="N/A"/>
    <s v="Jā"/>
    <s v="latviešu"/>
    <m/>
    <s v="latviešu"/>
    <m/>
    <s v="Spēju veikt pasūtījumu restorānā."/>
    <s v="Spēju uzrakstīt vēstuli draugam."/>
    <s v="Viegli saprotu radio programmas / podkāstus par saviem hobijiem / darbības sfēru."/>
    <s v="Spēju izlasīt avīzi / īsstāstus."/>
    <m/>
    <m/>
    <m/>
    <m/>
    <m/>
    <m/>
    <m/>
    <m/>
    <m/>
    <m/>
    <m/>
    <m/>
    <m/>
    <m/>
    <m/>
    <m/>
    <m/>
    <s v="N/A"/>
    <s v="N/A"/>
    <s v="N/A"/>
    <s v="N/A"/>
    <s v="N/A"/>
    <s v="N/A"/>
    <m/>
    <m/>
    <m/>
    <m/>
    <m/>
    <s v="Nē"/>
    <s v="Nē"/>
    <s v="Nē"/>
    <s v="Nē"/>
    <s v="Nē"/>
    <s v="Nē"/>
    <s v="Nē"/>
    <s v="Nē"/>
    <s v="Nē"/>
    <s v="Nē"/>
    <s v="Jā"/>
    <s v="Jā"/>
    <s v="Nē"/>
    <s v="Nē"/>
    <s v="Nē"/>
    <s v="Nē"/>
    <m/>
    <s v="Nē"/>
    <m/>
    <s v="Nē"/>
    <m/>
    <s v="Nē"/>
    <m/>
    <s v="Nē"/>
    <m/>
    <s v="Nē"/>
    <s v="Nē"/>
    <s v="Nē"/>
    <s v="Jā"/>
    <s v="Nē"/>
    <s v="Nē"/>
    <s v="Nē"/>
    <s v="Nē"/>
    <s v="Nē"/>
    <s v="Nē"/>
    <s v="Nē"/>
    <s v="Nē"/>
    <s v="Nē"/>
    <s v="Nē"/>
    <s v="Nē"/>
    <s v="Nē"/>
    <s v="Jā"/>
    <s v="Nē"/>
    <s v="Nē"/>
    <m/>
    <s v="Nē"/>
    <m/>
    <s v="Nē"/>
    <m/>
    <s v="Nē"/>
    <m/>
    <s v="Nē"/>
    <m/>
    <s v="Jā"/>
    <s v="Jā"/>
    <s v="Jā"/>
    <s v="Nē"/>
    <s v="Jā"/>
    <s v="Nē"/>
    <s v="Nē"/>
    <s v="Jā"/>
    <s v="Nē"/>
    <s v="Nē"/>
    <s v="Jā"/>
    <s v="Nē"/>
    <s v="Jā"/>
    <s v="Nē"/>
    <m/>
    <m/>
    <m/>
    <m/>
    <m/>
    <m/>
  </r>
  <r>
    <x v="1"/>
    <n v="202"/>
    <s v="2023-09-15 11:56:08"/>
    <n v="14"/>
    <s v="lv"/>
    <n v="470314007"/>
    <s v="2023-09-15 11:31:54"/>
    <s v="2023-09-15 11:56:08"/>
    <s v="siers"/>
    <n v="17"/>
    <s v="sieviešu"/>
    <m/>
    <x v="1"/>
    <x v="1"/>
    <x v="0"/>
    <x v="0"/>
    <x v="0"/>
    <x v="0"/>
    <s v="Kurzemē"/>
    <m/>
    <s v="Cita atbilde"/>
    <s v="kristieti"/>
    <s v="N/A"/>
    <s v="N/A"/>
    <s v="N/A"/>
    <s v="N/A"/>
    <s v="N/A"/>
    <s v="N/A"/>
    <s v="Jā"/>
    <s v="N/A"/>
    <s v="N/A"/>
    <s v="N/A"/>
    <s v="N/A"/>
    <s v="N/A"/>
    <s v="N/A"/>
    <s v="Jā"/>
    <s v="N/A"/>
    <s v="N/A"/>
    <s v="N/A"/>
    <s v="N/A"/>
    <s v="N/A"/>
    <s v="N/A"/>
    <s v="Jā"/>
    <s v="Jā"/>
    <s v="Nē"/>
    <s v="Nē"/>
    <s v="Nē"/>
    <s v="Nē"/>
    <s v="Nē"/>
    <s v="Nē"/>
    <s v="nezinu"/>
    <s v="nezinu"/>
    <s v="nezinu"/>
    <s v="nezinu"/>
    <s v="ne a, ne b"/>
    <s v="nezinu"/>
    <s v="Lielākoties vienlīdzīgi"/>
    <s v="Lielākoties vienlīdzīgi"/>
    <s v="Lielākoties vienlīdzīgi"/>
    <s v="Nezinu"/>
    <s v="Lielākoties nevienlīdzīgi"/>
    <s v="nezinu"/>
    <s v="nezinu"/>
    <s v="Jaunā Vienotība"/>
    <s v="&quot;Latvija pirmajā vietā&quot;"/>
    <s v="Nacionālā Apvienība"/>
    <s v="Politiskā partija &quot;Stabilitātei&quot;"/>
    <s v="&quot;Latvija pirmajā vietā&quot;"/>
    <s v="Klimata pārmaiņas – tas ir ciklisks un dabisks process."/>
    <s v="nē"/>
    <s v="nezinu"/>
    <s v="nezinu"/>
    <s v="Zaļo un Zemnieku savienība"/>
    <s v="Zaļo un Zemnieku savienība"/>
    <s v="&quot;Progresīvie&quot;"/>
    <s v="Zaļo un Zemnieku savienība"/>
    <s v="nezinu"/>
    <s v="nezinu"/>
    <s v="nezinu"/>
    <s v="nezinu"/>
    <s v="nezinu"/>
    <s v="nezinu"/>
    <s v="nezinu"/>
    <s v="nezinu"/>
    <s v="Ne sevišķi"/>
    <s v="Neinteresē"/>
    <s v="Viduvēji"/>
    <s v="Ne sevišķi"/>
    <s v="Nezinu"/>
    <s v="Nē"/>
    <s v="Nē"/>
    <s v="Nē"/>
    <s v="Jā"/>
    <s v="Jā"/>
    <s v="Nē"/>
    <s v="2.."/>
    <n v="80"/>
    <n v="50"/>
    <m/>
    <m/>
    <s v="Mazliet saspīlētas"/>
    <s v="Nav saspīlētas"/>
    <s v="Mazliet saspīlētas"/>
    <s v="Nezinu"/>
    <s v="Nezinu"/>
    <s v="Nezinu"/>
    <s v="Nezinu"/>
    <s v="Nezinu"/>
    <m/>
    <m/>
    <m/>
    <m/>
    <m/>
    <m/>
    <s v="nē"/>
    <s v="N/A"/>
    <s v="N/A"/>
    <s v="N/A"/>
    <s v="N/A"/>
    <s v="N/A"/>
    <s v="N/A"/>
    <s v="N/A"/>
    <s v="Jā"/>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brīvas vēlēšanas un plurālisms"/>
    <s v="vienlīdz pieejama izglītība, veselības aprūpe, sociālais nodrošinājums"/>
    <m/>
    <m/>
    <s v="citreiz labi, citreiz slikti"/>
    <s v="labi"/>
    <s v="labi"/>
    <s v="labi"/>
    <s v="citreiz labi, citreiz slikti"/>
    <s v="pamatizglītību"/>
    <m/>
    <s v="N/A"/>
    <s v="N/A"/>
    <s v="N/A"/>
    <s v="Jā"/>
    <s v="latviešu"/>
    <m/>
    <s v="latviešu"/>
    <m/>
    <s v="Spēju veikt pasūtījumu restorānā."/>
    <s v="Spēju uzrakstīt vēstuli draugam."/>
    <s v="Saprotu norādes, kur iet."/>
    <s v="Spēju izlasīt avīzi / īsstāstus."/>
    <m/>
    <m/>
    <m/>
    <m/>
    <m/>
    <m/>
    <m/>
    <m/>
    <m/>
    <m/>
    <m/>
    <m/>
    <m/>
    <m/>
    <m/>
    <m/>
    <m/>
    <s v="N/A"/>
    <s v="N/A"/>
    <s v="N/A"/>
    <s v="N/A"/>
    <s v="N/A"/>
    <s v="N/A"/>
    <m/>
    <m/>
    <m/>
    <m/>
    <m/>
    <s v="Nē"/>
    <s v="Nē"/>
    <s v="Nē"/>
    <s v="Nē"/>
    <s v="Nē"/>
    <s v="Nē"/>
    <s v="Nē"/>
    <s v="Nē"/>
    <s v="Jā"/>
    <s v="Nē"/>
    <s v="Nē"/>
    <s v="Nē"/>
    <s v="Nē"/>
    <s v="Nē"/>
    <s v="Nē"/>
    <s v="Nē"/>
    <m/>
    <s v="Jā"/>
    <s v="TV3"/>
    <s v="Nē"/>
    <m/>
    <s v="Nē"/>
    <m/>
    <s v="Nē"/>
    <m/>
    <s v="Nē"/>
    <s v="Nē"/>
    <s v="Nē"/>
    <s v="Nē"/>
    <s v="Nē"/>
    <s v="Nē"/>
    <s v="Nē"/>
    <s v="Nē"/>
    <s v="Nē"/>
    <s v="Nē"/>
    <s v="Nē"/>
    <s v="Nē"/>
    <s v="Nē"/>
    <s v="Nē"/>
    <s v="Nē"/>
    <s v="Nē"/>
    <s v="Nē"/>
    <s v="Nē"/>
    <s v="Jā"/>
    <m/>
    <s v="Jā"/>
    <s v="Nezinu"/>
    <s v="Nē"/>
    <m/>
    <s v="Nē"/>
    <m/>
    <s v="Nē"/>
    <m/>
    <s v="Jā"/>
    <s v="Jā"/>
    <s v="Nē"/>
    <s v="Nē"/>
    <s v="Jā"/>
    <s v="Nē"/>
    <s v="Nē"/>
    <s v="Jā"/>
    <s v="Nē"/>
    <s v="Nē"/>
    <s v="Nē"/>
    <s v="Nē"/>
    <s v="Jā"/>
    <s v="Nē"/>
    <m/>
    <s v="Paldies par aptauju."/>
    <m/>
    <m/>
    <m/>
    <m/>
  </r>
  <r>
    <x v="1"/>
    <n v="207"/>
    <s v="2023-09-15 12:03:00"/>
    <n v="14"/>
    <s v="lv"/>
    <n v="1045904379"/>
    <s v="2023-09-15 11:31:59"/>
    <s v="2023-09-15 12:03:00"/>
    <s v="siers"/>
    <n v="17"/>
    <s v="vīriešu"/>
    <m/>
    <x v="1"/>
    <x v="1"/>
    <x v="0"/>
    <x v="0"/>
    <x v="0"/>
    <x v="0"/>
    <s v="Kurzemē"/>
    <m/>
    <s v="pareizticīgo"/>
    <m/>
    <s v="Jā"/>
    <s v="Jā"/>
    <s v="Jā"/>
    <s v="Jā"/>
    <s v="Nē"/>
    <s v="Jā"/>
    <s v="Nē"/>
    <s v="Jā"/>
    <s v="Jā"/>
    <s v="Nē"/>
    <s v="Nē"/>
    <s v="Jā"/>
    <s v="Nē"/>
    <s v="Nē"/>
    <s v="Jā"/>
    <s v="Jā"/>
    <s v="Jā"/>
    <s v="Nē"/>
    <s v="Nē"/>
    <s v="Nē"/>
    <s v="Nē"/>
    <s v="Jā"/>
    <s v="Jā"/>
    <s v="Jā"/>
    <s v="Jā"/>
    <s v="Jā"/>
    <s v="Jā"/>
    <s v="Nē"/>
    <s v="nezinu"/>
    <s v="nezinu"/>
    <s v="nezinu"/>
    <s v="nezinu"/>
    <s v="nezinu"/>
    <s v="nezinu"/>
    <s v="Lielākoties vienlīdzīgi"/>
    <s v="Lielākoties vienlīdzīgi"/>
    <s v="Lielākoties vienlīdzīgi"/>
    <s v="Nevienlīdzīgi"/>
    <s v="Lielākoties 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interesē"/>
    <s v="Viduvēji"/>
    <s v="Viduvēji"/>
    <s v="Viduvēji"/>
    <s v="Izdarīt kautko ,lai būtu atpazīstamāks"/>
    <s v="Nē"/>
    <s v="Nē"/>
    <s v="Nē"/>
    <s v="Jā"/>
    <s v="Jā"/>
    <s v="Nē"/>
    <s v="2.."/>
    <n v="83"/>
    <n v="89"/>
    <m/>
    <m/>
    <s v="Drīzāk saspīlētas"/>
    <s v="Mazliet saspīlētas"/>
    <s v="Mazliet saspīlētas"/>
    <s v="(Gandrīz) nekad"/>
    <s v="(Gandrīz) nekad"/>
    <s v="(Gandrīz) nekad"/>
    <s v="(Gandrīz) nekad"/>
    <s v="Dažreiz"/>
    <m/>
    <m/>
    <m/>
    <m/>
    <m/>
    <s v="Nav bijusi tāda situācija,kurā kāds teiktu ka neizmantoju pareizo valodu ,bet internetā ir bijuši vairāki konflikti starp valodu."/>
    <s v="jā, valsts iestādē"/>
    <s v="Jā"/>
    <s v="Jā"/>
    <s v="Nē"/>
    <s v="Nē"/>
    <s v="Jā"/>
    <s v="Nē"/>
    <s v="Jā"/>
    <s v="Nē"/>
    <s v="Jā"/>
    <s v="Nē"/>
    <s v="Nē"/>
    <s v="Nē"/>
    <s v="(gandrīz) katru dienu"/>
    <s v="(gandrīz) katru dienu"/>
    <s v="(gandrīz) katru dienu"/>
    <s v="(gandrīz) katru dienu"/>
    <s v="(gandrīz) katru dienu"/>
    <s v="(gandrīz) katru dienu"/>
    <s v="(gandrīz) katru dienu"/>
    <s v="pāris reižu mēnesī"/>
    <s v="reizi nedēļā"/>
    <s v="(gandrīz) nekad"/>
    <s v="(gandrīz) nekad"/>
    <s v="(gandrīz) nekad"/>
    <s v="(gandrīz) nekad"/>
    <s v="pāris reižu mēnesī"/>
    <s v="pilsoniskās brīvības (vārda brīvība, tiesības uz tiesisko aizsardzību)"/>
    <s v="vienlīdzīgas tiesības minoritātēm un ievainojamām sabiedrības grupām"/>
    <s v="brīvas vēlēšanas un plurālisms"/>
    <m/>
    <m/>
    <s v="citreiz labi, citreiz slikti"/>
    <s v="citreiz labi, citreiz slikti"/>
    <s v="labi"/>
    <s v="nezinu"/>
    <s v="nezinu"/>
    <s v="pamatizglītību"/>
    <m/>
    <s v="N/A"/>
    <s v="N/A"/>
    <s v="N/A"/>
    <s v="Jā"/>
    <s v="latviešu"/>
    <m/>
    <s v="latviešu"/>
    <m/>
    <s v="Spēju veikt pasūtījumu restorānā."/>
    <s v="Spēju uzrakstīt vēstuli draugam."/>
    <s v="Saprotu norādes, kur iet."/>
    <s v="Spēju izlasīt garus tekstus par vēstures, politikas un zinātnes tēmām."/>
    <m/>
    <m/>
    <m/>
    <m/>
    <m/>
    <m/>
    <m/>
    <m/>
    <m/>
    <m/>
    <m/>
    <m/>
    <m/>
    <m/>
    <m/>
    <m/>
    <m/>
    <s v="N/A"/>
    <s v="N/A"/>
    <s v="N/A"/>
    <s v="N/A"/>
    <s v="N/A"/>
    <s v="N/A"/>
    <m/>
    <m/>
    <m/>
    <m/>
    <m/>
    <s v="Nē"/>
    <s v="Nē"/>
    <s v="Nē"/>
    <s v="Jā"/>
    <s v="Nē"/>
    <s v="Nē"/>
    <s v="Nē"/>
    <s v="Nē"/>
    <s v="Nē"/>
    <s v="Nē"/>
    <s v="Nē"/>
    <s v="Nē"/>
    <s v="Nē"/>
    <s v="Nē"/>
    <s v="Nē"/>
    <s v="Nē"/>
    <m/>
    <s v="Nē"/>
    <m/>
    <s v="Nē"/>
    <m/>
    <s v="Nē"/>
    <m/>
    <s v="Nē"/>
    <m/>
    <s v="Nē"/>
    <s v="Nē"/>
    <s v="Nē"/>
    <s v="Nē"/>
    <s v="Nē"/>
    <s v="Nē"/>
    <s v="Nē"/>
    <s v="Nē"/>
    <s v="Nē"/>
    <s v="Jā"/>
    <s v="Nē"/>
    <s v="Nē"/>
    <s v="Nē"/>
    <s v="Nē"/>
    <s v="Nē"/>
    <s v="Nē"/>
    <s v="Jā"/>
    <s v="Nē"/>
    <s v="Nē"/>
    <m/>
    <s v="Nē"/>
    <m/>
    <s v="Nē"/>
    <m/>
    <s v="Nē"/>
    <m/>
    <s v="Nē"/>
    <m/>
    <s v="Jā"/>
    <s v="Jā"/>
    <s v="Jā"/>
    <s v="Nē"/>
    <s v="Jā"/>
    <s v="Nē"/>
    <s v="Nē"/>
    <s v="Jā"/>
    <s v="Nē"/>
    <s v="Nē"/>
    <s v="Nē"/>
    <s v="Nē"/>
    <s v="Jā"/>
    <s v="Nē"/>
    <m/>
    <m/>
    <m/>
    <m/>
    <m/>
    <m/>
  </r>
  <r>
    <x v="1"/>
    <n v="208"/>
    <s v="2023-09-15 11:59:20"/>
    <n v="14"/>
    <s v="lv"/>
    <n v="261351152"/>
    <s v="2023-09-15 11:32:02"/>
    <s v="2023-09-15 11:59:20"/>
    <s v="siers"/>
    <n v="17"/>
    <s v="vīriešu"/>
    <m/>
    <x v="1"/>
    <x v="1"/>
    <x v="0"/>
    <x v="0"/>
    <x v="0"/>
    <x v="0"/>
    <s v="Vidzemē"/>
    <m/>
    <s v="ateistu(ti), nereliģiozu"/>
    <m/>
    <s v="Jā"/>
    <s v="Jā"/>
    <s v="Nē"/>
    <s v="Nē"/>
    <s v="Nē"/>
    <s v="Nē"/>
    <s v="Nē"/>
    <s v="Nē"/>
    <s v="Jā"/>
    <s v="Nē"/>
    <s v="Nē"/>
    <s v="Jā"/>
    <s v="Jā"/>
    <s v="Nē"/>
    <s v="Nē"/>
    <s v="Nē"/>
    <s v="Jā"/>
    <s v="Nē"/>
    <s v="Nē"/>
    <s v="Nē"/>
    <s v="Nē"/>
    <s v="Jā"/>
    <s v="Nē"/>
    <s v="Nē"/>
    <s v="Jā"/>
    <s v="Jā"/>
    <s v="Nē"/>
    <s v="Nē"/>
    <s v="a un b"/>
    <s v="tikai a"/>
    <s v="ne a, ne b"/>
    <s v="a un b"/>
    <s v="tikai a"/>
    <s v="tikai b"/>
    <s v="Lielākoties vienlīdzīgi"/>
    <s v="Lielākoties nevienlīdzīgi"/>
    <s v="Lielākoties vienlīdzīgi"/>
    <s v="Lielākoties vienlīdzīgi"/>
    <s v="Nevienlīdzīgi"/>
    <s v="&quot;Latvija pirmajā vietā&quot;"/>
    <s v="Nacionālā Apvienība"/>
    <s v="Jaunā Vienotība"/>
    <s v="Politiskā partija &quot;Stabilitātei&quot;"/>
    <s v="Zaļo un Zemnieku savienība"/>
    <s v="&quot;Apvienotais saraksts&quot;"/>
    <s v="Zaļo un Zemnieku savienība"/>
    <s v="Cīņai ar klimata pārmaiņām būtu jābūt vairumam pasaules valstu galvenajai prioritātei."/>
    <s v="jā, lielāko daļu no tā, ko iespējams šķirot"/>
    <s v="Jaunā Vienotība"/>
    <s v="Politiskā partija &quot;Stabilitātei&quot;"/>
    <s v="Zaļo un Zemnieku savienība"/>
    <s v="&quot;Progresīvie&quot;"/>
    <s v="&quot;Latvija pirmajā vietā&quot;"/>
    <s v="Zaļo un Zemnieku savienība"/>
    <s v="Politiskā partija &quot;Stabilitātei&quot;"/>
    <s v="&quot;Latvija pirmajā vietā&quot;"/>
    <s v="Politiskā partija &quot;Stabilitātei&quot;"/>
    <s v="Nacionālā Apvienība"/>
    <s v="&quot;Apvienotais saraksts&quot;"/>
    <s v="Jaunā Vienotība"/>
    <s v="&quot;Progresīvie&quot;"/>
    <s v="&quot;Progresīvie&quot;"/>
    <s v="Ļoti"/>
    <s v="Ne sevišķi"/>
    <s v="Ļoti"/>
    <s v="Ļoti"/>
    <s v="nezinu"/>
    <s v="Nē"/>
    <s v="Nē"/>
    <s v="Nē"/>
    <s v="Jā"/>
    <s v="Jā"/>
    <s v="Nē"/>
    <s v="2.."/>
    <n v="25"/>
    <n v="100"/>
    <m/>
    <m/>
    <s v="Mazliet saspīlētas"/>
    <s v="Mazliet saspīlētas"/>
    <s v="Mazliet saspīlētas"/>
    <s v="(Gandrīz) nekad"/>
    <s v="(Gandrīz) nekad"/>
    <s v="Reti"/>
    <s v="(Gandrīz) nekad"/>
    <s v="Reti"/>
    <m/>
    <m/>
    <m/>
    <m/>
    <m/>
    <s v="neprotu runāt krieviski, taču ja man kāds kaut ko piesienas krieviski es saku kad nesaprotu krieviski."/>
    <s v="nē"/>
    <s v="N/A"/>
    <s v="N/A"/>
    <s v="N/A"/>
    <s v="N/A"/>
    <s v="Nē"/>
    <s v="Jā"/>
    <s v="Jā"/>
    <s v="Nē"/>
    <s v="Nē"/>
    <s v="Jā"/>
    <s v="Nē"/>
    <s v="Nē"/>
    <s v="(gandrīz) katru dienu"/>
    <s v="(gandrīz) katru dienu"/>
    <s v="(gandrīz) katru dienu"/>
    <s v="(gandrīz) katru dienu"/>
    <s v="(gandrīz) katru dienu"/>
    <s v="(gandrīz) katru dienu"/>
    <s v="(gandrīz) katru dienu"/>
    <s v="(gandrīz) nekad"/>
    <s v="(gandrīz) nekad"/>
    <s v="(gandrīz) nekad"/>
    <s v="pāris reižu mēnesī"/>
    <s v="(gandrīz) nekad"/>
    <s v="(gandrīz) nekad"/>
    <s v="pāris reižu mēnesī"/>
    <s v="vienlīdzīgas tiesības minoritātēm un ievainojamām sabiedrības grupām"/>
    <s v="pilsoniskās brīvības (vārda brīvība, tiesības uz tiesisko aizsardzību)"/>
    <s v="varas līdzsvars starp parlamentu, prezidentu un tiesām, lai neviena no institūcijām nespētu sevī koncentrēt lielāko daļu varas"/>
    <m/>
    <m/>
    <s v="labi"/>
    <s v="ļoti labi"/>
    <s v="labi"/>
    <s v="labi"/>
    <s v="labi"/>
    <s v="Cita atbilde"/>
    <s v="vel eju vidusskola"/>
    <s v="N/A"/>
    <s v="N/A"/>
    <s v="N/A"/>
    <s v="Jā"/>
    <s v="latviešu"/>
    <m/>
    <s v="latviešu"/>
    <m/>
    <s v="Spēju veikt pasūtījumu restorānā."/>
    <s v="Spēju uzrakstīt vēstuli draugam."/>
    <s v="Viegli saprotu televīzijas pārraides vai Youtube video par saviem hobijiem / darbības sfēru."/>
    <s v="Spēju izlasīt avīzi / īsstāstus."/>
    <m/>
    <m/>
    <m/>
    <m/>
    <m/>
    <m/>
    <m/>
    <m/>
    <m/>
    <m/>
    <m/>
    <m/>
    <m/>
    <m/>
    <m/>
    <m/>
    <m/>
    <s v="N/A"/>
    <s v="N/A"/>
    <s v="N/A"/>
    <s v="N/A"/>
    <s v="N/A"/>
    <s v="N/A"/>
    <m/>
    <m/>
    <m/>
    <m/>
    <m/>
    <s v="Nē"/>
    <s v="Nē"/>
    <s v="Jā"/>
    <s v="Jā"/>
    <s v="Nē"/>
    <s v="Nē"/>
    <s v="Nē"/>
    <s v="Nē"/>
    <s v="Jā"/>
    <s v="Nē"/>
    <s v="Nē"/>
    <s v="Jā"/>
    <s v="Nē"/>
    <s v="Jā"/>
    <s v="Nē"/>
    <s v="Nē"/>
    <m/>
    <s v="Nē"/>
    <m/>
    <s v="Jā"/>
    <s v="disney channel, mtv"/>
    <s v="Nē"/>
    <m/>
    <s v="Nē"/>
    <m/>
    <s v="Jā"/>
    <s v="Jā"/>
    <s v="Nē"/>
    <s v="Nē"/>
    <s v="Nē"/>
    <s v="Nē"/>
    <s v="Nē"/>
    <s v="Nē"/>
    <s v="Nē"/>
    <s v="Nē"/>
    <s v="Nē"/>
    <s v="Nē"/>
    <s v="Jā"/>
    <s v="Nē"/>
    <s v="Nē"/>
    <s v="Nē"/>
    <s v="Jā"/>
    <s v="Nē"/>
    <s v="Nē"/>
    <m/>
    <s v="Nē"/>
    <m/>
    <s v="Nē"/>
    <m/>
    <s v="Nē"/>
    <m/>
    <s v="Nē"/>
    <m/>
    <s v="Jā"/>
    <s v="Jā"/>
    <s v="Nē"/>
    <s v="Nē"/>
    <s v="Jā"/>
    <s v="Nē"/>
    <s v="Nē"/>
    <s v="Jā"/>
    <s v="Jā"/>
    <s v="Nē"/>
    <s v="Jā"/>
    <s v="Nē"/>
    <s v="Jā"/>
    <s v="Nē"/>
    <m/>
    <s v="laba aptauju, paldies ka jums rūp👍🏼"/>
    <m/>
    <m/>
    <m/>
    <m/>
  </r>
  <r>
    <x v="1"/>
    <n v="209"/>
    <s v="2023-09-15 11:57:01"/>
    <n v="14"/>
    <s v="lv"/>
    <n v="1668302695"/>
    <s v="2023-09-15 11:32:03"/>
    <s v="2023-09-15 11:57:01"/>
    <s v="siers"/>
    <n v="17"/>
    <s v="sieviešu"/>
    <m/>
    <x v="1"/>
    <x v="1"/>
    <x v="0"/>
    <x v="0"/>
    <x v="0"/>
    <x v="0"/>
    <s v="Kurzemē"/>
    <m/>
    <s v="ateistu(ti), nereliģiozu"/>
    <m/>
    <s v="Jā"/>
    <s v="Nē"/>
    <s v="Nē"/>
    <s v="Nē"/>
    <s v="Nē"/>
    <s v="Nē"/>
    <s v="Nē"/>
    <s v="Nē"/>
    <s v="Jā"/>
    <s v="Nē"/>
    <s v="Nē"/>
    <s v="Nē"/>
    <s v="Nē"/>
    <s v="Nē"/>
    <s v="Jā"/>
    <s v="Nē"/>
    <s v="Nē"/>
    <s v="Nē"/>
    <s v="Nē"/>
    <s v="Nē"/>
    <s v="Nē"/>
    <s v="Jā"/>
    <s v="Nē"/>
    <s v="Nē"/>
    <s v="Nē"/>
    <s v="Nē"/>
    <s v="Nē"/>
    <s v="Nē"/>
    <s v="nezinu"/>
    <s v="nezinu"/>
    <s v="nezinu"/>
    <m/>
    <s v="a un b"/>
    <s v="nezinu"/>
    <s v="Lielākoties nevienlīdzīgi"/>
    <s v="Lielākoties vienlīdzīgi"/>
    <s v="Lielākoties vienlīdzīgi"/>
    <s v="Lielākoties nevienlīdzīgi"/>
    <s v="Lielākoties nevienlīdzīgi"/>
    <s v="nezinu"/>
    <s v="nezinu"/>
    <s v="nezinu"/>
    <s v="nezinu"/>
    <s v="nezinu"/>
    <s v="nezinu"/>
    <s v="nezinu"/>
    <s v="Globālā sasilšana ir šķērsojusi robežu, pēc kuras nav iespējams atgriezties, un cilvēkiem būs jāpielāgojas."/>
    <s v="nē"/>
    <s v="nezinu"/>
    <s v="nezinu"/>
    <s v="nezinu"/>
    <s v="nezinu"/>
    <s v="nezinu"/>
    <s v="nezinu"/>
    <s v="nezinu"/>
    <s v="nezinu"/>
    <s v="nezinu"/>
    <s v="nezinu"/>
    <s v="nezinu"/>
    <s v="Jaunā Vienotība"/>
    <s v="nezinu"/>
    <s v="nezinu"/>
    <s v="Neinteresē"/>
    <s v="Ļoti"/>
    <s v="Ļoti"/>
    <s v="Viduvēji"/>
    <s v="nezinu"/>
    <s v="Jā"/>
    <s v="Nē"/>
    <s v="Nē"/>
    <s v="Nē"/>
    <s v="Nē"/>
    <s v="Nē"/>
    <s v="2.."/>
    <n v="35"/>
    <n v="83"/>
    <m/>
    <m/>
    <s v="Mazliet saspīlētas"/>
    <s v="Es nezinu"/>
    <s v="Mazliet saspīlētas"/>
    <s v="(Gandrīz) nekad"/>
    <s v="(Gandrīz) nekad"/>
    <s v="(Gandrīz) nekad"/>
    <s v="Reti"/>
    <s v="(Gandrīz) nekad"/>
    <m/>
    <m/>
    <m/>
    <m/>
    <m/>
    <s v="nezinu"/>
    <s v="nē"/>
    <s v="N/A"/>
    <s v="N/A"/>
    <s v="N/A"/>
    <s v="N/A"/>
    <s v="N/A"/>
    <s v="N/A"/>
    <s v="N/A"/>
    <s v="Jā"/>
    <s v="Jā"/>
    <s v="Jā"/>
    <s v="Jā"/>
    <s v="Nē"/>
    <s v="(gandrīz) katru dienu"/>
    <s v="(gandrīz) katru dienu"/>
    <s v="(gandrīz) katru dienu"/>
    <s v="(gandrīz) katru dienu"/>
    <s v="(gandrīz) katru dienu"/>
    <s v="pāris reižu nedēļā"/>
    <s v="(gandrīz) katru dienu"/>
    <s v="reizi nedēļā"/>
    <s v="pāris reižu mēnesī"/>
    <s v="(gandrīz) nekad"/>
    <s v="reizi nedēļā"/>
    <s v="pāris reižu mēnesī"/>
    <s v="reizi nedēļā"/>
    <s v="(gandrīz) nekad"/>
    <s v="pilsoniskās brīvības (vārda brīvība, tiesības uz tiesisko aizsardzību)"/>
    <s v="vienlīdz pieejama izglītība, veselības aprūpe, sociālais nodrošinājums"/>
    <s v="vienlīdzīgas tiesības minoritātēm un ievainojamām sabiedrības grupām"/>
    <m/>
    <m/>
    <s v="nezinu"/>
    <s v="labi"/>
    <s v="labi"/>
    <s v="nezinu"/>
    <s v="citreiz labi, citreiz slikti"/>
    <s v="pamatizglītību"/>
    <m/>
    <s v="Jā"/>
    <s v="Nē"/>
    <s v="Nē"/>
    <s v="Nē"/>
    <s v="latviešu"/>
    <m/>
    <s v="latviešu"/>
    <m/>
    <s v="Spēju pastāstīt par savu hobiju / darbu."/>
    <s v="Spēju uzrakstīt vēstuli draugam."/>
    <s v="Saprotu norādes, kur iet."/>
    <s v="{if(is_empty(tongueLAT_SQ001.NAOK), 'latviski','krieviski')} spēju izlasīt ēdienkarti restorānā."/>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Nē"/>
    <s v="Nē"/>
    <s v="Jā"/>
    <s v="Nē"/>
    <s v="Nē"/>
    <s v="Jā"/>
    <s v="Nē"/>
    <s v="Nē"/>
    <s v="Nē"/>
    <s v="Nē"/>
    <s v="Nē"/>
    <s v="Nē"/>
    <s v="Pinterest, Letterboxd"/>
    <m/>
    <m/>
    <m/>
    <m/>
    <m/>
  </r>
  <r>
    <x v="1"/>
    <n v="214"/>
    <s v="2023-09-15 11:46:49"/>
    <n v="14"/>
    <s v="lv"/>
    <n v="943661129"/>
    <s v="2023-09-15 11:32:27"/>
    <s v="2023-09-15 11:46:49"/>
    <s v="siers"/>
    <n v="18"/>
    <s v="sieviešu"/>
    <m/>
    <x v="0"/>
    <x v="0"/>
    <x v="0"/>
    <x v="0"/>
    <x v="0"/>
    <x v="0"/>
    <s v="Kurzemē"/>
    <m/>
    <s v="Cita atbilde"/>
    <s v="Ne pie viena"/>
    <s v="Nē"/>
    <s v="Jā"/>
    <s v="Nē"/>
    <s v="Nē"/>
    <s v="Jā"/>
    <s v="Nē"/>
    <s v="Nē"/>
    <s v="Nē"/>
    <s v="Jā"/>
    <s v="Nē"/>
    <s v="Nē"/>
    <s v="Jā"/>
    <s v="Nē"/>
    <s v="Nē"/>
    <s v="N/A"/>
    <s v="N/A"/>
    <s v="N/A"/>
    <s v="N/A"/>
    <s v="N/A"/>
    <s v="N/A"/>
    <s v="Jā"/>
    <s v="Jā"/>
    <s v="Nē"/>
    <s v="Nē"/>
    <s v="Nē"/>
    <s v="Nē"/>
    <s v="Jā"/>
    <s v="Nē"/>
    <s v="nezinu"/>
    <s v="nezinu"/>
    <s v="nezinu"/>
    <s v="nezinu"/>
    <s v="nezinu"/>
    <s v="nezinu"/>
    <s v="Lielākoties vienlīdzīgi"/>
    <s v="Lielākoties vienlīdzīgi"/>
    <s v="Vienlīdzīgi"/>
    <s v="Lielākoties vienlīdzīgi"/>
    <s v="Lielākoties vienlīdzīgi"/>
    <s v="nezinu"/>
    <s v="Jaunā Vienotība"/>
    <s v="&quot;Latvija pirmajā vietā&quot;"/>
    <s v="nezinu"/>
    <s v="nezinu"/>
    <s v="nezinu"/>
    <s v="nezinu"/>
    <s v="Klimata pārmaiņas – tas ir ciklisks un dabisks process."/>
    <s v="nē"/>
    <s v="nezinu"/>
    <s v="nezinu"/>
    <s v="nezinu"/>
    <s v="nezinu"/>
    <s v="nezinu"/>
    <s v="nezinu"/>
    <s v="nezinu"/>
    <s v="nezinu"/>
    <s v="nezinu"/>
    <s v="nezinu"/>
    <s v="nezinu"/>
    <s v="nezinu"/>
    <s v="nezinu"/>
    <s v="nezinu"/>
    <s v="Viduvēji"/>
    <s v="Viduvēji"/>
    <s v="Ne sevišķi"/>
    <s v="Viduvēji"/>
    <m/>
    <s v="Nē"/>
    <s v="Nē"/>
    <s v="Nē"/>
    <s v="Jā"/>
    <s v="Jā"/>
    <s v="Nē"/>
    <s v="2.."/>
    <n v="76"/>
    <n v="84"/>
    <n v="98"/>
    <n v="100"/>
    <s v="Es nezinu"/>
    <s v="Mazliet saspīlētas"/>
    <s v="Nav saspīlētas"/>
    <s v="(Gandrīz) nekad"/>
    <s v="(Gandrīz) nekad"/>
    <s v="(Gandrīz) nekad"/>
    <s v="Reti"/>
    <s v="(Gandrīz) nekad"/>
    <s v="Dažreiz"/>
    <s v="Reti"/>
    <s v="(Gandrīz) nekad"/>
    <s v="Reti"/>
    <s v="Bieži"/>
    <m/>
    <s v="nē"/>
    <s v="N/A"/>
    <s v="N/A"/>
    <s v="N/A"/>
    <s v="N/A"/>
    <s v="N/A"/>
    <s v="N/A"/>
    <s v="N/A"/>
    <s v="Jā"/>
    <s v="Nē"/>
    <s v="Jā"/>
    <s v="Jā"/>
    <s v="Nē"/>
    <s v="(gandrīz) katru dienu"/>
    <s v="(gandrīz) katru dienu"/>
    <s v="(gandrīz) katru dienu"/>
    <s v="(gandrīz) katru dienu"/>
    <s v="pāris reižu nedēļā"/>
    <s v="(gandrīz) katru dienu"/>
    <s v="(gandrīz) katru dienu"/>
    <s v="(gandrīz) katru dienu"/>
    <s v="(gandrīz) katru dienu"/>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varas līdzsvars starp parlamentu, prezidentu un tiesām, lai neviena no institūcijām nespētu sevī koncentrēt lielāko daļu varas"/>
    <m/>
    <m/>
    <s v="nezinu"/>
    <s v="nezinu"/>
    <s v="nezinu"/>
    <s v="nezinu"/>
    <s v="nezinu"/>
    <s v="pamatizglītību"/>
    <m/>
    <s v="Jā"/>
    <s v="Jā"/>
    <s v="Nē"/>
    <s v="Nē"/>
    <s v="vienlīdz latviešu un krievu"/>
    <m/>
    <s v="latviešu"/>
    <m/>
    <s v="Spēju ilgstoši sarunāties ar vienaudžiem / piedalīties darba pārrunās."/>
    <s v="Spēju uzrakstīt garāku sacerējumu / kursa darbu."/>
    <s v="Viegli saprotu televīzijas pārraides vai Youtube video par saviem hobijiem / darbības sfēru."/>
    <s v="Spēju izlasīt garus tekstus par vēstures, politikas un zinātnes tēmām."/>
    <m/>
    <m/>
    <m/>
    <m/>
    <m/>
    <m/>
    <m/>
    <m/>
    <m/>
    <m/>
    <m/>
    <m/>
    <m/>
    <m/>
    <m/>
    <m/>
    <m/>
    <s v="N/A"/>
    <s v="N/A"/>
    <s v="N/A"/>
    <s v="N/A"/>
    <s v="N/A"/>
    <s v="N/A"/>
    <m/>
    <m/>
    <m/>
    <m/>
    <m/>
    <s v="Nē"/>
    <s v="Nē"/>
    <s v="Nē"/>
    <s v="Nē"/>
    <s v="Nē"/>
    <s v="Nē"/>
    <s v="Jā"/>
    <s v="Nē"/>
    <s v="Nē"/>
    <s v="Jā"/>
    <s v="Nē"/>
    <s v="Nē"/>
    <s v="Nē"/>
    <s v="Nē"/>
    <s v="Nē"/>
    <s v="Nē"/>
    <m/>
    <s v="Nē"/>
    <m/>
    <s v="Nē"/>
    <m/>
    <s v="Jā"/>
    <s v="Nav īsti kanāli, bet ir filmas"/>
    <s v="Nē"/>
    <m/>
    <s v="Nē"/>
    <s v="Nē"/>
    <s v="Nē"/>
    <s v="Nē"/>
    <s v="Nē"/>
    <s v="Nē"/>
    <s v="Nē"/>
    <s v="Nē"/>
    <s v="Nē"/>
    <s v="Nē"/>
    <s v="Nē"/>
    <s v="Nē"/>
    <s v="Jā"/>
    <s v="Nē"/>
    <s v="Nē"/>
    <s v="Nē"/>
    <s v="Jā"/>
    <s v="Nē"/>
    <s v="Nē"/>
    <m/>
    <s v="Nē"/>
    <m/>
    <s v="Nē"/>
    <m/>
    <s v="Nē"/>
    <m/>
    <s v="Nē"/>
    <m/>
    <s v="Jā"/>
    <s v="Jā"/>
    <s v="Jā"/>
    <s v="Nē"/>
    <s v="Jā"/>
    <s v="Nē"/>
    <s v="Nē"/>
    <s v="Jā"/>
    <s v="Nē"/>
    <s v="Nē"/>
    <s v="Nē"/>
    <s v="Nē"/>
    <s v="Jā"/>
    <s v="Nē"/>
    <m/>
    <m/>
    <m/>
    <m/>
    <m/>
    <m/>
  </r>
  <r>
    <x v="1"/>
    <n v="218"/>
    <s v="2023-09-15 11:42:23"/>
    <n v="14"/>
    <s v="lv"/>
    <n v="1251606976"/>
    <s v="2023-09-15 11:32:55"/>
    <s v="2023-09-15 11:42:23"/>
    <s v="siers"/>
    <n v="16"/>
    <s v="sieviešu"/>
    <m/>
    <x v="1"/>
    <x v="1"/>
    <x v="0"/>
    <x v="0"/>
    <x v="0"/>
    <x v="0"/>
    <s v="Kurzemē"/>
    <m/>
    <s v="pareizticīgo"/>
    <m/>
    <s v="Nē"/>
    <s v="Jā"/>
    <s v="Nē"/>
    <s v="Jā"/>
    <s v="Nē"/>
    <s v="Nē"/>
    <s v="Nē"/>
    <s v="N/A"/>
    <s v="N/A"/>
    <s v="N/A"/>
    <s v="N/A"/>
    <s v="N/A"/>
    <s v="N/A"/>
    <s v="Jā"/>
    <s v="N/A"/>
    <s v="N/A"/>
    <s v="N/A"/>
    <s v="N/A"/>
    <s v="N/A"/>
    <s v="N/A"/>
    <s v="Jā"/>
    <s v="N/A"/>
    <s v="N/A"/>
    <s v="N/A"/>
    <s v="N/A"/>
    <s v="N/A"/>
    <s v="N/A"/>
    <s v="Jā"/>
    <s v="tikai b"/>
    <s v="a un b"/>
    <s v="tikai b"/>
    <s v="ne a, ne b"/>
    <s v="a un b"/>
    <s v="a un b"/>
    <s v="Vienlīdzīgi"/>
    <s v="Lielākoties nevienlīdzīgi"/>
    <s v="Lielākoties nevienlīdzīgi"/>
    <s v="Lielākoties vienlīdzīgi"/>
    <s v="Nevienlīdzīgi"/>
    <s v="Zaļo un Zemnieku savienība"/>
    <s v="Politiskā partija &quot;Stabilitātei&quot;"/>
    <s v="Nacionālā Apvienība"/>
    <s v="Zaļo un Zemnieku savienība"/>
    <s v="&quot;Progresīvie&quot;"/>
    <s v="&quot;Apvienotais saraksts&quot;"/>
    <s v="&quot;Apvienotais saraksts&quot;"/>
    <s v="Cīņai ar klimata pārmaiņām būtu jābūt vairumam pasaules valstu galvenajai prioritātei."/>
    <s v="nē"/>
    <s v="Jaunā Vienotība"/>
    <s v="Zaļo un Zemnieku savienība"/>
    <s v="Nacionālā Apvienība"/>
    <s v="Politiskā partija &quot;Stabilitātei&quot;"/>
    <s v="&quot;Progresīvie&quot;"/>
    <s v="&quot;Apvienotais saraksts&quot;"/>
    <s v="&quot;Latvija pirmajā vietā&quot;"/>
    <s v="Jaunā Vienotība"/>
    <s v="Zaļo un Zemnieku savienība"/>
    <s v="Nacionālā Apvienība"/>
    <s v="Politiskā partija &quot;Stabilitātei&quot;"/>
    <s v="&quot;Progresīvie&quot;"/>
    <s v="&quot;Apvienotais saraksts&quot;"/>
    <s v="&quot;Latvija pirmajā vietā&quot;"/>
    <s v="Neinteresē"/>
    <s v="Viduvēji"/>
    <s v="Neinteresē"/>
    <s v="Viduvēji"/>
    <s v="nezinu"/>
    <s v="Nē"/>
    <s v="Nē"/>
    <s v="Nē"/>
    <s v="Jā"/>
    <s v="Jā"/>
    <s v="Nē"/>
    <s v="2.."/>
    <n v="100"/>
    <n v="85"/>
    <m/>
    <m/>
    <s v="Nav saspīlētas"/>
    <s v="Mazliet saspīlētas"/>
    <s v="Ļoti saspīlētas"/>
    <s v="(Gandrīz) nekad"/>
    <s v="(Gandrīz) nekad"/>
    <s v="(Gandrīz) nekad"/>
    <s v="(Gandrīz) nekad"/>
    <s v="Dažreiz"/>
    <m/>
    <m/>
    <m/>
    <m/>
    <m/>
    <s v="angļu valodu ar draugiem vai kādu kam ir vajadzīga palīdzība"/>
    <s v="nē"/>
    <s v="N/A"/>
    <s v="N/A"/>
    <s v="N/A"/>
    <s v="N/A"/>
    <s v="N/A"/>
    <s v="N/A"/>
    <s v="N/A"/>
    <s v="Jā"/>
    <s v="N/A"/>
    <s v="N/A"/>
    <s v="N/A"/>
    <s v="Jā"/>
    <s v="(gandrīz) katru dienu"/>
    <s v="pāris reižu nedēļā"/>
    <s v="(gandrīz) katru dienu"/>
    <s v="(gandrīz) nekad"/>
    <s v="(gandrīz) nekad"/>
    <s v="(gandrīz) nekad"/>
    <s v="pāris reižu nedēļā"/>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vienlīdzīgas tiesības minoritātēm un ievainojamām sabiedrības grupām"/>
    <m/>
    <m/>
    <s v="citreiz labi, citreiz slikti"/>
    <s v="slikti"/>
    <s v="slikti"/>
    <s v="citreiz labi, citreiz slikti"/>
    <s v="Knapi / gandrīz necik"/>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Jā"/>
    <s v="Nē"/>
    <s v="Jā"/>
    <s v="Jā"/>
    <s v="Nē"/>
    <s v="Jā"/>
    <s v="Jā"/>
    <s v="Nē"/>
    <s v="Jā"/>
    <s v="Nē"/>
    <s v="Jā"/>
    <s v="Nē"/>
    <m/>
    <m/>
    <m/>
    <m/>
    <m/>
    <m/>
  </r>
  <r>
    <x v="1"/>
    <n v="219"/>
    <s v="2023-09-15 11:50:05"/>
    <n v="14"/>
    <s v="lv"/>
    <n v="1227481313"/>
    <s v="2023-09-15 11:32:56"/>
    <s v="2023-09-15 11:50:05"/>
    <s v="siers"/>
    <n v="17"/>
    <s v="sieviešu"/>
    <m/>
    <x v="1"/>
    <x v="1"/>
    <x v="0"/>
    <x v="0"/>
    <x v="0"/>
    <x v="0"/>
    <s v="Kurzemē"/>
    <m/>
    <s v="Cita atbilde"/>
    <s v="Ticu zīmēm un dabas parādībām"/>
    <s v="N/A"/>
    <s v="N/A"/>
    <s v="N/A"/>
    <s v="N/A"/>
    <s v="N/A"/>
    <s v="N/A"/>
    <s v="Jā"/>
    <s v="N/A"/>
    <s v="N/A"/>
    <s v="N/A"/>
    <s v="N/A"/>
    <s v="N/A"/>
    <s v="N/A"/>
    <s v="Jā"/>
    <s v="N/A"/>
    <s v="N/A"/>
    <s v="N/A"/>
    <s v="N/A"/>
    <s v="N/A"/>
    <s v="N/A"/>
    <s v="Jā"/>
    <s v="N/A"/>
    <s v="N/A"/>
    <s v="N/A"/>
    <s v="N/A"/>
    <s v="N/A"/>
    <s v="N/A"/>
    <s v="Jā"/>
    <s v="nezinu"/>
    <s v="nezinu"/>
    <s v="nezinu"/>
    <s v="tikai a"/>
    <s v="tikai a"/>
    <s v="ne a, ne b"/>
    <s v="Lielākoties nevienlīdzīgi"/>
    <s v="Lielākoties vienlīdzīgi"/>
    <s v="Lielākoties vienlīdzīgi"/>
    <s v="Lielākoties nevienlīdzīgi"/>
    <s v="Nevienlīdzīgi"/>
    <s v="&quot;Apvienotais saraksts&quot;"/>
    <s v="Politiskā partija &quot;Stabilitātei&quot;"/>
    <s v="Politiskā partija &quot;Stabilitātei&quot;"/>
    <s v="Politiskā partija &quot;Stabilitātei&quot;"/>
    <s v="&quot;Progresīvie&quot;"/>
    <s v="&quot;Progresīvie&quot;"/>
    <s v="Politiskā partija &quot;Stabilitātei&quot;"/>
    <s v="Reizēm ekonomiskā un valsts stabilitāte varētu nozīmēt, ka atsevišķi ekoloģiskās politikas aspekti ir uz brīdi jāiepauzē."/>
    <s v="jā, lielāko daļu no tā, ko iespējams šķirot"/>
    <s v="Nacionālā Apvienība"/>
    <s v="&quot;Progresīvie&quot;"/>
    <s v="Politiskā partija &quot;Stabilitātei&quot;"/>
    <s v="Politiskā partija &quot;Stabilitātei&quot;"/>
    <s v="&quot;Progresīvie&quot;"/>
    <s v="&quot;Apvienotais saraksts&quot;"/>
    <s v="Politiskā partija &quot;Stabilitātei&quot;"/>
    <s v="nezinu"/>
    <s v="nezinu"/>
    <s v="nezinu"/>
    <s v="nezinu"/>
    <s v="nezinu"/>
    <s v="nezinu"/>
    <s v="nezinu"/>
    <s v="Viduvēji"/>
    <s v="Viduvēji"/>
    <s v="Neinteresē"/>
    <s v="Viduvēji"/>
    <s v="Nezinu"/>
    <s v="Nē"/>
    <s v="Jā"/>
    <s v="Nē"/>
    <s v="Nē"/>
    <s v="Nē"/>
    <s v="Nē"/>
    <s v="1....."/>
    <n v="83"/>
    <n v="95"/>
    <m/>
    <m/>
    <s v="Nav saspīlētas"/>
    <s v="Mazliet saspīlētas"/>
    <s v="Mazliet saspīlētas"/>
    <s v="Dažreiz"/>
    <s v="(Gandrīz) nekad"/>
    <s v="(Gandrīz) nekad"/>
    <s v="Reti"/>
    <s v="Dažreiz"/>
    <m/>
    <m/>
    <m/>
    <m/>
    <m/>
    <s v="Tās trakā krievu tantiņas"/>
    <s v="jā, privāta darba devēja labā"/>
    <s v="N/A"/>
    <s v="N/A"/>
    <s v="N/A"/>
    <s v="Jā"/>
    <s v="N/A"/>
    <s v="N/A"/>
    <s v="N/A"/>
    <s v="Jā"/>
    <s v="Nē"/>
    <s v="Jā"/>
    <s v="Nē"/>
    <s v="Nē"/>
    <s v="(gandrīz) katru dienu"/>
    <s v="pāris reižu nedēļā"/>
    <s v="(gandrīz) katru dienu"/>
    <s v="(gandrīz) nekad"/>
    <s v="(gandrīz) katru dienu"/>
    <s v="(gandrīz) katru dienu"/>
    <s v="pāris reižu nedēļā"/>
    <s v="pāris reižu nedēļā"/>
    <s v="pāris reižu mēnesī"/>
    <s v="(gandrīz) nekad"/>
    <s v="(gandrīz) nekad"/>
    <s v="(gandrīz) nekad"/>
    <s v="(gandrīz) nekad"/>
    <s v="pāris reižu nedēļā"/>
    <s v="vienlīdz pieejama izglītība, veselības aprūpe, sociālais nodrošinājums"/>
    <s v="pilsoniskās brīvības (vārda brīvība, tiesības uz tiesisko aizsardzību)"/>
    <s v="brīvas vēlēšanas un plurālisms"/>
    <m/>
    <m/>
    <s v="citreiz labi, citreiz slikti"/>
    <s v="citreiz labi, citreiz slikti"/>
    <s v="nezinu"/>
    <s v="nezinu"/>
    <s v="nezinu"/>
    <s v="pamatizglītību"/>
    <m/>
    <s v="Nē"/>
    <s v="Jā"/>
    <s v="Nē"/>
    <s v="Nē"/>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Nē"/>
    <s v="Nē"/>
    <s v="Nē"/>
    <s v="Nē"/>
    <s v="Nē"/>
    <s v="Nē"/>
    <s v="Nē"/>
    <s v="Nē"/>
    <s v="Nē"/>
    <s v="Nē"/>
    <s v="Nē"/>
    <s v="Nē"/>
    <s v="Nē"/>
    <m/>
    <s v="Jā"/>
    <s v="Nez"/>
    <s v="Nē"/>
    <m/>
    <s v="Nē"/>
    <m/>
    <s v="Nē"/>
    <m/>
    <s v="Nē"/>
    <s v="Nē"/>
    <s v="Nē"/>
    <s v="Nē"/>
    <s v="Nē"/>
    <s v="Nē"/>
    <s v="Nē"/>
    <s v="Nē"/>
    <s v="Nē"/>
    <s v="Nē"/>
    <s v="Nē"/>
    <s v="Nē"/>
    <s v="Nē"/>
    <s v="Nē"/>
    <s v="Nē"/>
    <s v="Nē"/>
    <s v="Nē"/>
    <s v="Nē"/>
    <s v="Jā"/>
    <m/>
    <s v="Nē"/>
    <m/>
    <s v="Nē"/>
    <m/>
    <s v="Nē"/>
    <m/>
    <s v="Nē"/>
    <m/>
    <s v="Jā"/>
    <s v="Jā"/>
    <s v="Nē"/>
    <s v="Nē"/>
    <s v="Jā"/>
    <s v="Nē"/>
    <s v="Nē"/>
    <s v="Jā"/>
    <s v="Nē"/>
    <s v="Nē"/>
    <s v="Jā"/>
    <s v="Nē"/>
    <s v="Jā"/>
    <s v="Nē"/>
    <m/>
    <m/>
    <m/>
    <m/>
    <m/>
    <m/>
  </r>
  <r>
    <x v="1"/>
    <n v="221"/>
    <s v="2023-09-15 11:53:07"/>
    <n v="14"/>
    <s v="ru"/>
    <n v="1553441186"/>
    <s v="2023-09-15 11:33:13"/>
    <s v="2023-09-15 11:53:07"/>
    <s v="книга"/>
    <n v="17"/>
    <s v="Cita atbilde"/>
    <m/>
    <x v="1"/>
    <x v="0"/>
    <x v="0"/>
    <x v="0"/>
    <x v="0"/>
    <x v="0"/>
    <s v="Kurzemē"/>
    <m/>
    <s v="Cita atbilde"/>
    <s v="сатанист"/>
    <s v="N/A"/>
    <s v="N/A"/>
    <s v="N/A"/>
    <s v="N/A"/>
    <s v="N/A"/>
    <s v="N/A"/>
    <s v="Jā"/>
    <s v="Jā"/>
    <s v="Nē"/>
    <s v="Nē"/>
    <s v="Nē"/>
    <s v="Nē"/>
    <s v="Nē"/>
    <s v="Nē"/>
    <s v="Nē"/>
    <s v="Nē"/>
    <s v="Nē"/>
    <s v="Jā"/>
    <s v="Nē"/>
    <s v="Nē"/>
    <s v="Nē"/>
    <s v="Jā"/>
    <s v="Nē"/>
    <s v="Nē"/>
    <s v="Nē"/>
    <s v="Nē"/>
    <s v="Nē"/>
    <s v="Nē"/>
    <s v="nezinu"/>
    <s v="nezinu"/>
    <s v="nezinu"/>
    <s v="nezinu"/>
    <s v="nezinu"/>
    <s v="nezinu"/>
    <s v="Lielākoties vienlīdzīgi"/>
    <s v="Lielākoties nevienlīdzīgi"/>
    <s v="Vienlīdzīgi"/>
    <s v="Lielākoties nevienlīdzīgi"/>
    <s v="Lielākoties 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Viduvēji"/>
    <s v="Viduvēji"/>
    <s v="Ne sevišķi"/>
    <s v="Viduvēji"/>
    <s v="Не знаю"/>
    <s v="Jā"/>
    <s v="Nē"/>
    <s v="Nē"/>
    <s v="Nē"/>
    <s v="Nē"/>
    <s v="Nē"/>
    <s v="2.."/>
    <n v="1"/>
    <n v="52"/>
    <n v="80"/>
    <n v="78"/>
    <s v="Nav saspīlētas"/>
    <s v="Mazliet saspīlētas"/>
    <s v="Nav saspīlētas"/>
    <s v="Dažreiz"/>
    <s v="Dažreiz"/>
    <s v="Bieži"/>
    <s v="Dažreiz"/>
    <s v="Bieži"/>
    <s v="(Gandrīz) nekad"/>
    <s v="Dažreiz"/>
    <s v="Bieži"/>
    <s v="Reti"/>
    <s v="Bieži"/>
    <s v="Не хочу"/>
    <s v="jā, privāta darba devēja labā"/>
    <s v="N/A"/>
    <s v="N/A"/>
    <s v="N/A"/>
    <s v="Jā"/>
    <s v="Jā"/>
    <s v="Nē"/>
    <s v="Jā"/>
    <s v="Nē"/>
    <s v="Nē"/>
    <s v="Nē"/>
    <s v="Jā"/>
    <s v="Nē"/>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vienlīdz pieejama izglītība, veselības aprūpe, sociālais nodrošinājums"/>
    <s v="brīvas vēlēšanas un plurālisms"/>
    <s v="vienlīdzīgas tiesības minoritātēm un ievainojamām sabiedrības grupām"/>
    <m/>
    <m/>
    <s v="citreiz labi, citreiz slikti"/>
    <s v="Knapi / gandrīz necik"/>
    <s v="labi"/>
    <s v="citreiz labi, citreiz slikti"/>
    <s v="citreiz labi, citreiz slikti"/>
    <s v="vidējo izglītību"/>
    <m/>
    <s v="Nē"/>
    <s v="Jā"/>
    <s v="Nē"/>
    <s v="Nē"/>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Jā"/>
    <s v="Nē"/>
    <s v="Nē"/>
    <s v="Nē"/>
    <s v="Jā"/>
    <s v="Nē"/>
    <s v="Nē"/>
    <m/>
    <s v="Nē"/>
    <m/>
    <s v="Nē"/>
    <m/>
    <s v="Nē"/>
    <m/>
    <s v="Nē"/>
    <m/>
    <s v="Jā"/>
    <s v="Jā"/>
    <s v="Nē"/>
    <s v="Nē"/>
    <s v="Jā"/>
    <s v="Nē"/>
    <s v="Nē"/>
    <s v="Nē"/>
    <s v="Nē"/>
    <s v="Nē"/>
    <s v="Nē"/>
    <s v="Nē"/>
    <s v="Jā"/>
    <s v="Nē"/>
    <m/>
    <m/>
    <m/>
    <m/>
    <m/>
    <m/>
  </r>
  <r>
    <x v="1"/>
    <n v="222"/>
    <s v="2023-09-15 11:52:38"/>
    <n v="14"/>
    <s v="lv"/>
    <n v="1002927266"/>
    <s v="2023-09-15 11:33:18"/>
    <s v="2023-09-15 11:52:38"/>
    <s v="siers"/>
    <n v="17"/>
    <s v="sieviešu"/>
    <m/>
    <x v="1"/>
    <x v="1"/>
    <x v="0"/>
    <x v="0"/>
    <x v="0"/>
    <x v="0"/>
    <s v="Kurzemē"/>
    <m/>
    <s v="Cita atbilde"/>
    <s v="nezinu"/>
    <s v="Jā"/>
    <s v="Jā"/>
    <s v="Nē"/>
    <s v="Nē"/>
    <s v="Nē"/>
    <s v="Nē"/>
    <s v="Nē"/>
    <s v="Jā"/>
    <s v="Jā"/>
    <s v="Nē"/>
    <s v="Nē"/>
    <s v="Nē"/>
    <s v="Nē"/>
    <s v="Nē"/>
    <s v="Jā"/>
    <s v="Nē"/>
    <s v="Nē"/>
    <s v="Nē"/>
    <s v="Nē"/>
    <s v="Nē"/>
    <s v="Nē"/>
    <s v="Nē"/>
    <s v="Nē"/>
    <s v="Jā"/>
    <s v="Nē"/>
    <s v="Nē"/>
    <s v="Jā"/>
    <s v="Nē"/>
    <s v="tikai a"/>
    <s v="tikai a"/>
    <s v="ne a, ne b"/>
    <s v="a un b"/>
    <s v="a un b"/>
    <s v="tikai a"/>
    <s v="Lielākoties vienlīdzīgi"/>
    <s v="Lielākoties nevienlīdzīgi"/>
    <s v="Lielākoties nevienlīdzīgi"/>
    <s v="Lielākoties nevienlīdzīgi"/>
    <s v="Lielākoties nevienlīdzīgi"/>
    <s v="Nacionālā Apvienība"/>
    <s v="Politiskā partija &quot;Stabilitātei&quot;"/>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Viduvēji"/>
    <s v="Viduvēji"/>
    <s v="Viduvēji"/>
    <s v="Ļoti"/>
    <s v="Nezinu"/>
    <s v="Nē"/>
    <s v="Nē"/>
    <s v="Nē"/>
    <s v="Jā"/>
    <s v="Jā"/>
    <s v="Nē"/>
    <s v="1.."/>
    <n v="50"/>
    <n v="78"/>
    <m/>
    <m/>
    <s v="Mazliet saspīlētas"/>
    <s v="Mazliet saspīlētas"/>
    <s v="Nav saspīlētas"/>
    <s v="Nezinu"/>
    <s v="(Gandrīz) nekad"/>
    <s v="(Gandrīz) nekad"/>
    <s v="Reti"/>
    <s v="Reti"/>
    <m/>
    <m/>
    <m/>
    <m/>
    <m/>
    <s v="Sarunājoties angliski"/>
    <s v="nē"/>
    <s v="N/A"/>
    <s v="N/A"/>
    <s v="N/A"/>
    <s v="N/A"/>
    <s v="Nē"/>
    <s v="Nē"/>
    <s v="Jā"/>
    <s v="Nē"/>
    <s v="Jā"/>
    <s v="Jā"/>
    <s v="Jā"/>
    <s v="Nē"/>
    <s v="(gandrīz) katru dienu"/>
    <s v="(gandrīz) katru dienu"/>
    <s v="(gandrīz) katru dienu"/>
    <s v="(gandrīz) katru dienu"/>
    <s v="(gandrīz) katru dienu"/>
    <s v="(gandrīz) katru dienu"/>
    <s v="(gandrīz) katru dienu"/>
    <s v="reizi nedēļā"/>
    <s v="pāris reižu nedēļā"/>
    <s v="(gandrīz) nekad"/>
    <s v="pāris reižu nedēļā"/>
    <s v="(gandrīz) nekad"/>
    <s v="pāris reižu mēnesī"/>
    <s v="pāris reižu mēnesī"/>
    <s v="brīvas vēlēšanas un plurālisms"/>
    <s v="vienlīdz pieejama izglītība, veselības aprūpe, sociālais nodrošinājums"/>
    <s v="pilsoniskās brīvības (vārda brīvība, tiesības uz tiesisko aizsardzību)"/>
    <m/>
    <m/>
    <s v="citreiz labi, citreiz slikti"/>
    <s v="citreiz labi, citreiz slikti"/>
    <s v="citreiz labi, citreiz slikti"/>
    <s v="citreiz labi, citreiz slikti"/>
    <s v="slikti"/>
    <s v="pamatizglītību"/>
    <m/>
    <s v="N/A"/>
    <s v="N/A"/>
    <s v="N/A"/>
    <s v="Jā"/>
    <s v="latviešu"/>
    <m/>
    <s v="latviešu"/>
    <m/>
    <s v="Spēju veikt pasūtījumu restorānā."/>
    <s v="Spēju uzrakstīt vēstuli draugam."/>
    <s v="Saprotu norādes, kur iet."/>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Nē"/>
    <s v="Nē"/>
    <s v="Nē"/>
    <s v="Jā"/>
    <s v="Nē"/>
    <s v="Nē"/>
    <s v="Nē"/>
    <s v="Nē"/>
    <s v="Jā"/>
    <s v="Nē"/>
    <m/>
    <m/>
    <m/>
    <m/>
    <m/>
    <m/>
  </r>
  <r>
    <x v="1"/>
    <n v="224"/>
    <s v="2023-09-15 12:03:39"/>
    <n v="14"/>
    <s v="lv"/>
    <n v="949119558"/>
    <s v="2023-09-15 11:33:40"/>
    <s v="2023-09-15 12:03:39"/>
    <s v="siers"/>
    <n v="17"/>
    <s v="sieviešu"/>
    <m/>
    <x v="1"/>
    <x v="1"/>
    <x v="0"/>
    <x v="0"/>
    <x v="0"/>
    <x v="0"/>
    <s v="Kurzemē"/>
    <m/>
    <s v="Cita atbilde"/>
    <s v="neesmu kristīta"/>
    <s v="Jā"/>
    <s v="Jā"/>
    <s v="Nē"/>
    <s v="Nē"/>
    <s v="Nē"/>
    <s v="Nē"/>
    <s v="Nē"/>
    <s v="Jā"/>
    <s v="Jā"/>
    <s v="Jā"/>
    <s v="Nē"/>
    <s v="Jā"/>
    <s v="Nē"/>
    <s v="Nē"/>
    <s v="Jā"/>
    <s v="Nē"/>
    <s v="Nē"/>
    <s v="Nē"/>
    <s v="Nē"/>
    <s v="Nē"/>
    <s v="Nē"/>
    <s v="Jā"/>
    <s v="Jā"/>
    <s v="Nē"/>
    <s v="Nē"/>
    <s v="Nē"/>
    <s v="Jā"/>
    <s v="Nē"/>
    <s v="a un b"/>
    <s v="tikai a"/>
    <s v="a un b"/>
    <s v="tikai b"/>
    <s v="tikai b"/>
    <s v="tikai a"/>
    <s v="Lielākoties nevienlīdzīgi"/>
    <s v="Nevienlīdzīgi"/>
    <s v="Lielākoties vienlīdzīgi"/>
    <s v="Lielākoties nevienlīdzīgi"/>
    <s v="Nevienlīdzīgi"/>
    <s v="&quot;Latvija pirmajā vietā&quot;"/>
    <s v="Jaunā Vienotība"/>
    <s v="&quot;Apvienotais saraksts&quot;"/>
    <s v="Nacionālā Apvienība"/>
    <s v="Politiskā partija &quot;Stabilitātei&quot;"/>
    <s v="&quot;Progresīvie&quot;"/>
    <s v="Zaļo un Zemnieku savienība"/>
    <s v="Globālā sasilšana ir šķērsojusi robežu, pēc kuras nav iespējams atgriezties, un cilvēkiem būs jāpielāgojas."/>
    <s v="jā, daļu no tā, ko iespējams šķirot"/>
    <s v="&quot;Progresīvie&quot;"/>
    <s v="Zaļo un Zemnieku savienība"/>
    <s v="Jaunā Vienotība"/>
    <s v="&quot;Apvienotais saraksts&quot;"/>
    <s v="&quot;Latvija pirmajā vietā&quot;"/>
    <s v="Zaļo un Zemnieku savienība"/>
    <s v="Politiskā partija &quot;Stabilitātei&quot;"/>
    <s v="&quot;Progresīvie&quot;"/>
    <s v="Jaunā Vienotība"/>
    <s v="Nacionālā Apvienība"/>
    <s v="Politiskā partija &quot;Stabilitātei&quot;"/>
    <s v="&quot;Latvija pirmajā vietā&quot;"/>
    <s v="&quot;Apvienotais saraksts&quot;"/>
    <s v="Zaļo un Zemnieku savienība"/>
    <s v="Ne sevišķi"/>
    <s v="Ļoti"/>
    <s v="Viduvēji"/>
    <s v="Ļoti"/>
    <s v="Dzirdot vārdu populisms domāju par tādiem politiķiem, kuri domā par visu sava reģiona populāciju, piemēram, Lgbt pārstāvjiem, citas tautības cilvēkiem un citām minoritātēm."/>
    <s v="Nē"/>
    <s v="Nē"/>
    <s v="Nē"/>
    <s v="Jā"/>
    <s v="Jā"/>
    <s v="Nē"/>
    <s v="2.."/>
    <n v="42"/>
    <n v="100"/>
    <m/>
    <m/>
    <s v="Mazliet saspīlētas"/>
    <s v="Nav saspīlētas"/>
    <s v="Drīzāk saspīlētas"/>
    <s v="(Gandrīz) nekad"/>
    <s v="(Gandrīz) nekad"/>
    <s v="(Gandrīz) nekad"/>
    <s v="(Gandrīz) nekad"/>
    <s v="(Gandrīz) nekad"/>
    <m/>
    <m/>
    <m/>
    <m/>
    <m/>
    <m/>
    <s v="nē"/>
    <s v="N/A"/>
    <s v="N/A"/>
    <s v="N/A"/>
    <s v="N/A"/>
    <s v="Jā"/>
    <s v="Nē"/>
    <s v="Jā"/>
    <s v="Nē"/>
    <s v="Jā"/>
    <s v="Jā"/>
    <s v="Nē"/>
    <s v="Nē"/>
    <s v="(gandrīz) katru dienu"/>
    <s v="(gandrīz) katru dienu"/>
    <s v="(gandrīz) katru dienu"/>
    <s v="(gandrīz) katru dienu"/>
    <s v="(gandrīz) katru dienu"/>
    <s v="(gandrīz) katru dienu"/>
    <s v="(gandrīz) katru dienu"/>
    <s v="reizi nedēļā"/>
    <s v="pāris reižu mēnesī"/>
    <s v="(gandrīz) nekad"/>
    <s v="pāris reižu mēnesī"/>
    <s v="(gandrīz) nekad"/>
    <s v="(gandrīz) nekad"/>
    <s v="pāris reižu mēnesī"/>
    <s v="pilsoniskās brīvības (vārda brīvība, tiesības uz tiesisko aizsardzību)"/>
    <s v="vienlīdzīgas tiesības minoritātēm un ievainojamām sabiedrības grupām"/>
    <s v="vienlīdz pieejama izglītība, veselības aprūpe, sociālais nodrošinājums"/>
    <m/>
    <m/>
    <s v="ļoti labi"/>
    <s v="ļoti labi"/>
    <s v="citreiz labi, citreiz slikti"/>
    <s v="labi"/>
    <s v="slikti"/>
    <s v="pamatizglītību"/>
    <m/>
    <s v="N/A"/>
    <s v="N/A"/>
    <s v="N/A"/>
    <s v="Jā"/>
    <s v="latviešu"/>
    <m/>
    <s v="latviešu"/>
    <m/>
    <s v="Spēju pastāstīt par savu hobiju / darbu."/>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Nē"/>
    <s v="Nē"/>
    <s v="Nē"/>
    <s v="Nē"/>
    <s v="Nē"/>
    <s v="Nē"/>
    <s v="Nē"/>
    <s v="Jā"/>
    <s v="Nē"/>
    <s v="Nē"/>
    <s v="Nē"/>
    <s v="Nē"/>
    <s v="Nē"/>
    <m/>
    <s v="Nē"/>
    <m/>
    <s v="Nē"/>
    <m/>
    <s v="Nē"/>
    <m/>
    <s v="Nē"/>
    <m/>
    <s v="Nē"/>
    <s v="Nē"/>
    <s v="Nē"/>
    <s v="Jā"/>
    <s v="Nē"/>
    <s v="Nē"/>
    <s v="Nē"/>
    <s v="Nē"/>
    <s v="Nē"/>
    <s v="Nē"/>
    <s v="Nē"/>
    <s v="Nē"/>
    <s v="Nē"/>
    <s v="Nē"/>
    <s v="Nē"/>
    <s v="Nē"/>
    <s v="Jā"/>
    <s v="Nē"/>
    <s v="Nē"/>
    <m/>
    <s v="Nē"/>
    <m/>
    <s v="Nē"/>
    <m/>
    <s v="Nē"/>
    <m/>
    <s v="Nē"/>
    <m/>
    <s v="Nē"/>
    <s v="Nē"/>
    <s v="Nē"/>
    <s v="Nē"/>
    <s v="Jā"/>
    <s v="Nē"/>
    <s v="Nē"/>
    <s v="Jā"/>
    <s v="Nē"/>
    <s v="Nē"/>
    <s v="Nē"/>
    <s v="Nē"/>
    <s v="Jā"/>
    <s v="Nē"/>
    <m/>
    <s v="Paldies par iespēju piedalīties aptaujā!"/>
    <m/>
    <m/>
    <m/>
    <m/>
  </r>
  <r>
    <x v="1"/>
    <n v="225"/>
    <s v="2023-09-15 12:05:23"/>
    <n v="14"/>
    <s v="lv"/>
    <n v="1514636675"/>
    <s v="2023-09-15 11:33:44"/>
    <s v="2023-09-15 12:05:23"/>
    <s v="siers"/>
    <n v="17"/>
    <s v="sieviešu"/>
    <m/>
    <x v="1"/>
    <x v="1"/>
    <x v="0"/>
    <x v="0"/>
    <x v="0"/>
    <x v="0"/>
    <s v="Kurzemē"/>
    <m/>
    <s v="katoli(ieti)"/>
    <m/>
    <s v="N/A"/>
    <s v="N/A"/>
    <s v="N/A"/>
    <s v="N/A"/>
    <s v="N/A"/>
    <s v="N/A"/>
    <s v="Jā"/>
    <s v="N/A"/>
    <s v="N/A"/>
    <s v="N/A"/>
    <s v="N/A"/>
    <s v="N/A"/>
    <s v="N/A"/>
    <s v="Jā"/>
    <s v="Jā"/>
    <s v="Nē"/>
    <s v="Nē"/>
    <s v="Nē"/>
    <s v="Nē"/>
    <s v="Nē"/>
    <s v="Nē"/>
    <s v="Nē"/>
    <s v="Nē"/>
    <s v="Jā"/>
    <s v="Nē"/>
    <s v="Nē"/>
    <s v="Nē"/>
    <s v="Nē"/>
    <s v="nezinu"/>
    <s v="tikai a"/>
    <s v="nezinu"/>
    <s v="a un b"/>
    <s v="tikai b"/>
    <s v="nezinu"/>
    <s v="Lielākoties nevienlīdzīgi"/>
    <s v="Nevienlīdzīgi"/>
    <s v="Lielākoties vienlīdzīgi"/>
    <s v="Nezinu"/>
    <s v="Lielākoties nevienlīdzīgi"/>
    <s v="Zaļo un Zemnieku savienība"/>
    <s v="Jaunā Vienotība"/>
    <s v="nezinu"/>
    <s v="nezinu"/>
    <s v="nezinu"/>
    <s v="nezinu"/>
    <s v="nezinu"/>
    <s v="Globālā sasilšana ir šķērsojusi robežu, pēc kuras nav iespējams atgriezties, un cilvēkiem būs jāpielāgojas."/>
    <s v="jā, daļu no tā, ko iespējams šķirot"/>
    <s v="Jaunā Vienotība"/>
    <s v="nezinu"/>
    <s v="nezinu"/>
    <s v="nezinu"/>
    <s v="Nacionālā Apvienība"/>
    <s v="Zaļo un Zemnieku savienība"/>
    <s v="&quot;Progresīvie&quot;"/>
    <s v="nezinu"/>
    <s v="nezinu"/>
    <s v="nezinu"/>
    <s v="nezinu"/>
    <s v="nezinu"/>
    <s v="nezinu"/>
    <s v="nezinu"/>
    <s v="Viduvēji"/>
    <s v="Viduvēji"/>
    <s v="Ārkārtīgi"/>
    <s v="Viduvēji"/>
    <s v="Izdzirdot vārdu populisms man uzreiz nāk prātā popularitāte,pārākums,mankārīgums,atstumšana."/>
    <s v="Nē"/>
    <s v="Nē"/>
    <s v="Nē"/>
    <s v="Jā"/>
    <s v="Jā"/>
    <s v="Nē"/>
    <s v="1.."/>
    <n v="100"/>
    <n v="17"/>
    <m/>
    <m/>
    <s v="Drīzāk saspīlētas"/>
    <s v="Drīzāk saspīlētas"/>
    <s v="Ļoti saspīlētas"/>
    <s v="(Gandrīz) nekad"/>
    <s v="(Gandrīz) nekad"/>
    <s v="(Gandrīz) nekad"/>
    <s v="(Gandrīz) nekad"/>
    <s v="(Gandrīz) nekad"/>
    <m/>
    <m/>
    <m/>
    <m/>
    <m/>
    <m/>
    <s v="nē"/>
    <s v="N/A"/>
    <s v="N/A"/>
    <s v="N/A"/>
    <s v="N/A"/>
    <s v="Jā"/>
    <s v="Nē"/>
    <s v="Nē"/>
    <s v="Nē"/>
    <s v="Jā"/>
    <s v="Jā"/>
    <s v="Jā"/>
    <s v="Nē"/>
    <s v="(gandrīz) katru dienu"/>
    <s v="(gandrīz) katru dienu"/>
    <s v="(gandrīz) katru dienu"/>
    <s v="(gandrīz) katru dienu"/>
    <s v="(gandrīz) katru dienu"/>
    <s v="(gandrīz) katru dienu"/>
    <s v="(gandrīz) katru dienu"/>
    <s v="(gandrīz) nekad"/>
    <s v="pāris reižu nedēļā"/>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citreiz labi, citreiz slikti"/>
    <s v="slikti"/>
    <s v="citreiz labi, citreiz slikti"/>
    <s v="nezinu"/>
    <s v="nezinu"/>
    <s v="pamatizglītību"/>
    <m/>
    <s v="N/A"/>
    <s v="N/A"/>
    <s v="N/A"/>
    <s v="Jā"/>
    <s v="latviešu"/>
    <m/>
    <s v="latviešu"/>
    <m/>
    <s v="Spēju pastāstīt par savu hobiju / darbu."/>
    <s v="Spēju uzrakstīt vēstuli draugam."/>
    <s v="Saprotu norādes, kur iet."/>
    <s v="Spēju izlasīt avīzi / īsstāstus."/>
    <m/>
    <m/>
    <m/>
    <m/>
    <m/>
    <m/>
    <m/>
    <m/>
    <m/>
    <m/>
    <m/>
    <m/>
    <m/>
    <m/>
    <m/>
    <m/>
    <m/>
    <s v="N/A"/>
    <s v="N/A"/>
    <s v="N/A"/>
    <s v="N/A"/>
    <s v="N/A"/>
    <s v="N/A"/>
    <m/>
    <m/>
    <m/>
    <m/>
    <m/>
    <s v="Nē"/>
    <s v="Nē"/>
    <s v="Nē"/>
    <s v="Nē"/>
    <s v="Nē"/>
    <s v="Nē"/>
    <s v="Nē"/>
    <s v="Nē"/>
    <s v="Nē"/>
    <s v="Nē"/>
    <s v="Jā"/>
    <s v="Jā"/>
    <s v="Nē"/>
    <s v="Nē"/>
    <s v="Nē"/>
    <s v="Nē"/>
    <m/>
    <s v="Nē"/>
    <m/>
    <s v="Nē"/>
    <m/>
    <s v="Nē"/>
    <m/>
    <s v="Nē"/>
    <m/>
    <s v="Nē"/>
    <s v="Nē"/>
    <s v="Nē"/>
    <s v="Jā"/>
    <s v="Nē"/>
    <s v="Nē"/>
    <s v="Nē"/>
    <s v="Nē"/>
    <s v="Nē"/>
    <s v="Nē"/>
    <s v="Nē"/>
    <s v="Nē"/>
    <s v="Jā"/>
    <s v="Nē"/>
    <s v="Nē"/>
    <s v="Nē"/>
    <s v="Jā"/>
    <s v="Nē"/>
    <s v="Nē"/>
    <m/>
    <s v="Nē"/>
    <m/>
    <s v="Nē"/>
    <m/>
    <s v="Nē"/>
    <m/>
    <s v="Nē"/>
    <m/>
    <s v="Jā"/>
    <s v="Jā"/>
    <s v="Nē"/>
    <s v="Nē"/>
    <s v="Jā"/>
    <s v="Nē"/>
    <s v="Nē"/>
    <s v="Jā"/>
    <s v="Nē"/>
    <s v="Nē"/>
    <s v="Nē"/>
    <s v="Nē"/>
    <s v="Jā"/>
    <s v="Nē"/>
    <m/>
    <m/>
    <m/>
    <m/>
    <m/>
    <m/>
  </r>
  <r>
    <x v="1"/>
    <n v="226"/>
    <s v="2023-09-15 11:47:45"/>
    <n v="14"/>
    <s v="lv"/>
    <n v="943395567"/>
    <s v="2023-09-15 11:33:54"/>
    <s v="2023-09-15 11:47:45"/>
    <s v="siers"/>
    <n v="16"/>
    <s v="vīriešu"/>
    <m/>
    <x v="1"/>
    <x v="1"/>
    <x v="0"/>
    <x v="0"/>
    <x v="0"/>
    <x v="0"/>
    <s v="Kurzemē"/>
    <m/>
    <s v="vecticībnieku(ci)"/>
    <m/>
    <s v="Jā"/>
    <s v="Nē"/>
    <s v="Nē"/>
    <s v="Jā"/>
    <s v="Nē"/>
    <s v="Nē"/>
    <s v="Nē"/>
    <s v="N/A"/>
    <s v="N/A"/>
    <s v="N/A"/>
    <s v="N/A"/>
    <s v="N/A"/>
    <s v="N/A"/>
    <s v="Jā"/>
    <s v="N/A"/>
    <s v="N/A"/>
    <s v="N/A"/>
    <s v="N/A"/>
    <s v="N/A"/>
    <s v="N/A"/>
    <s v="Jā"/>
    <s v="N/A"/>
    <s v="N/A"/>
    <s v="N/A"/>
    <s v="N/A"/>
    <s v="N/A"/>
    <s v="N/A"/>
    <s v="Jā"/>
    <s v="tikai a"/>
    <s v="a un b"/>
    <s v="tikai b"/>
    <s v="tikai b"/>
    <s v="a un b"/>
    <s v="tikai a"/>
    <s v="Lielākoties vienlīdzīgi"/>
    <s v="Lielākoties vienlīdzīgi"/>
    <s v="Lielākoties vienlīdzīgi"/>
    <s v="Lielākoties nevienlīdzīgi"/>
    <s v="Vienlīdzīgi"/>
    <s v="&quot;Progresīvie&quot;"/>
    <s v="&quot;Apvienotais saraksts&quot;"/>
    <s v="&quot;Progresīvie&quot;"/>
    <s v="Nacionālā Apvienība"/>
    <s v="Politiskā partija &quot;Stabilitātei&quot;"/>
    <s v="Politiskā partija &quot;Stabilitātei&quot;"/>
    <s v="&quot;Apvienotais saraksts&quot;"/>
    <s v="Globālā sasilšana ir šķērsojusi robežu, pēc kuras nav iespējams atgriezties, un cilvēkiem būs jāpielāgojas."/>
    <s v="jā, lielāko daļu no tā, ko iespējams šķirot"/>
    <s v="Politiskā partija &quot;Stabilitātei&quot;"/>
    <s v="&quot;Latvija pirmajā vietā&quot;"/>
    <s v="nezinu"/>
    <s v="Zaļo un Zemnieku savienība"/>
    <s v="&quot;Apvienotais saraksts&quot;"/>
    <s v="Politiskā partija &quot;Stabilitātei&quot;"/>
    <s v="Nacionālā Apvienība"/>
    <s v="&quot;Apvienotais saraksts&quot;"/>
    <s v="nezinu"/>
    <s v="Politiskā partija &quot;Stabilitātei&quot;"/>
    <s v="Politiskā partija &quot;Stabilitātei&quot;"/>
    <s v="Politiskā partija &quot;Stabilitātei&quot;"/>
    <s v="&quot;Progresīvie&quot;"/>
    <s v="&quot;Progresīvie&quot;"/>
    <s v="Ne sevišķi"/>
    <s v="Ļoti"/>
    <s v="Viduvēji"/>
    <s v="Ļoti"/>
    <s v="Nezinu"/>
    <s v="Nē"/>
    <s v="Nē"/>
    <s v="Nē"/>
    <s v="Jā"/>
    <s v="Jā"/>
    <s v="Nē"/>
    <s v="1.."/>
    <n v="66"/>
    <n v="64"/>
    <m/>
    <m/>
    <s v="Drīzāk saspīlētas"/>
    <s v="Ļoti saspīlētas"/>
    <s v="Ļoti saspīlētas"/>
    <s v="Reti"/>
    <s v="Reti"/>
    <s v="Nezinu"/>
    <s v="Nezinu"/>
    <s v="(Gandrīz) nekad"/>
    <m/>
    <m/>
    <m/>
    <m/>
    <m/>
    <s v="Nezinu"/>
    <s v="jā, pašvaldības iestādē"/>
    <s v="N/A"/>
    <s v="N/A"/>
    <s v="N/A"/>
    <s v="Jā"/>
    <s v="Nē"/>
    <s v="Jā"/>
    <s v="Nē"/>
    <s v="Nē"/>
    <s v="Nē"/>
    <s v="Nē"/>
    <s v="Jā"/>
    <s v="Nē"/>
    <s v="reizi nedēļā"/>
    <s v="(gandrīz) katru dienu"/>
    <s v="reizi nedēļā"/>
    <s v="pāris reižu mēnesī"/>
    <s v="pāris reižu mēnesī"/>
    <s v="reizi nedēļā"/>
    <s v="(gandrīz) katru dienu"/>
    <s v="(gandrīz) nekad"/>
    <s v="reizi nedēļā"/>
    <s v="(gandrīz) nekad"/>
    <s v="pāris reižu nedēļā"/>
    <s v="pāris reižu nedēļā"/>
    <s v="(gandrīz) nekad"/>
    <s v="pāris reižu nedēļā"/>
    <s v="varas līdzsvars starp parlamentu, prezidentu un tiesām, lai neviena no institūcijām nespētu sevī koncentrēt lielāko daļu varas"/>
    <s v="vienlīdzīgas tiesības minoritātēm un ievainojamām sabiedrības grupām"/>
    <s v="pilsoniskās brīvības (vārda brīvība, tiesības uz tiesisko aizsardzību)"/>
    <m/>
    <m/>
    <s v="citreiz labi, citreiz slikti"/>
    <s v="citreiz labi, citreiz slikti"/>
    <s v="citreiz labi, citreiz slikti"/>
    <s v="Knapi / gandrīz necik"/>
    <s v="slikti"/>
    <s v="Arodskolu / profesionālo izglītību"/>
    <m/>
    <s v="Nē"/>
    <s v="Nē"/>
    <s v="Jā"/>
    <s v="Nē"/>
    <s v="latviešu"/>
    <m/>
    <s v="vienlīdz latviešu un krievu"/>
    <m/>
    <s v="Spēju veikt pasūtījumu restorānā."/>
    <s v="Spēju uzrakstīt motivācijas vēstuli darbam / par savu darba pieredzi."/>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Nē"/>
    <s v="Nē"/>
    <s v="Nē"/>
    <s v="Nē"/>
    <s v="Jā"/>
    <s v="Nē"/>
    <s v="Jā"/>
    <s v="Nē"/>
    <s v="Nē"/>
    <s v="Jā"/>
    <m/>
    <s v="Nē"/>
    <m/>
    <s v="Nē"/>
    <m/>
    <s v="Nē"/>
    <m/>
    <s v="Nē"/>
    <m/>
    <s v="Jā"/>
    <s v="Jā"/>
    <s v="Nē"/>
    <s v="Nē"/>
    <s v="Jā"/>
    <s v="Nē"/>
    <s v="Nē"/>
    <s v="Jā"/>
    <s v="Nē"/>
    <s v="Nē"/>
    <s v="Nē"/>
    <s v="Nē"/>
    <s v="Jā"/>
    <s v="Nē"/>
    <m/>
    <m/>
    <m/>
    <m/>
    <m/>
    <m/>
  </r>
  <r>
    <x v="1"/>
    <n v="227"/>
    <s v="2023-09-15 11:53:24"/>
    <n v="14"/>
    <s v="lv"/>
    <n v="1360626019"/>
    <s v="2023-09-15 11:34:04"/>
    <s v="2023-09-15 11:53:24"/>
    <s v="siers"/>
    <n v="17"/>
    <s v="vīriešu"/>
    <m/>
    <x v="1"/>
    <x v="1"/>
    <x v="0"/>
    <x v="1"/>
    <x v="0"/>
    <x v="0"/>
    <s v="Kurzemē"/>
    <m/>
    <s v="Cita atbilde"/>
    <s v="."/>
    <s v="N/A"/>
    <s v="N/A"/>
    <s v="N/A"/>
    <s v="N/A"/>
    <s v="N/A"/>
    <s v="N/A"/>
    <s v="Jā"/>
    <s v="N/A"/>
    <s v="N/A"/>
    <s v="N/A"/>
    <s v="N/A"/>
    <s v="N/A"/>
    <s v="N/A"/>
    <s v="Jā"/>
    <s v="N/A"/>
    <s v="N/A"/>
    <s v="N/A"/>
    <s v="N/A"/>
    <s v="N/A"/>
    <s v="N/A"/>
    <s v="Jā"/>
    <s v="N/A"/>
    <s v="N/A"/>
    <s v="N/A"/>
    <s v="N/A"/>
    <s v="N/A"/>
    <s v="N/A"/>
    <s v="Jā"/>
    <s v="nezinu"/>
    <s v="nezinu"/>
    <s v="nezinu"/>
    <s v="nezinu"/>
    <s v="nezinu"/>
    <s v="nezinu"/>
    <s v="Vienlīdzīgi"/>
    <s v="Vienlīdzīgi"/>
    <s v="Vienlīdzīgi"/>
    <s v="Vienlīdzīgi"/>
    <s v="Lielākoties vienlīdzīgi"/>
    <s v="nezinu"/>
    <s v="nezinu"/>
    <s v="nezinu"/>
    <s v="nezinu"/>
    <s v="nezinu"/>
    <s v="nezinu"/>
    <s v="nezinu"/>
    <s v="Reizēm ekonomiskā un valsts stabilitāte varētu nozīmēt, ka atsevišķi ekoloģiskās politikas aspekti ir uz brīdi jāiepauzē."/>
    <s v="jā, lielāko daļu no tā, ko iespējams šķirot"/>
    <s v="&quot;Progresīvie&quot;"/>
    <s v="&quot;Progresīvie&quot;"/>
    <s v="Zaļo un Zemnieku savienība"/>
    <s v="Nacionālā Apvienība"/>
    <s v="Nacionālā Apvienība"/>
    <s v="&quot;Progresīvie&quot;"/>
    <s v="Politiskā partija &quot;Stabilitātei&quot;"/>
    <s v="Zaļo un Zemnieku savienība"/>
    <s v="Politiskā partija &quot;Stabilitātei&quot;"/>
    <s v="Politiskā partija &quot;Stabilitātei&quot;"/>
    <s v="&quot;Progresīvie&quot;"/>
    <s v="&quot;Apvienotais saraksts&quot;"/>
    <s v="nezinu"/>
    <s v="nezinu"/>
    <s v="Viduvēji"/>
    <s v="Neinteresē"/>
    <s v="Viduvēji"/>
    <s v="Ļoti"/>
    <s v="nezinu"/>
    <s v="Jā"/>
    <s v="Nē"/>
    <s v="Nē"/>
    <s v="Nē"/>
    <s v="Nē"/>
    <s v="Nē"/>
    <s v="1....."/>
    <n v="51"/>
    <n v="51"/>
    <m/>
    <m/>
    <s v="Mazliet saspīlētas"/>
    <s v="Mazliet saspīlētas"/>
    <s v="Nav saspīlētas"/>
    <s v="(Gandrīz) nekad"/>
    <s v="(Gandrīz) nekad"/>
    <s v="(Gandrīz) nekad"/>
    <s v="(Gandrīz) nekad"/>
    <s v="(Gandrīz) nekad"/>
    <m/>
    <m/>
    <m/>
    <m/>
    <m/>
    <m/>
    <s v="nē"/>
    <s v="N/A"/>
    <s v="N/A"/>
    <s v="N/A"/>
    <s v="N/A"/>
    <s v="N/A"/>
    <s v="N/A"/>
    <s v="N/A"/>
    <s v="Jā"/>
    <s v="Nē"/>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īgas tiesības minoritātēm un ievainojamām sabiedrības grupām"/>
    <s v="vienlīdz pieejama izglītība, veselības aprūpe, sociālais nodrošinājums"/>
    <m/>
    <m/>
    <s v="citreiz labi, citreiz slikti"/>
    <s v="citreiz labi, citreiz slikti"/>
    <s v="citreiz labi, citreiz slikti"/>
    <s v="citreiz labi, citreiz slikti"/>
    <s v="citreiz labi, citreiz slikt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if(is_empty(tongueLAT_SQ001.NAOK), 'latviski','krieviski')} spēju izlasīt ēdienkarti restorānā."/>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Nē"/>
    <s v="Nē"/>
    <s v="Nē"/>
    <s v="Nē"/>
    <s v="Nē"/>
    <s v="Nē"/>
    <s v="Nē"/>
    <s v="Jā"/>
    <s v="Nē"/>
    <m/>
    <m/>
    <m/>
    <m/>
    <m/>
    <m/>
  </r>
  <r>
    <x v="1"/>
    <n v="228"/>
    <s v="2023-09-15 12:00:37"/>
    <n v="14"/>
    <s v="lv"/>
    <n v="531122550"/>
    <s v="2023-09-15 11:34:12"/>
    <s v="2023-09-15 12:00:37"/>
    <s v="siers"/>
    <n v="17"/>
    <s v="sieviešu"/>
    <m/>
    <x v="1"/>
    <x v="1"/>
    <x v="0"/>
    <x v="0"/>
    <x v="0"/>
    <x v="0"/>
    <s v="Kurzemē"/>
    <m/>
    <s v="katoli(ieti)"/>
    <m/>
    <s v="Jā"/>
    <s v="Jā"/>
    <s v="Nē"/>
    <s v="Nē"/>
    <s v="Nē"/>
    <s v="Nē"/>
    <s v="Nē"/>
    <s v="Jā"/>
    <s v="Jā"/>
    <s v="Nē"/>
    <s v="Nē"/>
    <s v="Nē"/>
    <s v="Nē"/>
    <s v="Nē"/>
    <s v="Nē"/>
    <s v="Jā"/>
    <s v="Jā"/>
    <s v="Nē"/>
    <s v="Nē"/>
    <s v="Nē"/>
    <s v="Nē"/>
    <s v="Nē"/>
    <s v="Jā"/>
    <s v="Jā"/>
    <s v="Nē"/>
    <s v="Nē"/>
    <s v="Nē"/>
    <s v="Nē"/>
    <s v="tikai b"/>
    <s v="a un b"/>
    <s v="ne a, ne b"/>
    <s v="tikai a"/>
    <s v="tikai b"/>
    <s v="ne a, ne b"/>
    <s v="Lielākoties vienlīdzīgi"/>
    <s v="Lielākoties nevienlīdzīgi"/>
    <s v="Vienlīdzīgi"/>
    <s v="Vienlīdzīgi"/>
    <s v="Lielākoties vienlīdzīgi"/>
    <s v="Nacionālā Apvienība"/>
    <s v="&quot;Apvienotais saraksts&quot;"/>
    <s v="Politiskā partija &quot;Stabilitātei&quot;"/>
    <s v="&quot;Latvija pirmajā vietā&quot;"/>
    <s v="Jaunā Vienotība"/>
    <s v="&quot;Progresīvie&quot;"/>
    <s v="Zaļo un Zemnieku savienība"/>
    <s v="Globālā sasilšana ir šķērsojusi robežu, pēc kuras nav iespējams atgriezties, un cilvēkiem būs jāpielāgojas."/>
    <s v="jā, lielāko daļu no tā, ko iespējams šķirot"/>
    <s v="&quot;Apvienotais saraksts&quot;"/>
    <s v="Zaļo un Zemnieku savienība"/>
    <s v="nezinu"/>
    <s v="nezinu"/>
    <s v="nezinu"/>
    <s v="nezinu"/>
    <s v="&quot;Latvija pirmajā vietā&quot;"/>
    <s v="Nacionālā Apvienība"/>
    <s v="&quot;Latvija pirmajā vietā&quot;"/>
    <s v="nezinu"/>
    <s v="Jaunā Vienotība"/>
    <s v="Politiskā partija &quot;Stabilitātei&quot;"/>
    <s v="Zaļo un Zemnieku savienība"/>
    <s v="&quot;Progresīvie&quot;"/>
    <s v="Ļoti"/>
    <s v="Neinteresē"/>
    <s v="Ļoti"/>
    <s v="Ārkārtīgi"/>
    <s v="Es nebiju dzirdējusi vārdu populisms, tāpēc man nav konkrēta apraksta tam, taču zinu, ka tas saistīts ar politiku un ir ar uzsvaru uz tautu."/>
    <s v="Nē"/>
    <s v="Nē"/>
    <s v="Nē"/>
    <s v="Jā"/>
    <s v="Jā"/>
    <s v="Nē"/>
    <s v="2.."/>
    <n v="24"/>
    <n v="100"/>
    <m/>
    <m/>
    <s v="Drīzāk saspīlētas"/>
    <s v="Mazliet saspīlētas"/>
    <s v="Mazliet saspīlētas"/>
    <s v="(Gandrīz) nekad"/>
    <s v="(Gandrīz) nekad"/>
    <s v="(Gandrīz) nekad"/>
    <s v="(Gandrīz) nekad"/>
    <s v="(Gandrīz) nekad"/>
    <m/>
    <m/>
    <m/>
    <m/>
    <m/>
    <m/>
    <s v="nē"/>
    <s v="N/A"/>
    <s v="N/A"/>
    <s v="N/A"/>
    <s v="N/A"/>
    <s v="Jā"/>
    <s v="Nē"/>
    <s v="Jā"/>
    <s v="Nē"/>
    <s v="Nē"/>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ļoti labi"/>
    <s v="labi"/>
    <s v="labi"/>
    <s v="ļoti labi"/>
    <s v="labi"/>
    <s v="pamatizglītību"/>
    <m/>
    <s v="N/A"/>
    <s v="N/A"/>
    <s v="N/A"/>
    <s v="Jā"/>
    <s v="latviešu"/>
    <m/>
    <s v="latviešu"/>
    <m/>
    <s v="Spēju pastāstīt par savu hobiju / darbu."/>
    <s v="{if(is_empty(tongueLAT_SQ001.NAOK), 'latviski','krieviski')} nemāku rakstīt."/>
    <s v="Viegli saprotu radio programmas / podkāstus par saviem hobijiem / darbības sfēru."/>
    <s v="Spēju izlasīt avīzi / īsstāstus."/>
    <m/>
    <m/>
    <m/>
    <m/>
    <m/>
    <m/>
    <m/>
    <m/>
    <m/>
    <m/>
    <m/>
    <m/>
    <m/>
    <m/>
    <m/>
    <m/>
    <m/>
    <s v="N/A"/>
    <s v="N/A"/>
    <s v="N/A"/>
    <s v="N/A"/>
    <s v="N/A"/>
    <s v="N/A"/>
    <m/>
    <m/>
    <m/>
    <m/>
    <m/>
    <s v="Nē"/>
    <s v="Nē"/>
    <s v="Jā"/>
    <s v="Jā"/>
    <s v="Nē"/>
    <s v="Nē"/>
    <s v="Nē"/>
    <s v="Nē"/>
    <s v="Jā"/>
    <s v="Nē"/>
    <s v="Jā"/>
    <s v="Jā"/>
    <s v="Nē"/>
    <s v="Nē"/>
    <s v="Nē"/>
    <s v="Nē"/>
    <m/>
    <s v="Nē"/>
    <m/>
    <s v="Nē"/>
    <m/>
    <s v="Nē"/>
    <m/>
    <s v="Nē"/>
    <m/>
    <s v="Nē"/>
    <s v="Nē"/>
    <s v="Nē"/>
    <s v="Jā"/>
    <s v="Nē"/>
    <s v="Nē"/>
    <s v="Nē"/>
    <s v="Nē"/>
    <s v="Nē"/>
    <s v="Nē"/>
    <s v="Nē"/>
    <s v="Nē"/>
    <s v="Jā"/>
    <s v="Nē"/>
    <s v="Nē"/>
    <s v="Nē"/>
    <s v="Jā"/>
    <s v="Nē"/>
    <s v="Nē"/>
    <m/>
    <s v="Nē"/>
    <m/>
    <s v="Nē"/>
    <m/>
    <s v="Nē"/>
    <m/>
    <s v="Nē"/>
    <m/>
    <s v="Nē"/>
    <s v="Jā"/>
    <s v="Jā"/>
    <s v="Nē"/>
    <s v="Jā"/>
    <s v="Nē"/>
    <s v="Nē"/>
    <s v="Jā"/>
    <s v="Nē"/>
    <s v="Nē"/>
    <s v="Nē"/>
    <s v="Nē"/>
    <s v="Jā"/>
    <s v="Nē"/>
    <m/>
    <m/>
    <m/>
    <m/>
    <m/>
    <m/>
  </r>
  <r>
    <x v="1"/>
    <n v="229"/>
    <s v="2023-09-15 11:55:32"/>
    <n v="14"/>
    <s v="lv"/>
    <n v="1604225665"/>
    <s v="2023-09-15 11:34:13"/>
    <s v="2023-09-15 11:55:32"/>
    <s v="siers"/>
    <n v="17"/>
    <s v="sieviešu"/>
    <m/>
    <x v="1"/>
    <x v="1"/>
    <x v="0"/>
    <x v="0"/>
    <x v="0"/>
    <x v="0"/>
    <s v="Kurzemē"/>
    <m/>
    <s v="Cita atbilde"/>
    <s v="Luterāni"/>
    <s v="Jā"/>
    <s v="Jā"/>
    <s v="Nē"/>
    <s v="Nē"/>
    <s v="Nē"/>
    <s v="Nē"/>
    <s v="Nē"/>
    <s v="Nē"/>
    <s v="Jā"/>
    <s v="Nē"/>
    <s v="Nē"/>
    <s v="Nē"/>
    <s v="Jā"/>
    <s v="Nē"/>
    <s v="N/A"/>
    <s v="N/A"/>
    <s v="N/A"/>
    <s v="N/A"/>
    <s v="N/A"/>
    <s v="N/A"/>
    <s v="Jā"/>
    <s v="Nē"/>
    <s v="Jā"/>
    <s v="Jā"/>
    <s v="Nē"/>
    <s v="Nē"/>
    <s v="Jā"/>
    <s v="Nē"/>
    <s v="a un b"/>
    <s v="nezinu"/>
    <s v="tikai a"/>
    <s v="a un b"/>
    <s v="tikai b"/>
    <s v="a un b"/>
    <s v="Nevienlīdzīgi"/>
    <s v="Nevienlīdzīgi"/>
    <s v="Nevienlīdzīgi"/>
    <s v="Nevienlīdzīgi"/>
    <s v="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Ļoti"/>
    <s v="Ļoti"/>
    <s v="Ārkārtīgi"/>
    <s v="Nezinu kas ir populisms."/>
    <s v="Jā"/>
    <s v="Nē"/>
    <s v="Nē"/>
    <s v="Jā"/>
    <s v="Jā"/>
    <s v="Nē"/>
    <s v="1.."/>
    <n v="20"/>
    <n v="100"/>
    <m/>
    <m/>
    <s v="Ļoti saspīlētas"/>
    <s v="Drīzāk saspīlētas"/>
    <s v="Mazliet saspīlētas"/>
    <s v="(Gandrīz) nekad"/>
    <s v="(Gandrīz) nekad"/>
    <s v="Reti"/>
    <s v="(Gandrīz) nekad"/>
    <s v="Bieži"/>
    <m/>
    <m/>
    <m/>
    <m/>
    <m/>
    <m/>
    <s v="nē"/>
    <s v="N/A"/>
    <s v="N/A"/>
    <s v="N/A"/>
    <s v="N/A"/>
    <s v="Jā"/>
    <s v="Nē"/>
    <s v="Nē"/>
    <s v="Nē"/>
    <s v="Jā"/>
    <s v="Jā"/>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citreiz labi, citreiz slikti"/>
    <s v="citreiz labi, citreiz slikti"/>
    <s v="slikti"/>
    <s v="citreiz labi, citreiz slikti"/>
    <s v="Knapi / gandrīz necik"/>
    <s v="pamatizglītību"/>
    <m/>
    <s v="N/A"/>
    <s v="N/A"/>
    <s v="N/A"/>
    <s v="Jā"/>
    <s v="latviešu"/>
    <m/>
    <s v="latviešu"/>
    <m/>
    <s v="Spēju veikt pasūtījumu restorānā."/>
    <s v="{if(is_empty(tongueLAT_SQ001.NAOK), 'latviski','krieviski')} nemāku rakstīt."/>
    <s v="Viegli saprotu televīzijas pārraides vai Youtube video par saviem hobijiem / darbības sfēru."/>
    <s v="Es neko nespēju izlasīt {if(is_empty(tongueLAT_SQ001.NAOK), 'latviski','krieviski')}."/>
    <m/>
    <m/>
    <m/>
    <m/>
    <m/>
    <m/>
    <m/>
    <m/>
    <m/>
    <m/>
    <m/>
    <m/>
    <m/>
    <m/>
    <m/>
    <m/>
    <m/>
    <s v="N/A"/>
    <s v="N/A"/>
    <s v="N/A"/>
    <s v="N/A"/>
    <s v="N/A"/>
    <s v="N/A"/>
    <m/>
    <m/>
    <m/>
    <m/>
    <m/>
    <s v="Nē"/>
    <s v="Nē"/>
    <s v="Jā"/>
    <s v="Jā"/>
    <s v="Nē"/>
    <s v="Nē"/>
    <s v="Nē"/>
    <s v="Nē"/>
    <s v="Nē"/>
    <s v="Nē"/>
    <s v="Nē"/>
    <s v="Jā"/>
    <s v="Nē"/>
    <s v="Nē"/>
    <s v="Nē"/>
    <s v="Nē"/>
    <m/>
    <s v="Nē"/>
    <m/>
    <s v="Nē"/>
    <m/>
    <s v="Nē"/>
    <m/>
    <s v="Nē"/>
    <m/>
    <s v="Nē"/>
    <s v="Nē"/>
    <s v="Nē"/>
    <s v="Jā"/>
    <s v="Nē"/>
    <s v="Nē"/>
    <s v="Nē"/>
    <s v="Nē"/>
    <s v="Nē"/>
    <s v="Nē"/>
    <s v="Nē"/>
    <s v="Nē"/>
    <s v="Nē"/>
    <s v="Nē"/>
    <s v="Nē"/>
    <s v="Nē"/>
    <s v="Jā"/>
    <s v="Nē"/>
    <s v="Nē"/>
    <m/>
    <s v="Nē"/>
    <m/>
    <s v="Nē"/>
    <m/>
    <s v="Nē"/>
    <m/>
    <s v="Nē"/>
    <m/>
    <s v="Jā"/>
    <s v="Jā"/>
    <s v="Jā"/>
    <s v="Nē"/>
    <s v="Jā"/>
    <s v="Nē"/>
    <s v="Nē"/>
    <s v="Jā"/>
    <s v="Nē"/>
    <s v="Nē"/>
    <s v="Nē"/>
    <s v="Nē"/>
    <s v="Jā"/>
    <s v="Nē"/>
    <m/>
    <m/>
    <m/>
    <m/>
    <m/>
    <m/>
  </r>
  <r>
    <x v="1"/>
    <n v="230"/>
    <s v="2023-09-15 11:55:06"/>
    <n v="14"/>
    <s v="lv"/>
    <n v="629287385"/>
    <s v="2023-09-15 11:34:55"/>
    <s v="2023-09-15 11:55:06"/>
    <s v="siers"/>
    <n v="17"/>
    <s v="sieviešu"/>
    <m/>
    <x v="1"/>
    <x v="1"/>
    <x v="0"/>
    <x v="0"/>
    <x v="0"/>
    <x v="0"/>
    <s v="Kurzemē"/>
    <m/>
    <s v="ateistu(ti), nereliģiozu"/>
    <m/>
    <s v="Jā"/>
    <s v="Nē"/>
    <s v="Nē"/>
    <s v="Nē"/>
    <s v="Nē"/>
    <s v="Nē"/>
    <s v="Nē"/>
    <s v="Nē"/>
    <s v="Jā"/>
    <s v="Nē"/>
    <s v="Nē"/>
    <s v="Nē"/>
    <s v="Nē"/>
    <s v="Nē"/>
    <s v="N/A"/>
    <s v="N/A"/>
    <s v="N/A"/>
    <s v="N/A"/>
    <s v="N/A"/>
    <s v="N/A"/>
    <s v="Jā"/>
    <s v="N/A"/>
    <s v="N/A"/>
    <s v="N/A"/>
    <s v="N/A"/>
    <s v="N/A"/>
    <s v="N/A"/>
    <s v="Jā"/>
    <s v="nezinu"/>
    <s v="tikai b"/>
    <s v="tikai b"/>
    <s v="nezinu"/>
    <s v="tikai a"/>
    <s v="a un b"/>
    <s v="Lielākoties vienlīdzīgi"/>
    <s v="Nevienlīdzīgi"/>
    <s v="Lielākoties nevienlīdzīgi"/>
    <s v="Lielākoties nevienlīdzīgi"/>
    <s v="Nezinu"/>
    <s v="&quot;Latvija pirmajā vietā&quot;"/>
    <s v="nezinu"/>
    <s v="&quot;Progresīvie&quot;"/>
    <s v="nezinu"/>
    <s v="nezinu"/>
    <s v="Politiskā partija &quot;Stabilitātei&quot;"/>
    <s v="nezinu"/>
    <s v="Cīņai ar klimata pārmaiņām būtu jābūt vairumam pasaules valstu galvenajai prioritātei."/>
    <s v="jā, daļu no tā, ko iespējams šķirot"/>
    <s v="Zaļo un Zemnieku savienība"/>
    <s v="nezinu"/>
    <s v="nezinu"/>
    <s v="nezinu"/>
    <s v="&quot;Apvienotais saraksts&quot;"/>
    <s v="nezinu"/>
    <s v="nezinu"/>
    <s v="nezinu"/>
    <s v="nezinu"/>
    <s v="nezinu"/>
    <s v="nezinu"/>
    <s v="nezinu"/>
    <s v="nezinu"/>
    <s v="nezinu"/>
    <s v="Ne sevišķi"/>
    <s v="Ļoti"/>
    <s v="Ne sevišķi"/>
    <s v="Ļoti"/>
    <m/>
    <s v="Nē"/>
    <s v="Nē"/>
    <s v="Nē"/>
    <s v="Jā"/>
    <s v="Jā"/>
    <s v="Nē"/>
    <s v="1.."/>
    <n v="28"/>
    <n v="41"/>
    <m/>
    <m/>
    <s v="Es nezinu"/>
    <s v="Es nezinu"/>
    <s v="Nav saspīlētas"/>
    <s v="(Gandrīz) nekad"/>
    <s v="(Gandrīz) nekad"/>
    <s v="(Gandrīz) nekad"/>
    <s v="(Gandrīz) nekad"/>
    <s v="(Gandrīz) nekad"/>
    <m/>
    <m/>
    <m/>
    <m/>
    <m/>
    <m/>
    <s v="nē"/>
    <s v="N/A"/>
    <s v="N/A"/>
    <s v="N/A"/>
    <s v="N/A"/>
    <s v="N/A"/>
    <s v="N/A"/>
    <s v="N/A"/>
    <s v="Jā"/>
    <s v="Jā"/>
    <s v="Nē"/>
    <s v="Nē"/>
    <s v="Nē"/>
    <s v="(gandrīz) katru dienu"/>
    <s v="(gandrīz) katru dienu"/>
    <s v="(gandrīz) katru dienu"/>
    <s v="(gandrīz) katru dienu"/>
    <s v="(gandrīz) katru dienu"/>
    <s v="(gandrīz) katru dienu"/>
    <s v="(gandrīz) katru dienu"/>
    <s v="reizi nedēļā"/>
    <s v="pāris reižu nedēļā"/>
    <s v="(gandrīz) nekad"/>
    <s v="pāris reižu nedēļā"/>
    <s v="(gandrīz) nekad"/>
    <s v="reizi nedēļā"/>
    <s v="(gandrīz) nekad"/>
    <s v="vienlīdz pieejama izglītība, veselības aprūpe, sociālais nodrošinājums"/>
    <s v="pilsoniskās brīvības (vārda brīvība, tiesības uz tiesisko aizsardzību)"/>
    <s v="brīvas vēlēšanas un plurālisms"/>
    <m/>
    <m/>
    <s v="nezinu"/>
    <s v="nezinu"/>
    <s v="nezinu"/>
    <s v="nezinu"/>
    <s v="nezinu"/>
    <s v="pamatizglītību"/>
    <m/>
    <s v="N/A"/>
    <s v="N/A"/>
    <s v="N/A"/>
    <s v="Jā"/>
    <s v="latviešu"/>
    <m/>
    <s v="latviešu"/>
    <m/>
    <s v="Spēju pastāstīt par savu hobiju / darbu."/>
    <s v="{if(is_empty(tongueLAT_SQ001.NAOK), 'latviski','krieviski')} nemāku rakstīt."/>
    <s v="Saprotu norādes, kur iet."/>
    <s v="{if(is_empty(tongueLAT_SQ001.NAOK), 'latviski','krieviski')} spēju izlasīt ēdienkarti restorānā."/>
    <m/>
    <m/>
    <m/>
    <m/>
    <m/>
    <m/>
    <m/>
    <m/>
    <m/>
    <m/>
    <m/>
    <m/>
    <m/>
    <m/>
    <m/>
    <m/>
    <m/>
    <s v="N/A"/>
    <s v="N/A"/>
    <s v="N/A"/>
    <s v="N/A"/>
    <s v="N/A"/>
    <s v="N/A"/>
    <m/>
    <m/>
    <m/>
    <m/>
    <m/>
    <s v="Nē"/>
    <s v="Nē"/>
    <s v="Nē"/>
    <s v="Nē"/>
    <s v="Nē"/>
    <s v="Nē"/>
    <s v="Nē"/>
    <s v="Nē"/>
    <s v="Nē"/>
    <s v="Nē"/>
    <s v="Jā"/>
    <s v="Nē"/>
    <s v="Nē"/>
    <s v="Jā"/>
    <s v="Nē"/>
    <s v="Nē"/>
    <m/>
    <s v="Nē"/>
    <m/>
    <s v="Nē"/>
    <m/>
    <s v="Nē"/>
    <m/>
    <s v="Nē"/>
    <m/>
    <s v="Jā"/>
    <s v="Nē"/>
    <s v="Nē"/>
    <s v="Nē"/>
    <s v="Nē"/>
    <s v="Nē"/>
    <s v="Nē"/>
    <s v="Nē"/>
    <s v="Nē"/>
    <s v="Nē"/>
    <s v="Nē"/>
    <s v="Nē"/>
    <s v="Jā"/>
    <s v="Nē"/>
    <s v="Nē"/>
    <s v="Nē"/>
    <s v="Nē"/>
    <s v="Nē"/>
    <s v="Nē"/>
    <m/>
    <s v="Nē"/>
    <m/>
    <s v="Nē"/>
    <m/>
    <s v="Nē"/>
    <m/>
    <s v="Nē"/>
    <m/>
    <s v="Jā"/>
    <s v="Nē"/>
    <s v="Jā"/>
    <s v="Nē"/>
    <s v="Jā"/>
    <s v="Nē"/>
    <s v="Nē"/>
    <s v="Jā"/>
    <s v="Nē"/>
    <s v="Nē"/>
    <s v="Nē"/>
    <s v="Nē"/>
    <s v="Jā"/>
    <s v="Nē"/>
    <m/>
    <m/>
    <m/>
    <m/>
    <m/>
    <m/>
  </r>
  <r>
    <x v="1"/>
    <n v="231"/>
    <s v="2023-09-15 12:01:25"/>
    <n v="14"/>
    <s v="lv"/>
    <n v="1593450215"/>
    <s v="2023-09-15 11:35:31"/>
    <s v="2023-09-15 12:01:25"/>
    <s v="siers"/>
    <n v="17"/>
    <s v="sieviešu"/>
    <m/>
    <x v="1"/>
    <x v="1"/>
    <x v="0"/>
    <x v="0"/>
    <x v="0"/>
    <x v="0"/>
    <s v="Kurzemē"/>
    <m/>
    <s v="ateistu(ti), nereliģiozu"/>
    <m/>
    <s v="Jā"/>
    <s v="Jā"/>
    <s v="Nē"/>
    <s v="Nē"/>
    <s v="Nē"/>
    <s v="Nē"/>
    <s v="Nē"/>
    <s v="Nē"/>
    <s v="Jā"/>
    <s v="Nē"/>
    <s v="Nē"/>
    <s v="Nē"/>
    <s v="Jā"/>
    <s v="Nē"/>
    <s v="N/A"/>
    <s v="N/A"/>
    <s v="N/A"/>
    <s v="N/A"/>
    <s v="N/A"/>
    <s v="N/A"/>
    <s v="Jā"/>
    <s v="Jā"/>
    <s v="Nē"/>
    <s v="Jā"/>
    <s v="Nē"/>
    <s v="Nē"/>
    <s v="Jā"/>
    <s v="Nē"/>
    <s v="nezinu"/>
    <s v="nezinu"/>
    <s v="nezinu"/>
    <s v="nezinu"/>
    <s v="nezinu"/>
    <s v="nezinu"/>
    <s v="Lielākoties nevienlīdzīgi"/>
    <s v="Nevienlīdzīgi"/>
    <s v="Lielākoties vienlīdzīgi"/>
    <s v="Lielākoties nevienlīdzīgi"/>
    <s v="Nevienlīdzīgi"/>
    <s v="nezinu"/>
    <s v="nezinu"/>
    <s v="&quot;Latvija pirmajā vietā&quot;"/>
    <s v="nezinu"/>
    <s v="nezinu"/>
    <s v="Jaunā Vienotība"/>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Ārkārtīgi"/>
    <s v="Ļoti"/>
    <s v="Ārkārtīgi"/>
    <s v="Nezinu, bet, manuprāt, kaut nkas saistīts ar viedokli, kuru kāds ir izteicis un tās personas padotie seko tam viedoklim."/>
    <s v="Jā"/>
    <s v="Nē"/>
    <s v="Nē"/>
    <s v="Jā"/>
    <s v="Jā"/>
    <s v="Nē"/>
    <s v="1.."/>
    <n v="60"/>
    <n v="86"/>
    <m/>
    <m/>
    <s v="Drīzāk saspīlētas"/>
    <s v="Mazliet saspīlētas"/>
    <s v="Nav saspīlētas"/>
    <s v="Bieži"/>
    <s v="(Gandrīz) nekad"/>
    <s v="Nezinu"/>
    <s v="Nezinu"/>
    <s v="Bieži"/>
    <m/>
    <m/>
    <m/>
    <m/>
    <m/>
    <s v="Vasarā es strādāju kioskiņā, kur bieži nāca tūristi, kuri ar mani runāja krieviski, es nesaprotu krievu valodu, tāpēc pārgājām uz vācu vai angļu valodu. Kundzītes gados nākot pie manis atteicās ar mani runāt latviski un nolamāja mani par to, ka Latvijā būtu visiem jāmācās krievu valoda, nevis otrādi. Esmu nepareizi uzaudzināta. Sapratu, ko kundzītes teica, ja, kad paskaidroju, ka nemāku krievu valodu, viņas piekāpās un sāka ar mani runāt latviski un lamāt krieviski."/>
    <s v="jā, pašvaldības iestādē"/>
    <s v="Jā"/>
    <s v="Nē"/>
    <s v="Jā"/>
    <s v="Nē"/>
    <s v="Jā"/>
    <s v="Jā"/>
    <s v="Jā"/>
    <s v="Nē"/>
    <s v="Jā"/>
    <s v="Nē"/>
    <s v="Nē"/>
    <s v="Nē"/>
    <s v="(gandrīz) katru dienu"/>
    <s v="(gandrīz) katru dienu"/>
    <s v="(gandrīz) katru dienu"/>
    <s v="(gandrīz) katru dienu"/>
    <s v="(gandrīz) katru dienu"/>
    <s v="(gandrīz) katru dienu"/>
    <s v="(gandrīz) katru dienu"/>
    <s v="(gandrīz) nekad"/>
    <s v="(gandrīz) nekad"/>
    <s v="pāris reižu nedēļā"/>
    <s v="pāris reižu nedēļā"/>
    <s v="(gandrīz) nekad"/>
    <s v="(gandrīz) nekad"/>
    <s v="pāris reižu nedēļā"/>
    <s v="vienlīdzīgas tiesības minoritātēm un ievainojamām sabiedrības grupām"/>
    <s v="vienlīdz pieejama izglītība, veselības aprūpe, sociālais nodrošinājums"/>
    <s v="varas līdzsvars starp parlamentu, prezidentu un tiesām, lai neviena no institūcijām nespētu sevī koncentrēt lielāko daļu varas"/>
    <m/>
    <m/>
    <s v="nezinu"/>
    <s v="nezinu"/>
    <s v="nezinu"/>
    <s v="nezinu"/>
    <s v="nezinu"/>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Jā"/>
    <s v="Nē"/>
    <s v="Nē"/>
    <s v="Nē"/>
    <s v="Nē"/>
    <s v="Jā"/>
    <s v="Nē"/>
    <s v="Nē"/>
    <s v="Jā"/>
    <s v="Nē"/>
    <s v="Jā"/>
    <s v="Nē"/>
    <s v="Nē"/>
    <m/>
    <s v="Nē"/>
    <m/>
    <s v="Nē"/>
    <m/>
    <s v="Nē"/>
    <m/>
    <s v="Nē"/>
    <m/>
    <s v="Jā"/>
    <s v="Nē"/>
    <s v="Nē"/>
    <s v="Nē"/>
    <s v="Jā"/>
    <s v="Nē"/>
    <s v="Nē"/>
    <s v="Nē"/>
    <s v="Nē"/>
    <s v="Nē"/>
    <s v="Jā"/>
    <s v="Nē"/>
    <s v="Jā"/>
    <s v="Nē"/>
    <s v="Nē"/>
    <s v="Nē"/>
    <s v="Jā"/>
    <s v="Nē"/>
    <s v="Nē"/>
    <m/>
    <s v="Nē"/>
    <m/>
    <s v="Nē"/>
    <m/>
    <s v="Nē"/>
    <m/>
    <s v="Nē"/>
    <m/>
    <s v="Jā"/>
    <s v="Jā"/>
    <s v="Jā"/>
    <s v="Nē"/>
    <s v="Jā"/>
    <s v="Nē"/>
    <s v="Nē"/>
    <s v="Jā"/>
    <s v="Jā"/>
    <s v="Jā"/>
    <s v="Jā"/>
    <s v="Nē"/>
    <s v="Jā"/>
    <s v="Nē"/>
    <m/>
    <m/>
    <m/>
    <m/>
    <m/>
    <m/>
  </r>
  <r>
    <x v="1"/>
    <n v="234"/>
    <s v="2023-09-15 11:58:45"/>
    <n v="14"/>
    <s v="ru"/>
    <n v="702487594"/>
    <s v="2023-09-15 11:42:11"/>
    <s v="2023-09-15 11:58:45"/>
    <s v="книга"/>
    <n v="17"/>
    <s v="sieviešu"/>
    <m/>
    <x v="1"/>
    <x v="0"/>
    <x v="0"/>
    <x v="0"/>
    <x v="0"/>
    <x v="0"/>
    <s v="Kurzemē"/>
    <m/>
    <s v="ateistu(ti), nereliģiozu"/>
    <m/>
    <s v="Jā"/>
    <s v="Nē"/>
    <s v="Nē"/>
    <s v="Nē"/>
    <s v="Nē"/>
    <s v="Nē"/>
    <s v="Nē"/>
    <s v="Jā"/>
    <s v="Nē"/>
    <s v="Nē"/>
    <s v="Nē"/>
    <s v="Nē"/>
    <s v="Nē"/>
    <s v="Nē"/>
    <s v="N/A"/>
    <s v="N/A"/>
    <s v="N/A"/>
    <s v="N/A"/>
    <s v="N/A"/>
    <s v="N/A"/>
    <s v="Jā"/>
    <s v="Jā"/>
    <s v="Jā"/>
    <s v="Jā"/>
    <s v="Nē"/>
    <s v="Nē"/>
    <s v="Nē"/>
    <s v="Nē"/>
    <s v="nezinu"/>
    <s v="nezinu"/>
    <s v="nezinu"/>
    <s v="nezinu"/>
    <s v="nezinu"/>
    <s v="nezinu"/>
    <s v="Lielākoties nevienlīdzīgi"/>
    <s v="Lielākoties vienlīdzīgi"/>
    <s v="Lielākoties vienlīdzīgi"/>
    <s v="Nezinu"/>
    <s v="Nezinu"/>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Neinteresē"/>
    <s v="Ne sevišķi"/>
    <s v="Viduvēji"/>
    <s v="Не знаю"/>
    <s v="Nē"/>
    <s v="Nē"/>
    <s v="Nē"/>
    <s v="Jā"/>
    <s v="Nē"/>
    <s v="Nē"/>
    <s v="2.."/>
    <n v="41"/>
    <n v="79"/>
    <n v="71"/>
    <n v="54"/>
    <s v="Nav saspīlētas"/>
    <s v="Nav saspīlētas"/>
    <s v="Nav saspīlētas"/>
    <s v="Nezinu"/>
    <s v="(Gandrīz) nekad"/>
    <s v="Nezinu"/>
    <s v="Nezinu"/>
    <s v="(Gandrīz) nekad"/>
    <s v="Reti"/>
    <s v="(Gandrīz) nekad"/>
    <s v="(Gandrīz) nekad"/>
    <s v="Nezinu"/>
    <s v="(Gandrīz) nekad"/>
    <s v="Использую этот язык чтобы общаться с одной частью русскоговорящей семьи."/>
    <s v="nē"/>
    <s v="N/A"/>
    <s v="N/A"/>
    <s v="N/A"/>
    <s v="N/A"/>
    <s v="N/A"/>
    <s v="N/A"/>
    <s v="N/A"/>
    <s v="Jā"/>
    <s v="N/A"/>
    <s v="N/A"/>
    <s v="N/A"/>
    <s v="Jā"/>
    <s v="(gandrīz) katru dienu"/>
    <s v="(gandrīz) katru dienu"/>
    <s v="(gandrīz) katru dienu"/>
    <s v="pāris reižu nedēļā"/>
    <s v="(gandrīz) katru dienu"/>
    <s v="(gandrīz) nekad"/>
    <s v="pāris reižu nedēļā"/>
    <s v="pāris reižu nedēļā"/>
    <s v="(gandrīz) nekad"/>
    <s v="(gandrīz) nekad"/>
    <s v="(gandrīz) katru dienu"/>
    <s v="(gandrīz) nekad"/>
    <s v="pāris reižu nedēļā"/>
    <s v="pāris reižu nedēļā"/>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citreiz labi, citreiz slikti"/>
    <s v="citreiz labi, citreiz slikti"/>
    <s v="nezinu"/>
    <s v="nezinu"/>
    <s v="pamat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Jā"/>
    <s v="Jā"/>
    <s v="Nē"/>
    <s v="Nē"/>
    <s v="Jā"/>
    <s v="Nē"/>
    <s v="Nē"/>
    <m/>
    <s v="Nē"/>
    <m/>
    <s v="Nē"/>
    <m/>
    <s v="Nē"/>
    <m/>
    <s v="Nē"/>
    <m/>
    <s v="Jā"/>
    <s v="Nē"/>
    <s v="Nē"/>
    <s v="Nē"/>
    <s v="Jā"/>
    <s v="Jā"/>
    <s v="Nē"/>
    <s v="Jā"/>
    <s v="Nē"/>
    <s v="Nē"/>
    <s v="Nē"/>
    <s v="Nē"/>
    <s v="Nē"/>
    <s v="Nē"/>
    <m/>
    <m/>
    <m/>
    <m/>
    <m/>
    <m/>
  </r>
  <r>
    <x v="1"/>
    <n v="235"/>
    <s v="2023-09-15 12:17:44"/>
    <n v="14"/>
    <s v="ru"/>
    <n v="1748971819"/>
    <s v="2023-09-15 12:05:42"/>
    <s v="2023-09-15 12:17:44"/>
    <s v="столб"/>
    <n v="16"/>
    <s v="vīriešu"/>
    <m/>
    <x v="0"/>
    <x v="0"/>
    <x v="0"/>
    <x v="0"/>
    <x v="0"/>
    <x v="0"/>
    <s v="Cita atbilde"/>
    <s v="Санкт-Петербург"/>
    <s v="pareizticīgo"/>
    <m/>
    <s v="Jā"/>
    <s v="Nē"/>
    <s v="Nē"/>
    <s v="Nē"/>
    <s v="Nē"/>
    <s v="Nē"/>
    <s v="Nē"/>
    <s v="Jā"/>
    <s v="Nē"/>
    <s v="Nē"/>
    <s v="Nē"/>
    <s v="Nē"/>
    <s v="Nē"/>
    <s v="Nē"/>
    <s v="Nē"/>
    <s v="Nē"/>
    <s v="Nē"/>
    <s v="Nē"/>
    <s v="Jā"/>
    <s v="Nē"/>
    <s v="Nē"/>
    <s v="Nē"/>
    <s v="Nē"/>
    <s v="Jā"/>
    <s v="Nē"/>
    <s v="Nē"/>
    <s v="Nē"/>
    <s v="Nē"/>
    <s v="a un b"/>
    <s v="nezinu"/>
    <s v="tikai b"/>
    <s v="tikai a"/>
    <s v="ne a, ne b"/>
    <s v="tikai a"/>
    <s v="Vienlīdzīgi"/>
    <s v="Vienlīdzīgi"/>
    <s v="Vienlīdzīgi"/>
    <s v="Vienlīdzīgi"/>
    <s v="Lielākoties nevienlīdzīgi"/>
    <s v="nezinu"/>
    <s v="nezinu"/>
    <s v="Politiskā partija &quot;Stabilitātei&quot;"/>
    <s v="Politiskā partija &quot;Stabilitātei&quot;"/>
    <s v="Jaunā Vienotība"/>
    <s v="&quot;Progresīvie&quot;"/>
    <s v="Zaļo un Zemnieku savienība"/>
    <s v="Reizēm ekonomiskā un valsts stabilitāte varētu nozīmēt, ka atsevišķi ekoloģiskās politikas aspekti ir uz brīdi jāiepauzē."/>
    <s v="jā, daļu no tā, ko iespējams šķirot"/>
    <s v="Zaļo un Zemnieku savienība"/>
    <s v="nezinu"/>
    <s v="nezinu"/>
    <s v="&quot;Latvija pirmajā vietā&quot;"/>
    <s v="nezinu"/>
    <s v="nezinu"/>
    <s v="nezinu"/>
    <s v="nezinu"/>
    <s v="nezinu"/>
    <s v="&quot;Apvienotais saraksts&quot;"/>
    <s v="Jaunā Vienotība"/>
    <s v="Zaļo un Zemnieku savienība"/>
    <s v="Jaunā Vienotība"/>
    <s v="Politiskā partija &quot;Stabilitātei&quot;"/>
    <s v="Neinteresē"/>
    <s v="Viduvēji"/>
    <s v="Viduvēji"/>
    <s v="Ļoti"/>
    <s v="Не знаю"/>
    <s v="Jā"/>
    <s v="Nē"/>
    <s v="Jā"/>
    <s v="Nē"/>
    <s v="Nē"/>
    <s v="Nē"/>
    <s v="1.............."/>
    <n v="100"/>
    <n v="1"/>
    <n v="69"/>
    <n v="100"/>
    <s v="Nav saspīlētas"/>
    <s v="Mazliet saspīlētas"/>
    <s v="Es nezinu"/>
    <s v="Nezinu"/>
    <s v="Reti"/>
    <s v="Reti"/>
    <s v="Dažreiz"/>
    <s v="Dažreiz"/>
    <s v="Nezinu"/>
    <s v="Nezinu"/>
    <s v="(Gandrīz) nekad"/>
    <s v="(Gandrīz) nekad"/>
    <s v="Reti"/>
    <s v="Не знаю"/>
    <s v="nē"/>
    <s v="N/A"/>
    <s v="N/A"/>
    <s v="N/A"/>
    <s v="N/A"/>
    <s v="N/A"/>
    <s v="N/A"/>
    <s v="N/A"/>
    <s v="Jā"/>
    <s v="Nē"/>
    <s v="Jā"/>
    <s v="Nē"/>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brīvas vēlēšanas un plurālisms"/>
    <s v="varas līdzsvars starp parlamentu, prezidentu un tiesām, lai neviena no institūcijām nespētu sevī koncentrēt lielāko daļu varas"/>
    <s v="vienlīdzīgas tiesības minoritātēm un ievainojamām sabiedrības grupām"/>
    <m/>
    <m/>
    <s v="nezinu"/>
    <s v="nezinu"/>
    <s v="nezinu"/>
    <s v="nezinu"/>
    <s v="nezinu"/>
    <s v="vidējo izglītību"/>
    <m/>
    <s v="Nē"/>
    <s v="Jā"/>
    <s v="Nē"/>
    <s v="Nē"/>
    <s v="krievu"/>
    <m/>
    <s v="kriev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Jā"/>
    <s v="Nē"/>
    <s v="Nē"/>
    <s v="Nē"/>
    <s v="Nē"/>
    <s v="Jā"/>
    <s v="Nē"/>
    <m/>
    <s v="Nē"/>
    <m/>
    <s v="Nē"/>
    <m/>
    <s v="Jā"/>
    <s v="Стс"/>
    <s v="Nē"/>
    <m/>
    <s v="Nē"/>
    <s v="Nē"/>
    <s v="Nē"/>
    <s v="Nē"/>
    <s v="Nē"/>
    <s v="Nē"/>
    <s v="Nē"/>
    <s v="Nē"/>
    <s v="Nē"/>
    <s v="Nē"/>
    <s v="Nē"/>
    <s v="Nē"/>
    <s v="Nē"/>
    <s v="Nē"/>
    <s v="Nē"/>
    <s v="Nē"/>
    <s v="Nē"/>
    <s v="Nē"/>
    <s v="Jā"/>
    <m/>
    <s v="Nē"/>
    <m/>
    <s v="Nē"/>
    <m/>
    <s v="Nē"/>
    <m/>
    <s v="Nē"/>
    <m/>
    <s v="Jā"/>
    <s v="Nē"/>
    <s v="Nē"/>
    <s v="Jā"/>
    <s v="Jā"/>
    <s v="Jā"/>
    <s v="Nē"/>
    <s v="Jā"/>
    <s v="Nē"/>
    <s v="Nē"/>
    <s v="Nē"/>
    <s v="Nē"/>
    <s v="Nē"/>
    <s v="Nē"/>
    <m/>
    <m/>
    <m/>
    <m/>
    <m/>
    <m/>
  </r>
  <r>
    <x v="0"/>
    <n v="236"/>
    <s v="2023-09-18 08:20:02"/>
    <n v="14"/>
    <s v="lv"/>
    <n v="1439671867"/>
    <s v="2023-09-18 08:04:38"/>
    <s v="2023-09-18 08:20:02"/>
    <s v="ledus"/>
    <n v="15"/>
    <s v="sieviešu"/>
    <m/>
    <x v="1"/>
    <x v="1"/>
    <x v="0"/>
    <x v="0"/>
    <x v="0"/>
    <x v="0"/>
    <s v="Rīgā / Rīgas rajonā"/>
    <m/>
    <s v="protestantu(ti)"/>
    <m/>
    <s v="Jā"/>
    <s v="Nē"/>
    <s v="Nē"/>
    <s v="Nē"/>
    <s v="Nē"/>
    <s v="Nē"/>
    <s v="Nē"/>
    <s v="Nē"/>
    <s v="Nē"/>
    <s v="Nē"/>
    <s v="Jā"/>
    <s v="Nē"/>
    <s v="Nē"/>
    <s v="Nē"/>
    <s v="Nē"/>
    <s v="Nē"/>
    <s v="Jā"/>
    <s v="Nē"/>
    <s v="Nē"/>
    <s v="Nē"/>
    <s v="Nē"/>
    <s v="Jā"/>
    <s v="Nē"/>
    <s v="Nē"/>
    <s v="Nē"/>
    <s v="Nē"/>
    <s v="Nē"/>
    <s v="Nē"/>
    <s v="tikai b"/>
    <s v="a un b"/>
    <s v="ne a, ne b"/>
    <s v="tikai a"/>
    <s v="tikai a"/>
    <s v="a un b"/>
    <s v="Lielākoties nevienlīdzīgi"/>
    <s v="Lielākoties nevienlīdzīgi"/>
    <s v="Lielākoties vienlīdzīgi"/>
    <s v="Lielākoties nevienlīdzīgi"/>
    <s v="Nevienlīdzīgi"/>
    <s v="nezinu"/>
    <s v="nezinu"/>
    <s v="Politiskā partija &quot;Stabilitātei&quot;"/>
    <s v="nezinu"/>
    <s v="nezinu"/>
    <s v="nezinu"/>
    <s v="nezinu"/>
    <s v="Reizēm ekonomiskā un valsts stabilitāte varētu nozīmēt, ka atsevišķi ekoloģiskās politikas aspekti ir uz brīdi jāiepauzē."/>
    <s v="jā, lielāko daļu no tā, ko iespējams šķirot"/>
    <s v="Zaļo un Zemnieku savienība"/>
    <s v="nezinu"/>
    <s v="nezinu"/>
    <s v="nezinu"/>
    <s v="nezinu"/>
    <s v="nezinu"/>
    <s v="nezinu"/>
    <s v="nezinu"/>
    <s v="nezinu"/>
    <s v="nezinu"/>
    <s v="nezinu"/>
    <s v="nezinu"/>
    <s v="nezinu"/>
    <s v="nezinu"/>
    <s v="Ne sevišķi"/>
    <s v="Ne sevišķi"/>
    <s v="Viduvēji"/>
    <s v="Viduvēji"/>
    <s v="nezinu"/>
    <s v="Nē"/>
    <s v="Nē"/>
    <s v="Nē"/>
    <s v="Jā"/>
    <s v="Jā"/>
    <s v="Nē"/>
    <s v="2....."/>
    <n v="100"/>
    <n v="100"/>
    <m/>
    <m/>
    <s v="Nav saspīlētas"/>
    <s v="Nav saspīlētas"/>
    <s v="Drīzāk saspīlētas"/>
    <s v="(Gandrīz) nekad"/>
    <s v="(Gandrīz) nekad"/>
    <s v="(Gandrīz) nekad"/>
    <s v="(Gandrīz) nekad"/>
    <s v="(Gandrīz) nekad"/>
    <m/>
    <m/>
    <m/>
    <m/>
    <m/>
    <m/>
    <s v="jā, valsts iestādē"/>
    <s v="N/A"/>
    <s v="N/A"/>
    <s v="N/A"/>
    <s v="Jā"/>
    <s v="Nē"/>
    <s v="Jā"/>
    <s v="Nē"/>
    <s v="Nē"/>
    <s v="Jā"/>
    <s v="Nē"/>
    <s v="Jā"/>
    <s v="Nē"/>
    <s v="(gandrīz) katru dienu"/>
    <s v="(gandrīz) katru dienu"/>
    <s v="(gandrīz) katru dienu"/>
    <s v="(gandrīz) katru dienu"/>
    <s v="(gandrīz) katru dienu"/>
    <s v="(gandrīz) katru dienu"/>
    <s v="(gandrīz) katru dienu"/>
    <s v="pāris reižu mēnesī"/>
    <s v="(gandrīz) nekad"/>
    <s v="(gandrīz) nekad"/>
    <s v="(gandrīz) nekad"/>
    <s v="(gandrīz) nekad"/>
    <s v="(gandrīz) nekad"/>
    <s v="reizi nedēļā"/>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citreiz labi, citreiz slikti"/>
    <s v="citreiz labi, citreiz slikti"/>
    <s v="citreiz labi, citreiz slikti"/>
    <s v="citreiz labi, citreiz slikti"/>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garus tekstus par vēstures, politikas un zinātnes tēmām."/>
    <m/>
    <m/>
    <m/>
    <m/>
    <m/>
    <m/>
    <m/>
    <m/>
    <m/>
    <m/>
    <m/>
    <m/>
    <m/>
    <m/>
    <m/>
    <m/>
    <m/>
    <s v="N/A"/>
    <s v="N/A"/>
    <s v="N/A"/>
    <s v="N/A"/>
    <s v="N/A"/>
    <s v="N/A"/>
    <m/>
    <m/>
    <m/>
    <m/>
    <m/>
    <s v="Jā"/>
    <s v="Nē"/>
    <s v="Nē"/>
    <s v="Jā"/>
    <s v="Nē"/>
    <s v="Nē"/>
    <s v="Nē"/>
    <s v="Nē"/>
    <s v="Nē"/>
    <s v="Nē"/>
    <s v="Nē"/>
    <s v="Jā"/>
    <s v="Nē"/>
    <s v="Nē"/>
    <s v="Nē"/>
    <s v="Nē"/>
    <m/>
    <s v="Nē"/>
    <m/>
    <s v="Nē"/>
    <m/>
    <s v="Nē"/>
    <m/>
    <s v="Nē"/>
    <m/>
    <s v="Jā"/>
    <s v="Nē"/>
    <s v="Nē"/>
    <s v="Jā"/>
    <s v="Nē"/>
    <s v="Nē"/>
    <s v="Nē"/>
    <s v="Nē"/>
    <s v="Nē"/>
    <s v="Nē"/>
    <s v="Nē"/>
    <s v="Nē"/>
    <s v="Jā"/>
    <s v="Nē"/>
    <s v="Nē"/>
    <s v="Nē"/>
    <s v="Nē"/>
    <s v="Nē"/>
    <s v="Nē"/>
    <m/>
    <s v="Nē"/>
    <m/>
    <s v="Nē"/>
    <m/>
    <s v="Nē"/>
    <m/>
    <s v="Nē"/>
    <m/>
    <s v="Jā"/>
    <s v="Jā"/>
    <s v="Jā"/>
    <s v="Nē"/>
    <s v="Nē"/>
    <s v="Nē"/>
    <s v="Nē"/>
    <s v="Jā"/>
    <s v="Nē"/>
    <s v="Nē"/>
    <s v="Nē"/>
    <s v="Nē"/>
    <s v="Nē"/>
    <s v="Nē"/>
    <m/>
    <m/>
    <m/>
    <m/>
    <m/>
    <m/>
  </r>
  <r>
    <x v="0"/>
    <n v="237"/>
    <s v="2023-09-18 08:37:32"/>
    <n v="14"/>
    <s v="lv"/>
    <n v="1466205689"/>
    <s v="2023-09-18 08:04:43"/>
    <s v="2023-09-18 08:37:32"/>
    <s v="ledus"/>
    <n v="17"/>
    <s v="vīriešu"/>
    <m/>
    <x v="1"/>
    <x v="1"/>
    <x v="0"/>
    <x v="0"/>
    <x v="0"/>
    <x v="0"/>
    <s v="Rīgā / Rīgas rajonā"/>
    <m/>
    <s v="Cita atbilde"/>
    <s v="Es neizvēlos sev releģiju, es ticu sev."/>
    <s v="Nē"/>
    <s v="Nē"/>
    <s v="Jā"/>
    <s v="Nē"/>
    <s v="Nē"/>
    <s v="Nē"/>
    <s v="Nē"/>
    <s v="Jā"/>
    <s v="Jā"/>
    <s v="Jā"/>
    <s v="Nē"/>
    <s v="Jā"/>
    <s v="Nē"/>
    <s v="Nē"/>
    <s v="Jā"/>
    <s v="Nē"/>
    <s v="Nē"/>
    <s v="Nē"/>
    <s v="Jā"/>
    <s v="Nē"/>
    <s v="Nē"/>
    <s v="Jā"/>
    <s v="Jā"/>
    <s v="Nē"/>
    <s v="Nē"/>
    <s v="Jā"/>
    <s v="Nē"/>
    <s v="Nē"/>
    <s v="tikai b"/>
    <s v="tikai b"/>
    <s v="tikai a"/>
    <s v="tikai b"/>
    <s v="tikai b"/>
    <s v="tikai a"/>
    <s v="Vienlīdzīgi"/>
    <s v="Vienlīdzīgi"/>
    <s v="Vienlīdzīgi"/>
    <s v="Vienlīdzīgi"/>
    <s v="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Neinteresē"/>
    <s v="Neinteresē"/>
    <s v="Neinteresē"/>
    <s v="Neinteresē"/>
    <s v="Populisms - Politiķis, kurš cenšas pavērst sabiedrību pret augstākajiem cilvēkiem."/>
    <s v="Nē"/>
    <s v="Nē"/>
    <s v="Jā"/>
    <s v="Jā"/>
    <s v="Jā"/>
    <s v="Nē"/>
    <s v="1.."/>
    <n v="1"/>
    <n v="100"/>
    <m/>
    <m/>
    <s v="Nav saspīlētas"/>
    <s v="Nav saspīlētas"/>
    <s v="Nav saspīlētas"/>
    <s v="(Gandrīz) nekad"/>
    <s v="(Gandrīz) nekad"/>
    <s v="(Gandrīz) nekad"/>
    <s v="(Gandrīz) nekad"/>
    <s v="(Gandrīz) nekad"/>
    <m/>
    <m/>
    <m/>
    <m/>
    <m/>
    <m/>
    <s v="jā, valsts iestādē"/>
    <s v="N/A"/>
    <s v="N/A"/>
    <s v="N/A"/>
    <s v="Jā"/>
    <s v="N/A"/>
    <s v="N/A"/>
    <s v="N/A"/>
    <s v="Jā"/>
    <s v="N/A"/>
    <s v="N/A"/>
    <s v="N/A"/>
    <s v="Jā"/>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nezinu"/>
    <s v="ļoti labi"/>
    <s v="ļoti labi"/>
    <s v="nezinu"/>
    <s v="nezinu"/>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Nē"/>
    <s v="Nē"/>
    <s v="Nē"/>
    <s v="Nē"/>
    <s v="Nē"/>
    <s v="Nē"/>
    <s v="Nē"/>
    <s v="Nē"/>
    <s v="Nē"/>
    <s v="Jā"/>
    <m/>
    <s v="Nē"/>
    <m/>
    <s v="Nē"/>
    <m/>
    <s v="Nē"/>
    <m/>
    <s v="Nē"/>
    <m/>
    <s v="Jā"/>
    <s v="Jā"/>
    <s v="Nē"/>
    <s v="Nē"/>
    <s v="Jā"/>
    <s v="Jā"/>
    <s v="Nē"/>
    <s v="Jā"/>
    <s v="Jā"/>
    <s v="Nē"/>
    <s v="Nē"/>
    <s v="Nē"/>
    <s v="Jā"/>
    <s v="Nē"/>
    <m/>
    <m/>
    <m/>
    <m/>
    <m/>
    <m/>
  </r>
  <r>
    <x v="0"/>
    <n v="238"/>
    <s v="2023-09-18 08:29:50"/>
    <n v="14"/>
    <s v="lv"/>
    <n v="1654974193"/>
    <s v="2023-09-18 08:04:46"/>
    <s v="2023-09-18 08:29:50"/>
    <s v="ledus"/>
    <n v="17"/>
    <s v="sieviešu"/>
    <m/>
    <x v="1"/>
    <x v="1"/>
    <x v="0"/>
    <x v="0"/>
    <x v="0"/>
    <x v="0"/>
    <s v="Rīgā / Rīgas rajonā"/>
    <m/>
    <s v="ateistu(ti), nereliģiozu"/>
    <m/>
    <s v="Jā"/>
    <s v="Jā"/>
    <s v="Jā"/>
    <s v="Nē"/>
    <s v="Nē"/>
    <s v="Nē"/>
    <s v="Nē"/>
    <s v="Nē"/>
    <s v="Jā"/>
    <s v="Nē"/>
    <s v="Nē"/>
    <s v="Nē"/>
    <s v="Jā"/>
    <s v="Nē"/>
    <s v="Jā"/>
    <s v="Nē"/>
    <s v="Jā"/>
    <s v="Nē"/>
    <s v="Nē"/>
    <s v="Nē"/>
    <s v="Nē"/>
    <s v="Jā"/>
    <s v="Jā"/>
    <s v="Jā"/>
    <s v="Jā"/>
    <s v="Jā"/>
    <s v="Jā"/>
    <s v="Nē"/>
    <s v="a un b"/>
    <s v="tikai b"/>
    <s v="ne a, ne b"/>
    <s v="tikai a"/>
    <s v="a un b"/>
    <s v="tikai a"/>
    <s v="Lielākoties vienlīdzīgi"/>
    <s v="Lielākoties nevienlīdzīgi"/>
    <s v="Lielākoties vienlīdzīgi"/>
    <s v="Lielākoties vienlīdzīgi"/>
    <s v="Lielākoties nevienlīdzīgi"/>
    <s v="nezinu"/>
    <s v="nezinu"/>
    <s v="Nacionālā Apvienība"/>
    <s v="Zaļo un Zemnieku savienība"/>
    <s v="&quot;Progresīvie&quot;"/>
    <s v="Jaunā Vienotība"/>
    <s v="nezinu"/>
    <s v="Cīņai ar klimata pārmaiņām būtu jābūt vairumam pasaules valstu galvenajai prioritātei."/>
    <s v="jā, visu, ko iespējams šķirot"/>
    <s v="nezinu"/>
    <s v="Politiskā partija &quot;Stabilitātei&quot;"/>
    <s v="Nacionālā Apvienība"/>
    <s v="&quot;Apvienotais saraksts&quot;"/>
    <s v="Jaunā Vienotība"/>
    <s v="&quot;Latvija pirmajā vietā&quot;"/>
    <s v="nezinu"/>
    <s v="Jaunā Vienotība"/>
    <s v="Politiskā partija &quot;Stabilitātei&quot;"/>
    <s v="&quot;Progresīvie&quot;"/>
    <s v="&quot;Apvienotais saraksts&quot;"/>
    <s v="&quot;Latvija pirmajā vietā&quot;"/>
    <s v="Nacionālā Apvienība"/>
    <s v="nezinu"/>
    <s v="Viduvēji"/>
    <s v="Ļoti"/>
    <s v="Viduvēji"/>
    <s v="Ārkārtīgi"/>
    <s v="Nezinu"/>
    <s v="Jā"/>
    <s v="Nē"/>
    <s v="Nē"/>
    <s v="Nē"/>
    <s v="Nē"/>
    <s v="Nē"/>
    <s v="1.."/>
    <n v="100"/>
    <n v="100"/>
    <m/>
    <m/>
    <s v="Drīzāk saspīlētas"/>
    <s v="Ļoti saspīlētas"/>
    <s v="Ļoti saspīlētas"/>
    <s v="(Gandrīz) nekad"/>
    <s v="(Gandrīz) nekad"/>
    <s v="(Gandrīz) nekad"/>
    <s v="(Gandrīz) nekad"/>
    <s v="(Gandrīz) nekad"/>
    <m/>
    <m/>
    <m/>
    <m/>
    <m/>
    <m/>
    <s v="jā, valsts iestādē"/>
    <s v="Nē"/>
    <s v="Jā"/>
    <s v="Nē"/>
    <s v="Nē"/>
    <s v="Nē"/>
    <s v="Nē"/>
    <s v="Jā"/>
    <s v="Nē"/>
    <s v="Nē"/>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pilsoniskās brīvības (vārda brīvība, tiesības uz tiesisko aizsardzību)"/>
    <s v="vienlīdzīgas tiesības minoritātēm un ievainojamām sabiedrības grupām"/>
    <m/>
    <m/>
    <s v="labi"/>
    <s v="labi"/>
    <s v="citreiz labi, citreiz slikti"/>
    <s v="labi"/>
    <s v="citreiz labi, citreiz slikt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Jā"/>
    <s v="Nē"/>
    <s v="Nē"/>
    <s v="Nē"/>
    <s v="Nē"/>
    <s v="Nē"/>
    <s v="Nē"/>
    <s v="Jā"/>
    <s v="Jā"/>
    <s v="Nē"/>
    <s v="Nē"/>
    <s v="Nē"/>
    <s v="Nē"/>
    <m/>
    <s v="Jā"/>
    <s v="Kidzone, tv 24"/>
    <s v="Jā"/>
    <s v="Fox, Fox life,"/>
    <s v="Nē"/>
    <m/>
    <s v="Nē"/>
    <m/>
    <s v="Jā"/>
    <s v="Nē"/>
    <s v="Nē"/>
    <s v="Jā"/>
    <s v="Nē"/>
    <s v="Nē"/>
    <s v="Nē"/>
    <s v="Jā"/>
    <s v="Jā"/>
    <s v="Nē"/>
    <s v="Nē"/>
    <s v="Nē"/>
    <s v="Jā"/>
    <s v="Nē"/>
    <s v="Nē"/>
    <s v="Nē"/>
    <s v="Nē"/>
    <s v="Nē"/>
    <s v="Nē"/>
    <m/>
    <s v="Nē"/>
    <m/>
    <s v="Nē"/>
    <m/>
    <s v="Nē"/>
    <m/>
    <s v="Nē"/>
    <m/>
    <s v="Jā"/>
    <s v="Jā"/>
    <s v="Nē"/>
    <s v="Nē"/>
    <s v="Jā"/>
    <s v="Nē"/>
    <s v="Nē"/>
    <s v="Jā"/>
    <s v="Nē"/>
    <s v="Nē"/>
    <s v="Nē"/>
    <s v="Nē"/>
    <s v="Jā"/>
    <s v="Nē"/>
    <m/>
    <s v="Es sapratu, ka man laikam būs mazliet vairāk jāpalasa par politiku. Bet paldies par aptauju, bija interesanti."/>
    <m/>
    <m/>
    <m/>
    <m/>
  </r>
  <r>
    <x v="0"/>
    <n v="239"/>
    <s v="2023-09-18 08:25:26"/>
    <n v="14"/>
    <s v="lv"/>
    <n v="754603791"/>
    <s v="2023-09-18 08:04:52"/>
    <s v="2023-09-18 08:25:26"/>
    <s v="ledus"/>
    <n v="17"/>
    <s v="vīriešu"/>
    <m/>
    <x v="1"/>
    <x v="1"/>
    <x v="0"/>
    <x v="0"/>
    <x v="0"/>
    <x v="0"/>
    <s v="Rīgā / Rīgas rajonā"/>
    <m/>
    <s v="katoli(ieti)"/>
    <m/>
    <s v="Nē"/>
    <s v="Jā"/>
    <s v="Nē"/>
    <s v="Nē"/>
    <s v="Jā"/>
    <s v="Nē"/>
    <s v="Nē"/>
    <s v="Jā"/>
    <s v="Jā"/>
    <s v="Nē"/>
    <s v="Nē"/>
    <s v="Jā"/>
    <s v="Nē"/>
    <s v="Nē"/>
    <s v="Nē"/>
    <s v="Jā"/>
    <s v="Nē"/>
    <s v="Nē"/>
    <s v="Jā"/>
    <s v="Nē"/>
    <s v="Nē"/>
    <s v="Jā"/>
    <s v="Jā"/>
    <s v="Nē"/>
    <s v="Jā"/>
    <s v="Nē"/>
    <s v="Nē"/>
    <s v="Nē"/>
    <s v="tikai a"/>
    <s v="tikai b"/>
    <s v="a un b"/>
    <s v="tikai b"/>
    <s v="tikai a"/>
    <s v="nezinu"/>
    <s v="Lielākoties vienlīdzīgi"/>
    <s v="Lielākoties vienlīdzīgi"/>
    <s v="Vienlīdzīgi"/>
    <s v="Vienlīdzīgi"/>
    <s v="Lielākoties vienlīdzīgi"/>
    <s v="Jaunā Vienotība"/>
    <s v="Jaunā Vienotība"/>
    <s v="Nacionālā Apvienība"/>
    <s v="&quot;Latvija pirmajā vietā&quot;"/>
    <s v="Nacionālā Apvienība"/>
    <s v="Jaunā Vienotība"/>
    <s v="Nacionālā Apvienība"/>
    <s v="Klimata pārmaiņas – tas ir ciklisks un dabisks process."/>
    <s v="jā, daļu no tā, ko iespējams šķirot"/>
    <s v="Jaunā Vienotība"/>
    <s v="Jaunā Vienotība"/>
    <s v="Jaunā Vienotība"/>
    <s v="Jaunā Vienotība"/>
    <s v="Jaunā Vienotība"/>
    <s v="Zaļo un Zemnieku savienība"/>
    <s v="&quot;Latvija pirmajā vietā&quot;"/>
    <s v="Jaunā Vienotība"/>
    <s v="&quot;Progresīvie&quot;"/>
    <s v="Nacionālā Apvienība"/>
    <s v="&quot;Apvienotais saraksts&quot;"/>
    <s v="&quot;Latvija pirmajā vietā&quot;"/>
    <s v="&quot;Progresīvie&quot;"/>
    <s v="&quot;Progresīvie&quot;"/>
    <s v="Neinteresē"/>
    <s v="Neinteresē"/>
    <s v="Ārkārtīgi"/>
    <s v="Neinteresē"/>
    <s v="Latvija pirmajā vietā!"/>
    <s v="Nē"/>
    <s v="Nē"/>
    <s v="Jā"/>
    <s v="Nē"/>
    <s v="Jā"/>
    <s v="Nē"/>
    <s v="1.."/>
    <n v="70"/>
    <n v="100"/>
    <m/>
    <m/>
    <s v="Drīzāk saspīlētas"/>
    <s v="Nav saspīlētas"/>
    <s v="Nav saspīlētas"/>
    <s v="(Gandrīz) nekad"/>
    <s v="(Gandrīz) nekad"/>
    <s v="(Gandrīz) nekad"/>
    <s v="(Gandrīz) nekad"/>
    <s v="Reti"/>
    <m/>
    <m/>
    <m/>
    <m/>
    <m/>
    <s v="Runājot ar krievu tautības cilvēkiem latviski, lai gan tie runāja ar mani latviski, blakus esošie krievi to nonīcināja un teica, ka visiem jārunā tikai krieviski"/>
    <s v="nē"/>
    <s v="N/A"/>
    <s v="N/A"/>
    <s v="N/A"/>
    <s v="N/A"/>
    <s v="Jā"/>
    <s v="Nē"/>
    <s v="Jā"/>
    <s v="Nē"/>
    <s v="Jā"/>
    <s v="Nē"/>
    <s v="Jā"/>
    <s v="Nē"/>
    <s v="(gandrīz) katru dienu"/>
    <s v="(gandrīz) katru dienu"/>
    <s v="(gandrīz) katru dienu"/>
    <s v="(gandrīz) katru dienu"/>
    <s v="(gandrīz) katru dienu"/>
    <s v="(gandrīz) katru dienu"/>
    <s v="(gandrīz) katru dienu"/>
    <s v="(gandrīz) nekad"/>
    <s v="(gandrīz) katru dienu"/>
    <s v="(gandrīz) nekad"/>
    <s v="(gandrīz) katru dienu"/>
    <s v="(gandrīz) nekad"/>
    <s v="(gandrīz) nekad"/>
    <s v="pāris reižu nedēļā"/>
    <s v="varas līdzsvars starp parlamentu, prezidentu un tiesām, lai neviena no institūcijām nespētu sevī koncentrēt lielāko daļu varas"/>
    <s v="pilsoniskās brīvības (vārda brīvība, tiesības uz tiesisko aizsardzību)"/>
    <s v="brīvas vēlēšanas un plurālisms"/>
    <m/>
    <m/>
    <s v="labi"/>
    <s v="labi"/>
    <s v="labi"/>
    <s v="citreiz labi, citreiz slikti"/>
    <s v="nezinu"/>
    <s v="pamatizglītību"/>
    <m/>
    <s v="Jā"/>
    <s v="Nē"/>
    <s v="Nē"/>
    <s v="Nē"/>
    <s v="latviešu"/>
    <m/>
    <s v="latviešu"/>
    <m/>
    <s v="Spēju ilgstoši sarunāties ar vienaudžiem / piedalīties darba pārrunās."/>
    <s v="{if(is_empty(tongueLAT_SQ001.NAOK), 'latviski','krieviski')} nemāku rakstīt."/>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Nē"/>
    <s v="Nē"/>
    <s v="Nē"/>
    <s v="Jā"/>
    <s v="Nē"/>
    <s v="Nē"/>
    <s v="Jā"/>
    <s v="Nē"/>
    <m/>
    <s v="Nē"/>
    <m/>
    <s v="Jā"/>
    <s v="SkySports F1"/>
    <s v="Jā"/>
    <s v="CTC"/>
    <s v="Nē"/>
    <m/>
    <s v="Nē"/>
    <s v="Nē"/>
    <s v="Nē"/>
    <s v="Nē"/>
    <s v="Nē"/>
    <s v="Nē"/>
    <s v="Nē"/>
    <s v="Nē"/>
    <s v="Nē"/>
    <s v="Nē"/>
    <s v="Nē"/>
    <s v="Nē"/>
    <s v="Jā"/>
    <s v="Nē"/>
    <s v="Nē"/>
    <s v="Nē"/>
    <s v="Nē"/>
    <s v="Nē"/>
    <s v="Nē"/>
    <m/>
    <s v="Nē"/>
    <m/>
    <s v="Nē"/>
    <m/>
    <s v="Nē"/>
    <m/>
    <s v="Nē"/>
    <m/>
    <s v="Jā"/>
    <s v="Jā"/>
    <s v="Nē"/>
    <s v="Nē"/>
    <s v="Jā"/>
    <s v="Jā"/>
    <s v="Nē"/>
    <s v="Jā"/>
    <s v="Jā"/>
    <s v="Nē"/>
    <s v="Jā"/>
    <s v="Nē"/>
    <s v="Nē"/>
    <s v="Nē"/>
    <m/>
    <s v="Jauka aptauja. Bija prieks to pildīt. Veiksmi tālāk darbā ar pētījumu!"/>
    <m/>
    <m/>
    <m/>
    <m/>
  </r>
  <r>
    <x v="0"/>
    <n v="240"/>
    <s v="2023-09-18 08:28:25"/>
    <n v="14"/>
    <s v="lv"/>
    <n v="1095576608"/>
    <s v="2023-09-18 08:04:56"/>
    <s v="2023-09-18 08:28:25"/>
    <s v="ledus"/>
    <n v="17"/>
    <s v="sieviešu"/>
    <m/>
    <x v="1"/>
    <x v="1"/>
    <x v="0"/>
    <x v="0"/>
    <x v="0"/>
    <x v="0"/>
    <s v="Rīgā / Rīgas rajonā"/>
    <m/>
    <s v="pareizticīgo"/>
    <m/>
    <s v="Jā"/>
    <s v="Nē"/>
    <s v="Nē"/>
    <s v="Nē"/>
    <s v="Nē"/>
    <s v="Nē"/>
    <s v="Nē"/>
    <s v="Nē"/>
    <s v="Nē"/>
    <s v="Jā"/>
    <s v="Nē"/>
    <s v="Nē"/>
    <s v="Nē"/>
    <s v="Nē"/>
    <s v="Nē"/>
    <s v="Nē"/>
    <s v="Nē"/>
    <s v="Nē"/>
    <s v="Jā"/>
    <s v="Nē"/>
    <s v="Nē"/>
    <s v="Nē"/>
    <s v="Nē"/>
    <s v="Jā"/>
    <s v="Nē"/>
    <s v="Nē"/>
    <s v="Nē"/>
    <s v="Nē"/>
    <s v="tikai a"/>
    <s v="a un b"/>
    <s v="tikai b"/>
    <s v="a un b"/>
    <s v="tikai a"/>
    <s v="tikai a"/>
    <s v="Lielākoties vienlīdzīgi"/>
    <s v="Lielākoties vienlīdzīgi"/>
    <s v="Nevienlīdzīgi"/>
    <s v="Nevienlīdzīgi"/>
    <s v="Lielākoties nevienlīdzīgi"/>
    <s v="Politiskā partija &quot;Stabilitātei&quot;"/>
    <s v="&quot;Latvija pirmajā vietā&quot;"/>
    <s v="Jaunā Vienotība"/>
    <s v="Politiskā partija &quot;Stabilitātei&quot;"/>
    <s v="&quot;Apvienotais saraksts&quot;"/>
    <s v="&quot;Progresīvie&quot;"/>
    <s v="Nacionālā Apvienība"/>
    <s v="Reizēm ekonomiskā un valsts stabilitāte varētu nozīmēt, ka atsevišķi ekoloģiskās politikas aspekti ir uz brīdi jāiepauzē."/>
    <s v="jā, lielāko daļu no tā, ko iespējams šķirot"/>
    <s v="Zaļo un Zemnieku savienība"/>
    <s v="Politiskā partija &quot;Stabilitātei&quot;"/>
    <s v="&quot;Progresīvie&quot;"/>
    <s v="&quot;Apvienotais saraksts&quot;"/>
    <s v="&quot;Latvija pirmajā vietā&quot;"/>
    <s v="Politiskā partija &quot;Stabilitātei&quot;"/>
    <s v="&quot;Progresīvie&quot;"/>
    <s v="Politiskā partija &quot;Stabilitātei&quot;"/>
    <s v="Nacionālā Apvienība"/>
    <s v="Jaunā Vienotība"/>
    <s v="&quot;Apvienotais saraksts&quot;"/>
    <s v="Politiskā partija &quot;Stabilitātei&quot;"/>
    <s v="&quot;Latvija pirmajā vietā&quot;"/>
    <s v="Politiskā partija &quot;Stabilitātei&quot;"/>
    <s v="Viduvēji"/>
    <s v="Ļoti"/>
    <s v="Viduvēji"/>
    <s v="Ļoti"/>
    <s v="Nezinu"/>
    <s v="Nē"/>
    <s v="Nē"/>
    <s v="Nē"/>
    <s v="Nē"/>
    <s v="Jā"/>
    <s v="Nē"/>
    <s v="2.."/>
    <n v="80"/>
    <n v="73"/>
    <m/>
    <m/>
    <s v="Mazliet saspīlētas"/>
    <s v="Nav saspīlētas"/>
    <s v="Mazliet saspīlētas"/>
    <s v="(Gandrīz) nekad"/>
    <s v="Reti"/>
    <s v="(Gandrīz) nekad"/>
    <s v="Reti"/>
    <s v="Reti"/>
    <m/>
    <m/>
    <m/>
    <m/>
    <m/>
    <s v="Angļu valodu izmantoju lai pasūtītu ēdienu, krievu valodu izmantoju, ali sarunatos ar cilvekiem"/>
    <s v="jā, valsts iestādē"/>
    <s v="N/A"/>
    <s v="N/A"/>
    <s v="N/A"/>
    <s v="Jā"/>
    <s v="Nē"/>
    <s v="Nē"/>
    <s v="Jā"/>
    <s v="Nē"/>
    <s v="Jā"/>
    <s v="Nē"/>
    <s v="Nē"/>
    <s v="Nē"/>
    <s v="(gandrīz) katru dienu"/>
    <s v="(gandrīz) katru dienu"/>
    <s v="(gandrīz) katru dienu"/>
    <s v="(gandrīz) katru dienu"/>
    <s v="(gandrīz) katru dienu"/>
    <s v="(gandrīz) katru dienu"/>
    <s v="(gandrīz) katru dienu"/>
    <s v="pāris reižu nedēļā"/>
    <s v="reizi nedēļā"/>
    <s v="(gandrīz) nekad"/>
    <s v="(gandrīz) nekad"/>
    <s v="(gandrīz) nekad"/>
    <s v="(gandrīz) nekad"/>
    <s v="pāris reižu mēnesī"/>
    <s v="varas līdzsvars starp parlamentu, prezidentu un tiesām, lai neviena no institūcijām nespētu sevī koncentrēt lielāko daļu varas"/>
    <s v="vienlīdz pieejama izglītība, veselības aprūpe, sociālais nodrošinājums"/>
    <s v="pilsoniskās brīvības (vārda brīvība, tiesības uz tiesisko aizsardzību)"/>
    <m/>
    <m/>
    <s v="citreiz labi, citreiz slikti"/>
    <s v="labi"/>
    <s v="labi"/>
    <s v="citreiz labi, citreiz slikti"/>
    <s v="citreiz labi, citreiz slikti"/>
    <s v="pamatizglītību"/>
    <m/>
    <s v="N/A"/>
    <s v="N/A"/>
    <s v="N/A"/>
    <s v="Jā"/>
    <s v="latvieš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Jā"/>
    <s v="Jā"/>
    <s v="Nē"/>
    <s v="Nē"/>
    <s v="Nē"/>
    <s v="Nē"/>
    <s v="Jā"/>
    <s v="Nē"/>
    <s v="Nē"/>
    <s v="Jā"/>
    <s v="Nē"/>
    <s v="Nē"/>
    <s v="Nē"/>
    <s v="Nē"/>
    <m/>
    <s v="Nē"/>
    <m/>
    <s v="Nē"/>
    <m/>
    <s v="Nē"/>
    <m/>
    <s v="Nē"/>
    <m/>
    <s v="Nē"/>
    <s v="Nē"/>
    <s v="Nē"/>
    <s v="Jā"/>
    <s v="Nē"/>
    <s v="Nē"/>
    <s v="Nē"/>
    <s v="Jā"/>
    <s v="Nē"/>
    <s v="Nē"/>
    <s v="Nē"/>
    <s v="Nē"/>
    <s v="Jā"/>
    <s v="Nē"/>
    <s v="Nē"/>
    <s v="Nē"/>
    <s v="Nē"/>
    <s v="Nē"/>
    <s v="Nē"/>
    <m/>
    <s v="Nē"/>
    <m/>
    <s v="Nē"/>
    <m/>
    <s v="Nē"/>
    <m/>
    <s v="Nē"/>
    <m/>
    <s v="Jā"/>
    <s v="Jā"/>
    <s v="Jā"/>
    <s v="Nē"/>
    <s v="Jā"/>
    <s v="Jā"/>
    <s v="Nē"/>
    <s v="Jā"/>
    <s v="Nē"/>
    <s v="Nē"/>
    <s v="Nē"/>
    <s v="Nē"/>
    <s v="Jā"/>
    <s v="Nē"/>
    <m/>
    <m/>
    <m/>
    <m/>
    <m/>
    <m/>
  </r>
  <r>
    <x v="0"/>
    <n v="241"/>
    <s v="2023-09-18 08:31:01"/>
    <n v="14"/>
    <s v="lv"/>
    <n v="199946278"/>
    <s v="2023-09-18 08:04:58"/>
    <s v="2023-09-18 08:31:01"/>
    <s v="ledus"/>
    <n v="17"/>
    <s v="sieviešu"/>
    <m/>
    <x v="1"/>
    <x v="1"/>
    <x v="0"/>
    <x v="0"/>
    <x v="0"/>
    <x v="0"/>
    <s v="Rīgā / Rīgas rajonā"/>
    <m/>
    <s v="pareizticīgo"/>
    <m/>
    <s v="Nē"/>
    <s v="Jā"/>
    <s v="Nē"/>
    <s v="Nē"/>
    <s v="Nē"/>
    <s v="Nē"/>
    <s v="Nē"/>
    <s v="Jā"/>
    <s v="Nē"/>
    <s v="Nē"/>
    <s v="Nē"/>
    <s v="Nē"/>
    <s v="Nē"/>
    <s v="Nē"/>
    <s v="Nē"/>
    <s v="Nē"/>
    <s v="Nē"/>
    <s v="Nē"/>
    <s v="Jā"/>
    <s v="Nē"/>
    <s v="Nē"/>
    <s v="Nē"/>
    <s v="Jā"/>
    <s v="Jā"/>
    <s v="Nē"/>
    <s v="Nē"/>
    <s v="Nē"/>
    <s v="Nē"/>
    <s v="a un b"/>
    <s v="tikai a"/>
    <s v="a un b"/>
    <s v="tikai a"/>
    <s v="ne a, ne b"/>
    <s v="tikai b"/>
    <s v="Nevienlīdzīgi"/>
    <s v="Lielākoties vienlīdzīgi"/>
    <s v="Lielākoties nevienlīdzīgi"/>
    <s v="Lielākoties ne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Ne sevišķi"/>
    <s v="Ne sevišķi"/>
    <s v="Ne sevišķi"/>
    <s v="nezinu"/>
    <s v="Nē"/>
    <s v="Nē"/>
    <s v="Jā"/>
    <s v="Jā"/>
    <s v="Jā"/>
    <s v="Nē"/>
    <s v="2.."/>
    <n v="29"/>
    <n v="100"/>
    <m/>
    <m/>
    <s v="Mazliet saspīlētas"/>
    <s v="Nav saspīlētas"/>
    <s v="Mazliet saspīlētas"/>
    <s v="(Gandrīz) nekad"/>
    <s v="(Gandrīz) nekad"/>
    <s v="(Gandrīz) nekad"/>
    <s v="(Gandrīz) nekad"/>
    <s v="(Gandrīz) nekad"/>
    <m/>
    <m/>
    <m/>
    <m/>
    <m/>
    <m/>
    <s v="jā, privāta darba devēja labā"/>
    <s v="N/A"/>
    <s v="N/A"/>
    <s v="N/A"/>
    <s v="Jā"/>
    <s v="N/A"/>
    <s v="N/A"/>
    <s v="N/A"/>
    <s v="Jā"/>
    <s v="Jā"/>
    <s v="Nē"/>
    <s v="Nē"/>
    <s v="Nē"/>
    <s v="(gandrīz) katru dienu"/>
    <s v="(gandrīz) katru dienu"/>
    <s v="(gandrīz) katru dienu"/>
    <s v="(gandrīz) katru dienu"/>
    <s v="(gandrīz) katru dienu"/>
    <s v="(gandrīz) katru dienu"/>
    <s v="(gandrīz) katru dienu"/>
    <s v="(gandrīz) nekad"/>
    <s v="reizi nedēļā"/>
    <s v="(gandrīz) nekad"/>
    <s v="pāris reižu mēnesī"/>
    <s v="(gandrīz) nekad"/>
    <s v="(gandrīz) nekad"/>
    <s v="pāris reižu mēnesī"/>
    <s v="vienlīdz pieejama izglītība, veselības aprūpe, sociālais nodrošinājums"/>
    <s v="brīvas vēlēšanas un plurālisms"/>
    <s v="pilsoniskās brīvības (vārda brīvība, tiesības uz tiesisko aizsardzību)"/>
    <m/>
    <m/>
    <s v="labi"/>
    <s v="citreiz labi, citreiz slikti"/>
    <s v="labi"/>
    <s v="nezinu"/>
    <s v="nezinu"/>
    <s v="pamatizglītību"/>
    <m/>
    <s v="N/A"/>
    <s v="N/A"/>
    <s v="N/A"/>
    <s v="Jā"/>
    <s v="latviešu"/>
    <m/>
    <s v="latviešu"/>
    <m/>
    <s v="Spēju veikt pasūtījumu restorānā."/>
    <s v="{if(is_empty(tongueLAT_SQ001.NAOK), 'latviski','krieviski')} nemāku rakstīt."/>
    <s v="Saprotu norādes, kur iet."/>
    <s v="Es neko nespēju izlasīt {if(is_empty(tongueLAT_SQ001.NAOK), 'latviski','krieviski')}."/>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Nē"/>
    <s v="Nē"/>
    <s v="Nē"/>
    <s v="Nē"/>
    <s v="Nē"/>
    <s v="Nē"/>
    <s v="Nē"/>
    <s v="Nē"/>
    <s v="Nē"/>
    <s v="Jā"/>
    <m/>
    <s v="Nē"/>
    <m/>
    <s v="Nē"/>
    <m/>
    <s v="Nē"/>
    <m/>
    <s v="Nē"/>
    <m/>
    <s v="Jā"/>
    <s v="Jā"/>
    <s v="Nē"/>
    <s v="Nē"/>
    <s v="Nē"/>
    <s v="Nē"/>
    <s v="Nē"/>
    <s v="Jā"/>
    <s v="Nē"/>
    <s v="Nē"/>
    <s v="Nē"/>
    <s v="Nē"/>
    <s v="Jā"/>
    <s v="Nē"/>
    <m/>
    <s v="Pārāk gudri vārdi, lai es šo aptauju izpildītu. Kā pusaudzis neko nezinu par politiku un neintresejos par tādu."/>
    <m/>
    <m/>
    <m/>
    <m/>
  </r>
  <r>
    <x v="0"/>
    <n v="242"/>
    <s v="2023-09-18 08:36:30"/>
    <n v="14"/>
    <s v="lv"/>
    <n v="886069845"/>
    <s v="2023-09-18 08:04:58"/>
    <s v="2023-09-18 08:36:30"/>
    <s v="ledus"/>
    <n v="17"/>
    <s v="Cita atbilde"/>
    <m/>
    <x v="1"/>
    <x v="1"/>
    <x v="0"/>
    <x v="0"/>
    <x v="0"/>
    <x v="0"/>
    <s v="Rīgā / Rīgas rajonā"/>
    <m/>
    <s v="ateistu(ti), nereliģiozu"/>
    <m/>
    <s v="Nē"/>
    <s v="Jā"/>
    <s v="Nē"/>
    <s v="Jā"/>
    <s v="Nē"/>
    <s v="Nē"/>
    <s v="Nē"/>
    <s v="Nē"/>
    <s v="Jā"/>
    <s v="Nē"/>
    <s v="Nē"/>
    <s v="Nē"/>
    <s v="Nē"/>
    <s v="Nē"/>
    <s v="Jā"/>
    <s v="Nē"/>
    <s v="Jā"/>
    <s v="Jā"/>
    <s v="Nē"/>
    <s v="Nē"/>
    <s v="Nē"/>
    <s v="Jā"/>
    <s v="Jā"/>
    <s v="Jā"/>
    <s v="Nē"/>
    <s v="Nē"/>
    <s v="Nē"/>
    <s v="Nē"/>
    <s v="ne a, ne b"/>
    <s v="tikai a"/>
    <s v="ne a, ne b"/>
    <s v="tikai b"/>
    <s v="a un b"/>
    <s v="tikai b"/>
    <s v="Lielākoties vienlīdzīgi"/>
    <s v="Lielākoties nevienlīdzīgi"/>
    <s v="Lielākoties vienlīdzīgi"/>
    <s v="Nevienlīdzīgi"/>
    <s v="Nevienlīdzīgi"/>
    <s v="Nacionālā Apvienība"/>
    <s v="&quot;Progresīvie&quot;"/>
    <s v="Politiskā partija &quot;Stabilitātei&quot;"/>
    <s v="&quot;Latvija pirmajā vietā&quot;"/>
    <s v="Zaļo un Zemnieku savienība"/>
    <s v="&quot;Progresīvie&quot;"/>
    <s v="Nacionālā Apvienība"/>
    <s v="Cīņai ar klimata pārmaiņām būtu jābūt vairumam pasaules valstu galvenajai prioritātei."/>
    <s v="jā, visu, ko iespējams šķirot"/>
    <s v="&quot;Progresīvie&quot;"/>
    <s v="Jaunā Vienotība"/>
    <s v="Politiskā partija &quot;Stabilitātei&quot;"/>
    <s v="&quot;Apvienotais saraksts&quot;"/>
    <s v="nezinu"/>
    <s v="Zaļo un Zemnieku savienība"/>
    <s v="nezinu"/>
    <s v="&quot;Progresīvie&quot;"/>
    <s v="Jaunā Vienotība"/>
    <s v="Zaļo un Zemnieku savienība"/>
    <s v="Nacionālā Apvienība"/>
    <s v="&quot;Latvija pirmajā vietā&quot;"/>
    <s v="&quot;Apvienotais saraksts&quot;"/>
    <s v="Politiskā partija &quot;Stabilitātei&quot;"/>
    <s v="Viduvēji"/>
    <s v="Ārkārtīgi"/>
    <s v="Ļoti"/>
    <s v="Ļoti"/>
    <s v="nezinu"/>
    <s v="Nē"/>
    <s v="Nē"/>
    <s v="Jā"/>
    <s v="Jā"/>
    <s v="Jā"/>
    <s v="Nē"/>
    <s v="1.."/>
    <n v="78"/>
    <n v="100"/>
    <m/>
    <m/>
    <s v="Drīzāk saspīlētas"/>
    <s v="Nav saspīlētas"/>
    <s v="Drīzāk saspīlētas"/>
    <s v="(Gandrīz) nekad"/>
    <s v="Reti"/>
    <s v="(Gandrīz) nekad"/>
    <s v="Dažreiz"/>
    <s v="Dažreiz"/>
    <m/>
    <m/>
    <m/>
    <m/>
    <m/>
    <s v="atsevišķos gadījumos, piemēram, ejot pa ielu un sazinoties ar kādu cilvēku, kurš prasa ceļu vai virzienu, lai tiktu kaut kur, uz mani ir bļāvuši cilvēki, kuri sadusmojas, ka neatbildu krieviski, bet latviski."/>
    <s v="nē"/>
    <s v="N/A"/>
    <s v="N/A"/>
    <s v="N/A"/>
    <s v="N/A"/>
    <s v="Jā"/>
    <s v="Jā"/>
    <s v="Nē"/>
    <s v="Nē"/>
    <s v="Nē"/>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pāris reižu mēnesī"/>
    <s v="varas līdzsvars starp parlamentu, prezidentu un tiesām, lai neviena no institūcijām nespētu sevī koncentrēt lielāko daļu varas"/>
    <s v="pilsoniskās brīvības (vārda brīvība, tiesības uz tiesisko aizsardzību)"/>
    <s v="vienlīdzīgas tiesības minoritātēm un ievainojamām sabiedrības grupām"/>
    <m/>
    <m/>
    <s v="citreiz labi, citreiz slikti"/>
    <s v="labi"/>
    <s v="citreiz labi, citreiz slikti"/>
    <s v="citreiz labi, citreiz slikti"/>
    <s v="slikti"/>
    <s v="pamatizglītību"/>
    <m/>
    <s v="N/A"/>
    <s v="N/A"/>
    <s v="N/A"/>
    <s v="Jā"/>
    <s v="latviešu"/>
    <m/>
    <s v="latviešu"/>
    <m/>
    <s v="Spēju veikt pasūtījumu restorānā."/>
    <s v="Spēju uzrakstīt vēstuli draugam."/>
    <s v="Saprotu norādes, kur iet."/>
    <s v="{if(is_empty(tongueLAT_SQ001.NAOK), 'latviski','krieviski')} spēju izlasīt ēdienkarti restorānā."/>
    <m/>
    <m/>
    <m/>
    <m/>
    <m/>
    <m/>
    <m/>
    <m/>
    <m/>
    <m/>
    <m/>
    <m/>
    <m/>
    <m/>
    <m/>
    <m/>
    <m/>
    <s v="N/A"/>
    <s v="N/A"/>
    <s v="N/A"/>
    <s v="N/A"/>
    <s v="N/A"/>
    <s v="N/A"/>
    <m/>
    <m/>
    <m/>
    <m/>
    <m/>
    <s v="Nē"/>
    <s v="Nē"/>
    <s v="Nē"/>
    <s v="Jā"/>
    <s v="Nē"/>
    <s v="Nē"/>
    <s v="Nē"/>
    <s v="Nē"/>
    <s v="Jā"/>
    <s v="Nē"/>
    <s v="Jā"/>
    <s v="Jā"/>
    <s v="Nē"/>
    <s v="Nē"/>
    <s v="Nē"/>
    <s v="Nē"/>
    <m/>
    <s v="Nē"/>
    <m/>
    <s v="Nē"/>
    <m/>
    <s v="Nē"/>
    <m/>
    <s v="Nē"/>
    <m/>
    <s v="Jā"/>
    <s v="Nē"/>
    <s v="Nē"/>
    <s v="Jā"/>
    <s v="Nē"/>
    <s v="Nē"/>
    <s v="Nē"/>
    <s v="Nē"/>
    <s v="Jā"/>
    <s v="Nē"/>
    <s v="Nē"/>
    <s v="Nē"/>
    <s v="Jā"/>
    <s v="Nē"/>
    <s v="Nē"/>
    <s v="Nē"/>
    <s v="Nē"/>
    <s v="Nē"/>
    <s v="Nē"/>
    <m/>
    <s v="Nē"/>
    <m/>
    <s v="Nē"/>
    <m/>
    <s v="Nē"/>
    <m/>
    <s v="Nē"/>
    <m/>
    <s v="Jā"/>
    <s v="Jā"/>
    <s v="Nē"/>
    <s v="Nē"/>
    <s v="Jā"/>
    <s v="Jā"/>
    <s v="Nē"/>
    <s v="Jā"/>
    <s v="Jā"/>
    <s v="Nē"/>
    <s v="Jā"/>
    <s v="Nē"/>
    <s v="Jā"/>
    <s v="Nē"/>
    <m/>
    <m/>
    <m/>
    <m/>
    <m/>
    <m/>
  </r>
  <r>
    <x v="0"/>
    <n v="244"/>
    <s v="2023-09-18 08:19:41"/>
    <n v="14"/>
    <s v="lv"/>
    <n v="1249313560"/>
    <s v="2023-09-18 08:05:06"/>
    <s v="2023-09-18 08:19:41"/>
    <s v="ledus"/>
    <n v="17"/>
    <s v="vīriešu"/>
    <m/>
    <x v="1"/>
    <x v="1"/>
    <x v="0"/>
    <x v="0"/>
    <x v="0"/>
    <x v="0"/>
    <s v="Rīgā / Rīgas rajonā"/>
    <m/>
    <s v="pareizticīgo"/>
    <m/>
    <s v="Jā"/>
    <s v="Nē"/>
    <s v="Nē"/>
    <s v="Nē"/>
    <s v="Jā"/>
    <s v="Nē"/>
    <s v="Nē"/>
    <s v="Jā"/>
    <s v="Jā"/>
    <s v="Jā"/>
    <s v="Nē"/>
    <s v="Nē"/>
    <s v="Nē"/>
    <s v="Nē"/>
    <s v="Nē"/>
    <s v="Nē"/>
    <s v="Nē"/>
    <s v="Jā"/>
    <s v="Jā"/>
    <s v="Jā"/>
    <s v="Nē"/>
    <s v="Jā"/>
    <s v="Jā"/>
    <s v="Jā"/>
    <s v="Jā"/>
    <s v="Nē"/>
    <s v="Nē"/>
    <s v="Nē"/>
    <s v="tikai a"/>
    <s v="tikai a"/>
    <s v="tikai a"/>
    <s v="tikai a"/>
    <s v="tikai a"/>
    <s v="a un b"/>
    <s v="Vienlīdzīgi"/>
    <s v="Lielākoties vienlīdzīgi"/>
    <s v="Lielākoties vienlīdzīgi"/>
    <s v="Lielākoties vienlīdzīgi"/>
    <s v="Lielākoties nevienlīdzīgi"/>
    <s v="Politiskā partija &quot;Stabilitātei&quot;"/>
    <s v="nezinu"/>
    <s v="nezinu"/>
    <s v="&quot;Apvienotais saraksts&quot;"/>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interesē"/>
    <s v="Ne sevišķi"/>
    <s v="Viduvēji"/>
    <s v="Viduvēji"/>
    <s v="Populisms man asociējas ar politiskām stratēģijām, kas vērstas uz plašāku sabiedrības daļu."/>
    <s v="Jā"/>
    <s v="Nē"/>
    <s v="Nē"/>
    <s v="Nē"/>
    <s v="Jā"/>
    <s v="Nē"/>
    <s v="2.."/>
    <n v="74"/>
    <n v="73"/>
    <m/>
    <m/>
    <s v="Mazliet saspīlētas"/>
    <s v="Nav saspīlētas"/>
    <s v="Drīzāk saspīlētas"/>
    <s v="(Gandrīz) nekad"/>
    <s v="(Gandrīz) nekad"/>
    <s v="(Gandrīz) nekad"/>
    <s v="(Gandrīz) nekad"/>
    <s v="(Gandrīz) nekad"/>
    <m/>
    <m/>
    <m/>
    <m/>
    <m/>
    <m/>
    <s v="jā, valsts iestādē"/>
    <s v="N/A"/>
    <s v="N/A"/>
    <s v="N/A"/>
    <s v="Jā"/>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varas līdzsvars starp parlamentu, prezidentu un tiesām, lai neviena no institūcijām nespētu sevī koncentrēt lielāko daļu varas"/>
    <s v="vienlīdz pieejama izglītība, veselības aprūpe, sociālais nodrošinājums"/>
    <m/>
    <m/>
    <s v="citreiz labi, citreiz slikti"/>
    <s v="nezinu"/>
    <s v="nezinu"/>
    <s v="nezinu"/>
    <s v="nezinu"/>
    <s v="pamatizglītību"/>
    <m/>
    <s v="N/A"/>
    <s v="N/A"/>
    <s v="N/A"/>
    <s v="Jā"/>
    <s v="latviešu"/>
    <m/>
    <s v="latviešu"/>
    <m/>
    <s v="{if(is_empty(tongueLAT_SQ001.NAOK), 'latviski','krieviski')} nerunāju it nemaz."/>
    <s v="Spēju uzrakstīt vēstuli draugam."/>
    <s v="{if(is_empty(tongueLAT_SQ001.NAOK), 'latviešu','krievu')} valodu nesaprotu vispār."/>
    <s v="{if(is_empty(tongueLAT_SQ001.NAOK), 'latviski','krieviski')} spēju izlasīt ēdienkarti restorānā."/>
    <m/>
    <m/>
    <m/>
    <m/>
    <m/>
    <m/>
    <m/>
    <m/>
    <m/>
    <m/>
    <m/>
    <m/>
    <m/>
    <m/>
    <m/>
    <m/>
    <m/>
    <s v="N/A"/>
    <s v="N/A"/>
    <s v="N/A"/>
    <s v="N/A"/>
    <s v="N/A"/>
    <s v="N/A"/>
    <m/>
    <m/>
    <m/>
    <m/>
    <m/>
    <s v="Nē"/>
    <s v="Nē"/>
    <s v="Jā"/>
    <s v="Jā"/>
    <s v="Nē"/>
    <s v="Nē"/>
    <s v="Nē"/>
    <s v="Nē"/>
    <s v="Jā"/>
    <s v="Nē"/>
    <s v="Jā"/>
    <s v="Jā"/>
    <s v="Nē"/>
    <s v="Jā"/>
    <s v="Nē"/>
    <s v="Nē"/>
    <m/>
    <s v="Nē"/>
    <m/>
    <s v="Nē"/>
    <m/>
    <s v="Nē"/>
    <m/>
    <s v="Nē"/>
    <m/>
    <s v="Nē"/>
    <s v="Nē"/>
    <s v="Nē"/>
    <s v="Nē"/>
    <s v="Nē"/>
    <s v="Nē"/>
    <s v="Nē"/>
    <s v="Nē"/>
    <s v="Nē"/>
    <s v="Nē"/>
    <s v="Nē"/>
    <s v="Nē"/>
    <s v="Nē"/>
    <s v="Nē"/>
    <s v="Nē"/>
    <s v="Nē"/>
    <s v="Nē"/>
    <s v="Nē"/>
    <s v="Jā"/>
    <m/>
    <s v="Nē"/>
    <m/>
    <s v="Nē"/>
    <m/>
    <s v="Nē"/>
    <m/>
    <s v="Nē"/>
    <m/>
    <s v="Jā"/>
    <s v="Jā"/>
    <s v="Nē"/>
    <s v="Nē"/>
    <s v="Jā"/>
    <s v="Nē"/>
    <s v="Nē"/>
    <s v="Jā"/>
    <s v="Nē"/>
    <s v="Nē"/>
    <s v="Nē"/>
    <s v="Nē"/>
    <s v="Jā"/>
    <s v="Nē"/>
    <m/>
    <s v="Interesanta aptauja, patika!"/>
    <m/>
    <m/>
    <m/>
    <m/>
  </r>
  <r>
    <x v="0"/>
    <n v="245"/>
    <s v="2023-09-18 08:45:46"/>
    <n v="14"/>
    <s v="lv"/>
    <n v="465536948"/>
    <s v="2023-09-18 08:05:08"/>
    <s v="2023-09-18 08:45:46"/>
    <s v="ledus"/>
    <n v="17"/>
    <s v="sieviešu"/>
    <m/>
    <x v="1"/>
    <x v="1"/>
    <x v="0"/>
    <x v="0"/>
    <x v="0"/>
    <x v="0"/>
    <s v="Rīgā / Rīgas rajonā"/>
    <m/>
    <s v="ateistu(ti), nereliģiozu"/>
    <m/>
    <s v="Jā"/>
    <s v="Jā"/>
    <s v="Nē"/>
    <s v="Nē"/>
    <s v="Nē"/>
    <s v="Nē"/>
    <s v="Nē"/>
    <s v="Jā"/>
    <s v="Jā"/>
    <s v="Nē"/>
    <s v="Nē"/>
    <s v="Jā"/>
    <s v="Nē"/>
    <s v="Nē"/>
    <s v="N/A"/>
    <s v="N/A"/>
    <s v="N/A"/>
    <s v="N/A"/>
    <s v="N/A"/>
    <s v="N/A"/>
    <s v="Jā"/>
    <s v="Jā"/>
    <s v="Jā"/>
    <s v="Nē"/>
    <s v="Jā"/>
    <s v="Nē"/>
    <s v="Nē"/>
    <s v="Nē"/>
    <s v="tikai b"/>
    <s v="a un b"/>
    <s v="ne a, ne b"/>
    <s v="tikai a"/>
    <s v="tikai a"/>
    <s v="a un b"/>
    <s v="Lielākoties nevienlīdzīgi"/>
    <s v="Lielākoties nevienlīdzīgi"/>
    <s v="Lielākoties vienlīdzīgi"/>
    <s v="Lielākoties vienlīdzīgi"/>
    <s v="Nevienlīdzīgi"/>
    <s v="nezinu"/>
    <s v="Jaunā Vienotība"/>
    <s v="nezinu"/>
    <s v="nezinu"/>
    <s v="nezinu"/>
    <s v="nezinu"/>
    <s v="nezinu"/>
    <s v="Cīņai ar klimata pārmaiņām būtu jābūt vairumam pasaules valstu galvenajai prioritātei."/>
    <s v="jā, daļu no tā, ko iespējams šķirot"/>
    <s v="Zaļo un Zemnieku savienība"/>
    <s v="nezinu"/>
    <s v="nezinu"/>
    <s v="nezinu"/>
    <s v="nezinu"/>
    <s v="nezinu"/>
    <s v="nezinu"/>
    <s v="nezinu"/>
    <s v="nezinu"/>
    <s v="nezinu"/>
    <s v="nezinu"/>
    <s v="nezinu"/>
    <s v="nezinu"/>
    <s v="nezinu"/>
    <s v="Viduvēji"/>
    <s v="Ļoti"/>
    <s v="Viduvēji"/>
    <s v="Ļoti"/>
    <s v="Kad politiķi skaisti runā un kaut ko izplata"/>
    <s v="Nē"/>
    <s v="Nē"/>
    <s v="Nē"/>
    <s v="Jā"/>
    <s v="Jā"/>
    <s v="Nē"/>
    <s v="2.."/>
    <n v="70"/>
    <n v="90"/>
    <m/>
    <m/>
    <s v="Drīzāk saspīlētas"/>
    <s v="Drīzāk saspīlētas"/>
    <s v="Mazliet saspīlētas"/>
    <s v="(Gandrīz) nekad"/>
    <s v="(Gandrīz) nekad"/>
    <s v="(Gandrīz) nekad"/>
    <s v="(Gandrīz) nekad"/>
    <s v="(Gandrīz) nekad"/>
    <m/>
    <m/>
    <m/>
    <m/>
    <m/>
    <m/>
    <s v="jā, privāta darba devēja labā"/>
    <s v="N/A"/>
    <s v="N/A"/>
    <s v="N/A"/>
    <s v="Jā"/>
    <s v="N/A"/>
    <s v="N/A"/>
    <s v="N/A"/>
    <s v="Jā"/>
    <s v="Nē"/>
    <s v="Jā"/>
    <s v="Nē"/>
    <s v="Nē"/>
    <s v="(gandrīz) katru dienu"/>
    <s v="(gandrīz) katru dienu"/>
    <s v="(gandrīz) katru dienu"/>
    <s v="(gandrīz) katru dienu"/>
    <s v="(gandrīz) katru dienu"/>
    <s v="(gandrīz) katru dienu"/>
    <s v="(gandrīz) katru dienu"/>
    <s v="pāris reižu mēnesī"/>
    <s v="pāris reižu nedēļā"/>
    <s v="pāris reižu nedēļā"/>
    <s v="pāris reižu mēnesī"/>
    <s v="reizi nedēļā"/>
    <s v="pāris reižu nedēļā"/>
    <s v="pāris reižu mēnesī"/>
    <s v="vienlīdz pieejama izglītība, veselības aprūpe, sociālais nodrošinājums"/>
    <s v="pilsoniskās brīvības (vārda brīvība, tiesības uz tiesisko aizsardzību)"/>
    <s v="vienlīdzīgas tiesības minoritātēm un ievainojamām sabiedrības grupām"/>
    <m/>
    <m/>
    <s v="labi"/>
    <s v="ļoti labi"/>
    <s v="labi"/>
    <s v="citreiz labi, citreiz slikti"/>
    <s v="labi"/>
    <s v="pamatizglītību"/>
    <m/>
    <s v="N/A"/>
    <s v="N/A"/>
    <s v="N/A"/>
    <s v="Jā"/>
    <s v="latviešu"/>
    <m/>
    <s v="latviešu"/>
    <m/>
    <s v="Spēju pastāstīt par savu hobiju / darbu."/>
    <s v="Spēju uzrakstīt vēstuli draugam."/>
    <s v="Viegli saprotu televīzijas pārraides vai Youtube video par saviem hobijiem / darbības sfēru."/>
    <s v="Spēju izlasīt avīzi / īsstāstus."/>
    <m/>
    <m/>
    <m/>
    <m/>
    <m/>
    <m/>
    <m/>
    <m/>
    <m/>
    <m/>
    <m/>
    <m/>
    <m/>
    <m/>
    <m/>
    <m/>
    <m/>
    <s v="N/A"/>
    <s v="N/A"/>
    <s v="N/A"/>
    <s v="N/A"/>
    <s v="N/A"/>
    <s v="N/A"/>
    <m/>
    <m/>
    <m/>
    <m/>
    <m/>
    <s v="Nē"/>
    <s v="Nē"/>
    <s v="Jā"/>
    <s v="Jā"/>
    <s v="Nē"/>
    <s v="Nē"/>
    <s v="Nē"/>
    <s v="Nē"/>
    <s v="Nē"/>
    <s v="Nē"/>
    <s v="Jā"/>
    <s v="Jā"/>
    <s v="Nē"/>
    <s v="Nē"/>
    <s v="Nē"/>
    <s v="Nē"/>
    <m/>
    <s v="Nē"/>
    <m/>
    <s v="Nē"/>
    <m/>
    <s v="Nē"/>
    <m/>
    <s v="Nē"/>
    <m/>
    <s v="Nē"/>
    <s v="Nē"/>
    <s v="Nē"/>
    <s v="Nē"/>
    <s v="Nē"/>
    <s v="Nē"/>
    <s v="Nē"/>
    <s v="Nē"/>
    <s v="Nē"/>
    <s v="Nē"/>
    <s v="Nē"/>
    <s v="Nē"/>
    <s v="Jā"/>
    <s v="Nē"/>
    <s v="Nē"/>
    <s v="Nē"/>
    <s v="Nē"/>
    <s v="Nē"/>
    <s v="Nē"/>
    <m/>
    <s v="Nē"/>
    <m/>
    <s v="Nē"/>
    <m/>
    <s v="Nē"/>
    <m/>
    <s v="Nē"/>
    <m/>
    <s v="Jā"/>
    <s v="Jā"/>
    <s v="Jā"/>
    <s v="Nē"/>
    <s v="Jā"/>
    <s v="Nē"/>
    <s v="Nē"/>
    <s v="Nē"/>
    <s v="Nē"/>
    <s v="Nē"/>
    <s v="Nē"/>
    <s v="Nē"/>
    <s v="Jā"/>
    <s v="Nē"/>
    <m/>
    <s v="Paldies"/>
    <m/>
    <m/>
    <m/>
    <m/>
  </r>
  <r>
    <x v="0"/>
    <n v="246"/>
    <s v="2023-09-18 08:33:42"/>
    <n v="14"/>
    <s v="lv"/>
    <n v="858338259"/>
    <s v="2023-09-18 08:05:12"/>
    <s v="2023-09-18 08:33:42"/>
    <s v="ledus"/>
    <n v="17"/>
    <s v="sieviešu"/>
    <m/>
    <x v="1"/>
    <x v="1"/>
    <x v="0"/>
    <x v="0"/>
    <x v="0"/>
    <x v="0"/>
    <s v="Rīgā / Rīgas rajonā"/>
    <m/>
    <s v="pareizticīgo"/>
    <m/>
    <s v="Jā"/>
    <s v="Jā"/>
    <s v="Nē"/>
    <s v="Nē"/>
    <s v="Nē"/>
    <s v="Nē"/>
    <s v="Nē"/>
    <s v="Nē"/>
    <s v="Jā"/>
    <s v="Nē"/>
    <s v="Nē"/>
    <s v="Nē"/>
    <s v="Jā"/>
    <s v="Nē"/>
    <s v="Jā"/>
    <s v="Nē"/>
    <s v="Nē"/>
    <s v="Nē"/>
    <s v="Nē"/>
    <s v="Nē"/>
    <s v="Nē"/>
    <s v="Jā"/>
    <s v="Nē"/>
    <s v="Nē"/>
    <s v="Jā"/>
    <s v="Nē"/>
    <s v="Nē"/>
    <s v="Nē"/>
    <m/>
    <m/>
    <m/>
    <m/>
    <m/>
    <m/>
    <s v="Lielākoties vienlīdzīgi"/>
    <s v="Nevienlīdzīgi"/>
    <s v="Lielākoties vienlīdzīgi"/>
    <s v="Lielākoties vienlīdzīgi"/>
    <s v="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Ne sevišķi"/>
    <s v="Viduvēji"/>
    <s v="Viduvēji"/>
    <s v="Nezinu"/>
    <s v="Jā"/>
    <s v="Nē"/>
    <s v="Nē"/>
    <s v="Jā"/>
    <s v="Jā"/>
    <s v="Nē"/>
    <s v="1....."/>
    <n v="80"/>
    <n v="57"/>
    <m/>
    <m/>
    <s v="Mazliet saspīlētas"/>
    <s v="Drīzāk saspīlētas"/>
    <s v="Mazliet saspīlētas"/>
    <s v="Reti"/>
    <s v="Reti"/>
    <s v="Reti"/>
    <s v="Reti"/>
    <s v="Dažreiz"/>
    <m/>
    <m/>
    <m/>
    <m/>
    <m/>
    <s v="Pārtikas Veikalā. (Angļu valoda)"/>
    <s v="nē"/>
    <s v="N/A"/>
    <s v="N/A"/>
    <s v="N/A"/>
    <s v="N/A"/>
    <s v="N/A"/>
    <s v="N/A"/>
    <s v="N/A"/>
    <s v="Jā"/>
    <s v="Jā"/>
    <s v="Nē"/>
    <s v="Jā"/>
    <s v="Nē"/>
    <s v="(gandrīz) katru dienu"/>
    <s v="(gandrīz) katru dienu"/>
    <s v="(gandrīz) katru dienu"/>
    <s v="(gandrīz) katru dienu"/>
    <s v="(gandrīz) katru dienu"/>
    <s v="(gandrīz) katru dienu"/>
    <s v="(gandrīz) katru dienu"/>
    <s v="(gandrīz) nekad"/>
    <s v="(gandrīz) nekad"/>
    <s v="pāris reižu nedēļā"/>
    <s v="(gandrīz) nekad"/>
    <s v="(gandrīz) nekad"/>
    <s v="(gandrīz) nekad"/>
    <s v="pāris reižu mēnesī"/>
    <s v="vienlīdz pieejama izglītība, veselības aprūpe, sociālais nodrošinājums"/>
    <s v="pilsoniskās brīvības (vārda brīvība, tiesības uz tiesisko aizsardzību)"/>
    <s v="brīvas vēlēšanas un plurālisms"/>
    <m/>
    <m/>
    <s v="citreiz labi, citreiz slikti"/>
    <s v="labi"/>
    <s v="labi"/>
    <s v="nezinu"/>
    <s v="nezinu"/>
    <s v="pamatizglītību"/>
    <m/>
    <s v="N/A"/>
    <s v="N/A"/>
    <s v="N/A"/>
    <s v="Jā"/>
    <s v="latviešu"/>
    <m/>
    <s v="latviešu"/>
    <m/>
    <s v="Spēju veikt pasūtījumu restorānā."/>
    <s v="Spēju uzrakstīt vēstuli draugam."/>
    <s v="Saprotu norādes, kur iet."/>
    <s v="Spēju izlasīt avīzi / īsstāstus."/>
    <m/>
    <m/>
    <m/>
    <m/>
    <m/>
    <m/>
    <m/>
    <m/>
    <m/>
    <m/>
    <m/>
    <m/>
    <m/>
    <m/>
    <m/>
    <m/>
    <m/>
    <s v="N/A"/>
    <s v="N/A"/>
    <s v="N/A"/>
    <s v="N/A"/>
    <s v="N/A"/>
    <s v="N/A"/>
    <m/>
    <m/>
    <m/>
    <m/>
    <m/>
    <s v="Nē"/>
    <s v="Nē"/>
    <s v="Nē"/>
    <s v="Jā"/>
    <s v="Nē"/>
    <s v="Nē"/>
    <s v="Nē"/>
    <s v="Nē"/>
    <s v="Nē"/>
    <s v="Nē"/>
    <s v="Jā"/>
    <s v="Nē"/>
    <s v="Nē"/>
    <s v="Nē"/>
    <s v="Nē"/>
    <s v="Nē"/>
    <m/>
    <s v="Nē"/>
    <m/>
    <s v="Nē"/>
    <m/>
    <s v="Nē"/>
    <m/>
    <s v="Nē"/>
    <m/>
    <s v="Nē"/>
    <s v="Nē"/>
    <s v="Nē"/>
    <s v="Jā"/>
    <s v="Nē"/>
    <s v="Nē"/>
    <s v="Nē"/>
    <s v="Nē"/>
    <s v="Jā"/>
    <s v="Nē"/>
    <s v="Nē"/>
    <s v="Nē"/>
    <s v="Jā"/>
    <s v="Nē"/>
    <s v="Nē"/>
    <s v="Nē"/>
    <s v="Nē"/>
    <s v="Nē"/>
    <s v="Nē"/>
    <m/>
    <s v="Nē"/>
    <m/>
    <s v="Nē"/>
    <m/>
    <s v="Nē"/>
    <m/>
    <s v="Nē"/>
    <m/>
    <s v="Jā"/>
    <s v="Jā"/>
    <s v="Jā"/>
    <s v="Nē"/>
    <s v="Jā"/>
    <s v="Nē"/>
    <s v="Nē"/>
    <s v="Jā"/>
    <s v="Nē"/>
    <s v="Nē"/>
    <s v="Nē"/>
    <s v="Nē"/>
    <s v="Jā"/>
    <s v="Nē"/>
    <m/>
    <s v="Manas zināšanas par politiku ir sliktas"/>
    <m/>
    <m/>
    <m/>
    <m/>
  </r>
  <r>
    <x v="0"/>
    <n v="247"/>
    <s v="2023-09-18 08:21:29"/>
    <n v="14"/>
    <s v="lv"/>
    <n v="1680153576"/>
    <s v="2023-09-18 08:05:13"/>
    <s v="2023-09-18 08:21:29"/>
    <s v="ledus"/>
    <n v="17"/>
    <s v="sieviešu"/>
    <m/>
    <x v="1"/>
    <x v="1"/>
    <x v="0"/>
    <x v="0"/>
    <x v="0"/>
    <x v="0"/>
    <s v="Rīgā / Rīgas rajonā"/>
    <m/>
    <s v="ateistu(ti), nereliģiozu"/>
    <m/>
    <s v="Jā"/>
    <s v="Nē"/>
    <s v="Nē"/>
    <s v="Nē"/>
    <s v="Nē"/>
    <s v="Nē"/>
    <s v="Nē"/>
    <s v="Jā"/>
    <s v="Jā"/>
    <s v="Jā"/>
    <s v="Nē"/>
    <s v="Nē"/>
    <s v="Nē"/>
    <s v="Nē"/>
    <s v="N/A"/>
    <s v="N/A"/>
    <s v="N/A"/>
    <s v="N/A"/>
    <s v="N/A"/>
    <s v="N/A"/>
    <s v="Jā"/>
    <s v="Jā"/>
    <s v="Jā"/>
    <s v="Nē"/>
    <s v="Nē"/>
    <s v="Nē"/>
    <s v="Nē"/>
    <s v="Nē"/>
    <s v="nezinu"/>
    <s v="nezinu"/>
    <s v="tikai a"/>
    <s v="tikai b"/>
    <s v="tikai b"/>
    <s v="tikai b"/>
    <s v="Lielākoties vienlīdzīgi"/>
    <s v="Lielākoties nevienlīdzīgi"/>
    <s v="Lielākoties vienlīdzīgi"/>
    <s v="Lielākoties vienlīdzīgi"/>
    <s v="Lielākoties nevienlīdzīgi"/>
    <s v="nezinu"/>
    <s v="&quot;Progresīvie&quot;"/>
    <s v="&quot;Apvienotais saraksts&quot;"/>
    <s v="Zaļo un Zemnieku savienība"/>
    <s v="&quot;Latvija pirmajā vietā&quot;"/>
    <s v="&quot;Progresīvie&quot;"/>
    <s v="&quot;Apvienotais saraksts&quot;"/>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Ne sevišķi"/>
    <s v="Viduvēji"/>
    <s v="Ne sevišķi"/>
    <s v="Ļoti"/>
    <s v="nezinu, es ļoti atvainojos"/>
    <s v="Nē"/>
    <s v="Nē"/>
    <s v="Nē"/>
    <s v="Jā"/>
    <s v="Jā"/>
    <s v="Nē"/>
    <s v="2.."/>
    <n v="100"/>
    <n v="85"/>
    <m/>
    <m/>
    <s v="Ļoti saspīlētas"/>
    <s v="Drīzāk saspīlētas"/>
    <s v="Mazliet saspīlētas"/>
    <s v="Nezinu"/>
    <s v="Reti"/>
    <s v="Dažreiz"/>
    <s v="(Gandrīz) nekad"/>
    <s v="Dažreiz"/>
    <m/>
    <m/>
    <m/>
    <m/>
    <m/>
    <s v="Daugavpilī. Tur neviens nerunā latviski, pat ja runā, tad skatās ar “šķību aci”. Es saprotu krievu valodu, bet es nemāku to runāt. Tāpēc varu klausīties krieviski, bet atbildēt krieviski nevarēšu, tikai latviski vai angliski."/>
    <s v="nē"/>
    <s v="N/A"/>
    <s v="N/A"/>
    <s v="N/A"/>
    <s v="N/A"/>
    <s v="N/A"/>
    <s v="N/A"/>
    <s v="N/A"/>
    <s v="Jā"/>
    <s v="N/A"/>
    <s v="N/A"/>
    <s v="N/A"/>
    <s v="Jā"/>
    <s v="(gandrīz) katru dienu"/>
    <s v="(gandrīz) katru dienu"/>
    <s v="(gandrīz) katru dienu"/>
    <s v="(gandrīz) katru dienu"/>
    <s v="(gandrīz) katru dienu"/>
    <s v="(gandrīz) katru dienu"/>
    <s v="(gandrīz) katru dienu"/>
    <s v="pāris reižu mēnesī"/>
    <s v="pāris reižu mēnesī"/>
    <s v="(gandrīz) nekad"/>
    <s v="pāris reižu mēnesī"/>
    <s v="pāris reižu mēnesī"/>
    <s v="pāris reižu mēnesī"/>
    <s v="pāris reižu mēnesī"/>
    <s v="pilsoniskās brīvības (vārda brīvība, tiesības uz tiesisko aizsardzību)"/>
    <s v="vienlīdz pieejama izglītība, veselības aprūpe, sociālais nodrošinājums"/>
    <s v="vienlīdzīgas tiesības minoritātēm un ievainojamām sabiedrības grupām"/>
    <m/>
    <m/>
    <s v="labi"/>
    <s v="labi"/>
    <s v="citreiz labi, citreiz slikti"/>
    <s v="nezinu"/>
    <s v="citreiz labi, citreiz slikti"/>
    <s v="pamatizglītību"/>
    <m/>
    <s v="N/A"/>
    <s v="N/A"/>
    <s v="N/A"/>
    <s v="Jā"/>
    <s v="latviešu"/>
    <m/>
    <s v="Cita atbilde"/>
    <s v="neesmu pabeigusi vēl vidusskolu"/>
    <s v="Spēju veikt pasūtījumu restorānā."/>
    <s v="{if(is_empty(tongueLAT_SQ001.NAOK), 'latviski','krieviski')} nemāku rakstīt."/>
    <s v="Viegli saprotu radio programmas / podkāstus par saviem hobijiem / darbības sfēru."/>
    <s v="{if(is_empty(tongueLAT_SQ001.NAOK), 'latviski','krieviski')} spēju izlasīt ēdienkarti restorānā."/>
    <m/>
    <m/>
    <m/>
    <m/>
    <m/>
    <m/>
    <m/>
    <m/>
    <m/>
    <m/>
    <m/>
    <m/>
    <m/>
    <m/>
    <m/>
    <m/>
    <m/>
    <s v="N/A"/>
    <s v="N/A"/>
    <s v="N/A"/>
    <s v="N/A"/>
    <s v="N/A"/>
    <s v="N/A"/>
    <m/>
    <m/>
    <m/>
    <m/>
    <m/>
    <s v="Nē"/>
    <s v="Nē"/>
    <s v="Nē"/>
    <s v="Nē"/>
    <s v="Nē"/>
    <s v="Nē"/>
    <s v="Nē"/>
    <s v="Nē"/>
    <s v="Nē"/>
    <s v="Nē"/>
    <s v="Nē"/>
    <s v="Jā"/>
    <s v="Nē"/>
    <s v="Nē"/>
    <s v="Nē"/>
    <s v="Nē"/>
    <m/>
    <s v="Nē"/>
    <m/>
    <s v="Nē"/>
    <m/>
    <s v="Nē"/>
    <m/>
    <s v="Nē"/>
    <m/>
    <s v="Nē"/>
    <s v="Nē"/>
    <s v="Nē"/>
    <s v="Jā"/>
    <s v="Nē"/>
    <s v="Nē"/>
    <s v="Nē"/>
    <s v="Jā"/>
    <s v="Nē"/>
    <s v="Jā"/>
    <s v="Jā"/>
    <s v="Nē"/>
    <s v="Jā"/>
    <s v="Nē"/>
    <s v="Nē"/>
    <s v="Nē"/>
    <s v="Nē"/>
    <s v="Nē"/>
    <s v="Nē"/>
    <m/>
    <s v="Nē"/>
    <m/>
    <s v="Nē"/>
    <m/>
    <s v="Nē"/>
    <m/>
    <s v="Nē"/>
    <m/>
    <s v="Jā"/>
    <s v="Jā"/>
    <s v="Nē"/>
    <s v="Nē"/>
    <s v="Jā"/>
    <s v="Nē"/>
    <s v="Nē"/>
    <s v="Jā"/>
    <s v="Nē"/>
    <s v="Nē"/>
    <s v="Jā"/>
    <s v="Nē"/>
    <s v="Jā"/>
    <s v="Nē"/>
    <m/>
    <s v="čau"/>
    <m/>
    <m/>
    <m/>
    <m/>
  </r>
  <r>
    <x v="0"/>
    <n v="248"/>
    <s v="2023-09-18 08:28:34"/>
    <n v="14"/>
    <s v="lv"/>
    <n v="548171663"/>
    <s v="2023-09-18 08:05:16"/>
    <s v="2023-09-18 08:28:34"/>
    <s v="ledus"/>
    <n v="17"/>
    <s v="sieviešu"/>
    <m/>
    <x v="1"/>
    <x v="1"/>
    <x v="0"/>
    <x v="0"/>
    <x v="0"/>
    <x v="0"/>
    <s v="Rīgā / Rīgas rajonā"/>
    <m/>
    <s v="Cita atbilde"/>
    <s v="luternāni"/>
    <s v="N/A"/>
    <s v="N/A"/>
    <s v="N/A"/>
    <s v="N/A"/>
    <s v="N/A"/>
    <s v="N/A"/>
    <s v="Jā"/>
    <s v="N/A"/>
    <s v="N/A"/>
    <s v="N/A"/>
    <s v="N/A"/>
    <s v="N/A"/>
    <s v="N/A"/>
    <s v="Jā"/>
    <s v="N/A"/>
    <s v="N/A"/>
    <s v="N/A"/>
    <s v="N/A"/>
    <s v="N/A"/>
    <s v="N/A"/>
    <s v="Jā"/>
    <s v="Nē"/>
    <s v="Jā"/>
    <s v="Jā"/>
    <s v="Nē"/>
    <s v="Nē"/>
    <s v="Nē"/>
    <s v="Nē"/>
    <s v="nezinu"/>
    <s v="nezinu"/>
    <s v="nezinu"/>
    <s v="nezinu"/>
    <s v="nezinu"/>
    <s v="nezinu"/>
    <s v="Vienlīdzīgi"/>
    <s v="Lielākoties vienlīdzīgi"/>
    <s v="Vienlīdzīgi"/>
    <s v="Nezinu"/>
    <s v="Nezinu"/>
    <s v="nezinu"/>
    <s v="nezinu"/>
    <s v="nezinu"/>
    <s v="nezinu"/>
    <s v="nezinu"/>
    <s v="nezinu"/>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Ne sevišķi"/>
    <s v="Neinteresē"/>
    <s v="Ļoti"/>
    <s v="Ļoti"/>
    <s v="nezinu"/>
    <s v="Nē"/>
    <s v="Nē"/>
    <s v="Nē"/>
    <s v="Jā"/>
    <s v="Nē"/>
    <s v="Nē"/>
    <s v="2.."/>
    <n v="50"/>
    <n v="100"/>
    <m/>
    <m/>
    <s v="Es nezinu"/>
    <s v="Nav saspīlētas"/>
    <s v="Es nezinu"/>
    <s v="(Gandrīz) nekad"/>
    <s v="(Gandrīz) nekad"/>
    <s v="(Gandrīz) nekad"/>
    <s v="(Gandrīz) nekad"/>
    <s v="(Gandrīz) nekad"/>
    <m/>
    <m/>
    <m/>
    <m/>
    <m/>
    <m/>
    <s v="jā, valsts iestādē"/>
    <s v="N/A"/>
    <s v="N/A"/>
    <s v="N/A"/>
    <s v="Jā"/>
    <s v="N/A"/>
    <s v="N/A"/>
    <s v="N/A"/>
    <s v="Jā"/>
    <s v="N/A"/>
    <s v="N/A"/>
    <s v="N/A"/>
    <s v="Jā"/>
    <s v="(gandrīz) katru dienu"/>
    <s v="(gandrīz) katru dienu"/>
    <s v="(gandrīz) katru dienu"/>
    <s v="(gandrīz) katru dienu"/>
    <s v="(gandrīz) katru dienu"/>
    <s v="(gandrīz) katru dienu"/>
    <s v="(gandrīz) katru dienu"/>
    <s v="(gandrīz) nekad"/>
    <s v="reizi nedēļā"/>
    <s v="(gandrīz) nekad"/>
    <s v="(gandrīz) nekad"/>
    <s v="(gandrīz) nekad"/>
    <s v="(gandrīz) nekad"/>
    <s v="(gandrīz) nekad"/>
    <s v="pilsoniskās brīvības (vārda brīvība, tiesības uz tiesisko aizsardzību)"/>
    <s v="vienlīdz pieejama izglītība, veselības aprūpe, sociālais nodrošinājums"/>
    <s v="brīvas vēlēšanas un plurālisms"/>
    <m/>
    <m/>
    <s v="labi"/>
    <s v="labi"/>
    <s v="nezinu"/>
    <s v="nezinu"/>
    <s v="nezinu"/>
    <s v="vidējo izglītību"/>
    <m/>
    <s v="Jā"/>
    <s v="Jā"/>
    <s v="Nē"/>
    <s v="Nē"/>
    <s v="latviešu"/>
    <m/>
    <s v="latviešu"/>
    <m/>
    <s v="Spēju pastāstīt par savu hobiju / darbu."/>
    <s v="Spēju uzrakstīt vēstuli draugam."/>
    <s v="Viegli saprotu televīzijas pārraides vai Youtube video par saviem hobijiem / darbības sfēru."/>
    <s v="Spēju izlasīt avīzi / īsstāstus."/>
    <m/>
    <m/>
    <m/>
    <m/>
    <m/>
    <m/>
    <m/>
    <m/>
    <m/>
    <m/>
    <m/>
    <m/>
    <m/>
    <m/>
    <m/>
    <m/>
    <m/>
    <s v="N/A"/>
    <s v="N/A"/>
    <s v="N/A"/>
    <s v="N/A"/>
    <s v="N/A"/>
    <s v="N/A"/>
    <m/>
    <m/>
    <m/>
    <m/>
    <m/>
    <s v="Nē"/>
    <s v="Nē"/>
    <s v="Nē"/>
    <s v="Jā"/>
    <s v="Nē"/>
    <s v="Nē"/>
    <s v="Nē"/>
    <s v="Nē"/>
    <s v="Nē"/>
    <s v="Nē"/>
    <s v="Nē"/>
    <s v="Nē"/>
    <s v="Nē"/>
    <s v="Nē"/>
    <s v="Nē"/>
    <s v="Nē"/>
    <m/>
    <s v="Nē"/>
    <m/>
    <s v="Nē"/>
    <m/>
    <s v="Nē"/>
    <m/>
    <s v="Nē"/>
    <m/>
    <s v="Nē"/>
    <s v="Nē"/>
    <s v="Nē"/>
    <s v="Nē"/>
    <s v="Nē"/>
    <s v="Nē"/>
    <s v="Nē"/>
    <s v="Nē"/>
    <s v="Nē"/>
    <s v="Nē"/>
    <s v="Nē"/>
    <s v="Nē"/>
    <s v="Nē"/>
    <s v="Nē"/>
    <s v="Nē"/>
    <s v="Nē"/>
    <s v="Nē"/>
    <s v="Nē"/>
    <s v="Jā"/>
    <m/>
    <s v="Nē"/>
    <m/>
    <s v="Nē"/>
    <m/>
    <s v="Nē"/>
    <m/>
    <s v="Nē"/>
    <m/>
    <s v="Nē"/>
    <s v="Jā"/>
    <s v="Nē"/>
    <s v="Nē"/>
    <s v="Nē"/>
    <s v="Nē"/>
    <s v="Nē"/>
    <s v="Jā"/>
    <s v="Nē"/>
    <s v="Nē"/>
    <s v="Nē"/>
    <s v="Nē"/>
    <s v="Nē"/>
    <s v="Nē"/>
    <m/>
    <m/>
    <m/>
    <m/>
    <m/>
    <m/>
  </r>
  <r>
    <x v="0"/>
    <n v="249"/>
    <s v="2023-09-18 08:23:00"/>
    <n v="14"/>
    <s v="lv"/>
    <n v="823344432"/>
    <s v="2023-09-18 08:05:18"/>
    <s v="2023-09-18 08:23:00"/>
    <s v="ledus"/>
    <n v="17"/>
    <s v="vīriešu"/>
    <m/>
    <x v="1"/>
    <x v="1"/>
    <x v="0"/>
    <x v="0"/>
    <x v="0"/>
    <x v="0"/>
    <s v="Rīgā / Rīgas rajonā"/>
    <m/>
    <s v="pareizticīgo"/>
    <m/>
    <s v="Nē"/>
    <s v="Jā"/>
    <s v="Nē"/>
    <s v="Nē"/>
    <s v="Nē"/>
    <s v="Nē"/>
    <s v="Nē"/>
    <s v="Nē"/>
    <s v="Nē"/>
    <s v="Nē"/>
    <s v="Nē"/>
    <s v="Nē"/>
    <s v="Jā"/>
    <s v="Nē"/>
    <s v="N/A"/>
    <s v="N/A"/>
    <s v="N/A"/>
    <s v="N/A"/>
    <s v="N/A"/>
    <s v="N/A"/>
    <s v="Jā"/>
    <s v="N/A"/>
    <s v="N/A"/>
    <s v="N/A"/>
    <s v="N/A"/>
    <s v="N/A"/>
    <s v="N/A"/>
    <s v="Jā"/>
    <s v="nezinu"/>
    <s v="nezinu"/>
    <s v="nezinu"/>
    <s v="nezinu"/>
    <s v="nezinu"/>
    <s v="nezinu"/>
    <s v="Lielākoties vienlīdzīgi"/>
    <s v="Lielākoties vienlīdzīgi"/>
    <s v="Vienlīdzīgi"/>
    <s v="Vienlīdzīgi"/>
    <s v="Vienlīdzīgi"/>
    <s v="Zaļo un Zemnieku savienība"/>
    <s v="Jaunā Vienotība"/>
    <s v="&quot;Progresīvie&quot;"/>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Viduvēji"/>
    <s v="Ļoti"/>
    <s v="Viduvēji"/>
    <s v="Ne sevišķi"/>
    <s v="Neinu"/>
    <s v="Nē"/>
    <s v="Nē"/>
    <s v="Nē"/>
    <s v="Jā"/>
    <s v="Nē"/>
    <s v="Nē"/>
    <s v="1.."/>
    <n v="73"/>
    <n v="75"/>
    <m/>
    <m/>
    <s v="Drīzāk saspīlētas"/>
    <s v="Nav saspīlētas"/>
    <s v="Drīzāk saspīlētas"/>
    <s v="(Gandrīz) nekad"/>
    <s v="(Gandrīz) nekad"/>
    <s v="Reti"/>
    <s v="(Gandrīz) nekad"/>
    <s v="(Gandrīz) nekad"/>
    <m/>
    <m/>
    <m/>
    <m/>
    <m/>
    <s v="Anglu valodu paslatoties uz cilveku un domajot ka vins nemak runat latviski"/>
    <s v="nē"/>
    <s v="N/A"/>
    <s v="N/A"/>
    <s v="N/A"/>
    <s v="N/A"/>
    <s v="Nē"/>
    <s v="Nē"/>
    <s v="Jā"/>
    <s v="Nē"/>
    <s v="Jā"/>
    <s v="Nē"/>
    <s v="Jā"/>
    <s v="Nē"/>
    <s v="(gandrīz) katru dienu"/>
    <s v="(gandrīz) katru dienu"/>
    <s v="(gandrīz) katru dienu"/>
    <s v="pāris reižu nedēļā"/>
    <s v="(gandrīz) katru dienu"/>
    <s v="(gandrīz) katru dienu"/>
    <s v="(gandrīz) katru dienu"/>
    <s v="(gandrīz) nekad"/>
    <s v="reizi nedēļā"/>
    <s v="(gandrīz) nekad"/>
    <s v="(gandrīz) nekad"/>
    <s v="(gandrīz) nekad"/>
    <s v="(gandrīz) nekad"/>
    <s v="(gandrīz) nekad"/>
    <s v="pilsoniskās brīvības (vārda brīvība, tiesības uz tiesisko aizsardzību)"/>
    <s v="varas līdzsvars starp parlamentu, prezidentu un tiesām, lai neviena no institūcijām nespētu sevī koncentrēt lielāko daļu varas"/>
    <s v="brīvas vēlēšanas un plurālisms"/>
    <m/>
    <m/>
    <s v="citreiz labi, citreiz slikti"/>
    <s v="labi"/>
    <s v="citreiz labi, citreiz slikti"/>
    <s v="citreiz labi, citreiz slikti"/>
    <s v="citreiz labi, citreiz slikti"/>
    <s v="pamatizglītību"/>
    <m/>
    <s v="N/A"/>
    <s v="N/A"/>
    <s v="N/A"/>
    <s v="Jā"/>
    <s v="latviešu"/>
    <m/>
    <s v="latviešu"/>
    <m/>
    <s v="{if(is_empty(tongueLAT_SQ001.NAOK), 'latviski','krieviski')} nerunāju it nemaz."/>
    <s v="Spēju uzrakstīt vēstuli draugam."/>
    <s v="Saprotu norādes, kur iet."/>
    <s v="Es neko nespēju izlasīt {if(is_empty(tongueLAT_SQ001.NAOK), 'latviski','krieviski')}."/>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Nē"/>
    <s v="Nē"/>
    <s v="Nē"/>
    <s v="Jā"/>
    <s v="Nē"/>
    <s v="Nē"/>
    <s v="Nē"/>
    <s v="Nē"/>
    <s v="Nē"/>
    <s v="Nē"/>
    <m/>
    <s v="Nē"/>
    <m/>
    <s v="Nē"/>
    <m/>
    <s v="Nē"/>
    <m/>
    <s v="Nē"/>
    <m/>
    <s v="Jā"/>
    <s v="Jā"/>
    <s v="Jā"/>
    <s v="Nē"/>
    <s v="Jā"/>
    <s v="Jā"/>
    <s v="Nē"/>
    <s v="Jā"/>
    <s v="Nē"/>
    <s v="Nē"/>
    <s v="Nē"/>
    <s v="Nē"/>
    <s v="Jā"/>
    <s v="Nē"/>
    <m/>
    <m/>
    <m/>
    <m/>
    <m/>
    <m/>
  </r>
  <r>
    <x v="0"/>
    <n v="250"/>
    <s v="2023-09-18 08:21:37"/>
    <n v="14"/>
    <s v="lv"/>
    <n v="1515068048"/>
    <s v="2023-09-18 08:05:19"/>
    <s v="2023-09-18 08:21:37"/>
    <s v="ledus"/>
    <n v="17"/>
    <s v="sieviešu"/>
    <m/>
    <x v="1"/>
    <x v="1"/>
    <x v="0"/>
    <x v="0"/>
    <x v="0"/>
    <x v="0"/>
    <s v="Rīgā / Rīgas rajonā"/>
    <m/>
    <s v="ateistu(ti), nereliģiozu"/>
    <m/>
    <s v="Jā"/>
    <s v="Nē"/>
    <s v="Nē"/>
    <s v="Nē"/>
    <s v="Nē"/>
    <s v="Nē"/>
    <s v="Nē"/>
    <s v="Nē"/>
    <s v="Jā"/>
    <s v="Nē"/>
    <s v="Nē"/>
    <s v="Nē"/>
    <s v="Jā"/>
    <s v="Nē"/>
    <s v="Jā"/>
    <s v="Nē"/>
    <s v="Nē"/>
    <s v="Nē"/>
    <s v="Nē"/>
    <s v="Jā"/>
    <s v="Nē"/>
    <s v="Nē"/>
    <s v="Jā"/>
    <s v="Nē"/>
    <s v="Jā"/>
    <s v="Nē"/>
    <s v="Jā"/>
    <s v="Nē"/>
    <s v="nezinu"/>
    <s v="tikai b"/>
    <s v="nezinu"/>
    <s v="tikai a"/>
    <s v="tikai a"/>
    <s v="tikai a"/>
    <s v="Lielākoties vienlīdzīgi"/>
    <s v="Lielākoties vienlīdzīgi"/>
    <s v="Vienlīdzīgi"/>
    <s v="Lielākoties vienlīdzīgi"/>
    <s v="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Neinteresē"/>
    <s v="Viduvēji"/>
    <s v="Neinteresē"/>
    <s v="Ārkārtīgi"/>
    <s v="Nezinu"/>
    <s v="Nē"/>
    <s v="Nē"/>
    <s v="Nē"/>
    <s v="Jā"/>
    <s v="Jā"/>
    <s v="Nē"/>
    <s v="2.."/>
    <n v="100"/>
    <n v="100"/>
    <m/>
    <m/>
    <s v="Ļoti saspīlētas"/>
    <s v="Mazliet saspīlētas"/>
    <s v="Ļoti saspīlētas"/>
    <s v="Nezinu"/>
    <s v="(Gandrīz) nekad"/>
    <s v="(Gandrīz) nekad"/>
    <s v="(Gandrīz) nekad"/>
    <s v="Dažreiz"/>
    <m/>
    <m/>
    <m/>
    <m/>
    <m/>
    <s v="Krievu valodu lietojošie cilvēki bieži vien uz tevi paskatās dīvaini ja uz viņu krieviski uzdoto jautājumu atbildu latviešu valodā."/>
    <s v="nē"/>
    <s v="N/A"/>
    <s v="N/A"/>
    <s v="N/A"/>
    <s v="N/A"/>
    <s v="N/A"/>
    <s v="N/A"/>
    <s v="N/A"/>
    <s v="Jā"/>
    <s v="Jā"/>
    <s v="Jā"/>
    <s v="Jā"/>
    <s v="Nē"/>
    <s v="(gandrīz) katru dienu"/>
    <s v="(gandrīz) katru dienu"/>
    <s v="(gandrīz) katru dienu"/>
    <s v="(gandrīz) katru dienu"/>
    <s v="(gandrīz) katru dienu"/>
    <s v="(gandrīz) katru dienu"/>
    <s v="(gandrīz) katru dienu"/>
    <s v="pāris reižu mēnesī"/>
    <s v="(gandrīz) nekad"/>
    <s v="(gandrīz) nekad"/>
    <s v="pāris reižu mēnesī"/>
    <s v="pāris reižu mēnesī"/>
    <s v="pāris reižu mēnesī"/>
    <s v="pāris reižu mēnesī"/>
    <s v="pilsoniskās brīvības (vārda brīvība, tiesības uz tiesisko aizsardzību)"/>
    <s v="vienlīdzīgas tiesības minoritātēm un ievainojamām sabiedrības grupām"/>
    <s v="vienlīdz pieejama izglītība, veselības aprūpe, sociālais nodrošinājums"/>
    <m/>
    <m/>
    <s v="labi"/>
    <s v="labi"/>
    <s v="citreiz labi, citreiz slikti"/>
    <s v="labi"/>
    <s v="citreiz labi, citreiz slikti"/>
    <s v="pamatizglītību"/>
    <m/>
    <s v="N/A"/>
    <s v="N/A"/>
    <s v="N/A"/>
    <s v="Jā"/>
    <s v="latviešu"/>
    <m/>
    <s v="latviešu"/>
    <m/>
    <s v="Spēju ilgstoši sarunāties ar vienaudžiem / piedalīties darba pārrunās."/>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Nē"/>
    <s v="Nē"/>
    <s v="Nē"/>
    <s v="Nē"/>
    <s v="Nē"/>
    <s v="Jā"/>
    <s v="Nē"/>
    <s v="Jā"/>
    <s v="Jā"/>
    <s v="Nē"/>
    <s v="Nē"/>
    <s v="Nē"/>
    <s v="Nē"/>
    <m/>
    <s v="Nē"/>
    <m/>
    <s v="Nē"/>
    <m/>
    <s v="Nē"/>
    <m/>
    <s v="Nē"/>
    <m/>
    <s v="Nē"/>
    <s v="Nē"/>
    <s v="Nē"/>
    <s v="Nē"/>
    <s v="Nē"/>
    <s v="Nē"/>
    <s v="Nē"/>
    <s v="Nē"/>
    <s v="Nē"/>
    <s v="Nē"/>
    <s v="Nē"/>
    <s v="Nē"/>
    <s v="Jā"/>
    <s v="Nē"/>
    <s v="Nē"/>
    <s v="Nē"/>
    <s v="Nē"/>
    <s v="Nē"/>
    <s v="Nē"/>
    <m/>
    <s v="Nē"/>
    <m/>
    <s v="Nē"/>
    <m/>
    <s v="Nē"/>
    <m/>
    <s v="Nē"/>
    <m/>
    <s v="Jā"/>
    <s v="Jā"/>
    <s v="Jā"/>
    <s v="Nē"/>
    <s v="Jā"/>
    <s v="Nē"/>
    <s v="Nē"/>
    <s v="Jā"/>
    <s v="Jā"/>
    <s v="Nē"/>
    <s v="Nē"/>
    <s v="Nē"/>
    <s v="Jā"/>
    <s v="Nē"/>
    <m/>
    <s v="Paldies!"/>
    <m/>
    <m/>
    <m/>
    <m/>
  </r>
  <r>
    <x v="0"/>
    <n v="251"/>
    <s v="2023-09-18 08:37:37"/>
    <n v="14"/>
    <s v="lv"/>
    <n v="788481933"/>
    <s v="2023-09-18 08:05:19"/>
    <s v="2023-09-18 08:37:37"/>
    <s v="ledus"/>
    <n v="17"/>
    <s v="sieviešu"/>
    <m/>
    <x v="1"/>
    <x v="1"/>
    <x v="0"/>
    <x v="0"/>
    <x v="0"/>
    <x v="0"/>
    <s v="Rīgā / Rīgas rajonā"/>
    <m/>
    <s v="katoli(ieti)"/>
    <m/>
    <s v="Nē"/>
    <s v="Jā"/>
    <s v="Nē"/>
    <s v="Nē"/>
    <s v="Nē"/>
    <s v="Jā"/>
    <s v="Nē"/>
    <s v="Nē"/>
    <s v="Jā"/>
    <s v="Nē"/>
    <s v="Nē"/>
    <s v="Nē"/>
    <s v="Nē"/>
    <s v="Nē"/>
    <s v="Jā"/>
    <s v="Nē"/>
    <s v="Nē"/>
    <s v="Nē"/>
    <s v="Nē"/>
    <s v="Nē"/>
    <s v="Nē"/>
    <s v="Nē"/>
    <s v="Nē"/>
    <s v="Nē"/>
    <s v="Jā"/>
    <s v="Nē"/>
    <s v="Nē"/>
    <s v="Nē"/>
    <s v="tikai a"/>
    <s v="tikai b"/>
    <s v="nezinu"/>
    <s v="tikai a"/>
    <s v="tikai a"/>
    <s v="a un b"/>
    <s v="Vienlīdzīgi"/>
    <s v="Lielākoties vienlīdzīgi"/>
    <s v="Lielākoties vienlīdzīgi"/>
    <s v="Vienlīdzīgi"/>
    <s v="Nevienlīdzīgi"/>
    <s v="Politiskā partija &quot;Stabilitātei&quot;"/>
    <s v="nezinu"/>
    <s v="&quot;Progresīvie&quot;"/>
    <s v="Jaunā Vienotība"/>
    <s v="Politiskā partija &quot;Stabilitātei&quot;"/>
    <s v="Jaunā Vienotība"/>
    <s v="&quot;Progresīvie&quot;"/>
    <s v="Klimata pārmaiņas – tas ir ciklisks un dabisks process."/>
    <s v="jā, lielāko daļu no tā, ko iespējams šķirot"/>
    <s v="&quot;Apvienotais saraksts&quot;"/>
    <s v="&quot;Latvija pirmajā vietā&quot;"/>
    <s v="&quot;Latvija pirmajā vietā&quot;"/>
    <s v="Nacionālā Apvienība"/>
    <s v="Zaļo un Zemnieku savienība"/>
    <s v="Zaļo un Zemnieku savienība"/>
    <s v="Politiskā partija &quot;Stabilitātei&quot;"/>
    <s v="Nacionālā Apvienība"/>
    <s v="Nacionālā Apvienība"/>
    <s v="&quot;Apvienotais saraksts&quot;"/>
    <s v="nezinu"/>
    <s v="nezinu"/>
    <s v="nezinu"/>
    <s v="Nacionālā Apvienība"/>
    <s v="Neinteresē"/>
    <s v="Neinteresē"/>
    <s v="Neinteresē"/>
    <s v="Ne sevišķi"/>
    <s v="Populisma mērķis ir iegūt plašu tautas masu atbalstu un popularitāti."/>
    <s v="Nē"/>
    <s v="Nē"/>
    <s v="Jā"/>
    <s v="Jā"/>
    <s v="Jā"/>
    <s v="Nē"/>
    <s v="1.."/>
    <n v="14"/>
    <n v="100"/>
    <m/>
    <m/>
    <s v="Drīzāk saspīlētas"/>
    <s v="Nav saspīlētas"/>
    <s v="Ļoti saspīlētas"/>
    <s v="Nezinu"/>
    <s v="Nezinu"/>
    <s v="Nezinu"/>
    <s v="Nezinu"/>
    <s v="Nezinu"/>
    <m/>
    <m/>
    <m/>
    <m/>
    <m/>
    <m/>
    <s v="jā, valsts iestādē"/>
    <s v="N/A"/>
    <s v="N/A"/>
    <s v="N/A"/>
    <s v="Jā"/>
    <s v="N/A"/>
    <s v="N/A"/>
    <s v="N/A"/>
    <s v="Jā"/>
    <s v="Jā"/>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ienlīdzīgas tiesības minoritātēm un ievainojamām sabiedrības grupām"/>
    <s v="varas līdzsvars starp parlamentu, prezidentu un tiesām, lai neviena no institūcijām nespētu sevī koncentrēt lielāko daļu varas"/>
    <m/>
    <m/>
    <s v="labi"/>
    <s v="labi"/>
    <s v="citreiz labi, citreiz slikti"/>
    <s v="nezinu"/>
    <s v="nezinu"/>
    <s v="pamatizglītību"/>
    <m/>
    <s v="N/A"/>
    <s v="N/A"/>
    <s v="N/A"/>
    <s v="Jā"/>
    <s v="latviešu"/>
    <m/>
    <s v="latviešu"/>
    <m/>
    <s v="{if(is_empty(tongueLAT_SQ001.NAOK), 'latviski','krieviski')} nerunāju it nemaz."/>
    <s v="Spēju uzrakstīt vēstuli draugam."/>
    <s v="Viegli saprotu televīzijas pārraides vai Youtube video par saviem hobijiem / darbības sfēru."/>
    <s v="{if(is_empty(tongueLAT_SQ001.NAOK), 'latviski','krieviski')} spēju izlasīt ēdienkarti restorānā."/>
    <m/>
    <m/>
    <m/>
    <m/>
    <m/>
    <m/>
    <m/>
    <m/>
    <m/>
    <m/>
    <m/>
    <m/>
    <m/>
    <m/>
    <m/>
    <m/>
    <m/>
    <s v="N/A"/>
    <s v="N/A"/>
    <s v="N/A"/>
    <s v="N/A"/>
    <s v="N/A"/>
    <s v="N/A"/>
    <m/>
    <m/>
    <m/>
    <m/>
    <m/>
    <s v="Nē"/>
    <s v="Nē"/>
    <s v="Nē"/>
    <s v="Jā"/>
    <s v="Nē"/>
    <s v="Nē"/>
    <s v="Nē"/>
    <s v="Nē"/>
    <s v="Jā"/>
    <s v="Nē"/>
    <s v="Nē"/>
    <s v="Jā"/>
    <s v="Nē"/>
    <s v="Nē"/>
    <s v="Nē"/>
    <s v="Nē"/>
    <m/>
    <s v="Nē"/>
    <m/>
    <s v="Nē"/>
    <m/>
    <s v="Nē"/>
    <m/>
    <s v="Nē"/>
    <m/>
    <s v="Nē"/>
    <s v="Nē"/>
    <s v="Nē"/>
    <s v="Nē"/>
    <s v="Nē"/>
    <s v="Nē"/>
    <s v="Nē"/>
    <s v="Nē"/>
    <s v="Nē"/>
    <s v="Nē"/>
    <s v="Nē"/>
    <s v="Nē"/>
    <s v="Nē"/>
    <s v="Nē"/>
    <s v="Nē"/>
    <s v="Nē"/>
    <s v="Nē"/>
    <s v="Nē"/>
    <s v="Jā"/>
    <m/>
    <s v="Nē"/>
    <m/>
    <s v="Nē"/>
    <m/>
    <s v="Nē"/>
    <m/>
    <s v="Nē"/>
    <m/>
    <s v="Jā"/>
    <s v="Jā"/>
    <s v="Nē"/>
    <s v="Nē"/>
    <s v="Nē"/>
    <s v="Nē"/>
    <s v="Nē"/>
    <s v="Jā"/>
    <s v="Nē"/>
    <s v="Nē"/>
    <s v="Nē"/>
    <s v="Nē"/>
    <s v="Jā"/>
    <s v="Nē"/>
    <m/>
    <m/>
    <m/>
    <m/>
    <m/>
    <m/>
  </r>
  <r>
    <x v="0"/>
    <n v="252"/>
    <s v="2023-09-18 08:24:23"/>
    <n v="14"/>
    <s v="lv"/>
    <n v="1309464436"/>
    <s v="2023-09-18 08:05:20"/>
    <s v="2023-09-18 08:24:23"/>
    <s v="ledus"/>
    <n v="18"/>
    <s v="vīriešu"/>
    <m/>
    <x v="1"/>
    <x v="1"/>
    <x v="0"/>
    <x v="0"/>
    <x v="0"/>
    <x v="0"/>
    <s v="Rīgā / Rīgas rajonā"/>
    <m/>
    <s v="pareizticīgo"/>
    <m/>
    <s v="Jā"/>
    <s v="Jā"/>
    <s v="Nē"/>
    <s v="Nē"/>
    <s v="Nē"/>
    <s v="Nē"/>
    <s v="Nē"/>
    <s v="Nē"/>
    <s v="Jā"/>
    <s v="Nē"/>
    <s v="Nē"/>
    <s v="Nē"/>
    <s v="Jā"/>
    <s v="Nē"/>
    <s v="Jā"/>
    <s v="Nē"/>
    <s v="Jā"/>
    <s v="Nē"/>
    <s v="Nē"/>
    <s v="Jā"/>
    <s v="Nē"/>
    <s v="Jā"/>
    <s v="Nē"/>
    <s v="Nē"/>
    <s v="Jā"/>
    <s v="Jā"/>
    <s v="Nē"/>
    <s v="Nē"/>
    <s v="nezinu"/>
    <s v="a un b"/>
    <s v="tikai b"/>
    <s v="a un b"/>
    <s v="tikai b"/>
    <s v="tikai a"/>
    <s v="Vienlīdzīgi"/>
    <s v="Lielākoties vienlīdzīgi"/>
    <s v="Vienlīdzīgi"/>
    <s v="Vienlīdzīgi"/>
    <s v="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Ļoti"/>
    <s v="Viduvēji"/>
    <s v="Ārkārtīgi"/>
    <s v="Ļoti"/>
    <s v=".."/>
    <s v="Nē"/>
    <s v="Jā"/>
    <s v="Nē"/>
    <s v="Nē"/>
    <s v="Jā"/>
    <s v="Nē"/>
    <s v="1.."/>
    <n v="70"/>
    <n v="76"/>
    <m/>
    <m/>
    <s v="Mazliet saspīlētas"/>
    <s v="Nav saspīlētas"/>
    <s v="Mazliet saspīlētas"/>
    <s v="(Gandrīz) nekad"/>
    <s v="(Gandrīz) nekad"/>
    <s v="(Gandrīz) nekad"/>
    <s v="(Gandrīz) nekad"/>
    <s v="(Gandrīz) nekad"/>
    <m/>
    <m/>
    <m/>
    <m/>
    <m/>
    <m/>
    <s v="nē"/>
    <s v="N/A"/>
    <s v="N/A"/>
    <s v="N/A"/>
    <s v="N/A"/>
    <s v="Jā"/>
    <s v="Jā"/>
    <s v="Jā"/>
    <s v="Nē"/>
    <s v="Jā"/>
    <s v="Nē"/>
    <s v="Nē"/>
    <s v="Nē"/>
    <s v="(gandrīz) katru dienu"/>
    <s v="(gandrīz) katru dienu"/>
    <s v="(gandrīz) katru dienu"/>
    <s v="(gandrīz) katru dienu"/>
    <s v="(gandrīz) katru dienu"/>
    <s v="(gandrīz) katru dienu"/>
    <s v="(gandrīz) katru dienu"/>
    <s v="pāris reižu mēnesī"/>
    <s v="pāris reižu mēnesī"/>
    <s v="(gandrīz) nekad"/>
    <s v="(gandrīz) nekad"/>
    <s v="(gandrīz) nekad"/>
    <s v="pāris reižu mēnesī"/>
    <s v="pāris reižu mēnesī"/>
    <s v="vienlīdz pieejama izglītība, veselības aprūpe, sociālais nodrošinājums"/>
    <s v="pilsoniskās brīvības (vārda brīvība, tiesības uz tiesisko aizsardzību)"/>
    <s v="vienlīdzīgas tiesības minoritātēm un ievainojamām sabiedrības grupām"/>
    <m/>
    <m/>
    <s v="labi"/>
    <s v="citreiz labi, citreiz slikti"/>
    <s v="citreiz labi, citreiz slikti"/>
    <s v="labi"/>
    <s v="citreiz labi, citreiz slikti"/>
    <s v="pamatizglītību"/>
    <m/>
    <s v="N/A"/>
    <s v="N/A"/>
    <s v="N/A"/>
    <s v="Jā"/>
    <s v="Cita atbilde"/>
    <s v="Angļu"/>
    <s v="Cita atbilde"/>
    <s v="angļu"/>
    <s v="{if(is_empty(tongueLAT_SQ001.NAOK), 'latviski','krieviski')} nerunāju it nemaz."/>
    <s v="{if(is_empty(tongueLAT_SQ001.NAOK), 'latviski','krieviski')} nemāku rakstīt."/>
    <s v="Saprotu norādes, kur iet."/>
    <s v="Es neko nespēju izlasīt {if(is_empty(tongueLAT_SQ001.NAOK), 'latviski','krieviski')}."/>
    <m/>
    <m/>
    <m/>
    <m/>
    <m/>
    <m/>
    <m/>
    <m/>
    <m/>
    <m/>
    <m/>
    <m/>
    <m/>
    <m/>
    <m/>
    <m/>
    <m/>
    <s v="N/A"/>
    <s v="N/A"/>
    <s v="N/A"/>
    <s v="N/A"/>
    <s v="N/A"/>
    <s v="N/A"/>
    <m/>
    <m/>
    <m/>
    <m/>
    <m/>
    <s v="Nē"/>
    <s v="Nē"/>
    <s v="Jā"/>
    <s v="Jā"/>
    <s v="Nē"/>
    <s v="Nē"/>
    <s v="Nē"/>
    <s v="Nē"/>
    <s v="Jā"/>
    <s v="Nē"/>
    <s v="Jā"/>
    <s v="Jā"/>
    <s v="Nē"/>
    <s v="Nē"/>
    <s v="Nē"/>
    <s v="Nē"/>
    <m/>
    <s v="Nē"/>
    <m/>
    <s v="Nē"/>
    <m/>
    <s v="Nē"/>
    <m/>
    <s v="Nē"/>
    <m/>
    <s v="Nē"/>
    <s v="Nē"/>
    <s v="Nē"/>
    <s v="Jā"/>
    <s v="Nē"/>
    <s v="Nē"/>
    <s v="Nē"/>
    <s v="Jā"/>
    <s v="Nē"/>
    <s v="Nē"/>
    <s v="Nē"/>
    <s v="Nē"/>
    <s v="Jā"/>
    <s v="Nē"/>
    <s v="Nē"/>
    <s v="Nē"/>
    <s v="Nē"/>
    <s v="Nē"/>
    <s v="Nē"/>
    <m/>
    <s v="Nē"/>
    <m/>
    <s v="Nē"/>
    <m/>
    <s v="Nē"/>
    <m/>
    <s v="Nē"/>
    <m/>
    <s v="Jā"/>
    <s v="Jā"/>
    <s v="Nē"/>
    <s v="Nē"/>
    <s v="Jā"/>
    <s v="Nē"/>
    <s v="Nē"/>
    <s v="Jā"/>
    <s v="Nē"/>
    <s v="Nē"/>
    <s v="Nē"/>
    <s v="Nē"/>
    <s v="Jā"/>
    <s v="Nē"/>
    <m/>
    <m/>
    <m/>
    <m/>
    <m/>
    <m/>
  </r>
  <r>
    <x v="0"/>
    <n v="253"/>
    <s v="2023-09-18 08:38:02"/>
    <n v="14"/>
    <s v="lv"/>
    <n v="90978320"/>
    <s v="2023-09-18 08:05:24"/>
    <s v="2023-09-18 08:38:02"/>
    <s v="ledus"/>
    <n v="17"/>
    <s v="vīriešu"/>
    <m/>
    <x v="1"/>
    <x v="1"/>
    <x v="0"/>
    <x v="0"/>
    <x v="0"/>
    <x v="0"/>
    <s v="Rīgā / Rīgas rajonā"/>
    <m/>
    <s v="katoli(ieti)"/>
    <m/>
    <s v="Nē"/>
    <s v="Nē"/>
    <s v="Nē"/>
    <s v="Nē"/>
    <s v="Nē"/>
    <s v="Jā"/>
    <s v="Nē"/>
    <s v="Jā"/>
    <s v="Nē"/>
    <s v="Nē"/>
    <s v="Nē"/>
    <s v="Jā"/>
    <s v="Nē"/>
    <s v="Nē"/>
    <s v="Jā"/>
    <s v="Nē"/>
    <s v="Nē"/>
    <s v="Nē"/>
    <s v="Jā"/>
    <s v="Nē"/>
    <s v="Nē"/>
    <s v="Nē"/>
    <s v="Nē"/>
    <s v="Jā"/>
    <s v="Nē"/>
    <s v="Jā"/>
    <s v="Nē"/>
    <s v="Nē"/>
    <s v="tikai a"/>
    <s v="a un b"/>
    <s v="nezinu"/>
    <s v="a un b"/>
    <s v="tikai a"/>
    <s v="a un b"/>
    <s v="Vienlīdzīgi"/>
    <s v="Lielākoties nevienlīdzīgi"/>
    <s v="Vienlīdzīgi"/>
    <s v="Vienlīdzīgi"/>
    <s v="Nezinu"/>
    <s v="&quot;Progresīvie&quot;"/>
    <s v="nezinu"/>
    <s v="Nacionālā Apvienība"/>
    <s v="&quot;Apvienotais saraksts&quot;"/>
    <s v="&quot;Latvija pirmajā vietā&quot;"/>
    <s v="&quot;Progresīvie&quot;"/>
    <s v="&quot;Latvija pirmajā vietā&quot;"/>
    <s v="Globālā sasilšana ir šķērsojusi robežu, pēc kuras nav iespējams atgriezties, un cilvēkiem būs jāpielāgojas."/>
    <s v="jā, lielāko daļu no tā, ko iespējams šķirot"/>
    <s v="Jaunā Vienotība"/>
    <s v="Zaļo un Zemnieku savienība"/>
    <s v="&quot;Progresīvie&quot;"/>
    <s v="Nacionālā Apvienība"/>
    <s v="&quot;Latvija pirmajā vietā&quot;"/>
    <s v="Zaļo un Zemnieku savienība"/>
    <s v="nezinu"/>
    <s v="Politiskā partija &quot;Stabilitātei&quot;"/>
    <s v="&quot;Apvienotais saraksts&quot;"/>
    <s v="Politiskā partija &quot;Stabilitātei&quot;"/>
    <s v="Nacionālā Apvienība"/>
    <s v="&quot;Latvija pirmajā vietā&quot;"/>
    <s v="&quot;Progresīvie&quot;"/>
    <s v="Jaunā Vienotība"/>
    <s v="Viduvēji"/>
    <s v="Neinteresē"/>
    <s v="Viduvēji"/>
    <s v="Ļoti"/>
    <s v="Kādu, kurš runā par pārmērīgi lielu un neizpildāmu ideju realizēšanu."/>
    <s v="Nē"/>
    <s v="Nē"/>
    <s v="Nē"/>
    <s v="Jā"/>
    <s v="Jā"/>
    <s v="Nē"/>
    <s v="1.."/>
    <n v="41"/>
    <n v="62"/>
    <m/>
    <m/>
    <s v="Drīzāk saspīlētas"/>
    <s v="Ļoti saspīlētas"/>
    <s v="Nav saspīlētas"/>
    <s v="Nezinu"/>
    <s v="(Gandrīz) nekad"/>
    <s v="Reti"/>
    <s v="(Gandrīz) nekad"/>
    <s v="(Gandrīz) nekad"/>
    <m/>
    <m/>
    <m/>
    <m/>
    <m/>
    <s v="Vienreiz puķu veikalā pārdevēja bija krievu valodā runājoša sieviete, tāpēc viens otru īpaši nesapratām."/>
    <s v="nē"/>
    <s v="N/A"/>
    <s v="N/A"/>
    <s v="N/A"/>
    <s v="N/A"/>
    <s v="Jā"/>
    <s v="Nē"/>
    <s v="Nē"/>
    <s v="Nē"/>
    <s v="Jā"/>
    <s v="Jā"/>
    <s v="Jā"/>
    <s v="Nē"/>
    <s v="(gandrīz) katru dienu"/>
    <s v="(gandrīz) katru dienu"/>
    <s v="(gandrīz) katru dienu"/>
    <s v="(gandrīz) katru dienu"/>
    <s v="(gandrīz) katru dienu"/>
    <s v="(gandrīz) katru dienu"/>
    <s v="reizi nedēļā"/>
    <s v="(gandrīz) nekad"/>
    <s v="reizi nedēļā"/>
    <s v="(gandrīz) nekad"/>
    <s v="pāris reižu mēnesī"/>
    <s v="pāris reižu mēnesī"/>
    <s v="(gandrīz) nekad"/>
    <s v="reizi nedēļā"/>
    <s v="vienlīdz pieejama izglītība, veselības aprūpe, sociālais nodrošinājums"/>
    <s v="pilsoniskās brīvības (vārda brīvība, tiesības uz tiesisko aizsardzību)"/>
    <s v="vienlīdzīgas tiesības minoritātēm un ievainojamām sabiedrības grupām"/>
    <m/>
    <m/>
    <s v="labi"/>
    <s v="citreiz labi, citreiz slikti"/>
    <s v="labi"/>
    <s v="slikti"/>
    <s v="slikti"/>
    <s v="pamatizglītību"/>
    <m/>
    <s v="N/A"/>
    <s v="N/A"/>
    <s v="N/A"/>
    <s v="Jā"/>
    <s v="latviešu"/>
    <m/>
    <s v="latviešu"/>
    <m/>
    <s v="Spēju veikt pasūtījumu restorānā."/>
    <s v="{if(is_empty(tongueLAT_SQ001.NAOK), 'latviski','krieviski')} nemāku rakstīt."/>
    <s v="Viegli saprotu televīzijas pārraides vai Youtube video par saviem hobijiem / darbības sfēru."/>
    <s v="Spēju izlasīt avīzi / īsstāstus."/>
    <m/>
    <m/>
    <m/>
    <m/>
    <m/>
    <m/>
    <m/>
    <m/>
    <m/>
    <m/>
    <m/>
    <m/>
    <m/>
    <m/>
    <m/>
    <m/>
    <m/>
    <s v="N/A"/>
    <s v="N/A"/>
    <s v="N/A"/>
    <s v="N/A"/>
    <s v="N/A"/>
    <s v="N/A"/>
    <m/>
    <m/>
    <m/>
    <m/>
    <m/>
    <s v="Nē"/>
    <s v="Nē"/>
    <s v="Nē"/>
    <s v="Jā"/>
    <s v="Nē"/>
    <s v="Nē"/>
    <s v="Nē"/>
    <s v="Nē"/>
    <s v="Jā"/>
    <s v="Nē"/>
    <s v="Jā"/>
    <s v="Jā"/>
    <s v="Nē"/>
    <s v="Nē"/>
    <s v="Nē"/>
    <s v="Nē"/>
    <m/>
    <s v="Nē"/>
    <m/>
    <s v="Nē"/>
    <m/>
    <s v="Nē"/>
    <m/>
    <s v="Nē"/>
    <m/>
    <s v="Nē"/>
    <s v="Nē"/>
    <s v="Nē"/>
    <s v="Nē"/>
    <s v="Nē"/>
    <s v="Nē"/>
    <s v="Nē"/>
    <s v="Nē"/>
    <s v="Nē"/>
    <s v="Nē"/>
    <s v="Nē"/>
    <s v="Nē"/>
    <s v="Jā"/>
    <s v="Nē"/>
    <s v="Nē"/>
    <s v="Nē"/>
    <s v="Nē"/>
    <s v="Nē"/>
    <s v="Nē"/>
    <m/>
    <s v="Nē"/>
    <m/>
    <s v="Nē"/>
    <m/>
    <s v="Nē"/>
    <m/>
    <s v="Nē"/>
    <m/>
    <s v="Nē"/>
    <s v="Jā"/>
    <s v="Nē"/>
    <s v="Nē"/>
    <s v="Jā"/>
    <s v="Nē"/>
    <s v="Nē"/>
    <s v="Nē"/>
    <s v="Nē"/>
    <s v="Nē"/>
    <s v="Nē"/>
    <s v="Nē"/>
    <s v="Jā"/>
    <s v="Nē"/>
    <m/>
    <m/>
    <m/>
    <m/>
    <m/>
    <m/>
  </r>
  <r>
    <x v="0"/>
    <n v="254"/>
    <s v="2023-09-18 08:45:22"/>
    <n v="14"/>
    <s v="lv"/>
    <n v="87360500"/>
    <s v="2023-09-18 08:05:31"/>
    <s v="2023-09-18 08:45:22"/>
    <s v="ledus"/>
    <n v="17"/>
    <s v="sieviešu"/>
    <m/>
    <x v="1"/>
    <x v="1"/>
    <x v="0"/>
    <x v="0"/>
    <x v="0"/>
    <x v="0"/>
    <s v="Rīgā / Rīgas rajonā"/>
    <m/>
    <s v="ateistu(ti), nereliģiozu"/>
    <m/>
    <s v="Jā"/>
    <s v="Jā"/>
    <s v="Nē"/>
    <s v="Nē"/>
    <s v="Nē"/>
    <s v="Nē"/>
    <s v="Nē"/>
    <s v="Jā"/>
    <s v="Jā"/>
    <s v="Nē"/>
    <s v="Nē"/>
    <s v="Jā"/>
    <s v="Nē"/>
    <s v="Nē"/>
    <s v="N/A"/>
    <s v="N/A"/>
    <s v="N/A"/>
    <s v="N/A"/>
    <s v="N/A"/>
    <s v="N/A"/>
    <s v="Jā"/>
    <s v="Nē"/>
    <s v="Nē"/>
    <s v="Nē"/>
    <s v="Jā"/>
    <s v="Nē"/>
    <s v="Nē"/>
    <s v="Nē"/>
    <s v="tikai b"/>
    <s v="tikai b"/>
    <s v="ne a, ne b"/>
    <s v="tikai a"/>
    <s v="tikai a"/>
    <s v="a un b"/>
    <s v="Lielākoties nevienlīdzīgi"/>
    <s v="Lielākoties nevienlīdzīgi"/>
    <s v="Lielākoties vienlīdzīgi"/>
    <s v="Lielākoties vienlīdzīgi"/>
    <s v="Nevienlīdzīgi"/>
    <s v="nezinu"/>
    <s v="Jaunā Vienotība"/>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Ļoti"/>
    <s v="Ne sevišķi"/>
    <s v="Ļoti"/>
    <s v="Nezinu"/>
    <s v="Nē"/>
    <s v="Nē"/>
    <s v="Nē"/>
    <s v="Jā"/>
    <s v="Nē"/>
    <s v="Nē"/>
    <s v="1.."/>
    <n v="18"/>
    <n v="50"/>
    <m/>
    <m/>
    <s v="Drīzāk saspīlētas"/>
    <s v="Nav saspīlētas"/>
    <s v="Nav saspīlētas"/>
    <s v="(Gandrīz) nekad"/>
    <s v="(Gandrīz) nekad"/>
    <s v="(Gandrīz) nekad"/>
    <s v="(Gandrīz) nekad"/>
    <s v="Bieži"/>
    <m/>
    <m/>
    <m/>
    <m/>
    <m/>
    <s v="Krievu valoda sarunājoties ar draugiem"/>
    <s v="jā, valsts iestādē"/>
    <s v="N/A"/>
    <s v="N/A"/>
    <s v="N/A"/>
    <s v="Jā"/>
    <s v="N/A"/>
    <s v="N/A"/>
    <s v="N/A"/>
    <s v="Jā"/>
    <s v="N/A"/>
    <s v="N/A"/>
    <s v="N/A"/>
    <s v="Jā"/>
    <s v="(gandrīz) katru dienu"/>
    <s v="(gandrīz) katru dienu"/>
    <s v="(gandrīz) katru dienu"/>
    <s v="(gandrīz) katru dienu"/>
    <s v="(gandrīz) katru dienu"/>
    <s v="(gandrīz) katru dienu"/>
    <s v="(gandrīz) katru dienu"/>
    <s v="pāris reižu nedēļā"/>
    <s v="pāris reižu nedēļā"/>
    <s v="(gandrīz) nekad"/>
    <s v="(gandrīz) katru dienu"/>
    <s v="pāris reižu nedēļā"/>
    <s v="pāris reižu nedēļā"/>
    <s v="(gandrīz) katru dienu"/>
    <s v="pilsoniskās brīvības (vārda brīvība, tiesības uz tiesisko aizsardzību)"/>
    <s v="vienlīdz pieejama izglītība, veselības aprūpe, sociālais nodrošinājums"/>
    <s v="vienlīdzīgas tiesības minoritātēm un ievainojamām sabiedrības grupām"/>
    <m/>
    <m/>
    <s v="nezinu"/>
    <s v="labi"/>
    <s v="nezinu"/>
    <s v="nezinu"/>
    <s v="nezinu"/>
    <s v="pamatizglītību"/>
    <m/>
    <s v="N/A"/>
    <s v="N/A"/>
    <s v="N/A"/>
    <s v="Jā"/>
    <s v="latvieš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Jā"/>
    <s v="Nē"/>
    <s v="Nē"/>
    <s v="Nē"/>
    <s v="Nē"/>
    <s v="Nē"/>
    <s v="Jā"/>
    <s v="Nē"/>
    <s v="Nē"/>
    <s v="Jā"/>
    <s v="Nē"/>
    <s v="Nē"/>
    <s v="Jā"/>
    <s v="Nē"/>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m/>
    <m/>
    <m/>
    <m/>
    <m/>
  </r>
  <r>
    <x v="0"/>
    <n v="255"/>
    <s v="2023-09-18 08:25:50"/>
    <n v="14"/>
    <s v="lv"/>
    <n v="1037098492"/>
    <s v="2023-09-18 08:05:39"/>
    <s v="2023-09-18 08:25:50"/>
    <s v="ledus"/>
    <n v="17"/>
    <s v="Cita atbilde"/>
    <s v="Maisiņš"/>
    <x v="1"/>
    <x v="1"/>
    <x v="0"/>
    <x v="0"/>
    <x v="0"/>
    <x v="0"/>
    <s v="Rīgā / Rīgas rajonā"/>
    <m/>
    <s v="ateistu(ti), nereliģiozu"/>
    <m/>
    <s v="Nē"/>
    <s v="Nē"/>
    <s v="Jā"/>
    <s v="Jā"/>
    <s v="Jā"/>
    <s v="Jā"/>
    <s v="Nē"/>
    <s v="Nē"/>
    <s v="Jā"/>
    <s v="Jā"/>
    <s v="Nē"/>
    <s v="Jā"/>
    <s v="Jā"/>
    <s v="Nē"/>
    <s v="Nē"/>
    <s v="Jā"/>
    <s v="Nē"/>
    <s v="Nē"/>
    <s v="Jā"/>
    <s v="Jā"/>
    <s v="Nē"/>
    <s v="Jā"/>
    <s v="Jā"/>
    <s v="Jā"/>
    <s v="Nē"/>
    <s v="Jā"/>
    <s v="Nē"/>
    <s v="Nē"/>
    <s v="nezinu"/>
    <s v="nezinu"/>
    <s v="nezinu"/>
    <s v="nezinu"/>
    <s v="nezinu"/>
    <s v="nezinu"/>
    <s v="Lielākoties nevienlīdzīgi"/>
    <s v="Vienlīdzīgi"/>
    <s v="Vienlīdzīgi"/>
    <s v="Vienlīdzīgi"/>
    <s v="Vienlīdzīgi"/>
    <s v="Jaunā Vienotība"/>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Ne sevišķi"/>
    <s v="Neinteresē"/>
    <s v="Viduvēji"/>
    <s v="Ne sevišķi"/>
    <s v="Populisti ir cilvēki, kuri piesola lielus labumumus valstij un tās tautai, bet beigās neko no solītā neizdara."/>
    <s v="Jā"/>
    <s v="Nē"/>
    <s v="Jā"/>
    <s v="Nē"/>
    <s v="Jā"/>
    <s v="Nē"/>
    <s v="1.."/>
    <n v="80"/>
    <n v="99"/>
    <m/>
    <m/>
    <s v="Mazliet saspīlētas"/>
    <s v="Nav saspīlētas"/>
    <s v="Nav saspīlētas"/>
    <s v="(Gandrīz) nekad"/>
    <s v="(Gandrīz) nekad"/>
    <s v="(Gandrīz) nekad"/>
    <s v="(Gandrīz) nekad"/>
    <s v="Reti"/>
    <m/>
    <m/>
    <m/>
    <m/>
    <m/>
    <s v="Es runāju krievu valodā ar tiem cilvēkiem (krieviem), kas nezin latviešu valodu."/>
    <s v="nē"/>
    <s v="N/A"/>
    <s v="N/A"/>
    <s v="N/A"/>
    <s v="N/A"/>
    <s v="N/A"/>
    <s v="N/A"/>
    <s v="N/A"/>
    <s v="Jā"/>
    <s v="N/A"/>
    <s v="N/A"/>
    <s v="N/A"/>
    <s v="Jā"/>
    <s v="(gandrīz) katru dienu"/>
    <s v="(gandrīz) katru dienu"/>
    <s v="pāris reižu nedēļā"/>
    <s v="(gandrīz) katru dienu"/>
    <s v="(gandrīz) katru dienu"/>
    <s v="(gandrīz) katru dienu"/>
    <s v="pāris reižu nedēļā"/>
    <s v="(gandrīz) nekad"/>
    <s v="(gandrīz) nekad"/>
    <s v="pāris reižu nedēļā"/>
    <s v="(gandrīz) nekad"/>
    <s v="(gandrīz) nekad"/>
    <s v="(gandrīz) nekad"/>
    <s v="pāris reižu mēnesī"/>
    <s v="varas līdzsvars starp parlamentu, prezidentu un tiesām, lai neviena no institūcijām nespētu sevī koncentrēt lielāko daļu varas"/>
    <s v="brīvas vēlēšanas un plurālisms"/>
    <s v="pilsoniskās brīvības (vārda brīvība, tiesības uz tiesisko aizsardzību)"/>
    <m/>
    <m/>
    <s v="labi"/>
    <s v="citreiz labi, citreiz slikti"/>
    <s v="labi"/>
    <s v="slikti"/>
    <s v="slikti"/>
    <s v="pamatizglītību"/>
    <m/>
    <s v="N/A"/>
    <s v="N/A"/>
    <s v="N/A"/>
    <s v="Jā"/>
    <s v="latviešu"/>
    <m/>
    <s v="Cita atbilde"/>
    <s v="Pašlaik esmu vidusskolā"/>
    <s v="Spēju ilgstoši sarunāties ar vienaudžiem / piedalīties darba pārrunās."/>
    <s v="{if(is_empty(tongueLAT_SQ001.NAOK), 'latviski','krieviski')} nemāku rakstīt."/>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Jā"/>
    <s v="Nē"/>
    <s v="Nē"/>
    <s v="Nē"/>
    <s v="Nē"/>
    <m/>
    <s v="Jā"/>
    <s v="TV6"/>
    <s v="Jā"/>
    <s v="Fox"/>
    <s v="Nē"/>
    <m/>
    <s v="Nē"/>
    <m/>
    <s v="Nē"/>
    <s v="Nē"/>
    <s v="Nē"/>
    <s v="Nē"/>
    <s v="Nē"/>
    <s v="Nē"/>
    <s v="Nē"/>
    <s v="Nē"/>
    <s v="Nē"/>
    <s v="Nē"/>
    <s v="Nē"/>
    <s v="Nē"/>
    <s v="Nē"/>
    <s v="Nē"/>
    <s v="Nē"/>
    <s v="Nē"/>
    <s v="Nē"/>
    <s v="Nē"/>
    <s v="Jā"/>
    <m/>
    <s v="Nē"/>
    <m/>
    <s v="Nē"/>
    <m/>
    <s v="Nē"/>
    <m/>
    <s v="Nē"/>
    <m/>
    <s v="Jā"/>
    <s v="Jā"/>
    <s v="Nē"/>
    <s v="Nē"/>
    <s v="Jā"/>
    <s v="Nē"/>
    <s v="Nē"/>
    <s v="Jā"/>
    <s v="Nē"/>
    <s v="Nē"/>
    <s v="Nē"/>
    <s v="Nē"/>
    <s v="Nē"/>
    <s v="Nē"/>
    <s v="Discord"/>
    <s v="Es ļoti maz zinu par Latviešu politiskajām grupām. Beigās, kad ievēl tos tirliņus, es esmu salīdzinoši apmierināts. Neatbalstu LGBTQ."/>
    <m/>
    <m/>
    <m/>
    <m/>
  </r>
  <r>
    <x v="0"/>
    <n v="256"/>
    <s v="2023-09-18 08:18:49"/>
    <n v="14"/>
    <s v="lv"/>
    <n v="39247683"/>
    <s v="2023-09-18 08:06:05"/>
    <s v="2023-09-18 08:18:49"/>
    <s v="ledus"/>
    <n v="17"/>
    <s v="sieviešu"/>
    <m/>
    <x v="1"/>
    <x v="1"/>
    <x v="0"/>
    <x v="0"/>
    <x v="0"/>
    <x v="0"/>
    <s v="Rīgā / Rīgas rajonā"/>
    <m/>
    <s v="katoli(ieti)"/>
    <m/>
    <s v="N/A"/>
    <s v="N/A"/>
    <s v="N/A"/>
    <s v="N/A"/>
    <s v="N/A"/>
    <s v="N/A"/>
    <s v="Jā"/>
    <s v="Jā"/>
    <s v="Jā"/>
    <s v="Jā"/>
    <s v="Nē"/>
    <s v="Nē"/>
    <s v="Nē"/>
    <s v="Nē"/>
    <s v="Nē"/>
    <s v="Nē"/>
    <s v="Jā"/>
    <s v="Jā"/>
    <s v="Nē"/>
    <s v="Jā"/>
    <s v="Nē"/>
    <s v="Nē"/>
    <s v="Jā"/>
    <s v="Jā"/>
    <s v="Jā"/>
    <s v="Jā"/>
    <s v="Nē"/>
    <s v="Nē"/>
    <s v="nezinu"/>
    <s v="tikai a"/>
    <s v="tikai b"/>
    <s v="tikai b"/>
    <s v="tikai b"/>
    <s v="tikai b"/>
    <s v="Vienlīdzīgi"/>
    <s v="Vienlīdzīgi"/>
    <s v="Vienlīdzīgi"/>
    <s v="Lielākoties nevienlīdzīgi"/>
    <s v="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quot;Progresīvie&quot;"/>
    <s v="&quot;Apvienotais saraksts&quot;"/>
    <s v="Nacionālā Apvienība"/>
    <s v="Jaunā Vienotība"/>
    <s v="Ne sevišķi"/>
    <s v="Ārkārtīgi"/>
    <s v="Ārkārtīgi"/>
    <s v="Ārkārtīgi"/>
    <s v="Nezinu"/>
    <s v="Nē"/>
    <s v="Nē"/>
    <s v="Nē"/>
    <s v="Jā"/>
    <s v="Jā"/>
    <s v="Nē"/>
    <s v="1....."/>
    <n v="96"/>
    <n v="94"/>
    <m/>
    <m/>
    <s v="Drīzāk saspīlētas"/>
    <s v="Nav saspīlētas"/>
    <s v="Drīzāk saspīlētas"/>
    <s v="(Gandrīz) nekad"/>
    <s v="Reti"/>
    <s v="Reti"/>
    <s v="Bieži"/>
    <s v="Bieži"/>
    <m/>
    <m/>
    <m/>
    <m/>
    <m/>
    <s v="Izmantoju krievu valodu veikalā, ar mērķi nopirkt. Bet tantei tas nepatika"/>
    <s v="nē"/>
    <s v="N/A"/>
    <s v="N/A"/>
    <s v="N/A"/>
    <s v="N/A"/>
    <s v="N/A"/>
    <s v="N/A"/>
    <s v="N/A"/>
    <s v="Jā"/>
    <s v="Jā"/>
    <s v="Jā"/>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ienlīdz pieejama izglītība, veselības aprūpe, sociālais nodrošinājums"/>
    <s v="brīvas vēlēšanas un plurālisms"/>
    <s v="vienlīdzīgas tiesības minoritātēm un ievainojamām sabiedrības grupām"/>
    <m/>
    <m/>
    <s v="nezinu"/>
    <s v="slikti"/>
    <s v="labi"/>
    <s v="slikti"/>
    <s v="lab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Jā"/>
    <s v="Nē"/>
    <s v="Nē"/>
    <s v="Nē"/>
    <s v="Nē"/>
    <s v="Jā"/>
    <s v="Nē"/>
    <s v="Nē"/>
    <s v="Jā"/>
    <s v="Nē"/>
    <s v="Nē"/>
    <s v="Nē"/>
    <s v="Nē"/>
    <m/>
    <s v="Nē"/>
    <m/>
    <s v="Nē"/>
    <m/>
    <s v="Nē"/>
    <m/>
    <s v="Nē"/>
    <m/>
    <s v="Jā"/>
    <s v="Jā"/>
    <s v="Nē"/>
    <s v="Jā"/>
    <s v="Nē"/>
    <s v="Nē"/>
    <s v="Nē"/>
    <s v="Jā"/>
    <s v="Jā"/>
    <s v="Jā"/>
    <s v="Jā"/>
    <s v="Jā"/>
    <s v="Jā"/>
    <s v="Jā"/>
    <s v="Nē"/>
    <s v="Nē"/>
    <s v="Nē"/>
    <s v="Nē"/>
    <s v="Nē"/>
    <m/>
    <s v="Nē"/>
    <m/>
    <s v="Nē"/>
    <m/>
    <s v="Nē"/>
    <m/>
    <s v="Nē"/>
    <m/>
    <s v="Nē"/>
    <s v="Jā"/>
    <s v="Jā"/>
    <s v="Nē"/>
    <s v="Jā"/>
    <s v="Nē"/>
    <s v="Nē"/>
    <s v="Jā"/>
    <s v="Nē"/>
    <s v="Nē"/>
    <s v="Nē"/>
    <s v="Nē"/>
    <s v="Jā"/>
    <s v="Nē"/>
    <m/>
    <m/>
    <m/>
    <m/>
    <m/>
    <m/>
  </r>
  <r>
    <x v="0"/>
    <n v="258"/>
    <s v="2023-09-18 08:19:32"/>
    <n v="14"/>
    <s v="lv"/>
    <n v="1934959107"/>
    <s v="2023-09-18 08:06:11"/>
    <s v="2023-09-18 08:19:32"/>
    <s v="ledus"/>
    <n v="17"/>
    <s v="sieviešu"/>
    <m/>
    <x v="1"/>
    <x v="1"/>
    <x v="0"/>
    <x v="0"/>
    <x v="0"/>
    <x v="0"/>
    <s v="Rīgā / Rīgas rajonā"/>
    <m/>
    <s v="ateistu(ti), nereliģiozu"/>
    <m/>
    <s v="Jā"/>
    <s v="Nē"/>
    <s v="Nē"/>
    <s v="Nē"/>
    <s v="Nē"/>
    <s v="Nē"/>
    <s v="Nē"/>
    <s v="Nē"/>
    <s v="Jā"/>
    <s v="Nē"/>
    <s v="Nē"/>
    <s v="Nē"/>
    <s v="Nē"/>
    <s v="Nē"/>
    <s v="Jā"/>
    <s v="Nē"/>
    <s v="Nē"/>
    <s v="Nē"/>
    <s v="Nē"/>
    <s v="Nē"/>
    <s v="Nē"/>
    <s v="Jā"/>
    <s v="Nē"/>
    <s v="Nē"/>
    <s v="Nē"/>
    <s v="Nē"/>
    <s v="Nē"/>
    <s v="Nē"/>
    <s v="nezinu"/>
    <s v="nezinu"/>
    <s v="nezinu"/>
    <s v="nezinu"/>
    <s v="nezinu"/>
    <s v="nezinu"/>
    <s v="Nevienlīdzīgi"/>
    <s v="Nevienlīdzīgi"/>
    <s v="Nevienlīdzīgi"/>
    <s v="Lielākoties vienlīdzīgi"/>
    <s v="Lielākoties nevienlīdzīgi"/>
    <s v="nezinu"/>
    <s v="nezinu"/>
    <s v="nezinu"/>
    <s v="nezinu"/>
    <s v="nezinu"/>
    <s v="nezinu"/>
    <s v="nezinu"/>
    <s v="Klimata pārmaiņas – tas ir ciklisks un dabisks process."/>
    <s v="jā, lielāko daļu no tā, ko iespējams šķirot"/>
    <s v="nezinu"/>
    <s v="nezinu"/>
    <s v="nezinu"/>
    <s v="nezinu"/>
    <s v="nezinu"/>
    <s v="nezinu"/>
    <s v="nezinu"/>
    <s v="nezinu"/>
    <s v="nezinu"/>
    <s v="nezinu"/>
    <s v="nezinu"/>
    <s v="nezinu"/>
    <s v="nezinu"/>
    <s v="nezinu"/>
    <s v="Ne sevišķi"/>
    <s v="Viduvēji"/>
    <s v="Ne sevišķi"/>
    <s v="Ļoti"/>
    <s v="Hz"/>
    <s v="Nē"/>
    <s v="Nē"/>
    <s v="Nē"/>
    <s v="Jā"/>
    <s v="Nē"/>
    <s v="Nē"/>
    <s v="1.."/>
    <n v="100"/>
    <n v="100"/>
    <m/>
    <m/>
    <s v="Ļoti saspīlētas"/>
    <s v="Ļoti saspīlētas"/>
    <s v="Nav saspīlētas"/>
    <s v="(Gandrīz) nekad"/>
    <s v="(Gandrīz) nekad"/>
    <s v="(Gandrīz) nekad"/>
    <s v="Reti"/>
    <s v="Bieži"/>
    <m/>
    <m/>
    <m/>
    <m/>
    <m/>
    <s v="Neznaju"/>
    <s v="jā, nevalstiskā organizācijā"/>
    <s v="N/A"/>
    <s v="N/A"/>
    <s v="N/A"/>
    <s v="Jā"/>
    <s v="N/A"/>
    <s v="N/A"/>
    <s v="N/A"/>
    <s v="Jā"/>
    <s v="Nē"/>
    <s v="Nē"/>
    <s v="Jā"/>
    <s v="Nē"/>
    <s v="(gandrīz) katru dienu"/>
    <s v="(gandrīz) katru dienu"/>
    <s v="(gandrīz) katru dienu"/>
    <s v="(gandrīz) katru dienu"/>
    <s v="(gandrīz) katru dienu"/>
    <s v="(gandrīz) katru dienu"/>
    <s v="(gandrīz) katru dienu"/>
    <s v="(gandrīz) katru dienu"/>
    <s v="(gandrīz) katru dienu"/>
    <s v="(gandrīz) katru dienu"/>
    <s v="pāris reižu nedēļā"/>
    <s v="(gandrīz) katru dienu"/>
    <s v="(gandrīz) katru dienu"/>
    <s v="pāris reižu nedēļā"/>
    <s v="brīvas vēlēšanas un plurālisms"/>
    <s v="pilsoniskās brīvības (vārda brīvība, tiesības uz tiesisko aizsardzību)"/>
    <s v="varas līdzsvars starp parlamentu, prezidentu un tiesām, lai neviena no institūcijām nespētu sevī koncentrēt lielāko daļu varas"/>
    <m/>
    <m/>
    <s v="nezinu"/>
    <s v="nezinu"/>
    <s v="nezinu"/>
    <s v="nezinu"/>
    <s v="nezinu"/>
    <s v="pamatizglītību"/>
    <m/>
    <s v="Jā"/>
    <s v="Nē"/>
    <s v="Nē"/>
    <s v="Nē"/>
    <s v="latvieš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Jā"/>
    <s v="Jā"/>
    <s v="Nē"/>
    <s v="Nē"/>
    <s v="Nē"/>
    <s v="Nē"/>
    <s v="Nē"/>
    <s v="Nē"/>
    <s v="Nē"/>
    <s v="Jā"/>
    <s v="Nē"/>
    <s v="Nē"/>
    <s v="Nē"/>
    <s v="Nē"/>
    <m/>
    <s v="Nē"/>
    <m/>
    <s v="Nē"/>
    <m/>
    <s v="Nē"/>
    <m/>
    <s v="Nē"/>
    <m/>
    <s v="Nē"/>
    <s v="Jā"/>
    <s v="Nē"/>
    <s v="Jā"/>
    <s v="Nē"/>
    <s v="Nē"/>
    <s v="Jā"/>
    <s v="Nē"/>
    <s v="Jā"/>
    <s v="Nē"/>
    <s v="Nē"/>
    <s v="Nē"/>
    <s v="Nē"/>
    <s v="Nē"/>
    <s v="Nē"/>
    <s v="Nē"/>
    <s v="Nē"/>
    <s v="Nē"/>
    <s v="Nē"/>
    <m/>
    <s v="Nē"/>
    <m/>
    <s v="Nē"/>
    <m/>
    <s v="Nē"/>
    <m/>
    <s v="Nē"/>
    <m/>
    <s v="Jā"/>
    <s v="Jā"/>
    <s v="Nē"/>
    <s v="Nē"/>
    <s v="Jā"/>
    <s v="Nē"/>
    <s v="Nē"/>
    <s v="Jā"/>
    <s v="Nē"/>
    <s v="Nē"/>
    <s v="Nē"/>
    <s v="Nē"/>
    <s v="Jā"/>
    <s v="Nē"/>
    <m/>
    <m/>
    <m/>
    <m/>
    <m/>
    <m/>
  </r>
  <r>
    <x v="0"/>
    <n v="259"/>
    <s v="2023-09-18 08:16:44"/>
    <n v="14"/>
    <s v="lv"/>
    <n v="163036225"/>
    <s v="2023-09-18 08:06:16"/>
    <s v="2023-09-18 08:16:44"/>
    <s v="ledus"/>
    <n v="17"/>
    <s v="sieviešu"/>
    <m/>
    <x v="1"/>
    <x v="0"/>
    <x v="0"/>
    <x v="0"/>
    <x v="0"/>
    <x v="0"/>
    <s v="Rīgā / Rīgas rajonā"/>
    <m/>
    <s v="ateistu(ti), nereliģiozu"/>
    <m/>
    <s v="Jā"/>
    <s v="Nē"/>
    <s v="Nē"/>
    <s v="Nē"/>
    <s v="Nē"/>
    <s v="Nē"/>
    <s v="Nē"/>
    <s v="Nē"/>
    <s v="Nē"/>
    <s v="Nē"/>
    <s v="Jā"/>
    <s v="Nē"/>
    <s v="Nē"/>
    <s v="Nē"/>
    <s v="Nē"/>
    <s v="Nē"/>
    <s v="Jā"/>
    <s v="Nē"/>
    <s v="Nē"/>
    <s v="Nē"/>
    <s v="Nē"/>
    <s v="Nē"/>
    <s v="Nē"/>
    <s v="Jā"/>
    <s v="Nē"/>
    <s v="Nē"/>
    <s v="Nē"/>
    <s v="Nē"/>
    <s v="a un b"/>
    <s v="nezinu"/>
    <s v="tikai b"/>
    <s v="a un b"/>
    <s v="tikai b"/>
    <s v="a un b"/>
    <s v="Vienlīdzīgi"/>
    <s v="Nevienlīdzīgi"/>
    <s v="Nevienlīdzīgi"/>
    <s v="Lielākoties nevienlīdzīgi"/>
    <s v="Vienlīdzīgi"/>
    <s v="Zaļo un Zemnieku savienība"/>
    <s v="Jaunā Vienotība"/>
    <s v="&quot;Latvija pirmajā vietā&quot;"/>
    <s v="&quot;Progresīvie&quot;"/>
    <s v="Politiskā partija &quot;Stabilitātei&quot;"/>
    <s v="Zaļo un Zemnieku savienība"/>
    <s v="&quot;Apvienotais saraksts&quot;"/>
    <s v="Cīņai ar klimata pārmaiņām būtu jābūt vairumam pasaules valstu galvenajai prioritātei."/>
    <s v="jā, lielāko daļu no tā, ko iespējams šķirot"/>
    <s v="Jaunā Vienotība"/>
    <s v="&quot;Progresīvie&quot;"/>
    <s v="Zaļo un Zemnieku savienība"/>
    <s v="Nacionālā Apvienība"/>
    <s v="&quot;Apvienotais saraksts&quot;"/>
    <s v="Politiskā partija &quot;Stabilitātei&quot;"/>
    <s v="&quot;Latvija pirmajā vietā&quot;"/>
    <s v="Zaļo un Zemnieku savienība"/>
    <s v="Jaunā Vienotība"/>
    <s v="&quot;Progresīvie&quot;"/>
    <s v="Jaunā Vienotība"/>
    <s v="Politiskā partija &quot;Stabilitātei&quot;"/>
    <s v="Jaunā Vienotība"/>
    <s v="&quot;Progresīvie&quot;"/>
    <s v="Viduvēji"/>
    <s v="Ārkārtīgi"/>
    <s v="Ļoti"/>
    <s v="Ārkārtīgi"/>
    <s v="Nezinu"/>
    <s v="Nē"/>
    <s v="Jā"/>
    <s v="Nē"/>
    <s v="Jā"/>
    <s v="Jā"/>
    <s v="Nē"/>
    <s v="2.."/>
    <n v="24"/>
    <n v="100"/>
    <n v="61"/>
    <n v="1"/>
    <s v="Nav saspīlētas"/>
    <s v="Ļoti saspīlētas"/>
    <s v="Nav saspīlētas"/>
    <s v="(Gandrīz) nekad"/>
    <s v="Reti"/>
    <s v="(Gandrīz) nekad"/>
    <s v="(Gandrīz) nekad"/>
    <s v="(Gandrīz) nekad"/>
    <s v="(Gandrīz) nekad"/>
    <s v="Reti"/>
    <s v="(Gandrīz) nekad"/>
    <s v="(Gandrīz) nekad"/>
    <s v="(Gandrīz) nekad"/>
    <s v="Parasti to izmantoju mājas vai arī darba vietā"/>
    <s v="jā, valsts iestādē"/>
    <s v="N/A"/>
    <s v="N/A"/>
    <s v="N/A"/>
    <s v="Jā"/>
    <s v="N/A"/>
    <s v="N/A"/>
    <s v="N/A"/>
    <s v="Jā"/>
    <s v="N/A"/>
    <s v="N/A"/>
    <s v="N/A"/>
    <s v="Jā"/>
    <s v="(gandrīz) katru dienu"/>
    <s v="(gandrīz) katru dienu"/>
    <s v="(gandrīz) katru dienu"/>
    <s v="(gandrīz) katru dienu"/>
    <s v="(gandrīz) katru dienu"/>
    <s v="(gandrīz) katru dienu"/>
    <s v="(gandrīz) katru dienu"/>
    <s v="(gandrīz) katru dienu"/>
    <s v="(gandrīz) nekad"/>
    <s v="(gandrīz) katru dienu"/>
    <s v="(gandrīz) nekad"/>
    <s v="(gandrīz) nekad"/>
    <s v="(gandrīz) nekad"/>
    <s v="(gandrīz) nekad"/>
    <s v="pilsoniskās brīvības (vārda brīvība, tiesības uz tiesisko aizsardzību)"/>
    <s v="vienlīdzīgas tiesības minoritātēm un ievainojamām sabiedrības grupām"/>
    <s v="brīvas vēlēšanas un plurālisms"/>
    <m/>
    <m/>
    <s v="ļoti labi"/>
    <s v="ļoti labi"/>
    <s v="ļoti labi"/>
    <s v="ļoti labi"/>
    <s v="ļoti labi"/>
    <s v="pamat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Jā"/>
    <s v="Nē"/>
    <s v="Jā"/>
    <s v="Nē"/>
    <s v="Nē"/>
    <s v="Nē"/>
    <s v="Nē"/>
    <s v="Nē"/>
    <s v="Nē"/>
    <s v="Nē"/>
    <s v="Jā"/>
    <s v="Nē"/>
    <m/>
    <s v=":)"/>
    <m/>
    <m/>
    <m/>
    <m/>
  </r>
  <r>
    <x v="0"/>
    <n v="260"/>
    <s v="2023-09-18 08:23:12"/>
    <n v="14"/>
    <s v="lv"/>
    <n v="458165859"/>
    <s v="2023-09-18 08:06:19"/>
    <s v="2023-09-18 08:23:12"/>
    <s v="ledus"/>
    <n v="16"/>
    <s v="sieviešu"/>
    <m/>
    <x v="1"/>
    <x v="1"/>
    <x v="0"/>
    <x v="0"/>
    <x v="0"/>
    <x v="0"/>
    <s v="Rīgā / Rīgas rajonā"/>
    <m/>
    <s v="ateistu(ti), nereliģiozu"/>
    <m/>
    <s v="N/A"/>
    <s v="N/A"/>
    <s v="N/A"/>
    <s v="N/A"/>
    <s v="N/A"/>
    <s v="N/A"/>
    <s v="Jā"/>
    <s v="N/A"/>
    <s v="N/A"/>
    <s v="N/A"/>
    <s v="N/A"/>
    <s v="N/A"/>
    <s v="N/A"/>
    <s v="Jā"/>
    <s v="N/A"/>
    <s v="N/A"/>
    <s v="N/A"/>
    <s v="N/A"/>
    <s v="N/A"/>
    <s v="N/A"/>
    <s v="Jā"/>
    <s v="Nē"/>
    <s v="Jā"/>
    <s v="Nē"/>
    <s v="Nē"/>
    <s v="Nē"/>
    <s v="Nē"/>
    <s v="Nē"/>
    <s v="nezinu"/>
    <s v="nezinu"/>
    <s v="nezinu"/>
    <s v="nezinu"/>
    <s v="nezinu"/>
    <s v="nezinu"/>
    <s v="Vienlīdzīgi"/>
    <s v="Lielākoties vienlīdzīgi"/>
    <s v="Vienlīdzīgi"/>
    <s v="Lielākoties vienlīdzīgi"/>
    <s v="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Ne sevišķi"/>
    <s v="Neinteresē"/>
    <s v="Viduvēji"/>
    <s v="Ārkārtīgi"/>
    <s v="nezinu"/>
    <s v="Nē"/>
    <s v="Nē"/>
    <s v="Nē"/>
    <s v="Jā"/>
    <s v="Nē"/>
    <s v="Nē"/>
    <s v="2.."/>
    <n v="23"/>
    <n v="99"/>
    <m/>
    <m/>
    <s v="Mazliet saspīlētas"/>
    <s v="Nav saspīlētas"/>
    <s v="Ļoti saspīlētas"/>
    <s v="Dažreiz"/>
    <s v="Reti"/>
    <s v="(Gandrīz) nekad"/>
    <s v="Dažreiz"/>
    <s v="Bieži"/>
    <m/>
    <m/>
    <m/>
    <m/>
    <m/>
    <m/>
    <s v="jā, privāta darba devēja labā"/>
    <s v="N/A"/>
    <s v="N/A"/>
    <s v="N/A"/>
    <s v="Jā"/>
    <s v="N/A"/>
    <s v="N/A"/>
    <s v="N/A"/>
    <s v="Jā"/>
    <s v="Jā"/>
    <s v="Nē"/>
    <s v="Nē"/>
    <s v="Nē"/>
    <s v="(gandrīz) katru dienu"/>
    <s v="(gandrīz) katru dienu"/>
    <s v="(gandrīz) katru dienu"/>
    <s v="(gandrīz) katru dienu"/>
    <s v="(gandrīz) katru dienu"/>
    <s v="(gandrīz) katru dienu"/>
    <s v="(gandrīz) katru dienu"/>
    <s v="(gandrīz) nekad"/>
    <s v="(gandrīz) nekad"/>
    <s v="pāris reižu mēnesī"/>
    <s v="(gandrīz) nekad"/>
    <s v="(gandrīz) nekad"/>
    <s v="(gandrīz) nekad"/>
    <s v="(gandrīz) nekad"/>
    <s v="varas līdzsvars starp parlamentu, prezidentu un tiesām, lai neviena no institūcijām nespētu sevī koncentrēt lielāko daļu varas"/>
    <s v="vienlīdzīgas tiesības minoritātēm un ievainojamām sabiedrības grupām"/>
    <s v="vienlīdz pieejama izglītība, veselības aprūpe, sociālais nodrošinājums"/>
    <m/>
    <m/>
    <s v="ļoti labi"/>
    <s v="citreiz labi, citreiz slikti"/>
    <s v="citreiz labi, citreiz slikti"/>
    <s v="labi"/>
    <s v="nezinu"/>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if(is_empty(tongueLAT_SQ001.NAOK), 'latviski','krieviski')} spēju izlasīt ēdienkarti restorānā."/>
    <m/>
    <m/>
    <m/>
    <m/>
    <m/>
    <m/>
    <m/>
    <m/>
    <m/>
    <m/>
    <m/>
    <m/>
    <m/>
    <m/>
    <m/>
    <m/>
    <m/>
    <s v="N/A"/>
    <s v="N/A"/>
    <s v="N/A"/>
    <s v="N/A"/>
    <s v="N/A"/>
    <s v="N/A"/>
    <m/>
    <m/>
    <m/>
    <m/>
    <m/>
    <s v="Nē"/>
    <s v="Nē"/>
    <s v="Jā"/>
    <s v="Jā"/>
    <s v="Nē"/>
    <s v="Nē"/>
    <s v="Nē"/>
    <s v="Nē"/>
    <s v="Nē"/>
    <s v="Nē"/>
    <s v="Jā"/>
    <s v="Jā"/>
    <s v="Nē"/>
    <s v="Nē"/>
    <s v="Nē"/>
    <s v="Nē"/>
    <m/>
    <s v="Nē"/>
    <m/>
    <s v="Nē"/>
    <m/>
    <s v="Nē"/>
    <m/>
    <s v="Nē"/>
    <m/>
    <s v="Nē"/>
    <s v="Nē"/>
    <s v="Nē"/>
    <s v="Nē"/>
    <s v="Nē"/>
    <s v="Nē"/>
    <s v="Nē"/>
    <s v="Nē"/>
    <s v="Nē"/>
    <s v="Nē"/>
    <s v="Nē"/>
    <s v="Nē"/>
    <s v="Jā"/>
    <s v="Nē"/>
    <s v="Nē"/>
    <s v="Nē"/>
    <s v="Nē"/>
    <s v="Nē"/>
    <s v="Nē"/>
    <m/>
    <s v="Nē"/>
    <m/>
    <s v="Nē"/>
    <m/>
    <s v="Nē"/>
    <m/>
    <s v="Nē"/>
    <m/>
    <s v="Jā"/>
    <s v="Jā"/>
    <s v="Nē"/>
    <s v="Nē"/>
    <s v="Nē"/>
    <s v="Nē"/>
    <s v="Nē"/>
    <s v="Nē"/>
    <s v="Nē"/>
    <s v="Nē"/>
    <s v="Nē"/>
    <s v="Nē"/>
    <s v="Jā"/>
    <s v="Nē"/>
    <m/>
    <m/>
    <m/>
    <m/>
    <m/>
    <m/>
  </r>
  <r>
    <x v="0"/>
    <n v="262"/>
    <s v="2023-09-18 08:16:48"/>
    <n v="14"/>
    <s v="lv"/>
    <n v="2093863673"/>
    <s v="2023-09-18 08:06:20"/>
    <s v="2023-09-18 08:16:48"/>
    <s v="ledus"/>
    <n v="16"/>
    <s v="sieviešu"/>
    <m/>
    <x v="1"/>
    <x v="1"/>
    <x v="0"/>
    <x v="0"/>
    <x v="0"/>
    <x v="0"/>
    <s v="Rīgā / Rīgas rajonā"/>
    <m/>
    <s v="pareizticīgo"/>
    <m/>
    <s v="N/A"/>
    <s v="N/A"/>
    <s v="N/A"/>
    <s v="N/A"/>
    <s v="N/A"/>
    <s v="N/A"/>
    <s v="Jā"/>
    <s v="N/A"/>
    <s v="N/A"/>
    <s v="N/A"/>
    <s v="N/A"/>
    <s v="N/A"/>
    <s v="N/A"/>
    <s v="Jā"/>
    <s v="N/A"/>
    <s v="N/A"/>
    <s v="N/A"/>
    <s v="N/A"/>
    <s v="N/A"/>
    <s v="N/A"/>
    <s v="Jā"/>
    <s v="N/A"/>
    <s v="N/A"/>
    <s v="N/A"/>
    <s v="N/A"/>
    <s v="N/A"/>
    <s v="N/A"/>
    <s v="Jā"/>
    <s v="nezinu"/>
    <s v="nezinu"/>
    <s v="nezinu"/>
    <s v="nezinu"/>
    <s v="nezinu"/>
    <s v="nezinu"/>
    <s v="Lielākoties vienlīdzīgi"/>
    <s v="Lielākoties vienlīdzīgi"/>
    <s v="Vienlīdzīgi"/>
    <s v="Vienlīdzīgi"/>
    <s v="Vienlīdzīgi"/>
    <s v="nezinu"/>
    <s v="nezinu"/>
    <s v="nezinu"/>
    <s v="nezinu"/>
    <s v="nezinu"/>
    <s v="nezinu"/>
    <s v="nezinu"/>
    <s v="Globālā sasilšana ir šķērsojusi robežu, pēc kuras nav iespējams atgriezties, un cilvēkiem būs jāpielāgojas."/>
    <s v="jā, lielāko daļu no tā, ko iespējams šķirot"/>
    <s v="nezinu"/>
    <s v="nezinu"/>
    <s v="nezinu"/>
    <s v="nezinu"/>
    <s v="nezinu"/>
    <s v="nezinu"/>
    <s v="nezinu"/>
    <s v="nezinu"/>
    <s v="nezinu"/>
    <s v="nezinu"/>
    <s v="nezinu"/>
    <s v="nezinu"/>
    <s v="nezinu"/>
    <s v="nezinu"/>
    <s v="Ļoti"/>
    <s v="Neinteresē"/>
    <s v="Ne sevišķi"/>
    <s v="Ārkārtīgi"/>
    <m/>
    <s v="Jā"/>
    <s v="Nē"/>
    <s v="Nē"/>
    <s v="Jā"/>
    <s v="Jā"/>
    <s v="Nē"/>
    <s v="2.."/>
    <n v="100"/>
    <n v="100"/>
    <m/>
    <m/>
    <s v="Ļoti saspīlētas"/>
    <s v="Nav saspīlētas"/>
    <s v="Ļoti saspīlētas"/>
    <s v="(Gandrīz) nekad"/>
    <s v="(Gandrīz) nekad"/>
    <s v="(Gandrīz) nekad"/>
    <s v="(Gandrīz) nekad"/>
    <s v="(Gandrīz) nekad"/>
    <m/>
    <m/>
    <m/>
    <m/>
    <m/>
    <m/>
    <s v="jā, pašvaldības iestādē"/>
    <s v="N/A"/>
    <s v="N/A"/>
    <s v="N/A"/>
    <s v="Jā"/>
    <s v="N/A"/>
    <s v="N/A"/>
    <s v="N/A"/>
    <s v="Jā"/>
    <s v="N/A"/>
    <s v="N/A"/>
    <s v="N/A"/>
    <s v="Jā"/>
    <s v="(gandrīz) katru dienu"/>
    <s v="(gandrīz) katru dienu"/>
    <s v="(gandrīz) katru dienu"/>
    <s v="(gandrīz) katru dienu"/>
    <s v="(gandrīz) katru dienu"/>
    <s v="(gandrīz) katru dienu"/>
    <s v="(gandrīz) katru dienu"/>
    <s v="(gandrīz) nekad"/>
    <s v="reizi nedēļā"/>
    <s v="(gandrīz) nekad"/>
    <s v="reizi nedēļā"/>
    <s v="reizi nedēļā"/>
    <s v="(gandrīz) nekad"/>
    <s v="reizi nedēļā"/>
    <s v="pilsoniskās brīvības (vārda brīvība, tiesības uz tiesisko aizsardzību)"/>
    <s v="vienlīdz pieejama izglītība, veselības aprūpe, sociālais nodrošinājums"/>
    <s v="vienlīdzīgas tiesības minoritātēm un ievainojamām sabiedrības grupām"/>
    <m/>
    <m/>
    <s v="nezinu"/>
    <s v="nezinu"/>
    <s v="nezinu"/>
    <s v="nezinu"/>
    <s v="nezinu"/>
    <s v="vidējo izglītību"/>
    <m/>
    <s v="Nē"/>
    <s v="Jā"/>
    <s v="Nē"/>
    <s v="Nē"/>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Jā"/>
    <s v="Nē"/>
    <s v="Nē"/>
    <s v="Nē"/>
    <s v="Nē"/>
    <s v="Jā"/>
    <s v="Nē"/>
    <s v="Nē"/>
    <s v="Jā"/>
    <s v="Nē"/>
    <s v="Nē"/>
    <s v="Nē"/>
    <s v="Nē"/>
    <m/>
    <s v="Nē"/>
    <m/>
    <s v="Nē"/>
    <m/>
    <s v="Nē"/>
    <m/>
    <s v="Nē"/>
    <m/>
    <s v="Nē"/>
    <s v="Nē"/>
    <s v="Nē"/>
    <s v="Nē"/>
    <s v="Nē"/>
    <s v="Nē"/>
    <s v="Nē"/>
    <s v="Nē"/>
    <s v="Nē"/>
    <s v="Jā"/>
    <s v="Nē"/>
    <s v="Nē"/>
    <s v="Jā"/>
    <s v="Nē"/>
    <s v="Nē"/>
    <s v="Nē"/>
    <s v="Nē"/>
    <s v="Nē"/>
    <s v="Nē"/>
    <m/>
    <s v="Nē"/>
    <m/>
    <s v="Nē"/>
    <m/>
    <s v="Nē"/>
    <m/>
    <s v="Nē"/>
    <m/>
    <s v="Jā"/>
    <s v="Jā"/>
    <s v="Nē"/>
    <s v="Nē"/>
    <s v="Nē"/>
    <s v="Nē"/>
    <s v="Nē"/>
    <s v="Nē"/>
    <s v="Nē"/>
    <s v="Nē"/>
    <s v="Nē"/>
    <s v="Nē"/>
    <s v="Jā"/>
    <s v="Nē"/>
    <m/>
    <m/>
    <m/>
    <m/>
    <m/>
    <m/>
  </r>
  <r>
    <x v="0"/>
    <n v="263"/>
    <s v="2023-09-18 08:23:52"/>
    <n v="14"/>
    <s v="lv"/>
    <n v="270970639"/>
    <s v="2023-09-18 08:06:43"/>
    <s v="2023-09-18 08:23:52"/>
    <s v="ledus"/>
    <n v="16"/>
    <s v="vīriešu"/>
    <m/>
    <x v="1"/>
    <x v="1"/>
    <x v="0"/>
    <x v="0"/>
    <x v="0"/>
    <x v="0"/>
    <s v="Rīgā / Rīgas rajonā"/>
    <m/>
    <s v="ateistu(ti), nereliģiozu"/>
    <m/>
    <s v="Nē"/>
    <s v="Jā"/>
    <s v="Nē"/>
    <s v="Nē"/>
    <s v="Nē"/>
    <s v="Nē"/>
    <s v="Nē"/>
    <s v="Nē"/>
    <s v="Jā"/>
    <s v="Nē"/>
    <s v="Nē"/>
    <s v="Nē"/>
    <s v="Nē"/>
    <s v="Nē"/>
    <s v="Jā"/>
    <s v="Nē"/>
    <s v="Jā"/>
    <s v="Nē"/>
    <s v="Nē"/>
    <s v="Nē"/>
    <s v="Nē"/>
    <s v="Nē"/>
    <s v="Jā"/>
    <s v="Nē"/>
    <s v="Jā"/>
    <s v="Nē"/>
    <s v="Nē"/>
    <s v="Nē"/>
    <s v="tikai b"/>
    <s v="tikai a"/>
    <s v="tikai b"/>
    <s v="tikai a"/>
    <s v="nezinu"/>
    <s v="tikai b"/>
    <s v="Lielākoties nevienlīdzīgi"/>
    <s v="Lielākoties nevienlīdzīgi"/>
    <s v="Lielākoties vienlīdzīgi"/>
    <s v="Lielākoties nevienlīdzīgi"/>
    <s v="Lielākoties nevienlīdzīgi"/>
    <s v="nezinu"/>
    <s v="&quot;Progresīvie&quot;"/>
    <s v="nezinu"/>
    <s v="nezinu"/>
    <s v="&quot;Latvija pirmajā vietā&quot;"/>
    <s v="&quot;Progresīvie&quot;"/>
    <s v="nezinu"/>
    <s v="Cīņai ar klimata pārmaiņām būtu jābūt vairumam pasaules valstu galvenajai prioritātei."/>
    <s v="jā, lielāko daļu no tā, ko iespējams šķirot"/>
    <s v="&quot;Progresīvie&quot;"/>
    <s v="nezinu"/>
    <s v="nezinu"/>
    <s v="nezinu"/>
    <s v="nezinu"/>
    <s v="Zaļo un Zemnieku savienība"/>
    <s v="Jaunā Vienotība"/>
    <s v="nezinu"/>
    <s v="&quot;Progresīvie&quot;"/>
    <s v="nezinu"/>
    <s v="nezinu"/>
    <s v="nezinu"/>
    <s v="nezinu"/>
    <s v="&quot;Latvija pirmajā vietā&quot;"/>
    <s v="Ļoti"/>
    <s v="Ļoti"/>
    <s v="Viduvēji"/>
    <s v="Viduvēji"/>
    <s v="Likt cilvēkus un viņu prasības pirmajā vietā."/>
    <s v="Nē"/>
    <s v="Nē"/>
    <s v="Jā"/>
    <s v="Jā"/>
    <s v="Jā"/>
    <s v="Jā"/>
    <s v="1.."/>
    <n v="64"/>
    <n v="100"/>
    <m/>
    <m/>
    <s v="Drīzāk saspīlētas"/>
    <s v="Drīzāk saspīlētas"/>
    <s v="Mazliet saspīlētas"/>
    <s v="Nezinu"/>
    <s v="(Gandrīz) nekad"/>
    <s v="Reti"/>
    <s v="(Gandrīz) nekad"/>
    <s v="Dažreiz"/>
    <m/>
    <m/>
    <m/>
    <m/>
    <m/>
    <s v="Es izmantoju angļu valodu, bet tikai lai komunicētu neformālā sarunā."/>
    <s v="nē"/>
    <s v="N/A"/>
    <s v="N/A"/>
    <s v="N/A"/>
    <s v="N/A"/>
    <s v="N/A"/>
    <s v="N/A"/>
    <s v="N/A"/>
    <s v="Jā"/>
    <s v="Jā"/>
    <s v="Nē"/>
    <s v="Nē"/>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brīvas vēlēšanas un plurālisms"/>
    <s v="pilsoniskās brīvības (vārda brīvība, tiesības uz tiesisko aizsardzību)"/>
    <s v="varas līdzsvars starp parlamentu, prezidentu un tiesām, lai neviena no institūcijām nespētu sevī koncentrēt lielāko daļu varas"/>
    <m/>
    <m/>
    <s v="citreiz labi, citreiz slikti"/>
    <s v="labi"/>
    <s v="citreiz labi, citreiz slikti"/>
    <s v="nezinu"/>
    <s v="slikt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if(is_empty(tongueLAT_SQ001.NAOK), 'latviski','krieviski')} spēju izlasīt ēdienkarti restorānā."/>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Jā"/>
    <s v="Nē"/>
    <s v="Nē"/>
    <s v="Nē"/>
    <s v="Nē"/>
    <s v="Nē"/>
    <s v="Nē"/>
    <s v="Nē"/>
    <m/>
    <s v="Nē"/>
    <m/>
    <s v="Nē"/>
    <m/>
    <s v="Nē"/>
    <m/>
    <s v="Nē"/>
    <m/>
    <s v="Jā"/>
    <s v="Jā"/>
    <s v="Nē"/>
    <s v="Nē"/>
    <s v="Jā"/>
    <s v="Nē"/>
    <s v="Nē"/>
    <s v="Jā"/>
    <s v="Nē"/>
    <s v="Nē"/>
    <s v="Jā"/>
    <s v="Nē"/>
    <s v="Nē"/>
    <s v="Nē"/>
    <m/>
    <m/>
    <m/>
    <m/>
    <m/>
    <m/>
  </r>
  <r>
    <x v="0"/>
    <n v="266"/>
    <s v="2023-09-18 08:18:05"/>
    <n v="14"/>
    <s v="lv"/>
    <n v="438049253"/>
    <s v="2023-09-18 08:07:24"/>
    <s v="2023-09-18 08:18:05"/>
    <s v="ledus"/>
    <n v="16"/>
    <s v="sieviešu"/>
    <m/>
    <x v="1"/>
    <x v="1"/>
    <x v="0"/>
    <x v="0"/>
    <x v="0"/>
    <x v="0"/>
    <s v="Rīgā / Rīgas rajonā"/>
    <m/>
    <s v="katoli(ieti)"/>
    <m/>
    <s v="N/A"/>
    <s v="N/A"/>
    <s v="N/A"/>
    <s v="N/A"/>
    <s v="N/A"/>
    <s v="N/A"/>
    <s v="Jā"/>
    <s v="N/A"/>
    <s v="N/A"/>
    <s v="N/A"/>
    <s v="N/A"/>
    <s v="N/A"/>
    <s v="N/A"/>
    <s v="Jā"/>
    <s v="N/A"/>
    <s v="N/A"/>
    <s v="N/A"/>
    <s v="N/A"/>
    <s v="N/A"/>
    <s v="N/A"/>
    <s v="Jā"/>
    <s v="N/A"/>
    <s v="N/A"/>
    <s v="N/A"/>
    <s v="N/A"/>
    <s v="N/A"/>
    <s v="N/A"/>
    <s v="Jā"/>
    <s v="a un b"/>
    <s v="a un b"/>
    <s v="ne a, ne b"/>
    <s v="tikai a"/>
    <s v="tikai b"/>
    <s v="tikai a"/>
    <s v="Vienlīdzīgi"/>
    <s v="Lielākoties nevienlīdzīgi"/>
    <s v="Vienlīdzīgi"/>
    <s v="Vienlīdzīgi"/>
    <s v="Vienlīdzīgi"/>
    <s v="nezinu"/>
    <s v="nezinu"/>
    <s v="nezinu"/>
    <s v="nezinu"/>
    <s v="nezinu"/>
    <s v="nezinu"/>
    <s v="nezinu"/>
    <s v="Globālā sasilšana ir šķērsojusi robežu, pēc kuras nav iespējams atgriezties, un cilvēkiem būs jāpielāgojas."/>
    <s v="jā, visu, ko iespējams šķirot"/>
    <s v="nezinu"/>
    <s v="nezinu"/>
    <s v="nezinu"/>
    <s v="nezinu"/>
    <s v="nezinu"/>
    <s v="nezinu"/>
    <s v="nezinu"/>
    <s v="nezinu"/>
    <s v="nezinu"/>
    <s v="nezinu"/>
    <s v="nezinu"/>
    <s v="nezinu"/>
    <s v="nezinu"/>
    <s v="nezinu"/>
    <s v="Viduvēji"/>
    <s v="Neinteresē"/>
    <s v="Neinteresē"/>
    <s v="Ļoti"/>
    <m/>
    <s v="Jā"/>
    <s v="Nē"/>
    <s v="Nē"/>
    <s v="Jā"/>
    <s v="Jā"/>
    <s v="Nē"/>
    <s v="1.."/>
    <n v="75"/>
    <n v="72"/>
    <m/>
    <m/>
    <s v="Ļoti saspīlētas"/>
    <s v="Nav saspīlētas"/>
    <s v="Ļoti saspīlētas"/>
    <s v="(Gandrīz) nekad"/>
    <s v="(Gandrīz) nekad"/>
    <s v="(Gandrīz) nekad"/>
    <s v="(Gandrīz) nekad"/>
    <s v="(Gandrīz) nekad"/>
    <m/>
    <m/>
    <m/>
    <m/>
    <m/>
    <m/>
    <s v="jā, valsts iestādē"/>
    <s v="N/A"/>
    <s v="N/A"/>
    <s v="N/A"/>
    <s v="Jā"/>
    <s v="N/A"/>
    <s v="N/A"/>
    <s v="N/A"/>
    <s v="Jā"/>
    <s v="N/A"/>
    <s v="N/A"/>
    <s v="N/A"/>
    <s v="Jā"/>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aras līdzsvars starp parlamentu, prezidentu un tiesām, lai neviena no institūcijām nespētu sevī koncentrēt lielāko daļu varas"/>
    <s v="vienlīdzīgas tiesības minoritātēm un ievainojamām sabiedrības grupām"/>
    <s v="brīvas vēlēšanas un plurālisms"/>
    <m/>
    <m/>
    <s v="labi"/>
    <s v="nezinu"/>
    <s v="nezinu"/>
    <s v="nezinu"/>
    <s v="nezinu"/>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Jā"/>
    <s v="Nē"/>
    <s v="Nē"/>
    <s v="Nē"/>
    <s v="Nē"/>
    <m/>
    <s v="Nē"/>
    <m/>
    <s v="Nē"/>
    <m/>
    <s v="Nē"/>
    <m/>
    <s v="Nē"/>
    <m/>
    <s v="Nē"/>
    <s v="Nē"/>
    <s v="Nē"/>
    <s v="Nē"/>
    <s v="Nē"/>
    <s v="Nē"/>
    <s v="Nē"/>
    <s v="Nē"/>
    <s v="Nē"/>
    <s v="Jā"/>
    <s v="Nē"/>
    <s v="Nē"/>
    <s v="Jā"/>
    <s v="Nē"/>
    <s v="Nē"/>
    <s v="Nē"/>
    <s v="Nē"/>
    <s v="Nē"/>
    <s v="Nē"/>
    <m/>
    <s v="Nē"/>
    <m/>
    <s v="Nē"/>
    <m/>
    <s v="Nē"/>
    <m/>
    <s v="Nē"/>
    <m/>
    <s v="Jā"/>
    <s v="Jā"/>
    <s v="Nē"/>
    <s v="Nē"/>
    <s v="Nē"/>
    <s v="Jā"/>
    <s v="Nē"/>
    <s v="Nē"/>
    <s v="Nē"/>
    <s v="Nē"/>
    <s v="Nē"/>
    <s v="Nē"/>
    <s v="Jā"/>
    <s v="Nē"/>
    <m/>
    <m/>
    <m/>
    <m/>
    <m/>
    <m/>
  </r>
  <r>
    <x v="0"/>
    <n v="267"/>
    <s v="2023-09-18 08:29:39"/>
    <n v="14"/>
    <s v="lv"/>
    <n v="308261696"/>
    <s v="2023-09-18 08:07:46"/>
    <s v="2023-09-18 08:29:39"/>
    <s v="ledus"/>
    <n v="17"/>
    <s v="vīriešu"/>
    <m/>
    <x v="1"/>
    <x v="1"/>
    <x v="0"/>
    <x v="0"/>
    <x v="0"/>
    <x v="0"/>
    <s v="Rīgā / Rīgas rajonā"/>
    <m/>
    <s v="Cita atbilde"/>
    <s v="Pagāns"/>
    <s v="Nē"/>
    <s v="Nē"/>
    <s v="Jā"/>
    <s v="Nē"/>
    <s v="Nē"/>
    <s v="Nē"/>
    <s v="Nē"/>
    <s v="Nē"/>
    <s v="Jā"/>
    <s v="Nē"/>
    <s v="Nē"/>
    <s v="Nē"/>
    <s v="Nē"/>
    <s v="Nē"/>
    <s v="Nē"/>
    <s v="Jā"/>
    <s v="Nē"/>
    <s v="Nē"/>
    <s v="Nē"/>
    <s v="Nē"/>
    <s v="Nē"/>
    <s v="Nē"/>
    <s v="Nē"/>
    <s v="Nē"/>
    <s v="Jā"/>
    <s v="Nē"/>
    <s v="Nē"/>
    <s v="Nē"/>
    <s v="tikai b"/>
    <s v="tikai b"/>
    <s v="ne a, ne b"/>
    <s v="tikai a"/>
    <s v="a un b"/>
    <s v="ne a, ne b"/>
    <s v="Vienlīdzīgi"/>
    <s v="Vienlīdzīgi"/>
    <s v="Vienlīdzīgi"/>
    <s v="Vienlīdzīgi"/>
    <s v="Vienlīdzīgi"/>
    <s v="Nacionālā Apvienība"/>
    <s v="Jaunā Vienotība"/>
    <s v="&quot;Latvija pirmajā vietā&quot;"/>
    <s v="nezinu"/>
    <s v="Zaļo un Zemnieku savienība"/>
    <s v="&quot;Progresīvie&quot;"/>
    <s v="Nacionālā Apvienība"/>
    <s v="Klimata pārmaiņām nav nekādu pārliecinošu pierādījumu."/>
    <s v="nē"/>
    <s v="Jaunā Vienotība"/>
    <s v="Jaunā Vienotība"/>
    <s v="Jaunā Vienotība"/>
    <s v="Jaunā Vienotība"/>
    <s v="Jaunā Vienotība"/>
    <s v="Jaunā Vienotība"/>
    <s v="Jaunā Vienotība"/>
    <s v="Jaunā Vienotība"/>
    <s v="Jaunā Vienotība"/>
    <s v="Jaunā Vienotība"/>
    <s v="Jaunā Vienotība"/>
    <s v="Jaunā Vienotība"/>
    <s v="Jaunā Vienotība"/>
    <s v="Jaunā Vienotība"/>
    <s v="Ne sevišķi"/>
    <s v="Neinteresē"/>
    <s v="Neinteresē"/>
    <s v="Viduvēji"/>
    <s v="Nezinu"/>
    <s v="Nē"/>
    <s v="Nē"/>
    <s v="Nē"/>
    <s v="Nē"/>
    <s v="Jā"/>
    <s v="Nē"/>
    <s v="1.."/>
    <n v="100"/>
    <n v="100"/>
    <m/>
    <m/>
    <s v="Drīzāk saspīlētas"/>
    <s v="Ļoti saspīlētas"/>
    <s v="Drīzāk saspīlētas"/>
    <s v="(Gandrīz) nekad"/>
    <s v="(Gandrīz) nekad"/>
    <s v="(Gandrīz) nekad"/>
    <s v="Reti"/>
    <s v="Dažreiz"/>
    <m/>
    <m/>
    <m/>
    <m/>
    <m/>
    <s v="Latviski runaju ar krieviem"/>
    <s v="jā, privāta darba devēja labā"/>
    <s v="Nē"/>
    <s v="Jā"/>
    <s v="Nē"/>
    <s v="Nē"/>
    <s v="Nē"/>
    <s v="Jā"/>
    <s v="Jā"/>
    <s v="Nē"/>
    <s v="Nē"/>
    <s v="Jā"/>
    <s v="Jā"/>
    <s v="Nē"/>
    <s v="(gandrīz) katru dienu"/>
    <s v="(gandrīz) katru dienu"/>
    <s v="(gandrīz) katru dienu"/>
    <s v="(gandrīz) katru dienu"/>
    <s v="(gandrīz) katru dienu"/>
    <s v="(gandrīz) katru dienu"/>
    <s v="(gandrīz) katru dienu"/>
    <s v="(gandrīz) nekad"/>
    <s v="reizi nedēļā"/>
    <s v="(gandrīz) nekad"/>
    <s v="(gandrīz) nekad"/>
    <s v="(gandrīz) nekad"/>
    <s v="(gandrīz) nekad"/>
    <s v="(gandrīz) nekad"/>
    <s v="brīvas vēlēšanas un plurālisms"/>
    <s v="pilsoniskās brīvības (vārda brīvība, tiesības uz tiesisko aizsardzību)"/>
    <s v="vienlīdz pieejama izglītība, veselības aprūpe, sociālais nodrošinājums"/>
    <m/>
    <m/>
    <s v="labi"/>
    <s v="ļoti labi"/>
    <s v="ļoti labi"/>
    <s v="citreiz labi, citreiz slikti"/>
    <s v="Knapi / gandrīz necik"/>
    <s v="pamatizglītību"/>
    <m/>
    <s v="N/A"/>
    <s v="N/A"/>
    <s v="N/A"/>
    <s v="Jā"/>
    <s v="latviešu"/>
    <m/>
    <s v="latviešu"/>
    <m/>
    <s v="Spēju veikt pasūtījumu restorānā."/>
    <s v="Spēju uzrakstīt vēstuli draugam."/>
    <s v="Viegli saprotu radio programmas / podkāstus par saviem hobijiem / darbības sfēru."/>
    <s v="{if(is_empty(tongueLAT_SQ001.NAOK), 'latviski','krieviski')} spēju izlasīt ēdienkarti restorānā."/>
    <m/>
    <m/>
    <m/>
    <m/>
    <m/>
    <m/>
    <m/>
    <m/>
    <m/>
    <m/>
    <m/>
    <m/>
    <m/>
    <m/>
    <m/>
    <m/>
    <m/>
    <s v="N/A"/>
    <s v="N/A"/>
    <s v="N/A"/>
    <s v="N/A"/>
    <s v="N/A"/>
    <s v="N/A"/>
    <m/>
    <m/>
    <m/>
    <m/>
    <m/>
    <s v="Nē"/>
    <s v="Nē"/>
    <s v="Jā"/>
    <s v="Jā"/>
    <s v="Nē"/>
    <s v="Nē"/>
    <s v="Nē"/>
    <s v="Nē"/>
    <s v="Nē"/>
    <s v="Nē"/>
    <s v="Nē"/>
    <s v="Nē"/>
    <s v="Nē"/>
    <s v="Nē"/>
    <s v="Nē"/>
    <s v="Nē"/>
    <m/>
    <s v="Nē"/>
    <m/>
    <s v="Nē"/>
    <m/>
    <s v="Nē"/>
    <m/>
    <s v="Nē"/>
    <m/>
    <s v="Nē"/>
    <s v="Nē"/>
    <s v="Nē"/>
    <s v="Nē"/>
    <s v="Nē"/>
    <s v="Nē"/>
    <s v="Nē"/>
    <s v="Nē"/>
    <s v="Nē"/>
    <s v="Nē"/>
    <s v="Nē"/>
    <s v="Nē"/>
    <s v="Nē"/>
    <s v="Nē"/>
    <s v="Nē"/>
    <s v="Nē"/>
    <s v="Nē"/>
    <s v="Nē"/>
    <s v="Jā"/>
    <m/>
    <s v="Nē"/>
    <m/>
    <s v="Nē"/>
    <m/>
    <s v="Nē"/>
    <m/>
    <s v="Nē"/>
    <m/>
    <s v="Jā"/>
    <s v="Jā"/>
    <s v="Nē"/>
    <s v="Nē"/>
    <s v="Jā"/>
    <s v="Nē"/>
    <s v="Nē"/>
    <s v="Nē"/>
    <s v="Nē"/>
    <s v="Nē"/>
    <s v="Jā"/>
    <s v="Nē"/>
    <s v="Jā"/>
    <s v="Nē"/>
    <m/>
    <m/>
    <m/>
    <m/>
    <m/>
    <m/>
  </r>
  <r>
    <x v="2"/>
    <n v="272"/>
    <s v="2023-09-21 12:20:32"/>
    <n v="14"/>
    <s v="ru"/>
    <n v="882325939"/>
    <s v="2023-09-21 11:59:12"/>
    <s v="2023-09-21 12:20:32"/>
    <s v="trusis"/>
    <n v="17"/>
    <s v="vīriešu"/>
    <m/>
    <x v="1"/>
    <x v="0"/>
    <x v="0"/>
    <x v="0"/>
    <x v="0"/>
    <x v="0"/>
    <s v="Latgalē"/>
    <m/>
    <s v="katoli(ieti)"/>
    <m/>
    <s v="Jā"/>
    <s v="Jā"/>
    <s v="Nē"/>
    <s v="Nē"/>
    <s v="Nē"/>
    <s v="Nē"/>
    <s v="Nē"/>
    <s v="Nē"/>
    <s v="Jā"/>
    <s v="Nē"/>
    <s v="Jā"/>
    <s v="Nē"/>
    <s v="Nē"/>
    <s v="Nē"/>
    <s v="Nē"/>
    <s v="Jā"/>
    <s v="Nē"/>
    <s v="Nē"/>
    <s v="Jā"/>
    <s v="Jā"/>
    <s v="Nē"/>
    <s v="Nē"/>
    <s v="Jā"/>
    <s v="Jā"/>
    <s v="Jā"/>
    <s v="Nē"/>
    <s v="Jā"/>
    <s v="Nē"/>
    <s v="tikai b"/>
    <s v="nezinu"/>
    <s v="nezinu"/>
    <s v="nezinu"/>
    <s v="nezinu"/>
    <s v="nezinu"/>
    <s v="Lielākoties vienlīdzīgi"/>
    <s v="Lielākoties vienlīdzīgi"/>
    <s v="Vienlīdzīgi"/>
    <s v="Vienlīdzīgi"/>
    <s v="Vienlīdzīgi"/>
    <s v="nezinu"/>
    <s v="&quot;Progresīvie&quot;"/>
    <s v="nezinu"/>
    <s v="nezinu"/>
    <s v="&quot;Progresīvie&quot;"/>
    <s v="nezinu"/>
    <s v="nezinu"/>
    <s v="Cīņai ar klimata pārmaiņām būtu jābūt vairumam pasaules valstu galvenajai prioritātei."/>
    <s v="jā, lielāko daļu no tā, ko iespējams šķirot"/>
    <s v="&quot;Apvienotais saraksts&quot;"/>
    <s v="Jaunā Vienotība"/>
    <s v="&quot;Latvija pirmajā vietā&quot;"/>
    <s v="&quot;Latvija pirmajā vietā&quot;"/>
    <s v="nezinu"/>
    <s v="Zaļo un Zemnieku savienība"/>
    <s v="&quot;Latvija pirmajā vietā&quot;"/>
    <s v="&quot;Latvija pirmajā vietā&quot;"/>
    <s v="&quot;Apvienotais saraksts&quot;"/>
    <s v="nezinu"/>
    <s v="nezinu"/>
    <s v="nezinu"/>
    <s v="nezinu"/>
    <s v="nezinu"/>
    <s v="Ārkārtīgi"/>
    <s v="Neinteresē"/>
    <s v="Viduvēji"/>
    <s v="Ne sevišķi"/>
    <s v="es nezinu"/>
    <s v="Nē"/>
    <s v="Nē"/>
    <s v="Nē"/>
    <s v="Jā"/>
    <s v="Jā"/>
    <s v="Nē"/>
    <s v="2.."/>
    <n v="50"/>
    <n v="77"/>
    <n v="50"/>
    <n v="20"/>
    <s v="Mazliet saspīlētas"/>
    <s v="Nav saspīlētas"/>
    <s v="Nav saspīlētas"/>
    <s v="Nezinu"/>
    <s v="Nezinu"/>
    <s v="Nezinu"/>
    <s v="Nezinu"/>
    <s v="Nezinu"/>
    <s v="Nezinu"/>
    <s v="Nezinu"/>
    <s v="Nezinu"/>
    <s v="Nezinu"/>
    <s v="Nezinu"/>
    <m/>
    <s v="nē"/>
    <s v="N/A"/>
    <s v="N/A"/>
    <s v="N/A"/>
    <s v="N/A"/>
    <s v="N/A"/>
    <s v="N/A"/>
    <s v="N/A"/>
    <s v="Jā"/>
    <s v="N/A"/>
    <s v="N/A"/>
    <s v="N/A"/>
    <s v="Jā"/>
    <s v="(gandrīz) katru dienu"/>
    <s v="(gandrīz) katru dienu"/>
    <s v="(gandrīz) nekad"/>
    <s v="(gandrīz) katru dienu"/>
    <s v="(gandrīz) katru dienu"/>
    <s v="(gandrīz) katru dienu"/>
    <s v="(gandrīz) katru dienu"/>
    <s v="(gandrīz) katru dienu"/>
    <s v="(gandrīz) katru dienu"/>
    <s v="(gandrīz) nekad"/>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nezinu"/>
    <s v="nezinu"/>
    <s v="nezinu"/>
    <s v="nezinu"/>
    <s v="nezinu"/>
    <s v="pamatizglītību"/>
    <m/>
    <s v="N/A"/>
    <s v="N/A"/>
    <s v="N/A"/>
    <s v="Jā"/>
    <s v="vienlīdz latviešu un kriev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Jā"/>
    <s v="Jā"/>
    <s v="Jā"/>
    <s v="Nē"/>
    <s v="Jā"/>
    <s v="Nē"/>
    <s v="Nē"/>
    <s v="Nē"/>
    <s v="Nē"/>
    <s v="Nē"/>
    <s v="Nē"/>
    <m/>
    <m/>
    <m/>
    <m/>
    <m/>
    <m/>
  </r>
  <r>
    <x v="2"/>
    <n v="273"/>
    <s v="2023-09-21 12:30:37"/>
    <n v="14"/>
    <s v="lv"/>
    <n v="1192909113"/>
    <s v="2023-09-21 11:59:23"/>
    <s v="2023-09-21 12:30:37"/>
    <s v="trusis"/>
    <n v="17"/>
    <s v="vīriešu"/>
    <m/>
    <x v="1"/>
    <x v="0"/>
    <x v="0"/>
    <x v="0"/>
    <x v="0"/>
    <x v="0"/>
    <s v="Vidzemē"/>
    <m/>
    <s v="pareizticīgo"/>
    <m/>
    <s v="Jā"/>
    <s v="Nē"/>
    <s v="Nē"/>
    <s v="Nē"/>
    <s v="Nē"/>
    <s v="Nē"/>
    <s v="Nē"/>
    <s v="Nē"/>
    <s v="Jā"/>
    <s v="Nē"/>
    <s v="Nē"/>
    <s v="Jā"/>
    <s v="Nē"/>
    <s v="Nē"/>
    <s v="Jā"/>
    <s v="Nē"/>
    <s v="Nē"/>
    <s v="Nē"/>
    <s v="Nē"/>
    <s v="Jā"/>
    <s v="Nē"/>
    <s v="Jā"/>
    <s v="Nē"/>
    <s v="Nē"/>
    <s v="Jā"/>
    <s v="Nē"/>
    <s v="Nē"/>
    <s v="Nē"/>
    <s v="a un b"/>
    <s v="tikai b"/>
    <s v="ne a, ne b"/>
    <s v="tikai a"/>
    <s v="a un b"/>
    <s v="a un b"/>
    <s v="Lielākoties nevienlīdzīgi"/>
    <s v="Lielākoties nevienlīdzīgi"/>
    <s v="Nevienlīdzīgi"/>
    <s v="Lielākoties vienlīdzīgi"/>
    <s v="Lielākoties nevienlīdzīgi"/>
    <s v="&quot;Latvija pirmajā vietā&quot;"/>
    <s v="Jaunā Vienotība"/>
    <s v="Zaļo un Zemnieku savienība"/>
    <s v="&quot;Progresīvie&quot;"/>
    <s v="Politiskā partija &quot;Stabilitātei&quot;"/>
    <s v="Nacionālā Apvienība"/>
    <s v="&quot;Apvienotais saraksts&quot;"/>
    <s v="Cīņai ar klimata pārmaiņām būtu jābūt vairumam pasaules valstu galvenajai prioritātei."/>
    <s v="jā, daļu no tā, ko iespējams šķirot"/>
    <s v="Politiskā partija &quot;Stabilitātei&quot;"/>
    <s v="&quot;Progresīvie&quot;"/>
    <s v="Jaunā Vienotība"/>
    <s v="&quot;Apvienotais saraksts&quot;"/>
    <s v="Zaļo un Zemnieku savienība"/>
    <s v="Nacionālā Apvienība"/>
    <s v="&quot;Latvija pirmajā vietā&quot;"/>
    <s v="&quot;Apvienotais saraksts&quot;"/>
    <s v="&quot;Latvija pirmajā vietā&quot;"/>
    <s v="Jaunā Vienotība"/>
    <s v="Nacionālā Apvienība"/>
    <s v="&quot;Progresīvie&quot;"/>
    <s v="Politiskā partija &quot;Stabilitātei&quot;"/>
    <s v="Zaļo un Zemnieku savienība"/>
    <s v="Ļoti"/>
    <s v="Neinteresē"/>
    <s v="Ļoti"/>
    <s v="Neinteresē"/>
    <s v="Man nāk prāta meli, jo cik bieži m';es sabiedrībā dzirdam visādus piedāvājumus un solijumus no politiķu puses un cik daudzi no teim piepildās, manuprāt, daudzi piekritīs tam, ka politiķu teiktajam 70% gadījumos near ticēt, jo bieži viens tas teiktais vienkārši tiek aizmirsts un neizpildīts, tāpat kā ar visiem solītiem komunālajiem atbalstiem, vai par par to, ka tiks atgriezta nauda par pārmaksātiem nodokļiem"/>
    <s v="Nē"/>
    <s v="Nē"/>
    <s v="Nē"/>
    <s v="Jā"/>
    <s v="Jā"/>
    <s v="Nē"/>
    <s v="1.."/>
    <n v="75"/>
    <n v="95"/>
    <n v="5"/>
    <n v="1"/>
    <s v="Nav saspīlētas"/>
    <s v="Mazliet saspīlētas"/>
    <s v="Drīzāk saspīlētas"/>
    <s v="(Gandrīz) nekad"/>
    <s v="Reti"/>
    <s v="Reti"/>
    <s v="Reti"/>
    <s v="Dažreiz"/>
    <s v="(Gandrīz) nekad"/>
    <s v="(Gandrīz) nekad"/>
    <s v="(Gandrīz) nekad"/>
    <s v="(Gandrīz) nekad"/>
    <s v="(Gandrīz) nekad"/>
    <s v="Es izvēlos izmantot tikai un vienīgi latviešu valodu, jo tā ir mana dzimtā valoda, un kopumā man šī valoda ir teiksim tā tuvāk sirdij, krievu valodu izmantoju tikai tad, ja cilvēks ar kuru es komunicēju slikti zin krievu valodu, bet pie katras iespējas izvēlos lietot latviešu valodu"/>
    <s v="nē"/>
    <s v="N/A"/>
    <s v="N/A"/>
    <s v="N/A"/>
    <s v="N/A"/>
    <s v="Jā"/>
    <s v="Jā"/>
    <s v="Jā"/>
    <s v="Nē"/>
    <s v="Nē"/>
    <s v="Nē"/>
    <s v="Jā"/>
    <s v="Nē"/>
    <s v="(gandrīz) katru dienu"/>
    <s v="(gandrīz) katru dienu"/>
    <s v="(gandrīz) katru dienu"/>
    <s v="pāris reižu nedēļā"/>
    <s v="(gandrīz) katru dienu"/>
    <s v="(gandrīz) katru dienu"/>
    <s v="(gandrīz) katru dienu"/>
    <s v="reizi nedēļā"/>
    <s v="(gandrīz) nekad"/>
    <s v="pāris reižu mēnesī"/>
    <s v="pāris reižu nedēļā"/>
    <s v="pāris reižu mēnesī"/>
    <s v="pāris reižu mēnesī"/>
    <s v="(gandrīz) nekad"/>
    <s v="vienlīdz pieejama izglītība, veselības aprūpe, sociālais nodrošinājums"/>
    <s v="pilsoniskās brīvības (vārda brīvība, tiesības uz tiesisko aizsardzību)"/>
    <s v="brīvas vēlēšanas un plurālisms"/>
    <m/>
    <m/>
    <s v="citreiz labi, citreiz slikti"/>
    <s v="citreiz labi, citreiz slikti"/>
    <s v="slikti"/>
    <s v="slikti"/>
    <s v="slikti"/>
    <s v="pamatizglītību"/>
    <m/>
    <s v="N/A"/>
    <s v="N/A"/>
    <s v="N/A"/>
    <s v="Jā"/>
    <s v="latviešu"/>
    <m/>
    <s v="vidusskolā neesmu gājis"/>
    <m/>
    <m/>
    <m/>
    <m/>
    <m/>
    <m/>
    <m/>
    <m/>
    <m/>
    <m/>
    <m/>
    <m/>
    <m/>
    <m/>
    <m/>
    <m/>
    <m/>
    <m/>
    <m/>
    <m/>
    <m/>
    <m/>
    <s v="N/A"/>
    <s v="N/A"/>
    <s v="N/A"/>
    <s v="N/A"/>
    <s v="N/A"/>
    <s v="N/A"/>
    <m/>
    <m/>
    <m/>
    <m/>
    <m/>
    <s v="Nē"/>
    <s v="Nē"/>
    <s v="Jā"/>
    <s v="Jā"/>
    <s v="Nē"/>
    <s v="Nē"/>
    <s v="Nē"/>
    <s v="Nē"/>
    <s v="Nē"/>
    <s v="Nē"/>
    <s v="Jā"/>
    <s v="Nē"/>
    <s v="Nē"/>
    <s v="Nē"/>
    <s v="Nē"/>
    <s v="Nē"/>
    <m/>
    <s v="Nē"/>
    <m/>
    <s v="Nē"/>
    <m/>
    <s v="Nē"/>
    <m/>
    <s v="Nē"/>
    <m/>
    <s v="Nē"/>
    <s v="Nē"/>
    <s v="Nē"/>
    <s v="Jā"/>
    <s v="Nē"/>
    <s v="Nē"/>
    <s v="Nē"/>
    <s v="Jā"/>
    <s v="Jā"/>
    <s v="Nē"/>
    <s v="Jā"/>
    <s v="Nē"/>
    <s v="Jā"/>
    <s v="Nē"/>
    <s v="Nē"/>
    <s v="Nē"/>
    <s v="Nē"/>
    <s v="Nē"/>
    <s v="Nē"/>
    <m/>
    <s v="Nē"/>
    <m/>
    <s v="Nē"/>
    <m/>
    <s v="Nē"/>
    <m/>
    <s v="Nē"/>
    <m/>
    <s v="Jā"/>
    <s v="Jā"/>
    <s v="Jā"/>
    <s v="Nē"/>
    <s v="Jā"/>
    <s v="Jā"/>
    <s v="Nē"/>
    <s v="Jā"/>
    <s v="Jā"/>
    <s v="Nē"/>
    <s v="Nē"/>
    <s v="Nē"/>
    <s v="Jā"/>
    <s v="Nē"/>
    <m/>
    <s v="Es gribētu teikt un cerēt, ka latvijas izglītības sistēma tiks augstāk vērtēta pasaulē, lai arī latvijas iedzīvotāji varētu pievienoties augsti vērtētām pasaules universitātēm, piemēram harvadas universitāti, es uzskatu, ka tas ir nedaudz negodīgi attiecībā pret latviju, un liels mīnus latvijas izglītībā, ir nespēja dabū GPA vairāk par 4, kopumā aptauja ļoti patika jautājumi ir par manuprāt aktuālām tēmām, paldies!"/>
    <m/>
    <m/>
    <m/>
    <m/>
  </r>
  <r>
    <x v="2"/>
    <n v="274"/>
    <s v="2023-09-21 12:27:54"/>
    <n v="14"/>
    <s v="ru"/>
    <n v="61062662"/>
    <s v="2023-09-21 11:59:44"/>
    <s v="2023-09-21 12:27:54"/>
    <s v="кролик"/>
    <n v="17"/>
    <s v="vīriešu"/>
    <m/>
    <x v="1"/>
    <x v="0"/>
    <x v="0"/>
    <x v="0"/>
    <x v="0"/>
    <x v="0"/>
    <s v="Latgalē"/>
    <m/>
    <s v="pareizticīgo"/>
    <m/>
    <s v="Nē"/>
    <s v="Jā"/>
    <s v="Jā"/>
    <s v="Nē"/>
    <s v="Nē"/>
    <s v="Nē"/>
    <s v="Nē"/>
    <s v="Nē"/>
    <s v="Jā"/>
    <s v="Nē"/>
    <s v="Nē"/>
    <s v="Nē"/>
    <s v="Jā"/>
    <s v="Nē"/>
    <s v="Nē"/>
    <s v="Jā"/>
    <s v="Nē"/>
    <s v="Nē"/>
    <s v="Nē"/>
    <s v="Nē"/>
    <s v="Nē"/>
    <s v="Jā"/>
    <s v="Nē"/>
    <s v="Nē"/>
    <s v="Nē"/>
    <s v="Jā"/>
    <s v="Jā"/>
    <s v="Nē"/>
    <s v="tikai b"/>
    <s v="tikai a"/>
    <s v="a un b"/>
    <s v="a un b"/>
    <s v="tikai b"/>
    <s v="ne a, ne b"/>
    <s v="Vienlīdzīgi"/>
    <s v="Lielākoties vienlīdzīgi"/>
    <s v="Vienlīdzīgi"/>
    <s v="Lielākoties vienlīdzīgi"/>
    <s v="Lielākoties vienlīdzīgi"/>
    <s v="Politiskā partija &quot;Stabilitātei&quot;"/>
    <s v="Jaunā Vienotība"/>
    <s v="Politiskā partija &quot;Stabilitātei&quot;"/>
    <s v="Nacionālā Apvienība"/>
    <s v="nezinu"/>
    <s v="Jaunā Vienotība"/>
    <s v="Jaunā Vienotība"/>
    <s v="Cīņai ar klimata pārmaiņām būtu jābūt vairumam pasaules valstu galvenajai prioritātei."/>
    <s v="jā, daļu no tā, ko iespējams šķirot"/>
    <s v="Jaunā Vienotība"/>
    <s v="Politiskā partija &quot;Stabilitātei&quot;"/>
    <s v="Jaunā Vienotība"/>
    <s v="&quot;Progresīvie&quot;"/>
    <s v="Jaunā Vienotība"/>
    <s v="Jaunā Vienotība"/>
    <s v="Politiskā partija &quot;Stabilitātei&quot;"/>
    <s v="Jaunā Vienotība"/>
    <s v="Nacionālā Apvienība"/>
    <s v="Jaunā Vienotība"/>
    <s v="&quot;Progresīvie&quot;"/>
    <s v="Politiskā partija &quot;Stabilitātei&quot;"/>
    <s v="Politiskā partija &quot;Stabilitātei&quot;"/>
    <s v="Nacionālā Apvienība"/>
    <s v="Ļoti"/>
    <s v="Viduvēji"/>
    <s v="Viduvēji"/>
    <s v="Ļoti"/>
    <s v="популизм -я редко слышу это слово и редко оно мне попадается"/>
    <s v="Nē"/>
    <s v="Jā"/>
    <s v="Nē"/>
    <s v="Jā"/>
    <s v="Nē"/>
    <s v="Nē"/>
    <s v="1.."/>
    <n v="40"/>
    <n v="40"/>
    <n v="70"/>
    <n v="25"/>
    <s v="Drīzāk saspīlētas"/>
    <s v="Nav saspīlētas"/>
    <s v="Nav saspīlētas"/>
    <s v="(Gandrīz) nekad"/>
    <s v="(Gandrīz) nekad"/>
    <s v="(Gandrīz) nekad"/>
    <s v="Reti"/>
    <s v="Reti"/>
    <s v="Reti"/>
    <s v="Dažreiz"/>
    <s v="(Gandrīz) nekad"/>
    <s v="(Gandrīz) nekad"/>
    <s v="(Gandrīz) nekad"/>
    <s v="Никогда такого не было"/>
    <s v="nē"/>
    <s v="N/A"/>
    <s v="N/A"/>
    <s v="N/A"/>
    <s v="N/A"/>
    <s v="Nē"/>
    <s v="Jā"/>
    <s v="Nē"/>
    <s v="Nē"/>
    <s v="Nē"/>
    <s v="Jā"/>
    <s v="Nē"/>
    <s v="Nē"/>
    <s v="pāris reižu mēnesī"/>
    <s v="pāris reižu nedēļā"/>
    <s v="(gandrīz) nekad"/>
    <s v="pāris reižu mēnesī"/>
    <s v="(gandrīz) nekad"/>
    <s v="(gandrīz) nekad"/>
    <s v="(gandrīz) nekad"/>
    <s v="(gandrīz) katru dienu"/>
    <s v="pāris reižu mēnesī"/>
    <s v="(gandrīz) katru dienu"/>
    <s v="(gandrīz) katru dienu"/>
    <s v="reizi nedēļā"/>
    <s v="pāris reižu nedēļā"/>
    <s v="(gandrīz) katru dienu"/>
    <s v="vienlīdzīgas tiesības minoritātēm un ievainojamām sabiedrības grupām"/>
    <s v="vienlīdz pieejama izglītība, veselības aprūpe, sociālais nodrošinājums"/>
    <s v="brīvas vēlēšanas un plurālisms"/>
    <m/>
    <m/>
    <s v="labi"/>
    <s v="citreiz labi, citreiz slikti"/>
    <s v="ļoti labi"/>
    <s v="labi"/>
    <s v="ļoti labi"/>
    <s v="pamatizglītību"/>
    <m/>
    <s v="N/A"/>
    <s v="N/A"/>
    <s v="N/A"/>
    <s v="Jā"/>
    <s v="vienlīdz latviešu un krievu"/>
    <m/>
    <s v="vienlīdz latviešu un krievu"/>
    <m/>
    <m/>
    <m/>
    <m/>
    <m/>
    <m/>
    <m/>
    <m/>
    <m/>
    <m/>
    <m/>
    <m/>
    <m/>
    <m/>
    <m/>
    <m/>
    <m/>
    <m/>
    <m/>
    <m/>
    <m/>
    <m/>
    <s v="N/A"/>
    <s v="N/A"/>
    <s v="N/A"/>
    <s v="N/A"/>
    <s v="N/A"/>
    <s v="N/A"/>
    <m/>
    <m/>
    <m/>
    <m/>
    <m/>
    <s v="Nē"/>
    <s v="Nē"/>
    <s v="Nē"/>
    <s v="Nē"/>
    <s v="Nē"/>
    <s v="Nē"/>
    <s v="Nē"/>
    <s v="Nē"/>
    <s v="Nē"/>
    <s v="Nē"/>
    <s v="Nē"/>
    <s v="Nē"/>
    <s v="Nē"/>
    <s v="Jā"/>
    <s v="Jā"/>
    <s v="Nē"/>
    <m/>
    <s v="Nē"/>
    <m/>
    <s v="Nē"/>
    <m/>
    <s v="Nē"/>
    <m/>
    <s v="Nē"/>
    <m/>
    <s v="Nē"/>
    <s v="Nē"/>
    <s v="Nē"/>
    <s v="Nē"/>
    <s v="Nē"/>
    <s v="Nē"/>
    <s v="Nē"/>
    <s v="Nē"/>
    <s v="Nē"/>
    <s v="Nē"/>
    <s v="Nē"/>
    <s v="Nē"/>
    <s v="Jā"/>
    <s v="Nē"/>
    <s v="Nē"/>
    <s v="Nē"/>
    <s v="Nē"/>
    <s v="Nē"/>
    <s v="Nē"/>
    <m/>
    <s v="Nē"/>
    <m/>
    <s v="Nē"/>
    <m/>
    <s v="Nē"/>
    <m/>
    <s v="Nē"/>
    <m/>
    <s v="Jā"/>
    <s v="Jā"/>
    <s v="Nē"/>
    <s v="Nē"/>
    <s v="Jā"/>
    <s v="Jā"/>
    <s v="Nē"/>
    <s v="Jā"/>
    <s v="Nē"/>
    <s v="Nē"/>
    <s v="Nē"/>
    <s v="Nē"/>
    <s v="Jā"/>
    <s v="Nē"/>
    <m/>
    <s v="Всё хорошо всё понравилось, но было странно на вопросах с образованием я сейчас получаю средние образование и было сложно отвечать на вопроса связаны со среднем образованием"/>
    <m/>
    <m/>
    <m/>
    <m/>
  </r>
  <r>
    <x v="2"/>
    <n v="275"/>
    <s v="2023-09-21 12:20:29"/>
    <n v="14"/>
    <s v="ru"/>
    <n v="1475410395"/>
    <s v="2023-09-21 11:59:46"/>
    <s v="2023-09-21 12:20:29"/>
    <s v="кролик"/>
    <n v="17"/>
    <s v="vīriešu"/>
    <m/>
    <x v="1"/>
    <x v="0"/>
    <x v="0"/>
    <x v="0"/>
    <x v="0"/>
    <x v="0"/>
    <s v="Latgalē"/>
    <m/>
    <s v="ateistu(ti), nereliģiozu"/>
    <m/>
    <s v="Nē"/>
    <s v="Jā"/>
    <s v="Nē"/>
    <s v="Nē"/>
    <s v="Nē"/>
    <s v="Jā"/>
    <s v="Nē"/>
    <s v="Jā"/>
    <s v="Jā"/>
    <s v="Nē"/>
    <s v="Nē"/>
    <s v="Jā"/>
    <s v="Jā"/>
    <s v="Nē"/>
    <s v="Nē"/>
    <s v="Jā"/>
    <s v="Nē"/>
    <s v="Nē"/>
    <s v="Jā"/>
    <s v="Nē"/>
    <s v="Nē"/>
    <s v="Jā"/>
    <s v="Nē"/>
    <s v="Jā"/>
    <s v="Jā"/>
    <s v="Nē"/>
    <s v="Jā"/>
    <s v="Nē"/>
    <s v="a un b"/>
    <s v="a un b"/>
    <s v="nezinu"/>
    <s v="nezinu"/>
    <s v="tikai b"/>
    <s v="tikai b"/>
    <s v="Vienlīdzīgi"/>
    <s v="Lielākoties vienlīdzīgi"/>
    <s v="Lielākoties vienlīdzīgi"/>
    <s v="Lielākoties vienlīdzīgi"/>
    <s v="Lielākoties 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 sevišķi"/>
    <s v="Neinteresē"/>
    <s v="Neinteresē"/>
    <s v="Ne sevišķi"/>
    <s v="не знаю"/>
    <s v="Jā"/>
    <s v="Nē"/>
    <s v="Jā"/>
    <s v="Jā"/>
    <s v="Nē"/>
    <s v="Nē"/>
    <s v="1.."/>
    <n v="10"/>
    <n v="40"/>
    <n v="90"/>
    <n v="90"/>
    <s v="Mazliet saspīlētas"/>
    <s v="Nav saspīlētas"/>
    <s v="Nav saspīlētas"/>
    <s v="(Gandrīz) nekad"/>
    <s v="(Gandrīz) nekad"/>
    <s v="(Gandrīz) nekad"/>
    <s v="(Gandrīz) nekad"/>
    <s v="(Gandrīz) nekad"/>
    <s v="Reti"/>
    <s v="Dažreiz"/>
    <s v="(Gandrīz) nekad"/>
    <s v="(Gandrīz) nekad"/>
    <s v="(Gandrīz) nekad"/>
    <s v="учась в техникуме, нам необходимо использовать государственный язык (латышский) для того, чтобы общаться с учителями во время уроков. также это касается работников - их заставляют разговаривать с персоналом и учениками на латышском, русский язык почти буквально запрещён"/>
    <s v="nē"/>
    <s v="N/A"/>
    <s v="N/A"/>
    <s v="N/A"/>
    <s v="N/A"/>
    <s v="N/A"/>
    <s v="N/A"/>
    <s v="N/A"/>
    <s v="Jā"/>
    <s v="N/A"/>
    <s v="N/A"/>
    <s v="N/A"/>
    <s v="Jā"/>
    <s v="(gandrīz) nekad"/>
    <s v="reizi nedēļā"/>
    <s v="(gandrīz) nekad"/>
    <s v="(gandrīz) nekad"/>
    <s v="(gandrīz) nekad"/>
    <s v="(gandrīz) nekad"/>
    <s v="pāris reižu mēnesī"/>
    <s v="(gandrīz) katru dienu"/>
    <s v="(gandrīz) katru dienu"/>
    <s v="(gandrīz) katru dienu"/>
    <s v="(gandrīz) katru dienu"/>
    <s v="(gandrīz) katru dienu"/>
    <s v="(gandrīz) katru dienu"/>
    <s v="(gandrīz) katru dienu"/>
    <s v="pilsoniskās brīvības (vārda brīvība, tiesības uz tiesisko aizsardzību)"/>
    <s v="vienlīdzīgas tiesības minoritātēm un ievainojamām sabiedrības grupām"/>
    <s v="brīvas vēlēšanas un plurālisms"/>
    <m/>
    <m/>
    <s v="citreiz labi, citreiz slikti"/>
    <s v="slikti"/>
    <s v="labi"/>
    <s v="nezinu"/>
    <s v="citreiz labi, citreiz slikti"/>
    <s v="pamatizglītību"/>
    <m/>
    <s v="N/A"/>
    <s v="N/A"/>
    <s v="N/A"/>
    <s v="Jā"/>
    <s v="krievu"/>
    <m/>
    <s v="latviešu"/>
    <m/>
    <m/>
    <m/>
    <m/>
    <m/>
    <m/>
    <m/>
    <m/>
    <m/>
    <m/>
    <m/>
    <m/>
    <m/>
    <m/>
    <m/>
    <m/>
    <m/>
    <m/>
    <m/>
    <m/>
    <m/>
    <m/>
    <s v="N/A"/>
    <s v="N/A"/>
    <s v="N/A"/>
    <s v="N/A"/>
    <s v="N/A"/>
    <s v="N/A"/>
    <m/>
    <m/>
    <m/>
    <m/>
    <m/>
    <s v="Nē"/>
    <s v="Nē"/>
    <s v="Nē"/>
    <s v="Nē"/>
    <s v="Nē"/>
    <s v="Nē"/>
    <s v="Nē"/>
    <s v="Nē"/>
    <s v="Nē"/>
    <s v="Nē"/>
    <s v="Jā"/>
    <s v="Nē"/>
    <s v="Nē"/>
    <s v="Nē"/>
    <s v="Nē"/>
    <s v="Nē"/>
    <m/>
    <s v="Nē"/>
    <m/>
    <s v="Jā"/>
    <s v="ютуб каналы на западную аудиторию (англичан)"/>
    <s v="Nē"/>
    <m/>
    <s v="Nē"/>
    <m/>
    <s v="Nē"/>
    <s v="Nē"/>
    <s v="Nē"/>
    <s v="Nē"/>
    <s v="Jā"/>
    <s v="Nē"/>
    <s v="Nē"/>
    <s v="Nē"/>
    <s v="Nē"/>
    <s v="Nē"/>
    <s v="Nē"/>
    <s v="Nē"/>
    <s v="Nē"/>
    <s v="Nē"/>
    <s v="Nē"/>
    <s v="Nē"/>
    <s v="Nē"/>
    <s v="Jā"/>
    <s v="Nē"/>
    <m/>
    <s v="Nē"/>
    <m/>
    <s v="Nē"/>
    <m/>
    <s v="Nē"/>
    <m/>
    <s v="Nē"/>
    <m/>
    <s v="Jā"/>
    <s v="Nē"/>
    <s v="Nē"/>
    <s v="Nē"/>
    <s v="Jā"/>
    <s v="Jā"/>
    <s v="Nē"/>
    <s v="Jā"/>
    <s v="Nē"/>
    <s v="Nē"/>
    <s v="Nē"/>
    <s v="Nē"/>
    <s v="Jā"/>
    <s v="Nē"/>
    <m/>
    <s v="тест хороший, можно высказаться по актуальным темам, которые меня сильно беспокоят (дискриминация русского общества и запрет русского языка и части того, что связано с русскими и россией"/>
    <m/>
    <m/>
    <m/>
    <m/>
  </r>
  <r>
    <x v="2"/>
    <n v="276"/>
    <s v="2023-09-21 12:14:40"/>
    <n v="14"/>
    <s v="lv"/>
    <n v="246276077"/>
    <s v="2023-09-21 11:59:59"/>
    <s v="2023-09-21 12:14:40"/>
    <s v="trusis"/>
    <n v="17"/>
    <s v="vīriešu"/>
    <m/>
    <x v="1"/>
    <x v="0"/>
    <x v="0"/>
    <x v="0"/>
    <x v="1"/>
    <x v="0"/>
    <s v="Latgalē"/>
    <m/>
    <s v="ateistu(ti), nereliģiozu"/>
    <m/>
    <s v="N/A"/>
    <s v="N/A"/>
    <s v="N/A"/>
    <s v="N/A"/>
    <s v="N/A"/>
    <s v="N/A"/>
    <s v="Jā"/>
    <s v="N/A"/>
    <s v="N/A"/>
    <s v="N/A"/>
    <s v="N/A"/>
    <s v="N/A"/>
    <s v="N/A"/>
    <s v="Jā"/>
    <s v="N/A"/>
    <s v="N/A"/>
    <s v="N/A"/>
    <s v="N/A"/>
    <s v="N/A"/>
    <s v="N/A"/>
    <s v="Jā"/>
    <s v="N/A"/>
    <s v="N/A"/>
    <s v="N/A"/>
    <s v="N/A"/>
    <s v="N/A"/>
    <s v="N/A"/>
    <s v="Jā"/>
    <s v="a un b"/>
    <s v="tikai b"/>
    <s v="a un b"/>
    <s v="tikai a"/>
    <s v="nezinu"/>
    <s v="a un b"/>
    <s v="Vienlīdzīgi"/>
    <s v="Lielākoties nevienlīdzīgi"/>
    <s v="Vienlīdzīgi"/>
    <s v="Vienlīdzīgi"/>
    <s v="Lielākoties nevienlīdzīgi"/>
    <s v="nezinu"/>
    <s v="nezinu"/>
    <s v="nezinu"/>
    <s v="nezinu"/>
    <s v="nezinu"/>
    <s v="nezinu"/>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Ārkārtīgi"/>
    <s v="Neinteresē"/>
    <s v="Ļoti"/>
    <s v="Ne sevišķi"/>
    <s v="Es nezinu"/>
    <s v="Nē"/>
    <s v="Nē"/>
    <s v="Nē"/>
    <s v="Jā"/>
    <s v="Jā"/>
    <s v="Jā"/>
    <s v="2.."/>
    <n v="25"/>
    <n v="80"/>
    <n v="40"/>
    <n v="1"/>
    <s v="Nav saspīlētas"/>
    <s v="Nav saspīlētas"/>
    <s v="Es nezinu"/>
    <s v="(Gandrīz) nekad"/>
    <s v="Reti"/>
    <s v="(Gandrīz) nekad"/>
    <s v="(Gandrīz) nekad"/>
    <s v="Bieži"/>
    <s v="(Gandrīz) nekad"/>
    <s v="(Gandrīz) nekad"/>
    <s v="(Gandrīz) nekad"/>
    <s v="(Gandrīz) nekad"/>
    <s v="(Gandrīz) nekad"/>
    <s v="Sarunas par spēli ar ārzemju cilvēkiem (Krievu valodā)"/>
    <s v="nē"/>
    <s v="N/A"/>
    <s v="N/A"/>
    <s v="N/A"/>
    <s v="N/A"/>
    <s v="N/A"/>
    <s v="N/A"/>
    <s v="N/A"/>
    <s v="Jā"/>
    <s v="Jā"/>
    <s v="Jā"/>
    <s v="Nē"/>
    <s v="Nē"/>
    <s v="reizi nedēļā"/>
    <s v="pāris reižu nedēļā"/>
    <s v="(gandrīz) nekad"/>
    <s v="(gandrīz) nekad"/>
    <s v="(gandrīz) nekad"/>
    <s v="reizi nedēļā"/>
    <s v="(gandrīz) katru dienu"/>
    <s v="(gandrīz) katru dienu"/>
    <s v="(gandrīz) nekad"/>
    <s v="(gandrīz) katru dienu"/>
    <s v="(gandrīz) katru dienu"/>
    <s v="(gandrīz) katru dienu"/>
    <s v="reizi nedēļā"/>
    <s v="(gandrīz) nekad"/>
    <s v="vienlīdz pieejama izglītība, veselības aprūpe, sociālais nodrošinājums"/>
    <s v="varas līdzsvars starp parlamentu, prezidentu un tiesām, lai neviena no institūcijām nespētu sevī koncentrēt lielāko daļu varas"/>
    <s v="pilsoniskās brīvības (vārda brīvība, tiesības uz tiesisko aizsardzību)"/>
    <m/>
    <m/>
    <s v="slikti"/>
    <s v="citreiz labi, citreiz slikti"/>
    <s v="labi"/>
    <s v="slikti"/>
    <s v="Knapi / gandrīz necik"/>
    <s v="Arodskolu / profesionālo izglītību"/>
    <m/>
    <s v="Nē"/>
    <s v="Nē"/>
    <s v="Jā"/>
    <s v="Nē"/>
    <s v="vienlīdz latviešu un kriev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Jā"/>
    <s v="Jā"/>
    <s v="Nē"/>
    <s v="Jā"/>
    <s v="Nē"/>
    <s v="Jā"/>
    <s v="Nē"/>
    <m/>
    <s v="Nē"/>
    <m/>
    <s v="Nē"/>
    <m/>
    <s v="Nē"/>
    <m/>
    <s v="Nē"/>
    <m/>
    <s v="Nē"/>
    <s v="Nē"/>
    <s v="Nē"/>
    <s v="Nē"/>
    <s v="Nē"/>
    <s v="Nē"/>
    <s v="Nē"/>
    <s v="Jā"/>
    <s v="Jā"/>
    <s v="Nē"/>
    <s v="Jā"/>
    <s v="Nē"/>
    <s v="Nē"/>
    <s v="Nē"/>
    <m/>
    <m/>
    <m/>
    <m/>
    <m/>
    <m/>
  </r>
  <r>
    <x v="2"/>
    <n v="277"/>
    <s v="2023-09-21 12:21:41"/>
    <n v="14"/>
    <s v="ru"/>
    <n v="212605894"/>
    <s v="2023-09-21 11:59:59"/>
    <s v="2023-09-21 12:21:41"/>
    <s v="кролик"/>
    <n v="17"/>
    <s v="sieviešu"/>
    <m/>
    <x v="1"/>
    <x v="0"/>
    <x v="0"/>
    <x v="0"/>
    <x v="0"/>
    <x v="0"/>
    <s v="Latgalē"/>
    <m/>
    <s v="katoli(ieti)"/>
    <m/>
    <s v="Nē"/>
    <s v="Jā"/>
    <s v="Nē"/>
    <s v="Nē"/>
    <s v="Nē"/>
    <s v="Nē"/>
    <s v="Nē"/>
    <s v="Jā"/>
    <s v="Jā"/>
    <s v="Nē"/>
    <s v="Jā"/>
    <s v="Nē"/>
    <s v="Nē"/>
    <s v="Nē"/>
    <s v="Nē"/>
    <s v="Nē"/>
    <s v="Nē"/>
    <s v="Jā"/>
    <s v="Nē"/>
    <s v="Nē"/>
    <s v="Nē"/>
    <s v="Nē"/>
    <s v="Nē"/>
    <s v="Nē"/>
    <s v="Nē"/>
    <s v="Jā"/>
    <s v="Jā"/>
    <s v="Nē"/>
    <s v="a un b"/>
    <s v="tikai a"/>
    <s v="nezinu"/>
    <s v="a un b"/>
    <s v="a un b"/>
    <s v="ne a, ne b"/>
    <s v="Lielākoties nevienlīdzīgi"/>
    <s v="Lielākoties nevienlīdzīgi"/>
    <s v="Vienlīdzīgi"/>
    <s v="Lielākoties nevienlīdzīgi"/>
    <s v="Nevienlīdzīgi"/>
    <s v="Nacionālā Apvienība"/>
    <s v="&quot;Progresīvie&quot;"/>
    <s v="Nacionālā Apvienība"/>
    <s v="&quot;Latvija pirmajā vietā&quot;"/>
    <s v="&quot;Latvija pirmajā vietā&quot;"/>
    <s v="&quot;Progresīvie&quot;"/>
    <s v="&quot;Latvija pirmajā vietā&quot;"/>
    <s v="Cīņai ar klimata pārmaiņām būtu jābūt vairumam pasaules valstu galvenajai prioritātei."/>
    <s v="jā, daļu no tā, ko iespējams šķirot"/>
    <s v="Jaunā Vienotība"/>
    <s v="Zaļo un Zemnieku savienība"/>
    <s v="&quot;Latvija pirmajā vietā&quot;"/>
    <s v="&quot;Apvienotais saraksts&quot;"/>
    <s v="&quot;Progresīvie&quot;"/>
    <s v="Politiskā partija &quot;Stabilitātei&quot;"/>
    <s v="Nacionālā Apvienība"/>
    <s v="&quot;Progresīvie&quot;"/>
    <s v="&quot;Apvienotais saraksts&quot;"/>
    <s v="Zaļo un Zemnieku savienība"/>
    <s v="Jaunā Vienotība"/>
    <s v="Nacionālā Apvienība"/>
    <s v="&quot;Latvija pirmajā vietā&quot;"/>
    <s v="&quot;Progresīvie&quot;"/>
    <s v="Ārkārtīgi"/>
    <s v="Viduvēji"/>
    <s v="Ļoti"/>
    <s v="Ārkārtīgi"/>
    <s v="Политическая позиция, где учитываются в большинстве нижние слои общества"/>
    <s v="Nē"/>
    <s v="Nē"/>
    <s v="Nē"/>
    <s v="Nē"/>
    <s v="Jā"/>
    <s v="Nē"/>
    <s v="2.."/>
    <n v="80"/>
    <n v="20"/>
    <n v="100"/>
    <n v="80"/>
    <s v="Drīzāk saspīlētas"/>
    <s v="Mazliet saspīlētas"/>
    <s v="Nav saspīlētas"/>
    <s v="(Gandrīz) nekad"/>
    <s v="Reti"/>
    <s v="(Gandrīz) nekad"/>
    <s v="Dažreiz"/>
    <s v="(Gandrīz) nekad"/>
    <s v="(Gandrīz) nekad"/>
    <s v="Dažreiz"/>
    <s v="(Gandrīz) nekad"/>
    <s v="Dažreiz"/>
    <s v="Reti"/>
    <m/>
    <s v="nē"/>
    <s v="N/A"/>
    <s v="N/A"/>
    <s v="N/A"/>
    <s v="N/A"/>
    <s v="Jā"/>
    <s v="Jā"/>
    <s v="Nē"/>
    <s v="Nē"/>
    <s v="Jā"/>
    <s v="Jā"/>
    <s v="Nē"/>
    <s v="Nē"/>
    <s v="(gandrīz) nekad"/>
    <s v="pāris reižu nedēļā"/>
    <s v="(gandrīz) nekad"/>
    <s v="pāris reižu mēnesī"/>
    <s v="(gandrīz) nekad"/>
    <s v="pāris reižu mēnesī"/>
    <s v="(gandrīz) katru dienu"/>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aras līdzsvars starp parlamentu, prezidentu un tiesām, lai neviena no institūcijām nespētu sevī koncentrēt lielāko daļu varas"/>
    <m/>
    <m/>
    <s v="ļoti labi"/>
    <s v="citreiz labi, citreiz slikti"/>
    <s v="labi"/>
    <s v="slikti"/>
    <s v="Knapi / gandrīz necik"/>
    <s v="pamatizglītību"/>
    <m/>
    <s v="Nē"/>
    <s v="Nē"/>
    <s v="Jā"/>
    <s v="Nē"/>
    <s v="vienlīdz latviešu un krievu"/>
    <m/>
    <s v="latviešu"/>
    <m/>
    <m/>
    <m/>
    <m/>
    <m/>
    <m/>
    <m/>
    <m/>
    <m/>
    <m/>
    <m/>
    <m/>
    <m/>
    <m/>
    <m/>
    <m/>
    <m/>
    <m/>
    <m/>
    <m/>
    <m/>
    <m/>
    <s v="N/A"/>
    <s v="N/A"/>
    <s v="N/A"/>
    <s v="N/A"/>
    <s v="N/A"/>
    <s v="N/A"/>
    <m/>
    <m/>
    <m/>
    <m/>
    <m/>
    <s v="Nē"/>
    <s v="Nē"/>
    <s v="Nē"/>
    <s v="Nē"/>
    <s v="Nē"/>
    <s v="Nē"/>
    <s v="Nē"/>
    <s v="Nē"/>
    <s v="Nē"/>
    <s v="Nē"/>
    <s v="Jā"/>
    <s v="Nē"/>
    <s v="Nē"/>
    <s v="Nē"/>
    <s v="Nē"/>
    <s v="Nē"/>
    <m/>
    <s v="Jā"/>
    <s v="Go 3"/>
    <s v="Nē"/>
    <m/>
    <s v="Nē"/>
    <m/>
    <s v="Nē"/>
    <m/>
    <s v="Nē"/>
    <s v="Nē"/>
    <s v="Nē"/>
    <s v="Nē"/>
    <s v="Nē"/>
    <s v="Nē"/>
    <s v="Nē"/>
    <s v="Nē"/>
    <s v="Nē"/>
    <s v="Nē"/>
    <s v="Nē"/>
    <s v="Nē"/>
    <s v="Nē"/>
    <s v="Jā"/>
    <s v="Jā"/>
    <s v="Nē"/>
    <s v="Nē"/>
    <s v="Jā"/>
    <s v="Nē"/>
    <m/>
    <s v="Nē"/>
    <m/>
    <s v="Nē"/>
    <m/>
    <s v="Nē"/>
    <m/>
    <s v="Nē"/>
    <m/>
    <s v="Jā"/>
    <s v="Nē"/>
    <s v="Nē"/>
    <s v="Nē"/>
    <s v="Jā"/>
    <s v="Jā"/>
    <s v="Nē"/>
    <s v="Jā"/>
    <s v="Nē"/>
    <s v="Nē"/>
    <s v="Jā"/>
    <s v="Nē"/>
    <s v="Nē"/>
    <s v="Nē"/>
    <m/>
    <m/>
    <m/>
    <m/>
    <m/>
    <m/>
  </r>
  <r>
    <x v="2"/>
    <n v="278"/>
    <s v="2023-09-21 12:14:41"/>
    <n v="14"/>
    <s v="ru"/>
    <n v="1521679657"/>
    <s v="2023-09-21 12:00:00"/>
    <s v="2023-09-21 12:14:41"/>
    <s v="кролик"/>
    <n v="17"/>
    <s v="vīriešu"/>
    <m/>
    <x v="0"/>
    <x v="0"/>
    <x v="0"/>
    <x v="0"/>
    <x v="0"/>
    <x v="0"/>
    <s v="Latgalē"/>
    <m/>
    <s v="vecticībnieku(ci)"/>
    <m/>
    <s v="Jā"/>
    <s v="Nē"/>
    <s v="Nē"/>
    <s v="Nē"/>
    <s v="Nē"/>
    <s v="Nē"/>
    <s v="Nē"/>
    <s v="Jā"/>
    <s v="Nē"/>
    <s v="Nē"/>
    <s v="Nē"/>
    <s v="Nē"/>
    <s v="Nē"/>
    <s v="Nē"/>
    <s v="Jā"/>
    <s v="Nē"/>
    <s v="Nē"/>
    <s v="Nē"/>
    <s v="Nē"/>
    <s v="Nē"/>
    <s v="Nē"/>
    <s v="Nē"/>
    <s v="Nē"/>
    <s v="Nē"/>
    <s v="Nē"/>
    <s v="Jā"/>
    <s v="Nē"/>
    <s v="Nē"/>
    <s v="nezinu"/>
    <s v="nezinu"/>
    <s v="nezinu"/>
    <s v="nezinu"/>
    <s v="nezinu"/>
    <s v="nezinu"/>
    <s v="Vienlīdzīgi"/>
    <s v="Lielākoties nevienlīdzīgi"/>
    <s v="Vienlīdzīgi"/>
    <s v="Vienlīdzīgi"/>
    <s v="Lielākoties 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Viduvēji"/>
    <s v="Neinteresē"/>
    <s v="Viduvēji"/>
    <s v="Neinteresē"/>
    <s v="не знаю"/>
    <s v="Nē"/>
    <s v="Nē"/>
    <s v="Jā"/>
    <s v="Nē"/>
    <s v="Jā"/>
    <s v="Nē"/>
    <s v="2.."/>
    <n v="100"/>
    <n v="1"/>
    <n v="100"/>
    <n v="100"/>
    <s v="Ļoti saspīlētas"/>
    <s v="Nav saspīlētas"/>
    <s v="Ļoti saspīlētas"/>
    <s v="Nezinu"/>
    <s v="Bieži"/>
    <s v="(Gandrīz) nekad"/>
    <s v="(Gandrīz) nekad"/>
    <s v="Reti"/>
    <s v="Nezinu"/>
    <s v="Dažreiz"/>
    <s v="(Gandrīz) nekad"/>
    <s v="(Gandrīz) nekad"/>
    <s v="Reti"/>
    <s v="в магазине что бы купить продукт"/>
    <s v="nē"/>
    <s v="N/A"/>
    <s v="N/A"/>
    <s v="N/A"/>
    <s v="N/A"/>
    <s v="N/A"/>
    <s v="N/A"/>
    <s v="N/A"/>
    <s v="Jā"/>
    <s v="N/A"/>
    <s v="N/A"/>
    <s v="N/A"/>
    <s v="Jā"/>
    <s v="(gandrīz) nekad"/>
    <s v="pāris reižu mēnesī"/>
    <s v="(gandrīz) nekad"/>
    <s v="(gandrīz) nekad"/>
    <s v="(gandrīz) nekad"/>
    <s v="(gandrīz) nekad"/>
    <s v="(gandrīz) nekad"/>
    <s v="(gandrīz) katru dienu"/>
    <s v="(gandrīz) katru dienu"/>
    <s v="(gandrīz) katru dienu"/>
    <s v="(gandrīz) katru dienu"/>
    <s v="(gandrīz) katru dienu"/>
    <s v="(gandrīz) katru dienu"/>
    <s v="(gandrīz) katru dienu"/>
    <s v="brīvas vēlēšanas un plurālisms"/>
    <s v="vienlīdz pieejama izglītība, veselības aprūpe, sociālais nodrošinājums"/>
    <s v="pilsoniskās brīvības (vārda brīvība, tiesības uz tiesisko aizsardzību)"/>
    <m/>
    <m/>
    <s v="ļoti labi"/>
    <s v="nezinu"/>
    <s v="ļoti labi"/>
    <s v="nezinu"/>
    <s v="nezinu"/>
    <s v="Arodskolu / profesionālo izglītību"/>
    <m/>
    <s v="N/A"/>
    <s v="N/A"/>
    <s v="N/A"/>
    <s v="Jā"/>
    <s v="latviešu"/>
    <m/>
    <s v="latviešu"/>
    <m/>
    <s v="Spēju pastāstīt par savu hobiju / darbu."/>
    <s v="Spēju uzrakstīt motivācijas vēstuli darbam / par savu darba pieredzi."/>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Jā"/>
    <s v="россия24"/>
    <s v="Nē"/>
    <m/>
    <s v="Nē"/>
    <s v="Nē"/>
    <s v="Nē"/>
    <s v="Nē"/>
    <s v="Nē"/>
    <s v="Nē"/>
    <s v="Nē"/>
    <s v="Nē"/>
    <s v="Nē"/>
    <s v="Nē"/>
    <s v="Nē"/>
    <s v="Nē"/>
    <s v="Nē"/>
    <s v="Nē"/>
    <s v="Nē"/>
    <s v="Nē"/>
    <s v="Nē"/>
    <s v="Nē"/>
    <s v="Jā"/>
    <m/>
    <s v="Nē"/>
    <m/>
    <s v="Nē"/>
    <m/>
    <s v="Jā"/>
    <m/>
    <s v="Nē"/>
    <m/>
    <s v="Jā"/>
    <s v="Jā"/>
    <s v="Nē"/>
    <s v="Nē"/>
    <s v="Jā"/>
    <s v="Jā"/>
    <s v="Nē"/>
    <s v="Jā"/>
    <s v="Jā"/>
    <s v="Nē"/>
    <s v="Nē"/>
    <s v="Nē"/>
    <s v="Jā"/>
    <s v="Nē"/>
    <m/>
    <s v="пожалуйста"/>
    <m/>
    <m/>
    <m/>
    <m/>
  </r>
  <r>
    <x v="2"/>
    <n v="279"/>
    <s v="2023-09-21 12:23:49"/>
    <n v="14"/>
    <s v="lv"/>
    <n v="2099318135"/>
    <s v="2023-09-21 12:00:07"/>
    <s v="2023-09-21 12:23:49"/>
    <s v="trusis"/>
    <n v="17"/>
    <s v="vīriešu"/>
    <m/>
    <x v="1"/>
    <x v="1"/>
    <x v="0"/>
    <x v="0"/>
    <x v="0"/>
    <x v="0"/>
    <s v="Vidzemē"/>
    <m/>
    <s v="ateistu(ti), nereliģiozu"/>
    <m/>
    <s v="Nē"/>
    <s v="Nē"/>
    <s v="Jā"/>
    <s v="Nē"/>
    <s v="Nē"/>
    <s v="Nē"/>
    <s v="Nē"/>
    <s v="Jā"/>
    <s v="Nē"/>
    <s v="Nē"/>
    <s v="Nē"/>
    <s v="Nē"/>
    <s v="Nē"/>
    <s v="Nē"/>
    <s v="Jā"/>
    <s v="Nē"/>
    <s v="Nē"/>
    <s v="Nē"/>
    <s v="Nē"/>
    <s v="Nē"/>
    <s v="Nē"/>
    <s v="Nē"/>
    <s v="Nē"/>
    <s v="Nē"/>
    <s v="Nē"/>
    <s v="Nē"/>
    <s v="Jā"/>
    <s v="Nē"/>
    <s v="a un b"/>
    <s v="a un b"/>
    <s v="a un b"/>
    <s v="a un b"/>
    <s v="tikai b"/>
    <s v="nezinu"/>
    <s v="Vienlīdzīgi"/>
    <s v="Lielākoties nevienlīdzīgi"/>
    <s v="Vienlīdzīgi"/>
    <s v="Vienlīdzīgi"/>
    <s v="Lielākoties vienlīdzīgi"/>
    <s v="&quot;Latvija pirmajā vietā&quot;"/>
    <s v="&quot;Progresīvie&quot;"/>
    <s v="Zaļo un Zemnieku savienība"/>
    <s v="Nacionālā Apvienība"/>
    <s v="Jaunā Vienotība"/>
    <s v="&quot;Apvienotais saraksts&quot;"/>
    <s v="Politiskā partija &quot;Stabilitātei&quot;"/>
    <s v="Globālā sasilšana ir šķērsojusi robežu, pēc kuras nav iespējams atgriezties, un cilvēkiem būs jāpielāgojas."/>
    <s v="jā, visu, ko iespējams šķirot"/>
    <s v="Jaunā Vienotība"/>
    <s v="Politiskā partija &quot;Stabilitātei&quot;"/>
    <s v="Zaļo un Zemnieku savienība"/>
    <s v="&quot;Progresīvie&quot;"/>
    <s v="&quot;Latvija pirmajā vietā&quot;"/>
    <s v="Nacionālā Apvienība"/>
    <s v="nezinu"/>
    <s v="&quot;Latvija pirmajā vietā&quot;"/>
    <s v="Jaunā Vienotība"/>
    <s v="&quot;Progresīvie&quot;"/>
    <s v="Zaļo un Zemnieku savienība"/>
    <s v="Politiskā partija &quot;Stabilitātei&quot;"/>
    <s v="&quot;Apvienotais saraksts&quot;"/>
    <s v="Nacionālā Apvienība"/>
    <s v="Viduvēji"/>
    <s v="Viduvēji"/>
    <s v="Ne sevišķi"/>
    <s v="Viduvēji"/>
    <s v="es isti nezinu bet man liekas tas ir par kaut kas populaciju"/>
    <s v="Jā"/>
    <s v="Nē"/>
    <s v="Nē"/>
    <s v="Nē"/>
    <s v="Jā"/>
    <s v="Nē"/>
    <s v="1.."/>
    <n v="67"/>
    <n v="100"/>
    <m/>
    <m/>
    <s v="Nav saspīlētas"/>
    <s v="Mazliet saspīlētas"/>
    <s v="Ļoti saspīlētas"/>
    <s v="Dažreiz"/>
    <s v="Dažreiz"/>
    <s v="Dažreiz"/>
    <s v="Dažreiz"/>
    <s v="Bieži"/>
    <m/>
    <m/>
    <m/>
    <m/>
    <m/>
    <s v="piemeram tu aizej uz tirgu un gribi nopirkt kartupelus bet sieveite saka visu pa krieviski un tu nesaproti ko vina grib no tevis"/>
    <s v="nē"/>
    <s v="N/A"/>
    <s v="N/A"/>
    <s v="N/A"/>
    <s v="N/A"/>
    <s v="Nē"/>
    <s v="Nē"/>
    <s v="Jā"/>
    <s v="Nē"/>
    <s v="Nē"/>
    <s v="Jā"/>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slikti"/>
    <s v="citreiz labi, citreiz slikti"/>
    <s v="labi"/>
    <s v="Knapi / gandrīz necik"/>
    <s v="lab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Jā"/>
    <s v="Jā"/>
    <s v="Nē"/>
    <s v="Nē"/>
    <s v="Nē"/>
    <s v="Nē"/>
    <s v="Nē"/>
    <s v="Nē"/>
    <s v="Nē"/>
    <s v="Jā"/>
    <s v="Nē"/>
    <s v="Jā"/>
    <s v="Nē"/>
    <s v="Nē"/>
    <m/>
    <s v="Nē"/>
    <m/>
    <s v="Nē"/>
    <m/>
    <s v="Nē"/>
    <m/>
    <s v="Nē"/>
    <m/>
    <s v="Nē"/>
    <s v="Nē"/>
    <s v="Nē"/>
    <s v="Nē"/>
    <s v="Nē"/>
    <s v="Nē"/>
    <s v="Nē"/>
    <s v="Nē"/>
    <s v="Nē"/>
    <s v="Jā"/>
    <s v="Jā"/>
    <s v="Nē"/>
    <s v="Jā"/>
    <s v="Nē"/>
    <s v="Nē"/>
    <s v="Nē"/>
    <s v="Nē"/>
    <s v="Nē"/>
    <s v="Nē"/>
    <m/>
    <s v="Nē"/>
    <m/>
    <s v="Nē"/>
    <m/>
    <s v="Nē"/>
    <m/>
    <s v="Nē"/>
    <m/>
    <s v="Jā"/>
    <s v="Jā"/>
    <s v="Jā"/>
    <s v="Nē"/>
    <s v="Jā"/>
    <s v="Nē"/>
    <s v="Nē"/>
    <s v="Jā"/>
    <s v="Jā"/>
    <s v="Nē"/>
    <s v="Jā"/>
    <s v="Nē"/>
    <s v="Jā"/>
    <s v="Nē"/>
    <m/>
    <m/>
    <m/>
    <m/>
    <m/>
    <m/>
  </r>
  <r>
    <x v="2"/>
    <n v="280"/>
    <s v="2023-09-21 12:24:05"/>
    <n v="14"/>
    <s v="ru"/>
    <n v="1804767082"/>
    <s v="2023-09-21 12:00:07"/>
    <s v="2023-09-21 12:24:05"/>
    <s v="кролик"/>
    <n v="16"/>
    <s v="vīriešu"/>
    <m/>
    <x v="1"/>
    <x v="0"/>
    <x v="0"/>
    <x v="0"/>
    <x v="0"/>
    <x v="0"/>
    <s v="Latgalē"/>
    <m/>
    <s v="katoli(ieti)"/>
    <m/>
    <s v="Jā"/>
    <s v="Jā"/>
    <s v="Nē"/>
    <s v="Nē"/>
    <s v="Jā"/>
    <s v="Nē"/>
    <s v="Nē"/>
    <s v="Jā"/>
    <s v="Jā"/>
    <s v="Nē"/>
    <s v="Nē"/>
    <s v="Jā"/>
    <s v="Nē"/>
    <s v="Nē"/>
    <s v="Nē"/>
    <s v="Nē"/>
    <s v="Jā"/>
    <s v="Nē"/>
    <s v="Jā"/>
    <s v="Nē"/>
    <s v="Nē"/>
    <s v="Jā"/>
    <s v="Nē"/>
    <s v="Jā"/>
    <s v="Jā"/>
    <s v="Jā"/>
    <s v="Nē"/>
    <s v="Nē"/>
    <s v="nezinu"/>
    <s v="nezinu"/>
    <s v="nezinu"/>
    <s v="nezinu"/>
    <s v="nezinu"/>
    <s v="nezinu"/>
    <s v="Vienlīdzīgi"/>
    <s v="Lielākoties nevienlīdzīgi"/>
    <s v="Vienlīdzīgi"/>
    <s v="Lielākoties vienlīdzīgi"/>
    <s v="Vienlīdzīgi"/>
    <s v="Jaunā Vienotība"/>
    <s v="nezinu"/>
    <s v="Zaļo un Zemnieku savienība"/>
    <s v="&quot;Progresīvie&quot;"/>
    <s v="&quot;Progresīvie&quot;"/>
    <s v="Jaunā Vienotība"/>
    <s v="Jaunā Vienotība"/>
    <s v="Reizēm ekonomiskā un valsts stabilitāte varētu nozīmēt, ka atsevišķi ekoloģiskās politikas aspekti ir uz brīdi jāiepauzē."/>
    <s v="jā, visu, ko iespējams šķirot"/>
    <s v="Jaunā Vienotība"/>
    <s v="Zaļo un Zemnieku savienība"/>
    <s v="Jaunā Vienotība"/>
    <s v="&quot;Progresīvie&quot;"/>
    <s v="&quot;Progresīvie&quot;"/>
    <s v="Nacionālā Apvienība"/>
    <s v="&quot;Progresīvie&quot;"/>
    <s v="&quot;Progresīvie&quot;"/>
    <s v="Nacionālā Apvienība"/>
    <s v="Politiskā partija &quot;Stabilitātei&quot;"/>
    <s v="Zaļo un Zemnieku savienība"/>
    <s v="&quot;Apvienotais saraksts&quot;"/>
    <s v="Politiskā partija &quot;Stabilitātei&quot;"/>
    <s v="Nacionālā Apvienība"/>
    <s v="Ārkārtīgi"/>
    <s v="Neinteresē"/>
    <s v="Viduvēji"/>
    <s v="Ne sevišķi"/>
    <s v="я не ососбо понимаю суть этого слова , не могу его описать новое"/>
    <s v="Nē"/>
    <s v="Nē"/>
    <s v="Nē"/>
    <s v="Nē"/>
    <s v="Jā"/>
    <s v="Nē"/>
    <s v="1.."/>
    <n v="30"/>
    <n v="60"/>
    <n v="80"/>
    <n v="80"/>
    <s v="Drīzāk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nekad"/>
    <s v="(gandrīz) nekad"/>
    <s v="pāris reižu mēnesī"/>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slikti"/>
    <s v="labi"/>
    <s v="citreiz labi, citreiz slikti"/>
    <s v="slikti"/>
    <s v="pamatizglītību"/>
    <m/>
    <s v="Jā"/>
    <s v="Nē"/>
    <s v="Nē"/>
    <s v="Nē"/>
    <s v="krievu"/>
    <m/>
    <s v="vienlīdz latviešu un kriev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Jā"/>
    <s v="Nē"/>
    <s v="Nē"/>
    <s v="Nē"/>
    <s v="Jā"/>
    <s v="Nē"/>
    <m/>
    <s v="Nē"/>
    <m/>
    <s v="Nē"/>
    <m/>
    <s v="Nē"/>
    <m/>
    <s v="Nē"/>
    <m/>
    <s v="Jā"/>
    <s v="Jā"/>
    <s v="Nē"/>
    <s v="Jā"/>
    <s v="Jā"/>
    <s v="Jā"/>
    <s v="Nē"/>
    <s v="Jā"/>
    <s v="Nē"/>
    <s v="Nē"/>
    <s v="Nē"/>
    <s v="Nē"/>
    <s v="Jā"/>
    <s v="Nē"/>
    <m/>
    <s v="тест отличный высказал все как сам думаю обо всем что сейчас происходит"/>
    <m/>
    <m/>
    <m/>
    <m/>
  </r>
  <r>
    <x v="2"/>
    <n v="281"/>
    <s v="2023-09-21 12:28:40"/>
    <n v="14"/>
    <s v="ru"/>
    <n v="1966316352"/>
    <s v="2023-09-21 12:00:08"/>
    <s v="2023-09-21 12:28:40"/>
    <s v="кролик"/>
    <n v="16"/>
    <s v="sieviešu"/>
    <m/>
    <x v="1"/>
    <x v="0"/>
    <x v="0"/>
    <x v="0"/>
    <x v="0"/>
    <x v="0"/>
    <s v="Latgalē"/>
    <m/>
    <s v="katoli(ieti)"/>
    <m/>
    <s v="N/A"/>
    <s v="N/A"/>
    <s v="N/A"/>
    <s v="N/A"/>
    <s v="N/A"/>
    <s v="N/A"/>
    <s v="Jā"/>
    <s v="Nē"/>
    <s v="Nē"/>
    <s v="Nē"/>
    <s v="Nē"/>
    <s v="Jā"/>
    <s v="Nē"/>
    <s v="Nē"/>
    <s v="Nē"/>
    <s v="Nē"/>
    <s v="Nē"/>
    <s v="Nē"/>
    <s v="Jā"/>
    <s v="Nē"/>
    <s v="Nē"/>
    <s v="N/A"/>
    <s v="N/A"/>
    <s v="N/A"/>
    <s v="N/A"/>
    <s v="N/A"/>
    <s v="N/A"/>
    <s v="Jā"/>
    <s v="tikai a"/>
    <s v="tikai b"/>
    <m/>
    <m/>
    <s v="tikai b"/>
    <s v="nezinu"/>
    <s v="Lielākoties vienlīdzīgi"/>
    <s v="Lielākoties nevienlīdzīgi"/>
    <s v="Vienlīdzīgi"/>
    <s v="Nezinu"/>
    <s v="Lielākoties nevienlīdzīgi"/>
    <s v="&quot;Progresīvie&quot;"/>
    <s v="&quot;Latvija pirmajā vietā&quot;"/>
    <s v="&quot;Latvija pirmajā vietā&quot;"/>
    <s v="Politiskā partija &quot;Stabilitātei&quot;"/>
    <s v="Politiskā partija &quot;Stabilitātei&quot;"/>
    <s v="&quot;Latvija pirmajā vietā&quot;"/>
    <s v="nezinu"/>
    <s v="Reizēm ekonomiskā un valsts stabilitāte varētu nozīmēt, ka atsevišķi ekoloģiskās politikas aspekti ir uz brīdi jāiepauzē."/>
    <s v="jā, daļu no tā, ko iespējams šķirot"/>
    <s v="&quot;Latvija pirmajā vietā&quot;"/>
    <s v="Politiskā partija &quot;Stabilitātei&quot;"/>
    <s v="&quot;Progresīvie&quot;"/>
    <s v="&quot;Latvija pirmajā vietā&quot;"/>
    <s v="Politiskā partija &quot;Stabilitātei&quot;"/>
    <s v="Politiskā partija &quot;Stabilitātei&quot;"/>
    <s v="Politiskā partija &quot;Stabilitātei&quot;"/>
    <s v="&quot;Latvija pirmajā vietā&quot;"/>
    <s v="&quot;Progresīvie&quot;"/>
    <s v="Zaļo un Zemnieku savienība"/>
    <s v="Politiskā partija &quot;Stabilitātei&quot;"/>
    <s v="Jaunā Vienotība"/>
    <s v="Politiskā partija &quot;Stabilitātei&quot;"/>
    <s v="nezinu"/>
    <s v="Viduvēji"/>
    <s v="Neinteresē"/>
    <s v="Viduvēji"/>
    <s v="Ļoti"/>
    <s v="не знаю"/>
    <s v="Nē"/>
    <s v="Nē"/>
    <s v="Nē"/>
    <s v="Nē"/>
    <s v="Jā"/>
    <s v="Nē"/>
    <s v="2.."/>
    <n v="60"/>
    <n v="30"/>
    <n v="100"/>
    <n v="1"/>
    <s v="Drīzāk saspīlētas"/>
    <s v="Nav saspīlētas"/>
    <s v="Nav saspīlētas"/>
    <s v="(Gandrīz) nekad"/>
    <s v="(Gandrīz) nekad"/>
    <s v="(Gandrīz) nekad"/>
    <s v="(Gandrīz) nekad"/>
    <s v="(Gandrīz) nekad"/>
    <s v="(Gandrīz) nekad"/>
    <s v="(Gandrīz) nekad"/>
    <s v="(Gandrīz) nekad"/>
    <s v="(Gandrīz) nekad"/>
    <s v="(Gandrīz) nekad"/>
    <m/>
    <s v="nē"/>
    <s v="N/A"/>
    <s v="N/A"/>
    <s v="N/A"/>
    <s v="N/A"/>
    <s v="Jā"/>
    <s v="Nē"/>
    <s v="Nē"/>
    <s v="Nē"/>
    <s v="Nē"/>
    <s v="Jā"/>
    <s v="Nē"/>
    <s v="Nē"/>
    <s v="(gandrīz) nekad"/>
    <s v="(gandrīz) katru dienu"/>
    <s v="(gandrīz) katru dienu"/>
    <s v="pāris reižu nedēļā"/>
    <s v="(gandrīz) katru dienu"/>
    <s v="reizi nedēļā"/>
    <s v="pāris reižu nedēļā"/>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brīvas vēlēšanas un plurālisms"/>
    <m/>
    <m/>
    <s v="citreiz labi, citreiz slikti"/>
    <s v="labi"/>
    <s v="ļoti labi"/>
    <s v="citreiz labi, citreiz slikti"/>
    <s v="nezinu"/>
    <s v="pamatizglītību"/>
    <m/>
    <s v="Nē"/>
    <s v="Jā"/>
    <s v="Jā"/>
    <s v="Nē"/>
    <s v="krievu"/>
    <m/>
    <s v="latviešu"/>
    <m/>
    <m/>
    <m/>
    <m/>
    <m/>
    <m/>
    <m/>
    <m/>
    <m/>
    <m/>
    <m/>
    <m/>
    <m/>
    <m/>
    <m/>
    <m/>
    <m/>
    <m/>
    <m/>
    <m/>
    <m/>
    <m/>
    <s v="N/A"/>
    <s v="N/A"/>
    <s v="N/A"/>
    <s v="N/A"/>
    <s v="N/A"/>
    <s v="N/A"/>
    <m/>
    <m/>
    <m/>
    <m/>
    <m/>
    <s v="Nē"/>
    <s v="Nē"/>
    <s v="Nē"/>
    <s v="Nē"/>
    <s v="Nē"/>
    <s v="Nē"/>
    <s v="Nē"/>
    <s v="Nē"/>
    <s v="Nē"/>
    <s v="Nē"/>
    <s v="Nē"/>
    <s v="Nē"/>
    <s v="Nē"/>
    <s v="Nē"/>
    <s v="Nē"/>
    <s v="Nē"/>
    <s v="Discovery channel"/>
    <s v="Jā"/>
    <s v="go3"/>
    <s v="Jā"/>
    <s v="Discovery channel"/>
    <s v="Nē"/>
    <m/>
    <s v="Nē"/>
    <m/>
    <s v="Nē"/>
    <s v="Nē"/>
    <s v="Nē"/>
    <s v="Nē"/>
    <s v="Nē"/>
    <s v="Nē"/>
    <s v="Nē"/>
    <s v="Nē"/>
    <s v="Nē"/>
    <s v="Nē"/>
    <s v="Nē"/>
    <s v="Nē"/>
    <s v="Nē"/>
    <s v="Nē"/>
    <s v="Nē"/>
    <s v="Nē"/>
    <s v="Nē"/>
    <s v="Nē"/>
    <s v="Jā"/>
    <s v="Overclockers.ru"/>
    <s v="Nē"/>
    <m/>
    <s v="Nē"/>
    <m/>
    <s v="Nē"/>
    <m/>
    <s v="Nē"/>
    <m/>
    <s v="Nē"/>
    <s v="Nē"/>
    <s v="Nē"/>
    <s v="Nē"/>
    <s v="Jā"/>
    <s v="Jā"/>
    <s v="Nē"/>
    <s v="Nē"/>
    <s v="Nē"/>
    <s v="Nē"/>
    <s v="Nē"/>
    <s v="Nē"/>
    <s v="Nē"/>
    <s v="Nē"/>
    <m/>
    <m/>
    <m/>
    <m/>
    <m/>
    <m/>
  </r>
  <r>
    <x v="2"/>
    <n v="282"/>
    <s v="2023-09-21 12:19:51"/>
    <n v="14"/>
    <s v="lv"/>
    <n v="1735409754"/>
    <s v="2023-09-21 12:00:09"/>
    <s v="2023-09-21 12:19:51"/>
    <s v="trusis"/>
    <n v="17"/>
    <s v="vīriešu"/>
    <m/>
    <x v="1"/>
    <x v="0"/>
    <x v="0"/>
    <x v="0"/>
    <x v="0"/>
    <x v="0"/>
    <s v="Zemgalē"/>
    <m/>
    <s v="ateistu(ti), nereliģiozu"/>
    <m/>
    <s v="Nē"/>
    <s v="Jā"/>
    <s v="Nē"/>
    <s v="Nē"/>
    <s v="Nē"/>
    <s v="Nē"/>
    <s v="Nē"/>
    <s v="N/A"/>
    <s v="N/A"/>
    <s v="N/A"/>
    <s v="N/A"/>
    <s v="N/A"/>
    <s v="N/A"/>
    <s v="Jā"/>
    <s v="Jā"/>
    <s v="Nē"/>
    <s v="Nē"/>
    <s v="Nē"/>
    <s v="Nē"/>
    <s v="Nē"/>
    <s v="Nē"/>
    <s v="Jā"/>
    <s v="Nē"/>
    <s v="Nē"/>
    <s v="Jā"/>
    <s v="Nē"/>
    <s v="Nē"/>
    <s v="Nē"/>
    <s v="nezinu"/>
    <s v="nezinu"/>
    <s v="nezinu"/>
    <s v="nezinu"/>
    <s v="nezinu"/>
    <s v="nezinu"/>
    <s v="Lielākoties vienlīdzīgi"/>
    <s v="Lielākoties vienlīdzīgi"/>
    <s v="Vienlīdzīgi"/>
    <s v="Lielākoties nevienlīdzīgi"/>
    <s v="Lielākoties ne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Ne sevišķi"/>
    <s v="Neinteresē"/>
    <s v="Ne sevišķi"/>
    <s v="Neinteresē"/>
    <s v="Nezinu"/>
    <s v="Nē"/>
    <s v="Nē"/>
    <s v="Nē"/>
    <s v="Jā"/>
    <s v="Jā"/>
    <s v="Nē"/>
    <s v="1.."/>
    <n v="50"/>
    <n v="50"/>
    <n v="80"/>
    <n v="1"/>
    <s v="Es nezinu"/>
    <s v="Es nezinu"/>
    <s v="Es nezinu"/>
    <s v="(Gandrīz) nekad"/>
    <s v="(Gandrīz) nekad"/>
    <s v="(Gandrīz) nekad"/>
    <s v="(Gandrīz) nekad"/>
    <s v="(Gandrīz) nekad"/>
    <s v="(Gandrīz) nekad"/>
    <s v="Dažreiz"/>
    <s v="Reti"/>
    <s v="(Gandrīz) nekad"/>
    <s v="Reti"/>
    <m/>
    <s v="nē"/>
    <s v="N/A"/>
    <s v="N/A"/>
    <s v="N/A"/>
    <s v="N/A"/>
    <s v="N/A"/>
    <s v="N/A"/>
    <s v="N/A"/>
    <s v="Jā"/>
    <s v="N/A"/>
    <s v="N/A"/>
    <s v="N/A"/>
    <s v="Jā"/>
    <s v="(gandrīz) nekad"/>
    <s v="reizi nedēļā"/>
    <s v="(gandrīz) katru dienu"/>
    <s v="pāris reižu nedēļā"/>
    <s v="(gandrīz) nekad"/>
    <s v="(gandrīz) nekad"/>
    <s v="(gandrīz) katru dienu"/>
    <s v="(gandrīz) katru dienu"/>
    <s v="(gandrīz) katru dienu"/>
    <s v="pāris reižu nedēļā"/>
    <s v="(gandrīz) katru dienu"/>
    <s v="(gandrīz) katru dienu"/>
    <s v="pāris reižu nedēļā"/>
    <s v="reizi nedēļā"/>
    <s v="vienlīdz pieejama izglītība, veselības aprūpe, sociālais nodrošinājums"/>
    <s v="pilsoniskās brīvības (vārda brīvība, tiesības uz tiesisko aizsardzību)"/>
    <s v="brīvas vēlēšanas un plurālisms"/>
    <m/>
    <m/>
    <s v="nezinu"/>
    <s v="labi"/>
    <s v="labi"/>
    <s v="nezinu"/>
    <s v="nezinu"/>
    <s v="pamatizglītību"/>
    <m/>
    <s v="N/A"/>
    <s v="N/A"/>
    <s v="N/A"/>
    <s v="Jā"/>
    <s v="latviešu"/>
    <m/>
    <s v="vidusskolā neesmu gājis"/>
    <m/>
    <m/>
    <m/>
    <m/>
    <m/>
    <m/>
    <m/>
    <m/>
    <m/>
    <m/>
    <m/>
    <m/>
    <m/>
    <m/>
    <m/>
    <m/>
    <m/>
    <m/>
    <m/>
    <m/>
    <m/>
    <m/>
    <s v="N/A"/>
    <s v="N/A"/>
    <s v="N/A"/>
    <s v="N/A"/>
    <s v="N/A"/>
    <s v="N/A"/>
    <m/>
    <m/>
    <m/>
    <m/>
    <m/>
    <s v="Nē"/>
    <s v="Nē"/>
    <s v="Jā"/>
    <s v="Nē"/>
    <s v="Nē"/>
    <s v="Nē"/>
    <s v="Nē"/>
    <s v="Nē"/>
    <s v="Jā"/>
    <s v="Nē"/>
    <s v="Nē"/>
    <s v="Nē"/>
    <s v="Nē"/>
    <s v="Nē"/>
    <s v="Nē"/>
    <s v="Nē"/>
    <m/>
    <s v="Nē"/>
    <m/>
    <s v="Nē"/>
    <m/>
    <s v="Nē"/>
    <m/>
    <s v="Nē"/>
    <m/>
    <s v="Nē"/>
    <s v="Nē"/>
    <s v="Nē"/>
    <s v="Jā"/>
    <s v="Nē"/>
    <s v="Nē"/>
    <s v="Nē"/>
    <s v="Nē"/>
    <s v="Nē"/>
    <s v="Nē"/>
    <s v="Nē"/>
    <s v="Nē"/>
    <s v="Jā"/>
    <s v="Nē"/>
    <s v="Nē"/>
    <s v="Nē"/>
    <s v="Nē"/>
    <s v="Nē"/>
    <s v="Nē"/>
    <m/>
    <s v="Nē"/>
    <m/>
    <s v="Nē"/>
    <m/>
    <s v="Nē"/>
    <m/>
    <s v="Nē"/>
    <m/>
    <s v="Jā"/>
    <s v="Nē"/>
    <s v="Nē"/>
    <s v="Nē"/>
    <s v="Nē"/>
    <s v="Nē"/>
    <s v="Nē"/>
    <s v="Nē"/>
    <s v="Jā"/>
    <s v="Nē"/>
    <s v="Jā"/>
    <s v="Nē"/>
    <s v="Jā"/>
    <s v="Nē"/>
    <m/>
    <m/>
    <m/>
    <m/>
    <m/>
    <m/>
  </r>
  <r>
    <x v="2"/>
    <n v="283"/>
    <s v="2023-09-21 12:12:20"/>
    <n v="14"/>
    <s v="ru"/>
    <n v="1778070582"/>
    <s v="2023-09-21 12:00:10"/>
    <s v="2023-09-21 12:12:20"/>
    <s v="кролик"/>
    <n v="17"/>
    <s v="vīriešu"/>
    <m/>
    <x v="1"/>
    <x v="0"/>
    <x v="0"/>
    <x v="0"/>
    <x v="0"/>
    <x v="0"/>
    <s v="Latgalē"/>
    <m/>
    <s v="vecticībnieku(ci)"/>
    <m/>
    <s v="N/A"/>
    <s v="N/A"/>
    <s v="N/A"/>
    <s v="N/A"/>
    <s v="N/A"/>
    <s v="N/A"/>
    <s v="Jā"/>
    <s v="N/A"/>
    <s v="N/A"/>
    <s v="N/A"/>
    <s v="N/A"/>
    <s v="N/A"/>
    <s v="N/A"/>
    <s v="Jā"/>
    <s v="N/A"/>
    <s v="N/A"/>
    <s v="N/A"/>
    <s v="N/A"/>
    <s v="N/A"/>
    <s v="N/A"/>
    <s v="Jā"/>
    <s v="N/A"/>
    <s v="N/A"/>
    <s v="N/A"/>
    <s v="N/A"/>
    <s v="N/A"/>
    <s v="N/A"/>
    <s v="Jā"/>
    <s v="nezinu"/>
    <s v="nezinu"/>
    <s v="nezinu"/>
    <s v="nezinu"/>
    <s v="nezinu"/>
    <s v="nezinu"/>
    <s v="Vienlīdzīgi"/>
    <s v="Vienlīdzīgi"/>
    <s v="Vienlīdzīgi"/>
    <s v="Vienlīdzīgi"/>
    <s v="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Neinteresē"/>
    <s v="Neinteresē"/>
    <s v="Neinteresē"/>
    <s v="Neinteresē"/>
    <s v="Не знаю что это такое и в политику лезть не хочу пока"/>
    <s v="Nē"/>
    <s v="Nē"/>
    <s v="Nē"/>
    <s v="Jā"/>
    <s v="Jā"/>
    <s v="Nē"/>
    <s v="2.."/>
    <n v="79"/>
    <n v="26"/>
    <n v="95"/>
    <n v="59"/>
    <s v="Drīzāk saspīlētas"/>
    <s v="Nav saspīlētas"/>
    <s v="Mazliet saspīlētas"/>
    <s v="(Gandrīz) nekad"/>
    <s v="(Gandrīz) nekad"/>
    <s v="(Gandrīz) nekad"/>
    <s v="(Gandrīz) nekad"/>
    <s v="(Gandrīz) nekad"/>
    <s v="(Gandrīz) nekad"/>
    <s v="(Gandrīz) nekad"/>
    <s v="(Gandrīz) nekad"/>
    <s v="(Gandrīz) nekad"/>
    <s v="(Gandrīz) nekad"/>
    <m/>
    <s v="nē"/>
    <s v="N/A"/>
    <s v="N/A"/>
    <s v="N/A"/>
    <s v="N/A"/>
    <s v="Jā"/>
    <s v="Nē"/>
    <s v="Nē"/>
    <s v="Nē"/>
    <s v="Nē"/>
    <s v="Jā"/>
    <s v="Nē"/>
    <s v="Nē"/>
    <s v="(gandrīz) nekad"/>
    <s v="pāris reižu mēnesī"/>
    <s v="(gandrīz) nekad"/>
    <s v="pāris reižu mēnesī"/>
    <s v="(gandrīz) nekad"/>
    <s v="(gandrīz) nekad"/>
    <s v="pāris reižu mēnesī"/>
    <s v="(gandrīz) katru dienu"/>
    <s v="(gandrīz) katru dienu"/>
    <s v="(gandrīz) nekad"/>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nezinu"/>
    <s v="nezinu"/>
    <s v="nezinu"/>
    <s v="nezinu"/>
    <s v="nezinu"/>
    <s v="vidējo 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Jā"/>
    <s v="Nē"/>
    <s v="Nē"/>
    <s v="Nē"/>
    <s v="Nē"/>
    <s v="Nē"/>
    <s v="Nē"/>
    <s v="Nē"/>
    <s v="Nē"/>
    <s v="Nē"/>
    <s v="Jā"/>
    <s v="Jā"/>
    <s v="Nē"/>
    <s v="Nē"/>
    <s v="Nē"/>
    <s v="Nē"/>
    <s v="Nē"/>
    <m/>
    <s v="Nē"/>
    <m/>
    <s v="Nē"/>
    <m/>
    <s v="Nē"/>
    <m/>
    <s v="Nē"/>
    <m/>
    <s v="Jā"/>
    <s v="Jā"/>
    <s v="Nē"/>
    <s v="Nē"/>
    <s v="Jā"/>
    <s v="Jā"/>
    <s v="Nē"/>
    <s v="Jā"/>
    <s v="Nē"/>
    <s v="Nē"/>
    <s v="Nē"/>
    <s v="Nē"/>
    <s v="Jā"/>
    <s v="Nē"/>
    <m/>
    <m/>
    <m/>
    <m/>
    <m/>
    <m/>
  </r>
  <r>
    <x v="2"/>
    <n v="284"/>
    <s v="2023-09-21 12:21:57"/>
    <n v="14"/>
    <s v="ru"/>
    <n v="1134738167"/>
    <s v="2023-09-21 12:00:19"/>
    <s v="2023-09-21 12:21:57"/>
    <s v="кролик"/>
    <n v="16"/>
    <s v="vīriešu"/>
    <m/>
    <x v="1"/>
    <x v="0"/>
    <x v="0"/>
    <x v="0"/>
    <x v="0"/>
    <x v="0"/>
    <s v="Latgalē"/>
    <m/>
    <s v="katoli(ieti)"/>
    <m/>
    <s v="Nē"/>
    <s v="Jā"/>
    <s v="Nē"/>
    <s v="Nē"/>
    <s v="Nē"/>
    <s v="Nē"/>
    <s v="Nē"/>
    <s v="Nē"/>
    <s v="Nē"/>
    <s v="Nē"/>
    <s v="Nē"/>
    <s v="Nē"/>
    <s v="Jā"/>
    <s v="Nē"/>
    <s v="Nē"/>
    <s v="Jā"/>
    <s v="Nē"/>
    <s v="Nē"/>
    <s v="Nē"/>
    <s v="Nē"/>
    <s v="Nē"/>
    <s v="Nē"/>
    <s v="Nē"/>
    <s v="Jā"/>
    <s v="Jā"/>
    <s v="Jā"/>
    <s v="Jā"/>
    <s v="Nē"/>
    <s v="a un b"/>
    <s v="tikai b"/>
    <s v="tikai b"/>
    <s v="tikai a"/>
    <s v="tikai b"/>
    <s v="nezinu"/>
    <s v="Vienlīdzīgi"/>
    <s v="Lielākoties vienlīdzīgi"/>
    <s v="Vienlīdzīgi"/>
    <s v="Vienlīdzīgi"/>
    <s v="Vienlīdzīgi"/>
    <s v="&quot;Latvija pirmajā vietā&quot;"/>
    <s v="Jaunā Vienotība"/>
    <s v="Politiskā partija &quot;Stabilitātei&quot;"/>
    <s v="Nacionālā Apvienība"/>
    <s v="Zaļo un Zemnieku savienība"/>
    <s v="nezinu"/>
    <s v="Zaļo un Zemnieku savienība"/>
    <s v="Klimata pārmaiņas – tas ir ciklisks un dabisks process."/>
    <s v="jā, daļu no tā, ko iespējams šķirot"/>
    <s v="&quot;Progresīvie&quot;"/>
    <s v="&quot;Apvienotais saraksts&quot;"/>
    <s v="Jaunā Vienotība"/>
    <s v="Nacionālā Apvienība"/>
    <s v="&quot;Latvija pirmajā vietā&quot;"/>
    <s v="Zaļo un Zemnieku savienība"/>
    <s v="Politiskā partija &quot;Stabilitātei&quot;"/>
    <s v="&quot;Apvienotais saraksts&quot;"/>
    <s v="Jaunā Vienotība"/>
    <s v="Nacionālā Apvienība"/>
    <s v="&quot;Progresīvie&quot;"/>
    <s v="&quot;Latvija pirmajā vietā&quot;"/>
    <s v="Zaļo un Zemnieku savienība"/>
    <s v="Politiskā partija &quot;Stabilitātei&quot;"/>
    <s v="Ļoti"/>
    <s v="Neinteresē"/>
    <s v="Viduvēji"/>
    <s v="Viduvēji"/>
    <s v="не знаю"/>
    <s v="Nē"/>
    <s v="Nē"/>
    <s v="Jā"/>
    <s v="Jā"/>
    <s v="Nē"/>
    <s v="Nē"/>
    <s v="2.."/>
    <n v="25"/>
    <n v="80"/>
    <n v="55"/>
    <n v="19"/>
    <s v="Drīzāk saspīlētas"/>
    <s v="Nav saspīlētas"/>
    <s v="Nav saspīlētas"/>
    <s v="(Gandrīz) nekad"/>
    <s v="(Gandrīz) nekad"/>
    <s v="(Gandrīz) nekad"/>
    <s v="(Gandrīz) nekad"/>
    <s v="Reti"/>
    <s v="Dažreiz"/>
    <s v="Bieži"/>
    <s v="(Gandrīz) nekad"/>
    <s v="(Gandrīz) nekad"/>
    <s v="Dažreiz"/>
    <s v="Русский для общения с друзьями и семьёй, в остальных случаях использую латышский язык"/>
    <s v="jā, privāta darba devēja labā"/>
    <s v="N/A"/>
    <s v="N/A"/>
    <s v="N/A"/>
    <s v="Jā"/>
    <s v="N/A"/>
    <s v="N/A"/>
    <s v="N/A"/>
    <s v="Jā"/>
    <s v="N/A"/>
    <s v="N/A"/>
    <s v="N/A"/>
    <s v="Jā"/>
    <s v="reizi nedēļā"/>
    <s v="(gandrīz) katru dienu"/>
    <s v="(gandrīz) katru dienu"/>
    <s v="pāris reižu mēnesī"/>
    <s v="reizi nedēļā"/>
    <s v="pāris reižu nedēļā"/>
    <s v="(gandrīz) katru dienu"/>
    <s v="(gandrīz) katru dienu"/>
    <s v="pāris reižu nedēļā"/>
    <s v="pāris reižu mēnesī"/>
    <s v="(gandrīz) katru dienu"/>
    <s v="pāris reižu mēnesī"/>
    <s v="pāris reižu nedēļā"/>
    <s v="reizi nedēļā"/>
    <s v="pilsoniskās brīvības (vārda brīvība, tiesības uz tiesisko aizsardzību)"/>
    <s v="varas līdzsvars starp parlamentu, prezidentu un tiesām, lai neviena no institūcijām nespētu sevī koncentrēt lielāko daļu varas"/>
    <s v="vienlīdz pieejama izglītība, veselības aprūpe, sociālais nodrošinājums"/>
    <m/>
    <m/>
    <s v="citreiz labi, citreiz slikti"/>
    <s v="labi"/>
    <s v="citreiz labi, citreiz slikti"/>
    <s v="labi"/>
    <s v="ļoti labi"/>
    <s v="vidējo izglītību"/>
    <m/>
    <s v="Nē"/>
    <s v="Jā"/>
    <s v="Nē"/>
    <s v="Nē"/>
    <s v="latviešu"/>
    <m/>
    <s v="latviešu"/>
    <m/>
    <m/>
    <m/>
    <m/>
    <m/>
    <m/>
    <m/>
    <m/>
    <m/>
    <m/>
    <m/>
    <m/>
    <m/>
    <m/>
    <m/>
    <m/>
    <m/>
    <m/>
    <m/>
    <m/>
    <m/>
    <m/>
    <s v="N/A"/>
    <s v="N/A"/>
    <s v="N/A"/>
    <s v="N/A"/>
    <s v="N/A"/>
    <s v="N/A"/>
    <m/>
    <m/>
    <m/>
    <m/>
    <m/>
    <s v="Nē"/>
    <s v="Nē"/>
    <s v="Jā"/>
    <s v="Nē"/>
    <s v="Nē"/>
    <s v="Nē"/>
    <s v="Nē"/>
    <s v="Nē"/>
    <s v="Jā"/>
    <s v="Nē"/>
    <s v="Nē"/>
    <s v="Nē"/>
    <s v="Nē"/>
    <s v="Nē"/>
    <s v="Nē"/>
    <s v="Nē"/>
    <m/>
    <s v="Nē"/>
    <m/>
    <s v="Nē"/>
    <m/>
    <s v="Nē"/>
    <m/>
    <s v="Nē"/>
    <m/>
    <s v="Nē"/>
    <s v="Nē"/>
    <s v="Nē"/>
    <s v="Nē"/>
    <s v="Nē"/>
    <s v="Nē"/>
    <s v="Nē"/>
    <s v="Nē"/>
    <s v="Nē"/>
    <s v="Nē"/>
    <s v="Nē"/>
    <s v="Nē"/>
    <s v="Jā"/>
    <s v="Jā"/>
    <s v="Nē"/>
    <s v="Nē"/>
    <s v="Nē"/>
    <s v="Nē"/>
    <s v="Nē"/>
    <m/>
    <s v="Nē"/>
    <m/>
    <s v="Nē"/>
    <m/>
    <s v="Nē"/>
    <m/>
    <s v="Nē"/>
    <m/>
    <s v="Jā"/>
    <s v="Jā"/>
    <s v="Jā"/>
    <s v="Nē"/>
    <s v="Jā"/>
    <s v="Jā"/>
    <s v="Nē"/>
    <s v="Jā"/>
    <s v="Nē"/>
    <s v="Nē"/>
    <s v="Nē"/>
    <s v="Nē"/>
    <s v="Jā"/>
    <s v="Nē"/>
    <m/>
    <m/>
    <m/>
    <m/>
    <m/>
    <m/>
  </r>
  <r>
    <x v="2"/>
    <n v="285"/>
    <s v="2023-09-21 12:26:05"/>
    <n v="14"/>
    <s v="ru"/>
    <n v="1888704462"/>
    <s v="2023-09-21 12:00:39"/>
    <s v="2023-09-21 12:26:05"/>
    <s v="кролик"/>
    <n v="17"/>
    <s v="vīriešu"/>
    <m/>
    <x v="0"/>
    <x v="0"/>
    <x v="0"/>
    <x v="0"/>
    <x v="0"/>
    <x v="0"/>
    <s v="Latgalē"/>
    <m/>
    <s v="ateistu(ti), nereliģiozu"/>
    <m/>
    <s v="Nē"/>
    <s v="Nē"/>
    <s v="Jā"/>
    <s v="Jā"/>
    <s v="Nē"/>
    <s v="Nē"/>
    <s v="Nē"/>
    <s v="Jā"/>
    <s v="Jā"/>
    <s v="Jā"/>
    <s v="Nē"/>
    <s v="Jā"/>
    <s v="Nē"/>
    <s v="Nē"/>
    <s v="Nē"/>
    <s v="Nē"/>
    <s v="Nē"/>
    <s v="Nē"/>
    <s v="Jā"/>
    <s v="Jā"/>
    <s v="Nē"/>
    <s v="Jā"/>
    <s v="Jā"/>
    <s v="Jā"/>
    <s v="Jā"/>
    <s v="Jā"/>
    <s v="Jā"/>
    <s v="Nē"/>
    <s v="tikai a"/>
    <s v="tikai b"/>
    <s v="a un b"/>
    <s v="a un b"/>
    <s v="a un b"/>
    <s v="a un b"/>
    <s v="Vienlīdzīgi"/>
    <s v="Vienlīdzīgi"/>
    <s v="Vienlīdzīgi"/>
    <s v="Vienlīdzīgi"/>
    <s v="Vienlīdzīgi"/>
    <s v="nezinu"/>
    <s v="nezinu"/>
    <s v="nezinu"/>
    <s v="nezinu"/>
    <s v="nezinu"/>
    <s v="nezinu"/>
    <s v="nezinu"/>
    <s v="Klimata pārmaiņām nav nekādu pārliecinošu pierādījumu."/>
    <s v="jā, daļu no tā, ko iespējams šķirot"/>
    <s v="nezinu"/>
    <s v="nezinu"/>
    <s v="nezinu"/>
    <s v="nezinu"/>
    <s v="nezinu"/>
    <s v="nezinu"/>
    <s v="nezinu"/>
    <s v="nezinu"/>
    <s v="nezinu"/>
    <s v="nezinu"/>
    <s v="nezinu"/>
    <s v="nezinu"/>
    <s v="nezinu"/>
    <s v="nezinu"/>
    <s v="Neinteresē"/>
    <s v="Neinteresē"/>
    <s v="Neinteresē"/>
    <s v="Neinteresē"/>
    <s v="не знаю"/>
    <s v="Nē"/>
    <s v="Nē"/>
    <s v="Nē"/>
    <s v="Jā"/>
    <s v="Jā"/>
    <s v="Jā"/>
    <s v="1.."/>
    <n v="100"/>
    <n v="1"/>
    <n v="100"/>
    <n v="100"/>
    <s v="Ļoti saspīlētas"/>
    <s v="Ļoti saspīlētas"/>
    <s v="Ļoti saspīlētas"/>
    <s v="Bieži"/>
    <s v="Bieži"/>
    <s v="Nezinu"/>
    <s v="Bieži"/>
    <s v="Bieži"/>
    <s v="(Gandrīz) nekad"/>
    <s v="(Gandrīz) nekad"/>
    <s v="(Gandrīz) nekad"/>
    <s v="(Gandrīz) nekad"/>
    <s v="(Gandrīz) nekad"/>
    <m/>
    <s v="nē"/>
    <s v="N/A"/>
    <s v="N/A"/>
    <s v="N/A"/>
    <s v="N/A"/>
    <s v="N/A"/>
    <s v="N/A"/>
    <s v="N/A"/>
    <s v="Jā"/>
    <s v="N/A"/>
    <s v="N/A"/>
    <s v="N/A"/>
    <s v="Jā"/>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slikti"/>
    <s v="slikti"/>
    <s v="Knapi / gandrīz necik"/>
    <s v="Knapi / gandrīz necik"/>
    <s v="Knapi / gandrīz necik"/>
    <s v="pamatizglītību"/>
    <m/>
    <s v="N/A"/>
    <s v="N/A"/>
    <s v="N/A"/>
    <s v="Jā"/>
    <s v="krievu"/>
    <m/>
    <s v="vidusskolā neesmu gājis"/>
    <m/>
    <s v="{if(is_empty(tongueLAT_SQ001.NAOK), 'latviski','krieviski')} nerunāju it nemaz."/>
    <s v="{if(is_empty(tongueLAT_SQ001.NAOK), 'latviski','krieviski')} nemāku rakstīt."/>
    <s v="Saprotu norādes, kur iet."/>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Nē"/>
    <s v="Nē"/>
    <s v="Nē"/>
    <s v="Jā"/>
    <s v="Nē"/>
    <s v="Nē"/>
    <s v="Nē"/>
    <s v="Nē"/>
    <s v="Nē"/>
    <s v="Nē"/>
    <s v="Nē"/>
    <s v="Nē"/>
    <s v="Discord"/>
    <m/>
    <m/>
    <m/>
    <m/>
    <m/>
  </r>
  <r>
    <x v="2"/>
    <n v="286"/>
    <s v="2023-09-21 12:19:38"/>
    <n v="14"/>
    <s v="lv"/>
    <n v="1174247614"/>
    <s v="2023-09-21 12:01:03"/>
    <s v="2023-09-21 12:19:38"/>
    <s v="trusis"/>
    <n v="17"/>
    <s v="vīriešu"/>
    <m/>
    <x v="1"/>
    <x v="0"/>
    <x v="0"/>
    <x v="0"/>
    <x v="0"/>
    <x v="0"/>
    <s v="Latgalē"/>
    <m/>
    <s v="katoli(ieti)"/>
    <m/>
    <s v="N/A"/>
    <s v="N/A"/>
    <s v="N/A"/>
    <s v="N/A"/>
    <s v="N/A"/>
    <s v="N/A"/>
    <s v="Jā"/>
    <s v="N/A"/>
    <s v="N/A"/>
    <s v="N/A"/>
    <s v="N/A"/>
    <s v="N/A"/>
    <s v="N/A"/>
    <s v="Jā"/>
    <s v="N/A"/>
    <s v="N/A"/>
    <s v="N/A"/>
    <s v="N/A"/>
    <s v="N/A"/>
    <s v="N/A"/>
    <s v="Jā"/>
    <s v="N/A"/>
    <s v="N/A"/>
    <s v="N/A"/>
    <s v="N/A"/>
    <s v="N/A"/>
    <s v="N/A"/>
    <s v="Jā"/>
    <s v="nezinu"/>
    <s v="nezinu"/>
    <s v="nezinu"/>
    <s v="nezinu"/>
    <s v="nezinu"/>
    <s v="nezinu"/>
    <s v="Vienlīdzīgi"/>
    <s v="Lielākoties vienlīdzīgi"/>
    <s v="Vienlīdzīgi"/>
    <s v="Lielākoties vienlīdzīgi"/>
    <s v="Vienlīdzīgi"/>
    <s v="nezinu"/>
    <s v="nezinu"/>
    <s v="nezinu"/>
    <s v="nezinu"/>
    <s v="nezinu"/>
    <s v="nezinu"/>
    <s v="nezinu"/>
    <s v="Klimata pārmaiņas – tas ir ciklisks un dabisks process."/>
    <s v="jā, daļu no tā, ko iespējams šķirot"/>
    <s v="nezinu"/>
    <s v="nezinu"/>
    <s v="nezinu"/>
    <s v="nezinu"/>
    <s v="nezinu"/>
    <s v="nezinu"/>
    <s v="nezinu"/>
    <s v="nezinu"/>
    <s v="nezinu"/>
    <s v="nezinu"/>
    <s v="nezinu"/>
    <s v="nezinu"/>
    <s v="nezinu"/>
    <s v="nezinu"/>
    <s v="Neinteresē"/>
    <s v="Neinteresē"/>
    <s v="Neinteresē"/>
    <s v="Neinteresē"/>
    <s v="Ja produkts vai sistéma ur laba es uzklausíßu to bet j akat kada cepure tad ne ."/>
    <s v="Nē"/>
    <s v="Nē"/>
    <s v="Nē"/>
    <s v="Jā"/>
    <s v="Nē"/>
    <s v="Nē"/>
    <s v="1.."/>
    <n v="20"/>
    <n v="90"/>
    <n v="100"/>
    <n v="100"/>
    <s v="Mazliet saspīlētas"/>
    <s v="Nav saspīlētas"/>
    <s v="Nav saspīlētas"/>
    <s v="(Gandrīz) nekad"/>
    <s v="(Gandrīz) nekad"/>
    <s v="(Gandrīz) nekad"/>
    <s v="(Gandrīz) nekad"/>
    <s v="(Gandrīz) nekad"/>
    <s v="(Gandrīz) nekad"/>
    <s v="Reti"/>
    <s v="(Gandrīz) nekad"/>
    <s v="(Gandrīz) nekad"/>
    <s v="(Gandrīz) nekad"/>
    <s v="es domáju ka nepareizás valodas nav , man patík latvießu un krievu valoda"/>
    <s v="jā, valsts iestādē"/>
    <s v="Nē"/>
    <s v="Nē"/>
    <s v="Jā"/>
    <s v="Nē"/>
    <s v="Jā"/>
    <s v="Nē"/>
    <s v="Nē"/>
    <s v="Nē"/>
    <s v="Jā"/>
    <s v="Nē"/>
    <s v="Nē"/>
    <s v="Nē"/>
    <s v="pāris reižu nedēļā"/>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vienlīdz pieejama izglītība, veselības aprūpe, sociālais nodrošinājums"/>
    <s v="pilsoniskās brīvības (vārda brīvība, tiesības uz tiesisko aizsardzību)"/>
    <s v="brīvas vēlēšanas un plurālisms"/>
    <m/>
    <m/>
    <s v="slikti"/>
    <s v="citreiz labi, citreiz slikti"/>
    <s v="citreiz labi, citreiz slikti"/>
    <s v="slikti"/>
    <s v="nezinu"/>
    <s v="pamatizglītību"/>
    <m/>
    <s v="N/A"/>
    <s v="N/A"/>
    <s v="N/A"/>
    <s v="Jā"/>
    <s v="latviešu"/>
    <m/>
    <s v="vienlīdz latviešu un krievu"/>
    <m/>
    <m/>
    <m/>
    <m/>
    <m/>
    <m/>
    <m/>
    <m/>
    <m/>
    <m/>
    <m/>
    <m/>
    <m/>
    <m/>
    <m/>
    <m/>
    <m/>
    <m/>
    <m/>
    <m/>
    <m/>
    <m/>
    <s v="N/A"/>
    <s v="N/A"/>
    <s v="N/A"/>
    <s v="N/A"/>
    <s v="N/A"/>
    <s v="N/A"/>
    <m/>
    <m/>
    <m/>
    <m/>
    <m/>
    <s v="Nē"/>
    <s v="Nē"/>
    <s v="Nē"/>
    <s v="Jā"/>
    <s v="Nē"/>
    <s v="Nē"/>
    <s v="Nē"/>
    <s v="Nē"/>
    <s v="Nē"/>
    <s v="Nē"/>
    <s v="Nē"/>
    <s v="Nē"/>
    <s v="Nē"/>
    <s v="Nē"/>
    <s v="Nē"/>
    <s v="Nē"/>
    <m/>
    <s v="Nē"/>
    <m/>
    <s v="Nē"/>
    <m/>
    <s v="Jā"/>
    <s v="Matč tv"/>
    <s v="Nē"/>
    <m/>
    <s v="Nē"/>
    <s v="Nē"/>
    <s v="Nē"/>
    <s v="Nē"/>
    <s v="Nē"/>
    <s v="Nē"/>
    <s v="Nē"/>
    <s v="Nē"/>
    <s v="Nē"/>
    <s v="Nē"/>
    <s v="Nē"/>
    <s v="Nē"/>
    <s v="Jā"/>
    <s v="Jā"/>
    <s v="Nē"/>
    <s v="Nē"/>
    <s v="Nē"/>
    <s v="Nē"/>
    <s v="Nē"/>
    <m/>
    <s v="Nē"/>
    <m/>
    <s v="Nē"/>
    <m/>
    <s v="Nē"/>
    <m/>
    <s v="Nē"/>
    <m/>
    <s v="Jā"/>
    <s v="Jā"/>
    <s v="Nē"/>
    <s v="Jā"/>
    <s v="Jā"/>
    <s v="Jā"/>
    <s v="Nē"/>
    <s v="Jā"/>
    <s v="Nē"/>
    <s v="Nē"/>
    <s v="Nē"/>
    <s v="Nē"/>
    <s v="Jā"/>
    <s v="Nē"/>
    <m/>
    <s v="Paldies jums man bija ne ļoti patīkams atbildēt uz jatajumiem par politiku par daudz"/>
    <m/>
    <m/>
    <m/>
    <m/>
  </r>
  <r>
    <x v="2"/>
    <n v="287"/>
    <s v="2023-09-21 12:25:28"/>
    <n v="14"/>
    <s v="ru"/>
    <n v="925570683"/>
    <s v="2023-09-21 12:01:08"/>
    <s v="2023-09-21 12:25:28"/>
    <s v="кролик"/>
    <n v="16"/>
    <s v="vīriešu"/>
    <m/>
    <x v="1"/>
    <x v="0"/>
    <x v="0"/>
    <x v="0"/>
    <x v="0"/>
    <x v="0"/>
    <s v="Latgalē"/>
    <m/>
    <s v="ateistu(ti), nereliģiozu"/>
    <m/>
    <s v="Nē"/>
    <s v="Jā"/>
    <s v="Nē"/>
    <s v="Nē"/>
    <s v="Nē"/>
    <s v="Nē"/>
    <s v="Nē"/>
    <s v="Nē"/>
    <s v="Jā"/>
    <s v="Nē"/>
    <s v="Jā"/>
    <s v="Jā"/>
    <s v="Nē"/>
    <s v="Nē"/>
    <s v="Nē"/>
    <s v="Jā"/>
    <s v="Nē"/>
    <s v="Nē"/>
    <s v="Nē"/>
    <s v="Nē"/>
    <s v="Nē"/>
    <s v="Nē"/>
    <s v="Nē"/>
    <s v="Jā"/>
    <s v="Jā"/>
    <s v="Nē"/>
    <s v="Jā"/>
    <s v="Nē"/>
    <s v="tikai b"/>
    <s v="tikai b"/>
    <s v="ne a, ne b"/>
    <s v="tikai a"/>
    <s v="tikai b"/>
    <s v="tikai b"/>
    <s v="Lielākoties vienlīdzīgi"/>
    <s v="Lielākoties nevienlīdzīgi"/>
    <s v="Vienlīdzīgi"/>
    <s v="Vienlīdzīgi"/>
    <s v="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Neinteresē"/>
    <s v="Ne sevišķi"/>
    <s v="Neinteresē"/>
    <s v="не знаю"/>
    <s v="Nē"/>
    <s v="Nē"/>
    <s v="Nē"/>
    <s v="Nē"/>
    <s v="Jā"/>
    <s v="Nē"/>
    <s v="2.."/>
    <n v="95"/>
    <n v="10"/>
    <n v="100"/>
    <n v="95"/>
    <s v="Ļoti saspīlētas"/>
    <s v="Ļoti saspīlētas"/>
    <s v="Drīzāk saspīlētas"/>
    <s v="(Gandrīz) nekad"/>
    <s v="(Gandrīz) nekad"/>
    <s v="(Gandrīz) nekad"/>
    <s v="(Gandrīz) nekad"/>
    <s v="(Gandrīz) nekad"/>
    <s v="Bieži"/>
    <s v="Bieži"/>
    <s v="(Gandrīz) nekad"/>
    <s v="Reti"/>
    <s v="(Gandrīz) nekad"/>
    <s v="я не понял вопроса."/>
    <s v="nē"/>
    <s v="N/A"/>
    <s v="N/A"/>
    <s v="N/A"/>
    <s v="N/A"/>
    <s v="N/A"/>
    <s v="N/A"/>
    <s v="N/A"/>
    <s v="Jā"/>
    <s v="Nē"/>
    <s v="Jā"/>
    <s v="Nē"/>
    <s v="Nē"/>
    <s v="(gandrīz) nekad"/>
    <s v="pāris reižu nedēļā"/>
    <s v="(gandrīz) nekad"/>
    <s v="(gandrīz) nekad"/>
    <s v="(gandrīz) nekad"/>
    <s v="(gandrīz) nekad"/>
    <s v="(gandrīz) nekad"/>
    <s v="(gandrīz) katru dienu"/>
    <s v="(gandrīz) katru dienu"/>
    <s v="(gandrīz) katru dienu"/>
    <s v="(gandrīz) katru dienu"/>
    <s v="(gandrīz) katru dienu"/>
    <s v="(gandrīz) katru dienu"/>
    <s v="(gandrīz) katru dienu"/>
    <s v="vienlīdz pieejama izglītība, veselības aprūpe, sociālais nodrošinājums"/>
    <s v="varas līdzsvars starp parlamentu, prezidentu un tiesām, lai neviena no institūcijām nespētu sevī koncentrēt lielāko daļu varas"/>
    <s v="pilsoniskās brīvības (vārda brīvība, tiesības uz tiesisko aizsardzību)"/>
    <m/>
    <m/>
    <s v="slikti"/>
    <s v="Knapi / gandrīz necik"/>
    <s v="citreiz labi, citreiz slikti"/>
    <s v="ļoti labi"/>
    <s v="slikti"/>
    <s v="pamatizglītību"/>
    <m/>
    <s v="N/A"/>
    <s v="N/A"/>
    <s v="N/A"/>
    <s v="Jā"/>
    <s v="krievu"/>
    <m/>
    <s v="krievu"/>
    <m/>
    <m/>
    <m/>
    <m/>
    <m/>
    <m/>
    <m/>
    <m/>
    <m/>
    <m/>
    <m/>
    <m/>
    <m/>
    <m/>
    <m/>
    <m/>
    <m/>
    <m/>
    <m/>
    <m/>
    <m/>
    <m/>
    <s v="N/A"/>
    <s v="N/A"/>
    <s v="N/A"/>
    <s v="N/A"/>
    <s v="N/A"/>
    <s v="N/A"/>
    <m/>
    <m/>
    <m/>
    <m/>
    <m/>
    <s v="Nē"/>
    <s v="Nē"/>
    <s v="Nē"/>
    <s v="Nē"/>
    <s v="Nē"/>
    <s v="Nē"/>
    <s v="Nē"/>
    <s v="Nē"/>
    <s v="Nē"/>
    <s v="Nē"/>
    <s v="Jā"/>
    <s v="Nē"/>
    <s v="Nē"/>
    <s v="Nē"/>
    <s v="Nē"/>
    <s v="Nē"/>
    <m/>
    <s v="Nē"/>
    <m/>
    <s v="Nē"/>
    <m/>
    <s v="Nē"/>
    <m/>
    <s v="Nē"/>
    <m/>
    <s v="Nē"/>
    <s v="Nē"/>
    <s v="Nē"/>
    <s v="Nē"/>
    <s v="Nē"/>
    <s v="Nē"/>
    <s v="Nē"/>
    <s v="Nē"/>
    <s v="Nē"/>
    <s v="Nē"/>
    <s v="Nē"/>
    <s v="Nē"/>
    <s v="Nē"/>
    <s v="Jā"/>
    <s v="Nē"/>
    <s v="Nē"/>
    <s v="Nē"/>
    <s v="Jā"/>
    <s v="Nē"/>
    <m/>
    <s v="Nē"/>
    <m/>
    <s v="Nē"/>
    <m/>
    <s v="Nē"/>
    <m/>
    <s v="Nē"/>
    <m/>
    <s v="Jā"/>
    <s v="Jā"/>
    <s v="Jā"/>
    <s v="Jā"/>
    <s v="Jā"/>
    <s v="Jā"/>
    <s v="Nē"/>
    <s v="Jā"/>
    <s v="Nē"/>
    <s v="Nē"/>
    <s v="Jā"/>
    <s v="Nē"/>
    <s v="Nē"/>
    <s v="Nē"/>
    <m/>
    <s v="Я надеюсь будет лучшее понимание людей."/>
    <m/>
    <m/>
    <m/>
    <m/>
  </r>
  <r>
    <x v="2"/>
    <n v="288"/>
    <s v="2023-09-21 12:29:09"/>
    <n v="14"/>
    <s v="ru"/>
    <n v="1822824319"/>
    <s v="2023-09-21 12:01:21"/>
    <s v="2023-09-21 12:29:09"/>
    <s v="trusis"/>
    <n v="17"/>
    <s v="vīriešu"/>
    <m/>
    <x v="0"/>
    <x v="0"/>
    <x v="0"/>
    <x v="0"/>
    <x v="0"/>
    <x v="0"/>
    <s v="Latgalē"/>
    <m/>
    <s v="ateistu(ti), nereliģiozu"/>
    <m/>
    <s v="Nē"/>
    <s v="Jā"/>
    <s v="Jā"/>
    <s v="Jā"/>
    <s v="Nē"/>
    <s v="Nē"/>
    <s v="Nē"/>
    <s v="Nē"/>
    <s v="Jā"/>
    <s v="Nē"/>
    <s v="Nē"/>
    <s v="Jā"/>
    <s v="Nē"/>
    <s v="Nē"/>
    <s v="Nē"/>
    <s v="Nē"/>
    <s v="Jā"/>
    <s v="Nē"/>
    <s v="Jā"/>
    <s v="Nē"/>
    <s v="Nē"/>
    <s v="Nē"/>
    <s v="Jā"/>
    <s v="Nē"/>
    <s v="Nē"/>
    <s v="Jā"/>
    <s v="Nē"/>
    <s v="Nē"/>
    <s v="tikai b"/>
    <s v="tikai b"/>
    <s v="ne a, ne b"/>
    <s v="tikai a"/>
    <s v="tikai a"/>
    <s v="nezinu"/>
    <s v="Vienlīdzīgi"/>
    <s v="Vienlīdzīgi"/>
    <s v="Vienlīdzīgi"/>
    <s v="Vienlīdzīgi"/>
    <s v="Vienlīdzīgi"/>
    <s v="Zaļo un Zemnieku savienība"/>
    <s v="Nacionālā Apvienība"/>
    <s v="Nacionālā Apvienība"/>
    <s v="Zaļo un Zemnieku savienība"/>
    <s v="Zaļo un Zemnieku savienība"/>
    <s v="Zaļo un Zemnieku savienība"/>
    <s v="Zaļo un Zemnieku savienība"/>
    <s v="Cīņai ar klimata pārmaiņām būtu jābūt vairumam pasaules valstu galvenajai prioritātei."/>
    <s v="jā, visu, ko iespējams šķirot"/>
    <s v="&quot;Progresīvie&quot;"/>
    <s v="&quot;Progresīvie&quot;"/>
    <s v="&quot;Progresīvie&quot;"/>
    <s v="Zaļo un Zemnieku savienība"/>
    <s v="Zaļo un Zemnieku savienība"/>
    <s v="Zaļo un Zemnieku savienība"/>
    <s v="Politiskā partija &quot;Stabilitātei&quot;"/>
    <s v="&quot;Latvija pirmajā vietā&quot;"/>
    <s v="&quot;Progresīvie&quot;"/>
    <s v="Zaļo un Zemnieku savienība"/>
    <s v="&quot;Apvienotais saraksts&quot;"/>
    <s v="&quot;Progresīvie&quot;"/>
    <s v="&quot;Progresīvie&quot;"/>
    <s v="Zaļo un Zemnieku savienība"/>
    <s v="Ne sevišķi"/>
    <s v="Neinteresē"/>
    <s v="Viduvēji"/>
    <s v="Neinteresē"/>
    <s v="не знаю"/>
    <s v="Nē"/>
    <s v="Nē"/>
    <s v="Nē"/>
    <s v="Nē"/>
    <s v="Jā"/>
    <s v="Nē"/>
    <s v="2.."/>
    <n v="75"/>
    <n v="60"/>
    <n v="80"/>
    <n v="1"/>
    <s v="Mazliet saspīlētas"/>
    <s v="Mazliet saspīlētas"/>
    <s v="Nav saspīlētas"/>
    <s v="(Gandrīz) nekad"/>
    <s v="(Gandrīz) nekad"/>
    <s v="(Gandrīz) nekad"/>
    <s v="(Gandrīz) nekad"/>
    <s v="(Gandrīz) nekad"/>
    <s v="Nezinu"/>
    <s v="(Gandrīz) nekad"/>
    <s v="(Gandrīz) nekad"/>
    <s v="(Gandrīz) nekad"/>
    <s v="(Gandrīz) nekad"/>
    <m/>
    <s v="nē"/>
    <s v="N/A"/>
    <s v="N/A"/>
    <s v="N/A"/>
    <s v="N/A"/>
    <s v="Nē"/>
    <s v="Jā"/>
    <s v="Nē"/>
    <s v="Nē"/>
    <s v="Nē"/>
    <s v="Jā"/>
    <s v="Nē"/>
    <s v="Nē"/>
    <s v="(gandrīz) nekad"/>
    <s v="(gandrīz) nekad"/>
    <s v="(gandrīz) nekad"/>
    <s v="(gandrīz) nekad"/>
    <s v="(gandrīz) nekad"/>
    <s v="(gandrīz) nekad"/>
    <s v="pāris reižu mēnesī"/>
    <s v="(gandrīz) nekad"/>
    <s v="(gandrīz) nekad"/>
    <s v="(gandrīz) nekad"/>
    <s v="(gandrīz) nekad"/>
    <s v="(gandrīz) nekad"/>
    <s v="(gandrīz) nekad"/>
    <s v="pāris reižu mēnesī"/>
    <s v="brīvas vēlēšanas un plurālisms"/>
    <s v="vienlīdz pieejama izglītība, veselības aprūpe, sociālais nodrošinājums"/>
    <s v="vienlīdzīgas tiesības minoritātēm un ievainojamām sabiedrības grupām"/>
    <m/>
    <m/>
    <s v="labi"/>
    <s v="slikti"/>
    <s v="labi"/>
    <s v="nezinu"/>
    <s v="citreiz labi, citreiz slikti"/>
    <s v="pamatizglītību"/>
    <m/>
    <s v="Jā"/>
    <s v="Jā"/>
    <s v="Jā"/>
    <s v="Nē"/>
    <s v="latviešu"/>
    <m/>
    <s v="latviešu"/>
    <m/>
    <s v="Spēju ilgstoši sarunāties ar vienaudžiem / piedalīties darba pārrunās."/>
    <s v="Spēju uzrakstīt vēstuli draugam."/>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m/>
    <m/>
    <m/>
    <m/>
    <m/>
  </r>
  <r>
    <x v="2"/>
    <n v="289"/>
    <s v="2023-09-21 12:20:35"/>
    <n v="14"/>
    <s v="ru"/>
    <n v="1894327339"/>
    <s v="2023-09-21 12:01:25"/>
    <s v="2023-09-21 12:20:35"/>
    <s v="кролик"/>
    <n v="17"/>
    <s v="sieviešu"/>
    <m/>
    <x v="0"/>
    <x v="0"/>
    <x v="0"/>
    <x v="0"/>
    <x v="0"/>
    <x v="0"/>
    <s v="Cita atbilde"/>
    <s v="Даугавпилс"/>
    <s v="pareizticīgo"/>
    <m/>
    <s v="Jā"/>
    <s v="Nē"/>
    <s v="Nē"/>
    <s v="Nē"/>
    <s v="Nē"/>
    <s v="Nē"/>
    <s v="Nē"/>
    <s v="Nē"/>
    <s v="Nē"/>
    <s v="Nē"/>
    <s v="Nē"/>
    <s v="Nē"/>
    <s v="Jā"/>
    <s v="Nē"/>
    <s v="Nē"/>
    <s v="Nē"/>
    <s v="Nē"/>
    <s v="Jā"/>
    <s v="Nē"/>
    <s v="Nē"/>
    <s v="Nē"/>
    <s v="Nē"/>
    <s v="Nē"/>
    <s v="Nē"/>
    <s v="Nē"/>
    <s v="Nē"/>
    <s v="Jā"/>
    <s v="Nē"/>
    <s v="nezinu"/>
    <s v="nezinu"/>
    <s v="nezinu"/>
    <s v="nezinu"/>
    <s v="nezinu"/>
    <s v="nezinu"/>
    <s v="Lielākoties nevienlīdzīgi"/>
    <s v="Lielākoties nevienlīdzīgi"/>
    <s v="Lielākoties vienlīdzīgi"/>
    <s v="Lielākoties vienlīdzīgi"/>
    <s v="Lielākoties vienlīdzīgi"/>
    <s v="nezinu"/>
    <s v="nezinu"/>
    <s v="nezinu"/>
    <s v="nezinu"/>
    <s v="nezinu"/>
    <s v="nezinu"/>
    <s v="nezinu"/>
    <s v="Klimata pārmaiņas – tas ir ciklisks un dabisks process."/>
    <s v="nē"/>
    <s v="nezinu"/>
    <s v="nezinu"/>
    <s v="nezinu"/>
    <s v="nezinu"/>
    <s v="nezinu"/>
    <s v="nezinu"/>
    <s v="nezinu"/>
    <s v="nezinu"/>
    <s v="nezinu"/>
    <s v="nezinu"/>
    <s v="nezinu"/>
    <s v="nezinu"/>
    <s v="nezinu"/>
    <s v="nezinu"/>
    <s v="Viduvēji"/>
    <s v="Ne sevišķi"/>
    <s v="Neinteresē"/>
    <s v="Ārkārtīgi"/>
    <s v="не знаю"/>
    <s v="Nē"/>
    <s v="Nē"/>
    <s v="Nē"/>
    <s v="Jā"/>
    <s v="Jā"/>
    <s v="Nē"/>
    <s v="2....."/>
    <n v="71"/>
    <n v="67"/>
    <n v="93"/>
    <n v="54"/>
    <s v="Ļoti saspīlētas"/>
    <s v="Mazliet saspīlētas"/>
    <s v="Nav saspīlētas"/>
    <s v="(Gandrīz) nekad"/>
    <s v="(Gandrīz) nekad"/>
    <s v="(Gandrīz) nekad"/>
    <s v="(Gandrīz) nekad"/>
    <s v="(Gandrīz) nekad"/>
    <s v="Nezinu"/>
    <s v="Dažreiz"/>
    <s v="(Gandrīz) nekad"/>
    <s v="Reti"/>
    <s v="Reti"/>
    <m/>
    <s v="nē"/>
    <s v="N/A"/>
    <s v="N/A"/>
    <s v="N/A"/>
    <s v="N/A"/>
    <s v="Jā"/>
    <s v="Nē"/>
    <s v="Nē"/>
    <s v="Nē"/>
    <s v="N/A"/>
    <s v="N/A"/>
    <s v="N/A"/>
    <s v="Jā"/>
    <s v="(gandrīz) nekad"/>
    <s v="pāris reižu nedēļā"/>
    <s v="(gandrīz) nekad"/>
    <s v="pāris reižu mēnesī"/>
    <s v="(gandrīz) nekad"/>
    <s v="(gandrīz) nekad"/>
    <s v="reizi nedēļā"/>
    <s v="(gandrīz) katru dienu"/>
    <s v="(gandrīz) katru dienu"/>
    <s v="(gandrīz) nekad"/>
    <s v="(gandrīz) katru dienu"/>
    <s v="(gandrīz) katru dienu"/>
    <s v="(gandrīz) katru dienu"/>
    <s v="pāris reižu nedēļā"/>
    <s v="vienlīdz pieejama izglītība, veselības aprūpe, sociālais nodrošinājums"/>
    <s v="pilsoniskās brīvības (vārda brīvība, tiesības uz tiesisko aizsardzību)"/>
    <s v="vienlīdzīgas tiesības minoritātēm un ievainojamām sabiedrības grupām"/>
    <m/>
    <m/>
    <s v="nezinu"/>
    <s v="nezinu"/>
    <s v="nezinu"/>
    <s v="nezinu"/>
    <s v="nezinu"/>
    <s v="pamatizglītību"/>
    <m/>
    <s v="N/A"/>
    <s v="N/A"/>
    <s v="N/A"/>
    <s v="Jā"/>
    <s v="vienlīdz latviešu un krievu"/>
    <m/>
    <s v="vidusskolā neesmu gājis"/>
    <m/>
    <s v="Spēju ilgstoši sarunāties ar vienaudžiem / piedalīties darba pārrunās."/>
    <s v="Spēju uzrakstīt motivācijas vēstuli darbam / par savu darba pieredzi."/>
    <s v="Viegli saprotu radio programmas / podkāstus par saviem hobijiem / darbības sfēru."/>
    <s v="Spēju izlasīt avīzi / īsstāstus."/>
    <m/>
    <m/>
    <m/>
    <m/>
    <m/>
    <m/>
    <m/>
    <m/>
    <m/>
    <m/>
    <m/>
    <m/>
    <m/>
    <m/>
    <m/>
    <m/>
    <m/>
    <s v="N/A"/>
    <s v="N/A"/>
    <s v="N/A"/>
    <s v="N/A"/>
    <s v="N/A"/>
    <s v="N/A"/>
    <m/>
    <m/>
    <m/>
    <m/>
    <m/>
    <s v="Nē"/>
    <s v="Nē"/>
    <s v="Nē"/>
    <s v="Jā"/>
    <s v="Nē"/>
    <s v="Nē"/>
    <s v="Jā"/>
    <s v="Nē"/>
    <s v="Nē"/>
    <s v="Nē"/>
    <s v="Nē"/>
    <s v="Nē"/>
    <s v="Nē"/>
    <s v="Nē"/>
    <s v="Nē"/>
    <s v="Nē"/>
    <m/>
    <s v="Nē"/>
    <m/>
    <s v="Nē"/>
    <m/>
    <s v="Nē"/>
    <m/>
    <s v="Nē"/>
    <m/>
    <s v="Nē"/>
    <s v="Nē"/>
    <s v="Nē"/>
    <s v="Nē"/>
    <s v="Nē"/>
    <s v="Nē"/>
    <s v="Nē"/>
    <s v="Nē"/>
    <s v="Nē"/>
    <s v="Nē"/>
    <s v="Nē"/>
    <s v="Nē"/>
    <s v="Nē"/>
    <s v="Nē"/>
    <s v="Nē"/>
    <s v="Nē"/>
    <s v="Nē"/>
    <s v="Jā"/>
    <s v="Nē"/>
    <m/>
    <s v="Nē"/>
    <m/>
    <s v="Nē"/>
    <m/>
    <s v="Nē"/>
    <m/>
    <s v="Nē"/>
    <m/>
    <s v="Jā"/>
    <s v="Jā"/>
    <s v="Nē"/>
    <s v="Jā"/>
    <s v="Jā"/>
    <s v="Jā"/>
    <s v="Nē"/>
    <s v="Jā"/>
    <s v="Nē"/>
    <s v="Nē"/>
    <s v="Nē"/>
    <s v="Nē"/>
    <s v="Nē"/>
    <s v="Nē"/>
    <m/>
    <m/>
    <m/>
    <m/>
    <m/>
    <m/>
  </r>
  <r>
    <x v="2"/>
    <n v="290"/>
    <s v="2023-09-21 12:19:41"/>
    <n v="14"/>
    <s v="ru"/>
    <n v="2068582541"/>
    <s v="2023-09-21 12:01:26"/>
    <s v="2023-09-21 12:19:41"/>
    <s v="trusis"/>
    <n v="17"/>
    <s v="vīriešu"/>
    <m/>
    <x v="0"/>
    <x v="0"/>
    <x v="0"/>
    <x v="0"/>
    <x v="0"/>
    <x v="0"/>
    <s v="Latgalē"/>
    <m/>
    <s v="pareizticīgo"/>
    <m/>
    <s v="Nē"/>
    <s v="Jā"/>
    <s v="Nē"/>
    <s v="Nē"/>
    <s v="Nē"/>
    <s v="Nē"/>
    <s v="Nē"/>
    <s v="N/A"/>
    <s v="N/A"/>
    <s v="N/A"/>
    <s v="N/A"/>
    <s v="N/A"/>
    <s v="N/A"/>
    <s v="Jā"/>
    <s v="Jā"/>
    <s v="Nē"/>
    <s v="Nē"/>
    <s v="Nē"/>
    <s v="Nē"/>
    <s v="Nē"/>
    <s v="Nē"/>
    <s v="N/A"/>
    <s v="N/A"/>
    <s v="N/A"/>
    <s v="N/A"/>
    <s v="N/A"/>
    <s v="N/A"/>
    <s v="Jā"/>
    <s v="nezinu"/>
    <s v="nezinu"/>
    <s v="nezinu"/>
    <s v="a un b"/>
    <s v="ne a, ne b"/>
    <s v="nezinu"/>
    <s v="Lielākoties vienlīdzīgi"/>
    <s v="Lielākoties vienlīdzīgi"/>
    <s v="Lielākoties vienlīdzīgi"/>
    <s v="Lielākoties vienlīdzīgi"/>
    <s v="Lielākoties vienlīdzīgi"/>
    <s v="nezinu"/>
    <s v="nezinu"/>
    <s v="nezinu"/>
    <s v="nezinu"/>
    <s v="nezinu"/>
    <s v="nezinu"/>
    <s v="nezinu"/>
    <s v="Klimata pārmaiņas – tas ir ciklisks un dabisks process."/>
    <s v="jā, visu, ko iespējams šķirot"/>
    <s v="nezinu"/>
    <s v="nezinu"/>
    <s v="nezinu"/>
    <s v="nezinu"/>
    <s v="nezinu"/>
    <s v="nezinu"/>
    <s v="nezinu"/>
    <s v="nezinu"/>
    <s v="nezinu"/>
    <s v="nezinu"/>
    <s v="nezinu"/>
    <s v="nezinu"/>
    <s v="nezinu"/>
    <s v="nezinu"/>
    <s v="Viduvēji"/>
    <s v="Neinteresē"/>
    <s v="Viduvēji"/>
    <s v="Viduvēji"/>
    <s v="слово &quot;популизм&quot; мне ранее не встречалось, по этому я не знаю как ответить на этот вопрос"/>
    <s v="Jā"/>
    <s v="Nē"/>
    <s v="Jā"/>
    <s v="Nē"/>
    <s v="Jā"/>
    <s v="Nē"/>
    <s v="2.."/>
    <n v="51"/>
    <n v="30"/>
    <n v="40"/>
    <n v="20"/>
    <s v="Mazliet saspīlētas"/>
    <s v="Nav saspīlētas"/>
    <s v="Nav saspīlētas"/>
    <s v="(Gandrīz) nekad"/>
    <s v="(Gandrīz) nekad"/>
    <s v="(Gandrīz) nekad"/>
    <s v="(Gandrīz) nekad"/>
    <s v="(Gandrīz) nekad"/>
    <s v="(Gandrīz) nekad"/>
    <s v="(Gandrīz) nekad"/>
    <s v="(Gandrīz) nekad"/>
    <s v="(Gandrīz) nekad"/>
    <s v="(Gandrīz) nekad"/>
    <m/>
    <s v="nē"/>
    <s v="N/A"/>
    <s v="N/A"/>
    <s v="N/A"/>
    <s v="N/A"/>
    <s v="N/A"/>
    <s v="N/A"/>
    <s v="N/A"/>
    <s v="Jā"/>
    <s v="N/A"/>
    <s v="N/A"/>
    <s v="N/A"/>
    <s v="Jā"/>
    <s v="(gandrīz) nekad"/>
    <s v="(gandrīz) katru dienu"/>
    <s v="(gandrīz) nekad"/>
    <s v="(gandrīz) nekad"/>
    <s v="(gandrīz) nekad"/>
    <s v="(gandrīz) nekad"/>
    <s v="pāris reižu mēnesī"/>
    <s v="(gandrīz) katru dienu"/>
    <s v="(gandrīz) katru dienu"/>
    <s v="(gandrīz) katru dienu"/>
    <s v="(gandrīz) katru dienu"/>
    <s v="(gandrīz) katru dienu"/>
    <s v="(gandrīz) katru dienu"/>
    <s v="(gandrīz) katru dienu"/>
    <s v="brīvas vēlēšanas un plurālisms"/>
    <s v="pilsoniskās brīvības (vārda brīvība, tiesības uz tiesisko aizsardzību)"/>
    <s v="vienlīdz pieejama izglītība, veselības aprūpe, sociālais nodrošinājums"/>
    <m/>
    <m/>
    <s v="nezinu"/>
    <s v="nezinu"/>
    <s v="labi"/>
    <s v="nezinu"/>
    <s v="citreiz labi, citreiz slikti"/>
    <s v="pamatizglītību"/>
    <m/>
    <s v="N/A"/>
    <s v="N/A"/>
    <s v="N/A"/>
    <s v="Jā"/>
    <s v="latviešu"/>
    <m/>
    <s v="vidusskolā neesmu gājis"/>
    <m/>
    <s v="Spēju pastāstīt par savu hobiju / darbu."/>
    <s v="Spēju uzrakstīt garāku sacerējumu / kursa darbu."/>
    <s v="Viegli saprotu televīzijas pārraides vai Youtube video par saviem hobijiem / darbības sfēru."/>
    <s v="Spēju izlasīt garus tekstus par vēstures, politikas un zinātnes tēmām."/>
    <m/>
    <m/>
    <m/>
    <m/>
    <m/>
    <m/>
    <m/>
    <m/>
    <m/>
    <m/>
    <m/>
    <m/>
    <m/>
    <m/>
    <m/>
    <m/>
    <m/>
    <s v="N/A"/>
    <s v="N/A"/>
    <s v="N/A"/>
    <s v="N/A"/>
    <s v="N/A"/>
    <s v="N/A"/>
    <m/>
    <m/>
    <m/>
    <m/>
    <m/>
    <s v="Nē"/>
    <s v="Nē"/>
    <s v="Nē"/>
    <s v="Nē"/>
    <s v="Nē"/>
    <s v="Nē"/>
    <s v="Nē"/>
    <s v="Nē"/>
    <s v="Nē"/>
    <s v="Nē"/>
    <s v="Jā"/>
    <s v="Nē"/>
    <s v="Nē"/>
    <s v="Jā"/>
    <s v="Nē"/>
    <s v="Nē"/>
    <m/>
    <s v="Nē"/>
    <m/>
    <s v="Nē"/>
    <m/>
    <s v="Nē"/>
    <m/>
    <s v="Nē"/>
    <m/>
    <s v="Nē"/>
    <s v="Nē"/>
    <s v="Nē"/>
    <s v="Nē"/>
    <s v="Nē"/>
    <s v="Nē"/>
    <s v="Nē"/>
    <s v="Nē"/>
    <s v="Nē"/>
    <s v="Nē"/>
    <s v="Nē"/>
    <s v="Nē"/>
    <s v="Nē"/>
    <s v="Nē"/>
    <s v="Nē"/>
    <s v="Nē"/>
    <s v="Nē"/>
    <s v="Nē"/>
    <s v="Jā"/>
    <m/>
    <s v="Nē"/>
    <m/>
    <s v="Nē"/>
    <m/>
    <s v="Nē"/>
    <m/>
    <s v="Nē"/>
    <m/>
    <s v="Jā"/>
    <s v="Jā"/>
    <s v="Nē"/>
    <s v="Nē"/>
    <s v="Jā"/>
    <s v="Jā"/>
    <s v="Nē"/>
    <s v="Jā"/>
    <s v="Jā"/>
    <s v="Nē"/>
    <s v="Nē"/>
    <s v="Nē"/>
    <s v="Jā"/>
    <s v="Nē"/>
    <m/>
    <m/>
    <m/>
    <m/>
    <m/>
    <m/>
  </r>
  <r>
    <x v="2"/>
    <n v="291"/>
    <s v="2023-09-21 12:26:54"/>
    <n v="14"/>
    <s v="ru"/>
    <n v="28104031"/>
    <s v="2023-09-21 12:01:53"/>
    <s v="2023-09-21 12:26:54"/>
    <s v="кролик"/>
    <n v="17"/>
    <s v="vīriešu"/>
    <m/>
    <x v="1"/>
    <x v="0"/>
    <x v="0"/>
    <x v="0"/>
    <x v="0"/>
    <x v="0"/>
    <s v="Latgalē"/>
    <m/>
    <s v="katoli(ieti)"/>
    <m/>
    <s v="Jā"/>
    <s v="Jā"/>
    <s v="Jā"/>
    <s v="Nē"/>
    <s v="Nē"/>
    <s v="Nē"/>
    <s v="Nē"/>
    <s v="Jā"/>
    <s v="Nē"/>
    <s v="Nē"/>
    <s v="Nē"/>
    <s v="Nē"/>
    <s v="Nē"/>
    <s v="Nē"/>
    <s v="N/A"/>
    <s v="N/A"/>
    <s v="N/A"/>
    <s v="N/A"/>
    <s v="N/A"/>
    <s v="N/A"/>
    <s v="Jā"/>
    <s v="Jā"/>
    <s v="Jā"/>
    <s v="Jā"/>
    <s v="Jā"/>
    <s v="Jā"/>
    <s v="Jā"/>
    <s v="Nē"/>
    <s v="nezinu"/>
    <s v="tikai a"/>
    <s v="tikai a"/>
    <s v="a un b"/>
    <s v="tikai b"/>
    <s v="a un b"/>
    <s v="Vienlīdzīgi"/>
    <s v="Nevienlīdzīgi"/>
    <s v="Vienlīdzīgi"/>
    <s v="Vienlīdzīgi"/>
    <s v="Vienlīdzīgi"/>
    <s v="Politiskā partija &quot;Stabilitātei&quot;"/>
    <s v="&quot;Progresīvie&quot;"/>
    <s v="Zaļo un Zemnieku savienība"/>
    <s v="Zaļo un Zemnieku savienība"/>
    <s v="Zaļo un Zemnieku savienība"/>
    <s v="Zaļo un Zemnieku savienība"/>
    <s v="Zaļo un Zemnieku savienība"/>
    <s v="Cīņai ar klimata pārmaiņām būtu jābūt vairumam pasaules valstu galvenajai prioritātei."/>
    <s v="jā, daļu no tā, ko iespējams šķirot"/>
    <s v="Politiskā partija &quot;Stabilitātei&quot;"/>
    <s v="&quot;Latvija pirmajā vietā&quot;"/>
    <s v="Zaļo un Zemnieku savienība"/>
    <s v="Zaļo un Zemnieku savienība"/>
    <s v="&quot;Latvija pirmajā vietā&quot;"/>
    <s v="Zaļo un Zemnieku savienība"/>
    <s v="&quot;Progresīvie&quot;"/>
    <s v="nezinu"/>
    <s v="nezinu"/>
    <s v="nezinu"/>
    <s v="nezinu"/>
    <s v="nezinu"/>
    <s v="nezinu"/>
    <s v="nezinu"/>
    <s v="Ļoti"/>
    <s v="Neinteresē"/>
    <s v="Ļoti"/>
    <s v="Viduvēji"/>
    <s v="НЕ ЗНАЮ"/>
    <s v="Nē"/>
    <s v="Jā"/>
    <s v="Jā"/>
    <s v="Nē"/>
    <s v="Nē"/>
    <s v="Nē"/>
    <s v="1.."/>
    <n v="1"/>
    <n v="70"/>
    <n v="100"/>
    <n v="70"/>
    <s v="Nav saspīlētas"/>
    <s v="Nav saspīlētas"/>
    <s v="Nav saspīlētas"/>
    <s v="Reti"/>
    <s v="Dažreiz"/>
    <s v="Dažreiz"/>
    <s v="(Gandrīz) nekad"/>
    <s v="(Gandrīz) nekad"/>
    <s v="(Gandrīz) nekad"/>
    <s v="Bieži"/>
    <s v="(Gandrīz) nekad"/>
    <s v="(Gandrīz) nekad"/>
    <s v="Bieži"/>
    <s v="я использую русский язык чаще всего так как мне так легче контактировать с людьми и в моём городе больше всего русско говорящих людей временами приходиться переходить на государственный  язык"/>
    <s v="nē"/>
    <s v="N/A"/>
    <s v="N/A"/>
    <s v="N/A"/>
    <s v="N/A"/>
    <s v="Jā"/>
    <s v="Nē"/>
    <s v="Nē"/>
    <s v="Nē"/>
    <s v="Nē"/>
    <s v="Jā"/>
    <s v="Nē"/>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pilsoniskās brīvības (vārda brīvība, tiesības uz tiesisko aizsardzību)"/>
    <s v="varas līdzsvars starp parlamentu, prezidentu un tiesām, lai neviena no institūcijām nespētu sevī koncentrēt lielāko daļu varas"/>
    <s v="vienlīdzīgas tiesības minoritātēm un ievainojamām sabiedrības grupām"/>
    <m/>
    <m/>
    <s v="citreiz labi, citreiz slikti"/>
    <s v="citreiz labi, citreiz slikti"/>
    <s v="slikti"/>
    <s v="labi"/>
    <s v="labi"/>
    <s v="Arodskolu / profesionālo izglītību"/>
    <m/>
    <s v="N/A"/>
    <s v="N/A"/>
    <s v="N/A"/>
    <s v="Jā"/>
    <s v="vienlīdz latviešu un krievu"/>
    <m/>
    <s v="vienlīdz latviešu un krievu"/>
    <m/>
    <m/>
    <m/>
    <m/>
    <m/>
    <m/>
    <m/>
    <m/>
    <m/>
    <m/>
    <m/>
    <m/>
    <m/>
    <m/>
    <m/>
    <m/>
    <m/>
    <m/>
    <m/>
    <m/>
    <m/>
    <m/>
    <s v="N/A"/>
    <s v="N/A"/>
    <s v="N/A"/>
    <s v="N/A"/>
    <s v="N/A"/>
    <s v="N/A"/>
    <m/>
    <m/>
    <m/>
    <m/>
    <m/>
    <s v="Nē"/>
    <s v="Nē"/>
    <s v="Nē"/>
    <s v="Nē"/>
    <s v="Nē"/>
    <s v="Nē"/>
    <s v="Jā"/>
    <s v="Nē"/>
    <s v="Nē"/>
    <s v="Jā"/>
    <s v="Jā"/>
    <s v="Nē"/>
    <s v="Nē"/>
    <s v="Nē"/>
    <s v="Jā"/>
    <s v="Nē"/>
    <m/>
    <s v="Nē"/>
    <m/>
    <s v="Nē"/>
    <m/>
    <s v="Nē"/>
    <m/>
    <s v="Nē"/>
    <m/>
    <s v="Nē"/>
    <s v="Nē"/>
    <s v="Nē"/>
    <s v="Nē"/>
    <s v="Nē"/>
    <s v="Nē"/>
    <s v="Nē"/>
    <s v="Nē"/>
    <s v="Nē"/>
    <s v="Nē"/>
    <s v="Nē"/>
    <s v="Nē"/>
    <s v="Nē"/>
    <s v="Jā"/>
    <s v="Nē"/>
    <s v="Nē"/>
    <s v="Nē"/>
    <s v="Jā"/>
    <s v="Nē"/>
    <m/>
    <s v="Nē"/>
    <m/>
    <s v="Nē"/>
    <m/>
    <s v="Jā"/>
    <s v="gorod.lv"/>
    <s v="Nē"/>
    <m/>
    <s v="Jā"/>
    <s v="Jā"/>
    <s v="Nē"/>
    <s v="Nē"/>
    <s v="Jā"/>
    <s v="Jā"/>
    <s v="Nē"/>
    <s v="Jā"/>
    <s v="Nē"/>
    <s v="Nē"/>
    <s v="Nē"/>
    <s v="Nē"/>
    <s v="Jā"/>
    <s v="Nē"/>
    <m/>
    <m/>
    <m/>
    <m/>
    <m/>
    <m/>
  </r>
  <r>
    <x v="2"/>
    <n v="292"/>
    <s v="2023-09-21 12:26:12"/>
    <n v="14"/>
    <s v="ru"/>
    <n v="38958792"/>
    <s v="2023-09-21 12:01:57"/>
    <s v="2023-09-21 12:26:12"/>
    <s v="кролик"/>
    <n v="17"/>
    <s v="vīriešu"/>
    <m/>
    <x v="1"/>
    <x v="0"/>
    <x v="0"/>
    <x v="0"/>
    <x v="0"/>
    <x v="0"/>
    <s v="Latgalē"/>
    <m/>
    <s v="pareizticīgo"/>
    <m/>
    <s v="Jā"/>
    <s v="Nē"/>
    <s v="Nē"/>
    <s v="Nē"/>
    <s v="Jā"/>
    <s v="Nē"/>
    <s v="Nē"/>
    <s v="Jā"/>
    <s v="Jā"/>
    <s v="Nē"/>
    <s v="Nē"/>
    <s v="Jā"/>
    <s v="Nē"/>
    <s v="Nē"/>
    <s v="Nē"/>
    <s v="Jā"/>
    <s v="Jā"/>
    <s v="Nē"/>
    <s v="Jā"/>
    <s v="Jā"/>
    <s v="Nē"/>
    <s v="Jā"/>
    <s v="Jā"/>
    <s v="Jā"/>
    <s v="Jā"/>
    <s v="Jā"/>
    <s v="Jā"/>
    <s v="Nē"/>
    <s v="tikai b"/>
    <s v="tikai b"/>
    <s v="ne a, ne b"/>
    <s v="tikai a"/>
    <s v="tikai a"/>
    <s v="nezinu"/>
    <s v="Vienlīdzīgi"/>
    <s v="Nevienlīdzīgi"/>
    <s v="Vienlīdzīgi"/>
    <s v="Vienlīdzīgi"/>
    <s v="Lielākoties vienlīdzīgi"/>
    <s v="nezinu"/>
    <s v="nezinu"/>
    <s v="nezinu"/>
    <s v="nezinu"/>
    <s v="nezinu"/>
    <s v="nezinu"/>
    <s v="Zaļo un Zemnieku savienība"/>
    <s v="Cīņai ar klimata pārmaiņām būtu jābūt vairumam pasaules valstu galvenajai prioritātei."/>
    <s v="jā, lielāko daļu no tā, ko iespējams šķirot"/>
    <s v="Jaunā Vienotība"/>
    <s v="Zaļo un Zemnieku savienība"/>
    <s v="Nacionālā Apvienība"/>
    <s v="Politiskā partija &quot;Stabilitātei&quot;"/>
    <s v="&quot;Progresīvie&quot;"/>
    <s v="&quot;Apvienotais saraksts&quot;"/>
    <s v="&quot;Latvija pirmajā vietā&quot;"/>
    <s v="nezinu"/>
    <s v="nezinu"/>
    <s v="nezinu"/>
    <s v="nezinu"/>
    <s v="nezinu"/>
    <s v="nezinu"/>
    <s v="nezinu"/>
    <s v="Ārkārtīgi"/>
    <s v="Neinteresē"/>
    <s v="Viduvēji"/>
    <s v="Neinteresē"/>
    <s v="не знаю"/>
    <s v="Nē"/>
    <s v="Nē"/>
    <s v="Nē"/>
    <s v="Nē"/>
    <s v="Jā"/>
    <s v="Nē"/>
    <s v="1.."/>
    <n v="1"/>
    <n v="77"/>
    <n v="100"/>
    <n v="77"/>
    <s v="Nav saspīlētas"/>
    <s v="Nav saspīlētas"/>
    <s v="Nav saspīlētas"/>
    <s v="(Gandrīz) nekad"/>
    <s v="Bieži"/>
    <s v="(Gandrīz) nekad"/>
    <s v="(Gandrīz) nekad"/>
    <s v="Bieži"/>
    <s v="(Gandrīz) nekad"/>
    <s v="(Gandrīz) nekad"/>
    <s v="(Gandrīz) nekad"/>
    <s v="(Gandrīz) nekad"/>
    <s v="(Gandrīz) nekad"/>
    <s v="не знаю"/>
    <s v="nē"/>
    <s v="N/A"/>
    <s v="N/A"/>
    <s v="N/A"/>
    <s v="N/A"/>
    <s v="N/A"/>
    <s v="N/A"/>
    <s v="N/A"/>
    <s v="Jā"/>
    <s v="Nē"/>
    <s v="Jā"/>
    <s v="Nē"/>
    <s v="Nē"/>
    <s v="(gandrīz) nekad"/>
    <s v="(gandrīz) nekad"/>
    <s v="(gandrīz) nekad"/>
    <s v="(gandrīz) nekad"/>
    <s v="(gandrīz) nekad"/>
    <s v="(gandrīz) nekad"/>
    <s v="(gandrīz) nekad"/>
    <s v="(gandrīz) katru dienu"/>
    <s v="(gandrīz) katru dienu"/>
    <s v="(gandrīz) katru dienu"/>
    <s v="(gandrīz) katru dienu"/>
    <s v="(gandrīz) katru dienu"/>
    <s v="(gandrīz) katru dienu"/>
    <s v="(gandrīz) katru dienu"/>
    <s v="vienlīdz pieejama izglītība, veselības aprūpe, sociālais nodrošinājums"/>
    <s v="varas līdzsvars starp parlamentu, prezidentu un tiesām, lai neviena no institūcijām nespētu sevī koncentrēt lielāko daļu varas"/>
    <s v="vienlīdzīgas tiesības minoritātēm un ievainojamām sabiedrības grupām"/>
    <m/>
    <m/>
    <s v="citreiz labi, citreiz slikti"/>
    <s v="citreiz labi, citreiz slikti"/>
    <s v="slikti"/>
    <s v="citreiz labi, citreiz slikti"/>
    <s v="slikti"/>
    <s v="pamatizglītību"/>
    <m/>
    <s v="Jā"/>
    <s v="Nē"/>
    <s v="Nē"/>
    <s v="Nē"/>
    <s v="vienlīdz latviešu un krievu"/>
    <m/>
    <s v="kriev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Nē"/>
    <s v="Nē"/>
    <s v="Nē"/>
    <s v="Nē"/>
    <s v="Nē"/>
    <s v="Jā"/>
    <s v="Nē"/>
    <m/>
    <m/>
    <m/>
    <m/>
    <m/>
    <m/>
  </r>
  <r>
    <x v="2"/>
    <n v="293"/>
    <s v="2023-09-21 12:28:09"/>
    <n v="14"/>
    <s v="ru"/>
    <n v="223488235"/>
    <s v="2023-09-21 12:04:05"/>
    <s v="2023-09-21 12:28:09"/>
    <s v="кролик"/>
    <n v="17"/>
    <s v="vīriešu"/>
    <m/>
    <x v="0"/>
    <x v="0"/>
    <x v="0"/>
    <x v="0"/>
    <x v="0"/>
    <x v="0"/>
    <s v="Latgalē"/>
    <m/>
    <s v="katoli(ieti)"/>
    <m/>
    <s v="N/A"/>
    <s v="N/A"/>
    <s v="N/A"/>
    <s v="N/A"/>
    <s v="N/A"/>
    <s v="N/A"/>
    <s v="Jā"/>
    <s v="Nē"/>
    <s v="Nē"/>
    <s v="Nē"/>
    <s v="Jā"/>
    <s v="Nē"/>
    <s v="Nē"/>
    <s v="Nē"/>
    <s v="N/A"/>
    <s v="N/A"/>
    <s v="N/A"/>
    <s v="N/A"/>
    <s v="N/A"/>
    <s v="N/A"/>
    <s v="Jā"/>
    <s v="Nē"/>
    <s v="Nē"/>
    <s v="Jā"/>
    <s v="Nē"/>
    <s v="Nē"/>
    <s v="Nē"/>
    <s v="Nē"/>
    <s v="nezinu"/>
    <s v="tikai a"/>
    <s v="nezinu"/>
    <s v="ne a, ne b"/>
    <s v="tikai b"/>
    <s v="ne a, ne b"/>
    <s v="Vienlīdzīgi"/>
    <s v="Lielākoties vienlīdzīgi"/>
    <s v="Vienlīdzīgi"/>
    <s v="Nezinu"/>
    <s v="Nezinu"/>
    <s v="nezinu"/>
    <s v="nezinu"/>
    <s v="nezinu"/>
    <s v="nezinu"/>
    <s v="nezinu"/>
    <s v="nezinu"/>
    <s v="nezinu"/>
    <s v="Klimata pārmaiņām nav nekādu pārliecinošu pierādījumu."/>
    <s v="jā, lielāko daļu no tā, ko iespējams šķirot"/>
    <s v="nezinu"/>
    <s v="nezinu"/>
    <s v="nezinu"/>
    <s v="nezinu"/>
    <s v="nezinu"/>
    <s v="nezinu"/>
    <s v="nezinu"/>
    <s v="nezinu"/>
    <s v="nezinu"/>
    <s v="nezinu"/>
    <s v="nezinu"/>
    <s v="nezinu"/>
    <s v="nezinu"/>
    <s v="nezinu"/>
    <s v="Viduvēji"/>
    <s v="Neinteresē"/>
    <s v="Ne sevišķi"/>
    <s v="Viduvēji"/>
    <s v="не знаю"/>
    <s v="Nē"/>
    <s v="Nē"/>
    <s v="Nē"/>
    <s v="Nē"/>
    <s v="Jā"/>
    <s v="Nē"/>
    <s v="1.."/>
    <n v="100"/>
    <n v="35"/>
    <n v="77"/>
    <n v="77"/>
    <s v="Mazliet saspīlētas"/>
    <s v="Nav saspīlētas"/>
    <s v="Nav saspīlētas"/>
    <s v="(Gandrīz) nekad"/>
    <s v="Bieži"/>
    <s v="(Gandrīz) nekad"/>
    <s v="(Gandrīz) nekad"/>
    <s v="(Gandrīz) nekad"/>
    <s v="(Gandrīz) nekad"/>
    <s v="(Gandrīz) nekad"/>
    <s v="(Gandrīz) nekad"/>
    <s v="(Gandrīz) nekad"/>
    <s v="(Gandrīz) nekad"/>
    <s v="Русский"/>
    <s v="nē"/>
    <s v="N/A"/>
    <s v="N/A"/>
    <s v="N/A"/>
    <s v="N/A"/>
    <s v="N/A"/>
    <s v="N/A"/>
    <s v="N/A"/>
    <s v="Jā"/>
    <s v="N/A"/>
    <s v="N/A"/>
    <s v="N/A"/>
    <s v="Jā"/>
    <s v="(gandrīz) nekad"/>
    <s v="(gandrīz) nekad"/>
    <s v="pāris reižu nedēļā"/>
    <s v="(gandrīz) nekad"/>
    <s v="(gandrīz) nekad"/>
    <s v="(gandrīz) nekad"/>
    <s v="(gandrīz) nekad"/>
    <s v="(gandrīz) katru dienu"/>
    <s v="(gandrīz) katru dienu"/>
    <s v="(gandrīz) katru dienu"/>
    <s v="(gandrīz) katru dienu"/>
    <s v="(gandrīz) katru dienu"/>
    <s v="(gandrīz) katru dienu"/>
    <s v="(gandrīz) katru dienu"/>
    <s v="vienlīdz pieejama izglītība, veselības aprūpe, sociālais nodrošinājums"/>
    <s v="vienlīdzīgas tiesības minoritātēm un ievainojamām sabiedrības grupām"/>
    <s v="varas līdzsvars starp parlamentu, prezidentu un tiesām, lai neviena no institūcijām nespētu sevī koncentrēt lielāko daļu varas"/>
    <m/>
    <m/>
    <s v="nezinu"/>
    <s v="citreiz labi, citreiz slikti"/>
    <s v="labi"/>
    <s v="citreiz labi, citreiz slikti"/>
    <s v="labi"/>
    <s v="pamatizglītību"/>
    <m/>
    <s v="Nē"/>
    <s v="Jā"/>
    <s v="Nē"/>
    <s v="Nē"/>
    <s v="krievu"/>
    <m/>
    <s v="latviešu"/>
    <m/>
    <s v="Spēju veikt pasūtījumu restorānā."/>
    <s v="Spēju uzrakstīt vēstuli draugam."/>
    <s v="Saprotu norādes, kur iet."/>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m/>
    <m/>
    <m/>
    <m/>
    <m/>
  </r>
  <r>
    <x v="2"/>
    <n v="294"/>
    <s v="2023-09-21 12:25:00"/>
    <n v="14"/>
    <s v="ru"/>
    <n v="984767399"/>
    <s v="2023-09-21 12:04:27"/>
    <s v="2023-09-21 12:25:00"/>
    <s v="кролик"/>
    <n v="18"/>
    <s v="vīriešu"/>
    <m/>
    <x v="0"/>
    <x v="0"/>
    <x v="0"/>
    <x v="1"/>
    <x v="0"/>
    <x v="0"/>
    <s v="Latgalē"/>
    <m/>
    <s v="pareizticīgo"/>
    <m/>
    <s v="Jā"/>
    <s v="Jā"/>
    <s v="Nē"/>
    <s v="Nē"/>
    <s v="Nē"/>
    <s v="Nē"/>
    <s v="Nē"/>
    <s v="Nē"/>
    <s v="Nē"/>
    <s v="Nē"/>
    <s v="Nē"/>
    <s v="Jā"/>
    <s v="Jā"/>
    <s v="Nē"/>
    <s v="Nē"/>
    <s v="Nē"/>
    <s v="Nē"/>
    <s v="Jā"/>
    <s v="Nē"/>
    <s v="Nē"/>
    <s v="Nē"/>
    <s v="Nē"/>
    <s v="Jā"/>
    <s v="Jā"/>
    <s v="Jā"/>
    <s v="Nē"/>
    <s v="Nē"/>
    <s v="Nē"/>
    <s v="tikai b"/>
    <s v="a un b"/>
    <s v="tikai b"/>
    <s v="ne a, ne b"/>
    <s v="tikai b"/>
    <s v="tikai b"/>
    <s v="Nevienlīdzīgi"/>
    <s v="Lielākoties vienlīdzīgi"/>
    <s v="Vienlīdzīgi"/>
    <s v="Vienlīdzīgi"/>
    <s v="Ne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Ļoti"/>
    <s v="Neinteresē"/>
    <s v="Viduvēji"/>
    <s v="Neinteresē"/>
    <s v="ничего"/>
    <s v="Nē"/>
    <s v="Jā"/>
    <s v="Nē"/>
    <s v="Nē"/>
    <s v="Jā"/>
    <s v="Nē"/>
    <s v="1.."/>
    <n v="90"/>
    <n v="1"/>
    <n v="100"/>
    <n v="100"/>
    <s v="Drīzāk saspīlētas"/>
    <s v="Drīzāk saspīlētas"/>
    <s v="Es nezinu"/>
    <s v="(Gandrīz) nekad"/>
    <s v="(Gandrīz) nekad"/>
    <s v="(Gandrīz) nekad"/>
    <s v="(Gandrīz) nekad"/>
    <s v="(Gandrīz) nekad"/>
    <s v="Bieži"/>
    <s v="Dažreiz"/>
    <s v="(Gandrīz) nekad"/>
    <s v="Reti"/>
    <s v="(Gandrīz) nekad"/>
    <s v="что?"/>
    <s v="nē"/>
    <s v="N/A"/>
    <s v="N/A"/>
    <s v="N/A"/>
    <s v="N/A"/>
    <s v="N/A"/>
    <s v="N/A"/>
    <s v="N/A"/>
    <s v="Jā"/>
    <s v="Nē"/>
    <s v="Jā"/>
    <s v="Nē"/>
    <s v="Nē"/>
    <s v="(gandrīz) nekad"/>
    <s v="pāris reižu nedēļā"/>
    <s v="(gandrīz) nekad"/>
    <s v="(gandrīz) nekad"/>
    <s v="(gandrīz) nekad"/>
    <s v="(gandrīz) nekad"/>
    <s v="(gandrīz) nekad"/>
    <s v="(gandrīz) katru dienu"/>
    <s v="(gandrīz) katru dienu"/>
    <s v="(gandrīz) katru dienu"/>
    <s v="(gandrīz) katru dienu"/>
    <s v="(gandrīz) katru dienu"/>
    <s v="(gandrīz) katru dienu"/>
    <s v="(gandrīz) katru dienu"/>
    <s v="vienlīdzīgas tiesības minoritātēm un ievainojamām sabiedrības grupām"/>
    <s v="vienlīdz pieejama izglītība, veselības aprūpe, sociālais nodrošinājums"/>
    <s v="pilsoniskās brīvības (vārda brīvība, tiesības uz tiesisko aizsardzību)"/>
    <m/>
    <m/>
    <s v="slikti"/>
    <s v="Knapi / gandrīz necik"/>
    <s v="citreiz labi, citreiz slikti"/>
    <s v="ļoti labi"/>
    <s v="slikti"/>
    <s v="pamatizglītību"/>
    <m/>
    <s v="Nē"/>
    <s v="Jā"/>
    <s v="Nē"/>
    <s v="Nē"/>
    <s v="krievu"/>
    <m/>
    <s v="krievu"/>
    <m/>
    <s v="Spēju pastāstīt par savu hobiju / darbu."/>
    <s v="Spēju uzrakstīt garāku sacerējumu / kursa darbu."/>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Jā"/>
    <s v="Nē"/>
    <s v="Nē"/>
    <s v="Nē"/>
    <s v="Nē"/>
    <s v="Nē"/>
    <m/>
    <s v="Nē"/>
    <m/>
    <s v="Nē"/>
    <m/>
    <s v="Nē"/>
    <m/>
    <s v="Nē"/>
    <m/>
    <s v="Nē"/>
    <s v="Nē"/>
    <s v="Nē"/>
    <s v="Nē"/>
    <s v="Nē"/>
    <s v="Nē"/>
    <s v="Nē"/>
    <s v="Nē"/>
    <s v="Nē"/>
    <s v="Nē"/>
    <s v="Nē"/>
    <s v="Nē"/>
    <s v="Nē"/>
    <s v="Nē"/>
    <s v="Nē"/>
    <s v="Nē"/>
    <s v="Nē"/>
    <s v="Nē"/>
    <s v="Jā"/>
    <m/>
    <s v="Nē"/>
    <m/>
    <s v="Nē"/>
    <m/>
    <s v="Nē"/>
    <m/>
    <s v="Nē"/>
    <m/>
    <s v="Jā"/>
    <s v="Jā"/>
    <s v="Nē"/>
    <s v="Jā"/>
    <s v="Jā"/>
    <s v="Jā"/>
    <s v="Nē"/>
    <s v="Jā"/>
    <s v="Jā"/>
    <s v="Nē"/>
    <s v="Nē"/>
    <s v="Nē"/>
    <s v="Jā"/>
    <s v="Nē"/>
    <m/>
    <s v="Выберите меня следующим президентом!!!"/>
    <m/>
    <m/>
    <m/>
    <m/>
  </r>
  <r>
    <x v="2"/>
    <n v="296"/>
    <s v="2023-09-21 14:15:55"/>
    <n v="14"/>
    <s v="lv"/>
    <n v="1615935593"/>
    <s v="2023-09-21 13:53:40"/>
    <s v="2023-09-21 14:15:55"/>
    <s v="burts"/>
    <n v="16"/>
    <s v="vīriešu"/>
    <m/>
    <x v="1"/>
    <x v="1"/>
    <x v="0"/>
    <x v="0"/>
    <x v="0"/>
    <x v="0"/>
    <s v="Latgalē"/>
    <m/>
    <s v="katoli(ieti)"/>
    <m/>
    <s v="Jā"/>
    <s v="Jā"/>
    <s v="Nē"/>
    <s v="Nē"/>
    <s v="Nē"/>
    <s v="Nē"/>
    <s v="Nē"/>
    <s v="Nē"/>
    <s v="Jā"/>
    <s v="Nē"/>
    <s v="Jā"/>
    <s v="Nē"/>
    <s v="Jā"/>
    <s v="Nē"/>
    <s v="Jā"/>
    <s v="Nē"/>
    <s v="Jā"/>
    <s v="Nē"/>
    <s v="Nē"/>
    <s v="Jā"/>
    <s v="Nē"/>
    <s v="Jā"/>
    <s v="Jā"/>
    <s v="Jā"/>
    <s v="Jā"/>
    <s v="Jā"/>
    <s v="Jā"/>
    <s v="Nē"/>
    <s v="tikai b"/>
    <s v="tikai a"/>
    <s v="tikai b"/>
    <s v="a un b"/>
    <s v="tikai a"/>
    <s v="tikai a"/>
    <s v="Lielākoties vienlīdzīgi"/>
    <s v="Nevienlīdzīgi"/>
    <s v="Vienlīdzīgi"/>
    <s v="Lielākoties vienlīdzīgi"/>
    <s v="Vienlīdzīgi"/>
    <s v="&quot;Apvienotais saraksts&quot;"/>
    <s v="Jaunā Vienotība"/>
    <s v="Zaļo un Zemnieku savienība"/>
    <s v="&quot;Latvija pirmajā vietā&quot;"/>
    <s v="&quot;Progresīvie&quot;"/>
    <s v="Nacionālā Apvienība"/>
    <s v="Politiskā partija &quot;Stabilitātei&quot;"/>
    <s v="Klimata pārmaiņas – tas ir ciklisks un dabisks process."/>
    <s v="nē"/>
    <s v="Nacionālā Apvienība"/>
    <s v="&quot;Latvija pirmajā vietā&quot;"/>
    <s v="&quot;Progresīvie&quot;"/>
    <s v="Jaunā Vienotība"/>
    <s v="Politiskā partija &quot;Stabilitātei&quot;"/>
    <s v="Zaļo un Zemnieku savienība"/>
    <s v="&quot;Apvienotais saraksts&quot;"/>
    <s v="Jaunā Vienotība"/>
    <s v="&quot;Progresīvie&quot;"/>
    <s v="Nacionālā Apvienība"/>
    <s v="Politiskā partija &quot;Stabilitātei&quot;"/>
    <s v="Zaļo un Zemnieku savienība"/>
    <s v="&quot;Latvija pirmajā vietā&quot;"/>
    <s v="&quot;Apvienotais saraksts&quot;"/>
    <s v="Ne sevišķi"/>
    <s v="Neinteresē"/>
    <s v="Viduvēji"/>
    <s v="Viduvēji"/>
    <s v="nezinu"/>
    <s v="Nē"/>
    <s v="Jā"/>
    <s v="Jā"/>
    <s v="Jā"/>
    <s v="Jā"/>
    <s v="Nē"/>
    <s v="2.."/>
    <n v="15"/>
    <n v="96"/>
    <m/>
    <m/>
    <s v="Es nezinu"/>
    <s v="Drīzāk saspīlētas"/>
    <s v="Nav saspīlētas"/>
    <s v="Nezinu"/>
    <s v="(Gandrīz) nekad"/>
    <s v="(Gandrīz) nekad"/>
    <s v="(Gandrīz) nekad"/>
    <s v="(Gandrīz) nekad"/>
    <m/>
    <m/>
    <m/>
    <m/>
    <m/>
    <m/>
    <s v="nē"/>
    <s v="N/A"/>
    <s v="N/A"/>
    <s v="N/A"/>
    <s v="N/A"/>
    <s v="N/A"/>
    <s v="N/A"/>
    <s v="N/A"/>
    <s v="Jā"/>
    <s v="Nē"/>
    <s v="Nē"/>
    <s v="Jā"/>
    <s v="Nē"/>
    <s v="(gandrīz) katru dienu"/>
    <s v="(gandrīz) katru dienu"/>
    <s v="(gandrīz) katru dienu"/>
    <s v="(gandrīz) katru dienu"/>
    <s v="(gandrīz) katru dienu"/>
    <s v="(gandrīz) katru dienu"/>
    <s v="(gandrīz) katru dienu"/>
    <s v="pāris reižu nedēļā"/>
    <s v="pāris reižu nedēļā"/>
    <s v="pāris reižu nedēļā"/>
    <s v="pāris reižu nedēļā"/>
    <s v="pāris reižu nedēļā"/>
    <s v="pāris reižu nedēļā"/>
    <s v="pāris reižu nedēļā"/>
    <s v="pilsoniskās brīvības (vārda brīvība, tiesības uz tiesisko aizsardzību)"/>
    <s v="vienlīdz pieejama izglītība, veselības aprūpe, sociālais nodrošinājums"/>
    <s v="brīvas vēlēšanas un plurālisms"/>
    <m/>
    <m/>
    <s v="labi"/>
    <s v="labi"/>
    <s v="citreiz labi, citreiz slikti"/>
    <s v="labi"/>
    <s v="citreiz labi, citreiz slikti"/>
    <s v="pamatizglītību"/>
    <m/>
    <s v="N/A"/>
    <s v="N/A"/>
    <s v="N/A"/>
    <s v="Jā"/>
    <s v="latviešu"/>
    <m/>
    <s v="latviešu"/>
    <m/>
    <s v="Spēju ilgstoši sarunāties ar vienaudžiem / piedalīties darba pārrunās."/>
    <s v="{if(is_empty(tongueLAT_SQ001.NAOK), 'latviski','krieviski')} nemāku rakstīt."/>
    <s v="Viegli saprotu radio programmas / podkāstus par saviem hobijiem / darbības sfēru."/>
    <s v="Spēju izlasīt avīzi / īsstāstus."/>
    <m/>
    <m/>
    <m/>
    <m/>
    <m/>
    <m/>
    <m/>
    <m/>
    <m/>
    <m/>
    <m/>
    <m/>
    <m/>
    <m/>
    <m/>
    <m/>
    <m/>
    <s v="N/A"/>
    <s v="N/A"/>
    <s v="N/A"/>
    <s v="N/A"/>
    <s v="N/A"/>
    <s v="N/A"/>
    <m/>
    <m/>
    <m/>
    <m/>
    <m/>
    <s v="Nē"/>
    <s v="Nē"/>
    <s v="Nē"/>
    <s v="Nē"/>
    <s v="Nē"/>
    <s v="Nē"/>
    <s v="Nē"/>
    <s v="Nē"/>
    <s v="Nē"/>
    <s v="Nē"/>
    <s v="Nē"/>
    <s v="Jā"/>
    <s v="Nē"/>
    <s v="Nē"/>
    <s v="Nē"/>
    <s v="Nē"/>
    <m/>
    <s v="Nē"/>
    <m/>
    <s v="Nē"/>
    <m/>
    <s v="Nē"/>
    <m/>
    <s v="Nē"/>
    <m/>
    <s v="Nē"/>
    <s v="Nē"/>
    <s v="Nē"/>
    <s v="Jā"/>
    <s v="Nē"/>
    <s v="Nē"/>
    <s v="Nē"/>
    <s v="Nē"/>
    <s v="Nē"/>
    <s v="Nē"/>
    <s v="Nē"/>
    <s v="Nē"/>
    <s v="Nē"/>
    <s v="Nē"/>
    <s v="Nē"/>
    <s v="Nē"/>
    <s v="Nē"/>
    <s v="Nē"/>
    <s v="Nē"/>
    <m/>
    <s v="Nē"/>
    <m/>
    <s v="Nē"/>
    <m/>
    <s v="Nē"/>
    <m/>
    <s v="Nē"/>
    <m/>
    <s v="Nē"/>
    <s v="Jā"/>
    <s v="Nē"/>
    <s v="Nē"/>
    <s v="Jā"/>
    <s v="Jā"/>
    <s v="Nē"/>
    <s v="Jā"/>
    <s v="Nē"/>
    <s v="Nē"/>
    <s v="Nē"/>
    <s v="Nē"/>
    <s v="Nē"/>
    <s v="Nē"/>
    <m/>
    <s v="Paldies par aptauju!"/>
    <m/>
    <m/>
    <m/>
    <m/>
  </r>
  <r>
    <x v="2"/>
    <n v="297"/>
    <s v="2023-09-21 14:26:40"/>
    <n v="14"/>
    <s v="lv"/>
    <n v="742901271"/>
    <s v="2023-09-21 13:53:47"/>
    <s v="2023-09-21 14:26:40"/>
    <s v="burts"/>
    <n v="17"/>
    <s v="vīriešu"/>
    <m/>
    <x v="1"/>
    <x v="1"/>
    <x v="0"/>
    <x v="0"/>
    <x v="0"/>
    <x v="0"/>
    <s v="Latgalē"/>
    <m/>
    <s v="ateistu(ti), nereliģiozu"/>
    <m/>
    <s v="Jā"/>
    <s v="Nē"/>
    <s v="Nē"/>
    <s v="Nē"/>
    <s v="Nē"/>
    <s v="Jā"/>
    <s v="Nē"/>
    <s v="Jā"/>
    <s v="Nē"/>
    <s v="Jā"/>
    <s v="Nē"/>
    <s v="Jā"/>
    <s v="Nē"/>
    <s v="Nē"/>
    <s v="Nē"/>
    <s v="Nē"/>
    <s v="Nē"/>
    <s v="Jā"/>
    <s v="Nē"/>
    <s v="Jā"/>
    <s v="Nē"/>
    <s v="Nē"/>
    <s v="Nē"/>
    <s v="Nē"/>
    <s v="Jā"/>
    <s v="Jā"/>
    <s v="Nē"/>
    <s v="Nē"/>
    <s v="tikai a"/>
    <s v="a un b"/>
    <s v="a un b"/>
    <s v="tikai b"/>
    <s v="tikai b"/>
    <s v="tikai a"/>
    <s v="Nevienlīdzīgi"/>
    <s v="Lielākoties nevienlīdzīgi"/>
    <s v="Vienlīdzīgi"/>
    <s v="Nevienlīdzīgi"/>
    <s v="Lielākoties vienlīdzīgi"/>
    <s v="Politiskā partija &quot;Stabilitātei&quot;"/>
    <s v="&quot;Progresīvie&quot;"/>
    <s v="Zaļo un Zemnieku savienība"/>
    <s v="&quot;Latvija pirmajā vietā&quot;"/>
    <s v="&quot;Apvienotais saraksts&quot;"/>
    <s v="Jaunā Vienotība"/>
    <s v="Nacionālā Apvienība"/>
    <s v="Cīņai ar klimata pārmaiņām būtu jābūt vairumam pasaules valstu galvenajai prioritātei."/>
    <s v="jā, lielāko daļu no tā, ko iespējams šķirot"/>
    <s v="&quot;Progresīvie&quot;"/>
    <s v="Jaunā Vienotība"/>
    <s v="Politiskā partija &quot;Stabilitātei&quot;"/>
    <s v="&quot;Latvija pirmajā vietā&quot;"/>
    <s v="Nacionālā Apvienība"/>
    <s v="Zaļo un Zemnieku savienība"/>
    <s v="&quot;Apvienotais saraksts&quot;"/>
    <s v="&quot;Apvienotais saraksts&quot;"/>
    <s v="&quot;Progresīvie&quot;"/>
    <s v="Politiskā partija &quot;Stabilitātei&quot;"/>
    <s v="Nacionālā Apvienība"/>
    <s v="Jaunā Vienotība"/>
    <s v="&quot;Latvija pirmajā vietā&quot;"/>
    <s v="Zaļo un Zemnieku savienība"/>
    <s v="Ļoti"/>
    <s v="Ļoti"/>
    <s v="Ļoti"/>
    <s v="Ļoti"/>
    <s v="Franču karalis uz giljetīnas"/>
    <s v="Nē"/>
    <s v="Nē"/>
    <s v="Nē"/>
    <s v="Jā"/>
    <s v="Jā"/>
    <s v="Nē"/>
    <s v="1.."/>
    <n v="60"/>
    <n v="100"/>
    <m/>
    <m/>
    <s v="Mazliet saspīlētas"/>
    <s v="Nav saspīlētas"/>
    <s v="Mazliet saspīlētas"/>
    <s v="(Gandrīz) nekad"/>
    <s v="(Gandrīz) nekad"/>
    <s v="(Gandrīz) nekad"/>
    <s v="(Gandrīz) nekad"/>
    <s v="Dažreiz"/>
    <m/>
    <m/>
    <m/>
    <m/>
    <m/>
    <s v="Bērnībā daugavpilī latviešu valodā runāt ar bērniem bija drīzāk nevēlams."/>
    <s v="nē"/>
    <s v="N/A"/>
    <s v="N/A"/>
    <s v="N/A"/>
    <s v="N/A"/>
    <s v="N/A"/>
    <s v="N/A"/>
    <s v="N/A"/>
    <s v="Jā"/>
    <s v="Jā"/>
    <s v="Jā"/>
    <s v="Jā"/>
    <s v="Nē"/>
    <s v="(gandrīz) katru dienu"/>
    <s v="(gandrīz) katru dienu"/>
    <s v="(gandrīz) katru dienu"/>
    <s v="(gandrīz) katru dienu"/>
    <s v="(gandrīz) katru dienu"/>
    <s v="(gandrīz) nekad"/>
    <s v="(gandrīz) katru dienu"/>
    <s v="(gandrīz) nekad"/>
    <s v="pāris reižu mēnesī"/>
    <s v="(gandrīz) nekad"/>
    <s v="(gandrīz) nekad"/>
    <s v="(gandrīz) nekad"/>
    <s v="(gandrīz) nekad"/>
    <s v="(gandrīz) nekad"/>
    <s v="varas līdzsvars starp parlamentu, prezidentu un tiesām, lai neviena no institūcijām nespētu sevī koncentrēt lielāko daļu varas"/>
    <s v="brīvas vēlēšanas un plurālisms"/>
    <s v="vienlīdz pieejama izglītība, veselības aprūpe, sociālais nodrošinājums"/>
    <m/>
    <m/>
    <s v="labi"/>
    <s v="labi"/>
    <s v="labi"/>
    <s v="citreiz labi, citreiz slikti"/>
    <s v="Knapi / gandrīz necik"/>
    <s v="pamatizglītību"/>
    <m/>
    <s v="N/A"/>
    <s v="N/A"/>
    <s v="N/A"/>
    <s v="Jā"/>
    <s v="latviešu"/>
    <m/>
    <s v="latviešu"/>
    <m/>
    <s v="Spēju ilgstoši sarunāties ar vienaudžiem / piedalīties darba pārrunās."/>
    <s v="{if(is_empty(tongueLAT_SQ001.NAOK), 'latviski','krieviski')} nemāku rakstīt."/>
    <s v="Viegli saprotu radio programmas / podkāstus par saviem hobijiem / darbības sfēru."/>
    <s v="{if(is_empty(tongueLAT_SQ001.NAOK), 'latviski','krieviski')} spēju izlasīt ēdienkarti restorānā."/>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Nē"/>
    <s v="Nē"/>
    <s v="Jā"/>
    <s v="Nē"/>
    <s v="Nē"/>
    <s v="Jā"/>
    <s v="Jā"/>
    <s v="Nē"/>
    <s v="Jā"/>
    <s v="Nē"/>
    <s v="Nē"/>
    <s v="Nē"/>
    <m/>
    <m/>
    <m/>
    <m/>
    <m/>
    <m/>
  </r>
  <r>
    <x v="2"/>
    <n v="299"/>
    <s v="2023-09-21 14:17:34"/>
    <n v="14"/>
    <s v="lv"/>
    <n v="250509507"/>
    <s v="2023-09-21 13:53:53"/>
    <s v="2023-09-21 14:17:34"/>
    <s v="burts"/>
    <n v="17"/>
    <s v="vīriešu"/>
    <m/>
    <x v="1"/>
    <x v="1"/>
    <x v="0"/>
    <x v="0"/>
    <x v="0"/>
    <x v="0"/>
    <s v="Latgalē"/>
    <m/>
    <s v="katoli(ieti)"/>
    <m/>
    <s v="Nē"/>
    <s v="Jā"/>
    <s v="Nē"/>
    <s v="Jā"/>
    <s v="Nē"/>
    <s v="Jā"/>
    <s v="Nē"/>
    <s v="Nē"/>
    <s v="Jā"/>
    <s v="Nē"/>
    <s v="Nē"/>
    <s v="Nē"/>
    <s v="Nē"/>
    <s v="Nē"/>
    <s v="Nē"/>
    <s v="Jā"/>
    <s v="Nē"/>
    <s v="Nē"/>
    <s v="Jā"/>
    <s v="Jā"/>
    <s v="Nē"/>
    <s v="Nē"/>
    <s v="Nē"/>
    <s v="Jā"/>
    <s v="Jā"/>
    <s v="Jā"/>
    <s v="Jā"/>
    <s v="Nē"/>
    <s v="nezinu"/>
    <s v="a un b"/>
    <s v="a un b"/>
    <s v="tikai a"/>
    <s v="tikai b"/>
    <s v="tikai b"/>
    <s v="Lielākoties nevienlīdzīgi"/>
    <s v="Lielākoties nevienlīdzīgi"/>
    <s v="Vienlīdzīgi"/>
    <s v="Vienlīdzīgi"/>
    <s v="Lielākoties vienlīdzīgi"/>
    <s v="&quot;Apvienotais saraksts&quot;"/>
    <s v="Jaunā Vienotība"/>
    <s v="Zaļo un Zemnieku savienība"/>
    <s v="&quot;Latvija pirmajā vietā&quot;"/>
    <s v="&quot;Progresīvie&quot;"/>
    <s v="Nacionālā Apvienība"/>
    <s v="Politiskā partija &quot;Stabilitātei&quot;"/>
    <s v="Reizēm ekonomiskā un valsts stabilitāte varētu nozīmēt, ka atsevišķi ekoloģiskās politikas aspekti ir uz brīdi jāiepauzē."/>
    <s v="jā, daļu no tā, ko iespējams šķirot"/>
    <s v="nezinu"/>
    <s v="nezinu"/>
    <s v="Nacionālā Apvienība"/>
    <s v="&quot;Progresīvie&quot;"/>
    <s v="Politiskā partija &quot;Stabilitātei&quot;"/>
    <s v="Zaļo un Zemnieku savienība"/>
    <s v="&quot;Apvienotais saraksts&quot;"/>
    <s v="Jaunā Vienotība"/>
    <s v="&quot;Progresīvie&quot;"/>
    <s v="Nacionālā Apvienība"/>
    <s v="Politiskā partija &quot;Stabilitātei&quot;"/>
    <s v="Zaļo un Zemnieku savienība"/>
    <s v="&quot;Latvija pirmajā vietā&quot;"/>
    <s v="&quot;Apvienotais saraksts&quot;"/>
    <s v="Ļoti"/>
    <s v="Neinteresē"/>
    <s v="Viduvēji"/>
    <s v="Viduvēji"/>
    <s v="nezinu"/>
    <s v="Nē"/>
    <s v="Nē"/>
    <s v="Jā"/>
    <s v="Jā"/>
    <s v="Jā"/>
    <s v="Jā"/>
    <s v="2.."/>
    <n v="60"/>
    <n v="100"/>
    <m/>
    <m/>
    <s v="Mazliet saspīlētas"/>
    <s v="Drīzāk saspīlētas"/>
    <s v="Es nezinu"/>
    <s v="Nezinu"/>
    <s v="(Gandrīz) nekad"/>
    <s v="(Gandrīz) nekad"/>
    <s v="(Gandrīz) nekad"/>
    <s v="Nezinu"/>
    <m/>
    <m/>
    <m/>
    <m/>
    <m/>
    <m/>
    <s v="nē"/>
    <s v="N/A"/>
    <s v="N/A"/>
    <s v="N/A"/>
    <s v="N/A"/>
    <s v="Nē"/>
    <s v="Jā"/>
    <s v="Jā"/>
    <s v="Nē"/>
    <s v="Jā"/>
    <s v="Jā"/>
    <s v="Jā"/>
    <s v="Nē"/>
    <s v="(gandrīz) katru dienu"/>
    <s v="(gandrīz) katru dienu"/>
    <s v="(gandrīz) nekad"/>
    <s v="(gandrīz) katru dienu"/>
    <s v="(gandrīz) katru dienu"/>
    <s v="(gandrīz) katru dienu"/>
    <s v="(gandrīz) katru dienu"/>
    <s v="(gandrīz) nekad"/>
    <s v="(gandrīz) nekad"/>
    <s v="(gandrīz) nekad"/>
    <s v="(gandrīz) nekad"/>
    <s v="(gandrīz) nekad"/>
    <s v="(gandrīz) nekad"/>
    <s v="pāris reižu mēnesī"/>
    <s v="vienlīdz pieejama izglītība, veselības aprūpe, sociālais nodrošinājums"/>
    <s v="varas līdzsvars starp parlamentu, prezidentu un tiesām, lai neviena no institūcijām nespētu sevī koncentrēt lielāko daļu varas"/>
    <s v="brīvas vēlēšanas un plurālisms"/>
    <m/>
    <m/>
    <s v="citreiz labi, citreiz slikti"/>
    <s v="labi"/>
    <s v="labi"/>
    <s v="citreiz labi, citreiz slikti"/>
    <s v="citreiz labi, citreiz slikti"/>
    <s v="pamatizglītību"/>
    <m/>
    <s v="N/A"/>
    <s v="N/A"/>
    <s v="N/A"/>
    <s v="Jā"/>
    <s v="latviešu"/>
    <m/>
    <s v="latviešu"/>
    <m/>
    <s v="Spēju veikt pasūtījumu restorānā."/>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Jā"/>
    <s v="Jā"/>
    <s v="Nē"/>
    <s v="Jā"/>
    <s v="Nē"/>
    <s v="Nē"/>
    <s v="Jā"/>
    <s v="Nē"/>
    <s v="Nē"/>
    <s v="Jā"/>
    <s v="Nē"/>
    <s v="Nē"/>
    <s v="Nē"/>
    <s v="Nē"/>
    <m/>
    <s v="Nē"/>
    <m/>
    <s v="Nē"/>
    <m/>
    <s v="Nē"/>
    <m/>
    <s v="Nē"/>
    <m/>
    <s v="Nē"/>
    <s v="Nē"/>
    <s v="Nē"/>
    <s v="Jā"/>
    <s v="Nē"/>
    <s v="Nē"/>
    <s v="Nē"/>
    <s v="Nē"/>
    <s v="Nē"/>
    <s v="Jā"/>
    <s v="Nē"/>
    <s v="Nē"/>
    <s v="Jā"/>
    <s v="Nē"/>
    <s v="Nē"/>
    <s v="Nē"/>
    <s v="Nē"/>
    <s v="Jā"/>
    <s v="Nē"/>
    <m/>
    <s v="Nē"/>
    <m/>
    <s v="Nē"/>
    <m/>
    <s v="Nē"/>
    <m/>
    <s v="Nē"/>
    <m/>
    <s v="Jā"/>
    <s v="Jā"/>
    <s v="Jā"/>
    <s v="Nē"/>
    <s v="Jā"/>
    <s v="Jā"/>
    <s v="Nē"/>
    <s v="Jā"/>
    <s v="Jā"/>
    <s v="Jā"/>
    <s v="Nē"/>
    <s v="Nē"/>
    <s v="Jā"/>
    <s v="Nē"/>
    <m/>
    <s v="Paldies! Gara, bet interesanta aptauja!"/>
    <m/>
    <m/>
    <m/>
    <m/>
  </r>
  <r>
    <x v="2"/>
    <n v="300"/>
    <s v="2023-09-21 14:17:55"/>
    <n v="14"/>
    <s v="lv"/>
    <n v="621173503"/>
    <s v="2023-09-21 13:53:56"/>
    <s v="2023-09-21 14:17:55"/>
    <s v="burts"/>
    <n v="16"/>
    <s v="sieviešu"/>
    <m/>
    <x v="1"/>
    <x v="0"/>
    <x v="0"/>
    <x v="0"/>
    <x v="0"/>
    <x v="0"/>
    <s v="Latgalē"/>
    <m/>
    <s v="ateistu(ti), nereliģiozu"/>
    <m/>
    <s v="Jā"/>
    <s v="Nē"/>
    <s v="Nē"/>
    <s v="Nē"/>
    <s v="Nē"/>
    <s v="Nē"/>
    <s v="Nē"/>
    <s v="Nē"/>
    <s v="Nē"/>
    <s v="Nē"/>
    <s v="Nē"/>
    <s v="Nē"/>
    <s v="Jā"/>
    <s v="Nē"/>
    <s v="Nē"/>
    <s v="Nē"/>
    <s v="Nē"/>
    <s v="Jā"/>
    <s v="Nē"/>
    <s v="Jā"/>
    <s v="Nē"/>
    <s v="Nē"/>
    <s v="Nē"/>
    <s v="Jā"/>
    <s v="Jā"/>
    <s v="Jā"/>
    <s v="Nē"/>
    <s v="Nē"/>
    <s v="tikai a"/>
    <s v="tikai b"/>
    <s v="ne a, ne b"/>
    <s v="tikai a"/>
    <s v="a un b"/>
    <s v="tikai a"/>
    <s v="Lielākoties nevienlīdzīgi"/>
    <s v="Lielākoties nevienlīdzīgi"/>
    <s v="Vienlīdzīgi"/>
    <s v="Lielākoties vienlīdzīgi"/>
    <s v="Nevienlīdzīgi"/>
    <s v="nezinu"/>
    <s v="nezinu"/>
    <s v="nezinu"/>
    <s v="nezinu"/>
    <s v="nezinu"/>
    <s v="nezinu"/>
    <s v="nezinu"/>
    <s v="Cīņai ar klimata pārmaiņām būtu jābūt vairumam pasaules valstu galvenajai prioritātei."/>
    <s v="jā, lielāko daļu no tā, ko iespējams šķirot"/>
    <s v="nezinu"/>
    <s v="nezinu"/>
    <s v="nezinu"/>
    <s v="nezinu"/>
    <s v="nezinu"/>
    <s v="nezinu"/>
    <s v="nezinu"/>
    <s v="Jaunā Vienotība"/>
    <s v="nezinu"/>
    <s v="Nacionālā Apvienība"/>
    <s v="nezinu"/>
    <s v="Zaļo un Zemnieku savienība"/>
    <s v="nezinu"/>
    <s v="nezinu"/>
    <s v="Viduvēji"/>
    <s v="Viduvēji"/>
    <s v="Ļoti"/>
    <s v="Ļoti"/>
    <m/>
    <s v="Nē"/>
    <s v="Nē"/>
    <s v="Jā"/>
    <s v="Jā"/>
    <s v="Jā"/>
    <s v="Nē"/>
    <s v="2.."/>
    <n v="21"/>
    <n v="85"/>
    <n v="51"/>
    <n v="1"/>
    <s v="Drīzāk saspīlētas"/>
    <s v="Nav saspīlētas"/>
    <s v="Nav saspīlētas"/>
    <s v="Nezinu"/>
    <s v="Reti"/>
    <s v="(Gandrīz) nekad"/>
    <s v="(Gandrīz) nekad"/>
    <s v="(Gandrīz) nekad"/>
    <s v="Nezinu"/>
    <s v="Reti"/>
    <s v="(Gandrīz) nekad"/>
    <s v="(Gandrīz) nekad"/>
    <s v="(Gandrīz) nekad"/>
    <m/>
    <s v="nē"/>
    <s v="N/A"/>
    <s v="N/A"/>
    <s v="N/A"/>
    <s v="N/A"/>
    <s v="Jā"/>
    <s v="Jā"/>
    <s v="Jā"/>
    <s v="Nē"/>
    <s v="Jā"/>
    <s v="Jā"/>
    <s v="Jā"/>
    <s v="Nē"/>
    <s v="(gandrīz) nekad"/>
    <s v="pāris reižu mēnesī"/>
    <s v="(gandrīz) katru dienu"/>
    <s v="(gandrīz) nekad"/>
    <s v="(gandrīz) nekad"/>
    <s v="(gandrīz) nekad"/>
    <s v="pāris reižu nedēļā"/>
    <s v="(gandrīz) katru dienu"/>
    <s v="(gandrīz) katru dienu"/>
    <s v="(gandrīz) nekad"/>
    <s v="(gandrīz) katru dienu"/>
    <s v="(gandrīz) nekad"/>
    <s v="(gandrīz) katru dienu"/>
    <s v="(gandrīz) katru dienu"/>
    <s v="brīvas vēlēšanas un plurālisms"/>
    <s v="vienlīdz pieejama izglītība, veselības aprūpe, sociālais nodrošinājums"/>
    <s v="vienlīdzīgas tiesības minoritātēm un ievainojamām sabiedrības grupām"/>
    <m/>
    <m/>
    <s v="labi"/>
    <s v="citreiz labi, citreiz slikti"/>
    <s v="labi"/>
    <s v="labi"/>
    <s v="citreiz labi, citreiz slikti"/>
    <s v="pamat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Jā"/>
    <s v="Nē"/>
    <s v="Nē"/>
    <s v="Nē"/>
    <s v="Nē"/>
    <s v="Nē"/>
    <s v="Nē"/>
    <s v="Nē"/>
    <s v="Nē"/>
    <s v="Jā"/>
    <s v="Jā"/>
    <s v="Nē"/>
    <s v="Nē"/>
    <s v="Nē"/>
    <s v="Nē"/>
    <s v="Nē"/>
    <m/>
    <s v="Nē"/>
    <m/>
    <s v="Nē"/>
    <m/>
    <s v="Nē"/>
    <m/>
    <s v="Nē"/>
    <m/>
    <s v="Jā"/>
    <s v="Jā"/>
    <s v="Nē"/>
    <s v="Nē"/>
    <s v="Jā"/>
    <s v="Jā"/>
    <s v="Nē"/>
    <s v="Jā"/>
    <s v="Nē"/>
    <s v="Nē"/>
    <s v="Jā"/>
    <s v="Nē"/>
    <s v="Jā"/>
    <s v="Nē"/>
    <m/>
    <m/>
    <m/>
    <m/>
    <m/>
    <m/>
  </r>
  <r>
    <x v="2"/>
    <n v="301"/>
    <s v="2023-09-21 14:25:12"/>
    <n v="14"/>
    <s v="lv"/>
    <n v="1573076642"/>
    <s v="2023-09-21 13:53:57"/>
    <s v="2023-09-21 14:25:12"/>
    <s v="burts"/>
    <n v="17"/>
    <s v="vīriešu"/>
    <m/>
    <x v="1"/>
    <x v="1"/>
    <x v="0"/>
    <x v="1"/>
    <x v="0"/>
    <x v="0"/>
    <s v="Latgalē"/>
    <m/>
    <s v="ateistu(ti), nereliģiozu"/>
    <m/>
    <s v="Nē"/>
    <s v="Nē"/>
    <s v="Jā"/>
    <s v="Nē"/>
    <s v="Jā"/>
    <s v="Jā"/>
    <s v="Nē"/>
    <s v="Jā"/>
    <s v="Jā"/>
    <s v="Jā"/>
    <s v="Nē"/>
    <s v="Jā"/>
    <s v="Jā"/>
    <s v="Nē"/>
    <s v="Jā"/>
    <s v="Nē"/>
    <s v="Nē"/>
    <s v="Jā"/>
    <s v="Nē"/>
    <s v="Nē"/>
    <s v="Nē"/>
    <s v="Jā"/>
    <s v="Jā"/>
    <s v="Jā"/>
    <s v="Jā"/>
    <s v="Jā"/>
    <s v="Jā"/>
    <s v="Nē"/>
    <s v="a un b"/>
    <s v="tikai b"/>
    <s v="ne a, ne b"/>
    <s v="tikai b"/>
    <s v="tikai a"/>
    <s v="tikai a"/>
    <s v="Lielākoties vienlīdzīgi"/>
    <s v="Lielākoties vienlīdzīgi"/>
    <s v="Vienlīdzīgi"/>
    <s v="Vienlīdzīgi"/>
    <s v="Lielākoties 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Ārkārtīgi"/>
    <s v="Ārkārtīgi"/>
    <s v="Ārkārtīgi"/>
    <s v="Kreisie, liberāļi"/>
    <s v="Nē"/>
    <s v="Nē"/>
    <s v="Nē"/>
    <s v="Jā"/>
    <s v="Jā"/>
    <s v="Jā"/>
    <s v="1.."/>
    <n v="70"/>
    <n v="100"/>
    <m/>
    <m/>
    <s v="Drīzāk saspīlētas"/>
    <s v="Mazliet saspīlētas"/>
    <s v="Ļoti saspīlētas"/>
    <s v="Dažreiz"/>
    <s v="(Gandrīz) nekad"/>
    <s v="(Gandrīz) nekad"/>
    <s v="(Gandrīz) nekad"/>
    <s v="Dažreiz"/>
    <m/>
    <m/>
    <m/>
    <m/>
    <m/>
    <s v="Es ar visiem runāju latviski, dažreiz angliski. Internet tikai angliski un krievu vispārīgi nesaprotu."/>
    <s v="nē"/>
    <s v="N/A"/>
    <s v="N/A"/>
    <s v="N/A"/>
    <s v="N/A"/>
    <s v="N/A"/>
    <s v="N/A"/>
    <s v="N/A"/>
    <s v="Jā"/>
    <s v="Nē"/>
    <s v="Nē"/>
    <s v="Jā"/>
    <s v="Nē"/>
    <s v="(gandrīz) katru dienu"/>
    <s v="(gandrīz) katru dienu"/>
    <s v="(gandrīz) katru dienu"/>
    <s v="(gandrīz) katru dienu"/>
    <s v="(gandrīz) katru dienu"/>
    <s v="(gandrīz) katru dienu"/>
    <s v="(gandrīz) katru dienu"/>
    <s v="(gandrīz) nekad"/>
    <s v="(gandrīz) nekad"/>
    <s v="(gandrīz) nekad"/>
    <s v="(gandrīz) nekad"/>
    <s v="(gandrīz) nekad"/>
    <s v="(gandrīz) nekad"/>
    <s v="(gandrīz) nekad"/>
    <s v="varas līdzsvars starp parlamentu, prezidentu un tiesām, lai neviena no institūcijām nespētu sevī koncentrēt lielāko daļu varas"/>
    <s v="pilsoniskās brīvības (vārda brīvība, tiesības uz tiesisko aizsardzību)"/>
    <s v="vienlīdzīgas tiesības minoritātēm un ievainojamām sabiedrības grupām"/>
    <m/>
    <m/>
    <s v="ļoti labi"/>
    <s v="ļoti labi"/>
    <s v="ļoti labi"/>
    <s v="labi"/>
    <s v="labi"/>
    <s v="pamatizglītību"/>
    <m/>
    <s v="N/A"/>
    <s v="N/A"/>
    <s v="N/A"/>
    <s v="Jā"/>
    <s v="latviešu"/>
    <m/>
    <s v="latviešu"/>
    <m/>
    <s v="{if(is_empty(tongueLAT_SQ001.NAOK), 'latviski','krieviski')} nerunāju it nemaz."/>
    <s v="{if(is_empty(tongueLAT_SQ001.NAOK), 'latviski','krieviski')} nemāku rakstīt."/>
    <s v="{if(is_empty(tongueLAT_SQ001.NAOK), 'latviešu','krievu')} valodu nesaprotu vispār."/>
    <s v="Es neko nespēju izlasīt {if(is_empty(tongueLAT_SQ001.NAOK), 'latviski','krieviski')}."/>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Nē"/>
    <s v="Nē"/>
    <s v="Nē"/>
    <s v="Jā"/>
    <s v="Nē"/>
    <s v="Nē"/>
    <s v="Jā"/>
    <s v="Nē"/>
    <s v="Nē"/>
    <s v="Nē"/>
    <s v="Nē"/>
    <s v="Nē"/>
    <s v="Nē"/>
    <m/>
    <m/>
    <m/>
    <m/>
    <m/>
    <m/>
  </r>
  <r>
    <x v="2"/>
    <n v="303"/>
    <s v="2023-09-21 14:18:50"/>
    <n v="14"/>
    <s v="lv"/>
    <n v="1978448882"/>
    <s v="2023-09-21 13:54:02"/>
    <s v="2023-09-21 14:18:50"/>
    <s v="burts"/>
    <n v="16"/>
    <s v="sieviešu"/>
    <m/>
    <x v="1"/>
    <x v="0"/>
    <x v="1"/>
    <x v="0"/>
    <x v="0"/>
    <x v="0"/>
    <s v="Latgalē"/>
    <m/>
    <s v="katoli(ieti)"/>
    <m/>
    <s v="Nē"/>
    <s v="Nē"/>
    <s v="Jā"/>
    <s v="Nē"/>
    <s v="Nē"/>
    <s v="Nē"/>
    <s v="Nē"/>
    <s v="Nē"/>
    <s v="Nē"/>
    <s v="Jā"/>
    <s v="Nē"/>
    <s v="Nē"/>
    <s v="Nē"/>
    <s v="Nē"/>
    <s v="Nē"/>
    <s v="Nē"/>
    <s v="Nē"/>
    <s v="Nē"/>
    <s v="Jā"/>
    <s v="Nē"/>
    <s v="Nē"/>
    <s v="Jā"/>
    <s v="Nē"/>
    <s v="Nē"/>
    <s v="Nē"/>
    <s v="Nē"/>
    <s v="Nē"/>
    <s v="Nē"/>
    <s v="ne a, ne b"/>
    <s v="tikai b"/>
    <s v="a un b"/>
    <s v="nezinu"/>
    <s v="nezinu"/>
    <s v="ne a, ne b"/>
    <s v="Lielākoties vienlīdzīgi"/>
    <s v="Lielākoties vienlīdzīgi"/>
    <s v="Lielākoties vienlīdzīgi"/>
    <s v="Lielākoties vienlīdzīgi"/>
    <s v="Lielākoties vienlīdzīgi"/>
    <s v="nezinu"/>
    <s v="nezinu"/>
    <s v="nezinu"/>
    <s v="nezinu"/>
    <s v="nezinu"/>
    <s v="nezinu"/>
    <s v="nezinu"/>
    <s v="Cīņai ar klimata pārmaiņām būtu jābūt vairumam pasaules valstu galvenajai prioritātei."/>
    <s v="jā, visu, ko iespējams šķirot"/>
    <s v="Zaļo un Zemnieku savienība"/>
    <s v="nezinu"/>
    <s v="&quot;Latvija pirmajā vietā&quot;"/>
    <s v="&quot;Progresīvie&quot;"/>
    <s v="Politiskā partija &quot;Stabilitātei&quot;"/>
    <s v="Jaunā Vienotība"/>
    <s v="Nacionālā Apvienība"/>
    <s v="Nacionālā Apvienība"/>
    <s v="Jaunā Vienotība"/>
    <s v="Zaļo un Zemnieku savienība"/>
    <s v="&quot;Progresīvie&quot;"/>
    <s v="Politiskā partija &quot;Stabilitātei&quot;"/>
    <s v="&quot;Apvienotais saraksts&quot;"/>
    <s v="&quot;Latvija pirmajā vietā&quot;"/>
    <s v="Ārkārtīgi"/>
    <s v="Neinteresē"/>
    <s v="Ļoti"/>
    <s v="Ļoti"/>
    <s v="nezinu"/>
    <s v="Nē"/>
    <s v="Nē"/>
    <s v="Nē"/>
    <s v="Jā"/>
    <s v="Jā"/>
    <s v="Nē"/>
    <s v="1.."/>
    <n v="60"/>
    <n v="75"/>
    <n v="1"/>
    <n v="51"/>
    <s v="Drīzāk saspīlētas"/>
    <s v="Ļoti saspīlētas"/>
    <s v="Nav saspīlētas"/>
    <s v="(Gandrīz) nekad"/>
    <s v="(Gandrīz) nekad"/>
    <s v="(Gandrīz) nekad"/>
    <s v="(Gandrīz) nekad"/>
    <s v="(Gandrīz) nekad"/>
    <s v="(Gandrīz) nekad"/>
    <s v="(Gandrīz) nekad"/>
    <s v="(Gandrīz) nekad"/>
    <s v="(Gandrīz) nekad"/>
    <s v="(Gandrīz) nekad"/>
    <m/>
    <s v="nē"/>
    <s v="N/A"/>
    <s v="N/A"/>
    <s v="N/A"/>
    <s v="N/A"/>
    <s v="Nē"/>
    <s v="Jā"/>
    <s v="Nē"/>
    <s v="Nē"/>
    <s v="Jā"/>
    <s v="Jā"/>
    <s v="Jā"/>
    <s v="Nē"/>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gandrīz) katru dienu"/>
    <s v="varas līdzsvars starp parlamentu, prezidentu un tiesām, lai neviena no institūcijām nespētu sevī koncentrēt lielāko daļu varas"/>
    <s v="pilsoniskās brīvības (vārda brīvība, tiesības uz tiesisko aizsardzību)"/>
    <s v="vienlīdz pieejama izglītība, veselības aprūpe, sociālais nodrošinājums"/>
    <m/>
    <m/>
    <s v="labi"/>
    <s v="labi"/>
    <s v="citreiz labi, citreiz slikti"/>
    <s v="slikti"/>
    <s v="citreiz labi, citreiz slikti"/>
    <s v="pamatizglītību"/>
    <m/>
    <s v="N/A"/>
    <s v="N/A"/>
    <s v="N/A"/>
    <s v="Jā"/>
    <s v="latviešu"/>
    <m/>
    <s v="latviešu"/>
    <m/>
    <m/>
    <m/>
    <m/>
    <m/>
    <m/>
    <m/>
    <m/>
    <m/>
    <m/>
    <m/>
    <m/>
    <m/>
    <m/>
    <m/>
    <m/>
    <m/>
    <m/>
    <m/>
    <m/>
    <m/>
    <m/>
    <s v="N/A"/>
    <s v="N/A"/>
    <s v="N/A"/>
    <s v="N/A"/>
    <s v="N/A"/>
    <s v="N/A"/>
    <m/>
    <m/>
    <m/>
    <m/>
    <m/>
    <s v="Nē"/>
    <s v="Nē"/>
    <s v="Nē"/>
    <s v="Nē"/>
    <s v="Nē"/>
    <s v="Nē"/>
    <s v="Nē"/>
    <s v="Nē"/>
    <s v="Nē"/>
    <s v="Nē"/>
    <s v="Nē"/>
    <s v="Nē"/>
    <s v="Nē"/>
    <s v="Nē"/>
    <s v="Nē"/>
    <s v="Jā"/>
    <s v="EHR"/>
    <s v="Nē"/>
    <m/>
    <s v="Nē"/>
    <m/>
    <s v="Nē"/>
    <m/>
    <s v="Nē"/>
    <m/>
    <s v="Nē"/>
    <s v="Nē"/>
    <s v="Nē"/>
    <s v="Jā"/>
    <s v="Nē"/>
    <s v="Nē"/>
    <s v="Nē"/>
    <s v="Nē"/>
    <s v="Nē"/>
    <s v="Nē"/>
    <s v="Nē"/>
    <s v="Nē"/>
    <s v="Jā"/>
    <s v="Nē"/>
    <s v="Nē"/>
    <s v="Nē"/>
    <s v="Nē"/>
    <s v="Nē"/>
    <s v="Nē"/>
    <m/>
    <s v="Nē"/>
    <m/>
    <s v="Nē"/>
    <m/>
    <s v="Nē"/>
    <m/>
    <s v="Nē"/>
    <m/>
    <s v="Nē"/>
    <s v="Jā"/>
    <s v="Nē"/>
    <s v="Nē"/>
    <s v="Jā"/>
    <s v="Jā"/>
    <s v="Nē"/>
    <s v="Jā"/>
    <s v="Nē"/>
    <s v="Nē"/>
    <s v="Nē"/>
    <s v="Nē"/>
    <s v="Jā"/>
    <s v="Nē"/>
    <m/>
    <s v="Es nesmu pret, kad uz Latviju atbrauc no citaam valstiim kaa tuuristi vai uz pastaavigu dziivi, bet man nepatiik, kad ssie cilveeki uzspiezz savu viedokli, valodu."/>
    <m/>
    <m/>
    <m/>
    <m/>
  </r>
  <r>
    <x v="2"/>
    <n v="305"/>
    <s v="2023-09-21 14:26:43"/>
    <n v="14"/>
    <s v="lv"/>
    <n v="1513166387"/>
    <s v="2023-09-21 13:54:11"/>
    <s v="2023-09-21 14:26:43"/>
    <s v="burts"/>
    <n v="16"/>
    <s v="vīriešu"/>
    <m/>
    <x v="0"/>
    <x v="0"/>
    <x v="0"/>
    <x v="0"/>
    <x v="0"/>
    <x v="0"/>
    <s v="Latgalē"/>
    <m/>
    <s v="katoli(ieti)"/>
    <m/>
    <s v="Nē"/>
    <s v="Jā"/>
    <s v="Nē"/>
    <s v="Nē"/>
    <s v="Nē"/>
    <s v="Nē"/>
    <s v="Nē"/>
    <s v="Jā"/>
    <s v="Nē"/>
    <s v="Jā"/>
    <s v="Nē"/>
    <s v="Nē"/>
    <s v="Nē"/>
    <s v="Nē"/>
    <s v="Nē"/>
    <s v="Jā"/>
    <s v="Nē"/>
    <s v="Nē"/>
    <s v="Nē"/>
    <s v="Nē"/>
    <s v="Nē"/>
    <s v="Nē"/>
    <s v="Nē"/>
    <s v="Jā"/>
    <s v="Jā"/>
    <s v="Nē"/>
    <s v="Nē"/>
    <s v="Nē"/>
    <s v="nezinu"/>
    <s v="tikai a"/>
    <s v="a un b"/>
    <s v="tikai a"/>
    <s v="tikai b"/>
    <s v="nezinu"/>
    <s v="Lielākoties vienlīdzīgi"/>
    <s v="Lielākoties nevienlīdzīgi"/>
    <s v="Vienlīdzīgi"/>
    <s v="Nevienlīdzīgi"/>
    <s v="Nevienlīdzīgi"/>
    <s v="Nacionālā Apvienība"/>
    <s v="Jaunā Vienotība"/>
    <s v="Politiskā partija &quot;Stabilitātei&quot;"/>
    <s v="&quot;Apvienotais saraksts&quot;"/>
    <s v="Zaļo un Zemnieku savienība"/>
    <s v="nezinu"/>
    <s v="&quot;Progresīvie&quot;"/>
    <s v="Cīņai ar klimata pārmaiņām būtu jābūt vairumam pasaules valstu galvenajai prioritātei."/>
    <s v="jā, daļu no tā, ko iespējams šķirot"/>
    <s v="Zaļo un Zemnieku savienība"/>
    <s v="Jaunā Vienotība"/>
    <s v="&quot;Progresīvie&quot;"/>
    <s v="&quot;Latvija pirmajā vietā&quot;"/>
    <s v="&quot;Apvienotais saraksts&quot;"/>
    <s v="Nacionālā Apvienība"/>
    <s v="Politiskā partija &quot;Stabilitātei&quot;"/>
    <s v="&quot;Apvienotais saraksts&quot;"/>
    <s v="Jaunā Vienotība"/>
    <s v="Nacionālā Apvienība"/>
    <s v="nezinu"/>
    <s v="&quot;Latvija pirmajā vietā&quot;"/>
    <s v="&quot;Progresīvie&quot;"/>
    <s v="nezinu"/>
    <s v="Viduvēji"/>
    <s v="Neinteresē"/>
    <s v="Ārkārtīgi"/>
    <s v="Viduvēji"/>
    <s v="Nezinu"/>
    <s v="Nē"/>
    <s v="Nē"/>
    <s v="Nē"/>
    <s v="Nē"/>
    <s v="Jā"/>
    <s v="Nē"/>
    <s v="2........"/>
    <n v="24"/>
    <n v="81"/>
    <n v="77"/>
    <n v="16"/>
    <s v="Ļoti saspīlētas"/>
    <s v="Nav saspīlētas"/>
    <s v="Nav saspīlētas"/>
    <s v="(Gandrīz) nekad"/>
    <s v="(Gandrīz) nekad"/>
    <s v="(Gandrīz) nekad"/>
    <s v="(Gandrīz) nekad"/>
    <s v="(Gandrīz) nekad"/>
    <s v="(Gandrīz) nekad"/>
    <s v="Reti"/>
    <s v="(Gandrīz) nekad"/>
    <s v="(Gandrīz) nekad"/>
    <s v="(Gandrīz) nekad"/>
    <m/>
    <s v="nē"/>
    <s v="N/A"/>
    <s v="N/A"/>
    <s v="N/A"/>
    <s v="N/A"/>
    <s v="N/A"/>
    <s v="N/A"/>
    <s v="N/A"/>
    <s v="Jā"/>
    <s v="Nē"/>
    <s v="Nē"/>
    <s v="Jā"/>
    <s v="Nē"/>
    <s v="pāris reižu nedēļā"/>
    <s v="(gandrīz) katru dienu"/>
    <s v="pāris reižu mēnesī"/>
    <s v="(gandrīz) katru dienu"/>
    <s v="(gandrīz) katru dienu"/>
    <s v="(gandrīz) katru dienu"/>
    <s v="pāris reižu mēnesī"/>
    <s v="(gandrīz) katru dienu"/>
    <s v="pāris reižu nedēļā"/>
    <s v="(gandrīz) katru dienu"/>
    <s v="(gandrīz) katru dienu"/>
    <s v="pāris reižu nedēļā"/>
    <s v="pāris reižu nedēļā"/>
    <s v="(gandrīz) katru dienu"/>
    <s v="brīvas vēlēšanas un plurālisms"/>
    <s v="pilsoniskās brīvības (vārda brīvība, tiesības uz tiesisko aizsardzību)"/>
    <s v="vienlīdzīgas tiesības minoritātēm un ievainojamām sabiedrības grupām"/>
    <m/>
    <m/>
    <s v="labi"/>
    <s v="labi"/>
    <s v="labi"/>
    <s v="citreiz labi, citreiz slikti"/>
    <s v="citreiz labi, citreiz slikti"/>
    <s v="pamatizglītību"/>
    <m/>
    <s v="N/A"/>
    <s v="N/A"/>
    <s v="N/A"/>
    <s v="Jā"/>
    <s v="vienlīdz latviešu un krievu"/>
    <m/>
    <s v="Cita atbilde"/>
    <s v="vēl nepabeidzu vidusskolu"/>
    <s v="Spēju ilgstoši sarunāties ar vienaudžiem / piedalīties darba pārrunās."/>
    <s v="Spēju uzrakstīt motivācijas vēstuli darbam / par savu darba pieredzi."/>
    <s v="Viegli saprotu televīzijas pārraides vai Youtube video par saviem hobijiem / darbības sfēru."/>
    <s v="Spēju izlasīt garus tekstus par vēstures, politikas un zinātnes tēmām."/>
    <m/>
    <m/>
    <m/>
    <m/>
    <m/>
    <m/>
    <m/>
    <m/>
    <m/>
    <m/>
    <m/>
    <m/>
    <m/>
    <m/>
    <m/>
    <m/>
    <m/>
    <s v="N/A"/>
    <s v="N/A"/>
    <s v="N/A"/>
    <s v="N/A"/>
    <s v="N/A"/>
    <s v="N/A"/>
    <m/>
    <m/>
    <m/>
    <m/>
    <m/>
    <s v="Nē"/>
    <s v="Nē"/>
    <s v="Jā"/>
    <s v="Nē"/>
    <s v="Nē"/>
    <s v="Nē"/>
    <s v="Nē"/>
    <s v="Nē"/>
    <s v="Nē"/>
    <s v="Nē"/>
    <s v="Nē"/>
    <s v="Nē"/>
    <s v="Nē"/>
    <s v="Nē"/>
    <s v="Nē"/>
    <s v="Nē"/>
    <m/>
    <s v="Nē"/>
    <m/>
    <s v="Nē"/>
    <m/>
    <s v="Nē"/>
    <m/>
    <s v="Nē"/>
    <m/>
    <s v="Nē"/>
    <s v="Nē"/>
    <s v="Nē"/>
    <s v="Nē"/>
    <s v="Nē"/>
    <s v="Nē"/>
    <s v="Nē"/>
    <s v="Nē"/>
    <s v="Nē"/>
    <s v="Nē"/>
    <s v="Nē"/>
    <s v="Nē"/>
    <s v="Nē"/>
    <s v="Nē"/>
    <s v="Nē"/>
    <s v="Nē"/>
    <s v="Nē"/>
    <s v="Nē"/>
    <s v="Jā"/>
    <m/>
    <s v="Nē"/>
    <m/>
    <s v="Nē"/>
    <m/>
    <s v="Nē"/>
    <m/>
    <s v="Nē"/>
    <m/>
    <s v="Nē"/>
    <s v="Jā"/>
    <s v="Jā"/>
    <s v="Nē"/>
    <s v="Jā"/>
    <s v="Nē"/>
    <s v="Nē"/>
    <s v="Jā"/>
    <s v="Nē"/>
    <s v="Nē"/>
    <s v="Nē"/>
    <s v="Nē"/>
    <s v="Jā"/>
    <s v="Nē"/>
    <m/>
    <m/>
    <m/>
    <m/>
    <m/>
    <m/>
  </r>
  <r>
    <x v="2"/>
    <n v="306"/>
    <s v="2023-09-21 14:25:44"/>
    <n v="14"/>
    <s v="lv"/>
    <n v="1165807776"/>
    <s v="2023-09-21 13:54:24"/>
    <s v="2023-09-21 14:25:44"/>
    <s v="burts"/>
    <n v="17"/>
    <s v="vīriešu"/>
    <m/>
    <x v="1"/>
    <x v="1"/>
    <x v="0"/>
    <x v="0"/>
    <x v="0"/>
    <x v="0"/>
    <s v="Latgalē"/>
    <m/>
    <s v="ateistu(ti), nereliģiozu"/>
    <m/>
    <s v="Nē"/>
    <s v="Nē"/>
    <s v="Jā"/>
    <s v="Jā"/>
    <s v="Jā"/>
    <s v="Nē"/>
    <s v="Nē"/>
    <s v="Nē"/>
    <s v="Nē"/>
    <s v="Jā"/>
    <s v="Jā"/>
    <s v="Jā"/>
    <s v="Nē"/>
    <s v="Nē"/>
    <s v="Jā"/>
    <s v="Jā"/>
    <s v="Nē"/>
    <s v="Nē"/>
    <s v="Jā"/>
    <s v="Jā"/>
    <s v="Nē"/>
    <s v="Jā"/>
    <s v="Nē"/>
    <s v="Jā"/>
    <s v="Nē"/>
    <s v="Nē"/>
    <s v="Jā"/>
    <s v="Nē"/>
    <s v="a un b"/>
    <s v="tikai a"/>
    <s v="tikai b"/>
    <s v="tikai b"/>
    <s v="tikai b"/>
    <s v="tikai b"/>
    <s v="Nevienlīdzīgi"/>
    <s v="Lielākoties vienlīdzīgi"/>
    <s v="Vienlīdzīgi"/>
    <s v="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Ārkārtīgi"/>
    <s v="Viduvēji"/>
    <s v="Viduvēji"/>
    <s v="Līderis vai politiska persona kas tautai saka to ko viņi vēlas dzirdēt. (cenšas izdabāt visiem)"/>
    <s v="Nē"/>
    <s v="Nē"/>
    <s v="Nē"/>
    <s v="Jā"/>
    <s v="Jā"/>
    <s v="Jā"/>
    <s v="1.."/>
    <n v="100"/>
    <n v="100"/>
    <m/>
    <m/>
    <s v="Drīzāk saspīlētas"/>
    <s v="Mazliet saspīlētas"/>
    <s v="Mazliet saspīlētas"/>
    <s v="Nezinu"/>
    <s v="Reti"/>
    <s v="Bieži"/>
    <s v="Dažreiz"/>
    <s v="Dažreiz"/>
    <m/>
    <m/>
    <m/>
    <m/>
    <m/>
    <s v="Ar visiem latviešiem runāju tikai latviski, ar krievvalodīgajiem draugiem varu runāt krieviski, tomēr uz ielas cenšos runāt latviski, jo tā ir ērtāk."/>
    <s v="nē"/>
    <s v="N/A"/>
    <s v="N/A"/>
    <s v="N/A"/>
    <s v="N/A"/>
    <s v="Jā"/>
    <s v="Jā"/>
    <s v="Nē"/>
    <s v="Nē"/>
    <s v="N/A"/>
    <s v="N/A"/>
    <s v="N/A"/>
    <s v="Jā"/>
    <s v="(gandrīz) katru dienu"/>
    <s v="(gandrīz) katru dienu"/>
    <s v="(gandrīz) nekad"/>
    <s v="(gandrīz) katru dienu"/>
    <s v="(gandrīz) katru dienu"/>
    <s v="(gandrīz) katru dienu"/>
    <s v="(gandrīz) katru dienu"/>
    <s v="(gandrīz) nekad"/>
    <s v="(gandrīz) katru dienu"/>
    <s v="(gandrīz) nekad"/>
    <s v="(gandrīz) katru dienu"/>
    <s v="(gandrīz) katru dienu"/>
    <s v="pāris reižu nedēļā"/>
    <s v="(gandrīz) nekad"/>
    <s v="pilsoniskās brīvības (vārda brīvība, tiesības uz tiesisko aizsardzību)"/>
    <s v="brīvas vēlēšanas un plurālisms"/>
    <s v="vienlīdz pieejama izglītība, veselības aprūpe, sociālais nodrošinājums"/>
    <m/>
    <m/>
    <s v="labi"/>
    <s v="labi"/>
    <s v="labi"/>
    <s v="citreiz labi, citreiz slikti"/>
    <s v="citreiz labi, citreiz slikti"/>
    <s v="pamatizglītību"/>
    <m/>
    <s v="N/A"/>
    <s v="N/A"/>
    <s v="N/A"/>
    <s v="Jā"/>
    <s v="latviešu"/>
    <m/>
    <s v="latviešu"/>
    <m/>
    <s v="Spēju ilgstoši sarunāties ar vienaudžiem / piedalīties darba pārrunās."/>
    <s v="Spēju uzrakstīt vēstuli draugam."/>
    <s v="Viegli saprotu radio programmas / podkāstus par saviem hobijiem / darbības sfēru."/>
    <s v="Spēju izlasīt avīzi / īsstāstus."/>
    <m/>
    <m/>
    <m/>
    <m/>
    <m/>
    <m/>
    <m/>
    <m/>
    <m/>
    <m/>
    <m/>
    <m/>
    <m/>
    <m/>
    <m/>
    <m/>
    <m/>
    <s v="N/A"/>
    <s v="N/A"/>
    <s v="N/A"/>
    <s v="N/A"/>
    <s v="N/A"/>
    <s v="N/A"/>
    <m/>
    <m/>
    <m/>
    <m/>
    <m/>
    <s v="Nē"/>
    <s v="Nē"/>
    <s v="Nē"/>
    <s v="Nē"/>
    <s v="Nē"/>
    <s v="Nē"/>
    <s v="Nē"/>
    <s v="Nē"/>
    <s v="Nē"/>
    <s v="Nē"/>
    <s v="Jā"/>
    <s v="Jā"/>
    <s v="Nē"/>
    <s v="Nē"/>
    <s v="Nē"/>
    <s v="Nē"/>
    <m/>
    <s v="Nē"/>
    <m/>
    <s v="Nē"/>
    <m/>
    <s v="Nē"/>
    <m/>
    <s v="Nē"/>
    <m/>
    <s v="Nē"/>
    <s v="Nē"/>
    <s v="Nē"/>
    <s v="Jā"/>
    <s v="Nē"/>
    <s v="Nē"/>
    <s v="Nē"/>
    <s v="Nē"/>
    <s v="Nē"/>
    <s v="Nē"/>
    <s v="Jā"/>
    <s v="Nē"/>
    <s v="Jā"/>
    <s v="Nē"/>
    <s v="Nē"/>
    <s v="Nē"/>
    <s v="Nē"/>
    <s v="Nē"/>
    <s v="Nē"/>
    <m/>
    <s v="Nē"/>
    <m/>
    <s v="Nē"/>
    <m/>
    <s v="Nē"/>
    <m/>
    <s v="Nē"/>
    <m/>
    <s v="Nē"/>
    <s v="Nē"/>
    <s v="Nē"/>
    <s v="Nē"/>
    <s v="Jā"/>
    <s v="Nē"/>
    <s v="Nē"/>
    <s v="Jā"/>
    <s v="Nē"/>
    <s v="Nē"/>
    <s v="Nē"/>
    <s v="Nē"/>
    <s v="Nē"/>
    <s v="Nē"/>
    <m/>
    <m/>
    <m/>
    <m/>
    <m/>
    <m/>
  </r>
  <r>
    <x v="2"/>
    <n v="307"/>
    <s v="2023-09-21 14:10:20"/>
    <n v="14"/>
    <s v="lv"/>
    <n v="1278721084"/>
    <s v="2023-09-21 13:54:30"/>
    <s v="2023-09-21 14:10:20"/>
    <s v="burts"/>
    <n v="17"/>
    <s v="vīriešu"/>
    <m/>
    <x v="1"/>
    <x v="1"/>
    <x v="0"/>
    <x v="0"/>
    <x v="0"/>
    <x v="0"/>
    <s v="Latgalē"/>
    <m/>
    <s v="ateistu(ti), nereliģiozu"/>
    <m/>
    <s v="N/A"/>
    <s v="N/A"/>
    <s v="N/A"/>
    <s v="N/A"/>
    <s v="N/A"/>
    <s v="N/A"/>
    <s v="Jā"/>
    <s v="N/A"/>
    <s v="N/A"/>
    <s v="N/A"/>
    <s v="N/A"/>
    <s v="N/A"/>
    <s v="N/A"/>
    <s v="Jā"/>
    <s v="N/A"/>
    <s v="N/A"/>
    <s v="N/A"/>
    <s v="N/A"/>
    <s v="N/A"/>
    <s v="N/A"/>
    <s v="Jā"/>
    <s v="N/A"/>
    <s v="N/A"/>
    <s v="N/A"/>
    <s v="N/A"/>
    <s v="N/A"/>
    <s v="N/A"/>
    <s v="Jā"/>
    <m/>
    <m/>
    <m/>
    <m/>
    <m/>
    <m/>
    <s v="Lielākoties vienlīdzīgi"/>
    <s v="Lielākoties vienlīdzīgi"/>
    <s v="Vienlīdzīgi"/>
    <s v="Lielākoties vienlīdzīgi"/>
    <s v="Nevienlīdzīgi"/>
    <s v="nezinu"/>
    <s v="nezinu"/>
    <s v="nezinu"/>
    <s v="nezinu"/>
    <s v="nezinu"/>
    <s v="nezinu"/>
    <s v="nezinu"/>
    <s v="Reizēm ekonomiskā un valsts stabilitāte varētu nozīmēt, ka atsevišķi ekoloģiskās politikas aspekti ir uz brīdi jāiepauzē."/>
    <s v="jā, daļu no tā, ko iespējams šķirot"/>
    <s v="nezinu"/>
    <s v="nezinu"/>
    <s v="nezinu"/>
    <s v="nezinu"/>
    <s v="nezinu"/>
    <s v="nezinu"/>
    <s v="nezinu"/>
    <s v="nezinu"/>
    <s v="nezinu"/>
    <s v="nezinu"/>
    <s v="nezinu"/>
    <s v="nezinu"/>
    <s v="nezinu"/>
    <s v="nezinu"/>
    <s v="Ne sevišķi"/>
    <s v="Neinteresē"/>
    <s v="Neinteresē"/>
    <s v="Ne sevišķi"/>
    <s v="Nezinu"/>
    <s v="Jā"/>
    <s v="Nē"/>
    <s v="Jā"/>
    <s v="Nē"/>
    <s v="Jā"/>
    <s v="Nē"/>
    <s v="2.."/>
    <n v="69"/>
    <n v="37"/>
    <m/>
    <m/>
    <s v="Ļoti saspīlētas"/>
    <s v="Drīzāk saspīlētas"/>
    <s v="Mazliet saspīlētas"/>
    <s v="(Gandrīz) nekad"/>
    <s v="(Gandrīz) nekad"/>
    <s v="(Gandrīz) nekad"/>
    <s v="(Gandrīz) nekad"/>
    <s v="(Gandrīz) nekad"/>
    <m/>
    <m/>
    <m/>
    <m/>
    <m/>
    <m/>
    <s v="nē"/>
    <s v="N/A"/>
    <s v="N/A"/>
    <s v="N/A"/>
    <s v="N/A"/>
    <s v="N/A"/>
    <s v="N/A"/>
    <s v="N/A"/>
    <s v="Jā"/>
    <s v="Jā"/>
    <s v="Jā"/>
    <s v="Jā"/>
    <s v="Nē"/>
    <s v="(gandrīz) katru dienu"/>
    <s v="(gandrīz) katru dienu"/>
    <s v="(gandrīz) nekad"/>
    <s v="(gandrīz) katru dienu"/>
    <s v="pāris reižu mēnesī"/>
    <s v="(gandrīz) nekad"/>
    <s v="pāris reižu mēnesī"/>
    <s v="(gandrīz) nekad"/>
    <s v="pāris reižu mēnesī"/>
    <s v="(gandrīz) nekad"/>
    <s v="pāris reižu mēnesī"/>
    <s v="(gandrīz) nekad"/>
    <s v="(gandrīz) nekad"/>
    <s v="pāris reižu mēnesī"/>
    <s v="vienlīdz pieejama izglītība, veselības aprūpe, sociālais nodrošinājums"/>
    <s v="pilsoniskās brīvības (vārda brīvība, tiesības uz tiesisko aizsardzību)"/>
    <s v="vienlīdzīgas tiesības minoritātēm un ievainojamām sabiedrības grupām"/>
    <m/>
    <m/>
    <s v="citreiz labi, citreiz slikti"/>
    <s v="citreiz labi, citreiz slikti"/>
    <s v="citreiz labi, citreiz slikti"/>
    <s v="nezinu"/>
    <s v="nezinu"/>
    <s v="pamatizglītību"/>
    <m/>
    <s v="N/A"/>
    <s v="N/A"/>
    <s v="N/A"/>
    <s v="Jā"/>
    <s v="latviešu"/>
    <m/>
    <s v="latviešu"/>
    <m/>
    <s v="Spēju pastāstīt par savu hobiju / darbu."/>
    <s v="Spēju uzrakstīt vēstuli draugam."/>
    <s v="Viegli saprotu televīzijas pārraides vai Youtube video par saviem hobijiem / darbības sfēru."/>
    <s v="Spēju izlasīt avīzi / īsstāstus."/>
    <m/>
    <m/>
    <m/>
    <m/>
    <m/>
    <m/>
    <m/>
    <m/>
    <m/>
    <m/>
    <m/>
    <m/>
    <m/>
    <m/>
    <m/>
    <m/>
    <m/>
    <s v="N/A"/>
    <s v="N/A"/>
    <s v="N/A"/>
    <s v="N/A"/>
    <s v="N/A"/>
    <s v="N/A"/>
    <m/>
    <m/>
    <m/>
    <m/>
    <m/>
    <s v="Nē"/>
    <s v="Nē"/>
    <s v="Jā"/>
    <s v="Jā"/>
    <s v="Nē"/>
    <s v="Nē"/>
    <s v="Nē"/>
    <s v="Nē"/>
    <s v="Jā"/>
    <s v="Nē"/>
    <s v="Jā"/>
    <s v="Jā"/>
    <s v="Nē"/>
    <s v="Nē"/>
    <s v="Nē"/>
    <s v="Nē"/>
    <m/>
    <s v="Nē"/>
    <m/>
    <s v="Nē"/>
    <m/>
    <s v="Nē"/>
    <m/>
    <s v="Nē"/>
    <m/>
    <s v="Nē"/>
    <s v="Nē"/>
    <s v="Nē"/>
    <s v="Jā"/>
    <s v="Nē"/>
    <s v="Nē"/>
    <s v="Nē"/>
    <s v="Nē"/>
    <s v="Nē"/>
    <s v="Nē"/>
    <s v="Nē"/>
    <s v="Nē"/>
    <s v="Nē"/>
    <s v="Nē"/>
    <s v="Nē"/>
    <s v="Nē"/>
    <s v="Nē"/>
    <s v="Nē"/>
    <s v="Nē"/>
    <m/>
    <s v="Nē"/>
    <m/>
    <s v="Nē"/>
    <m/>
    <s v="Nē"/>
    <m/>
    <s v="Nē"/>
    <m/>
    <s v="Nē"/>
    <s v="Jā"/>
    <s v="Nē"/>
    <s v="Nē"/>
    <s v="Jā"/>
    <s v="Nē"/>
    <s v="Nē"/>
    <s v="Jā"/>
    <s v="Nē"/>
    <s v="Nē"/>
    <s v="Nē"/>
    <s v="Nē"/>
    <s v="Nē"/>
    <s v="Nē"/>
    <m/>
    <s v="Iekļaujiet vārdu definīcijas pēc jautājuma, piedāvājiet atbildes iespēju &quot;uz mani neattiecas&quot;."/>
    <m/>
    <m/>
    <m/>
    <m/>
  </r>
  <r>
    <x v="2"/>
    <n v="309"/>
    <s v="2023-09-21 14:19:06"/>
    <n v="14"/>
    <s v="lv"/>
    <n v="914533476"/>
    <s v="2023-09-21 13:55:11"/>
    <s v="2023-09-21 14:19:06"/>
    <s v="burts"/>
    <n v="17"/>
    <s v="vīriešu"/>
    <m/>
    <x v="0"/>
    <x v="0"/>
    <x v="0"/>
    <x v="0"/>
    <x v="0"/>
    <x v="0"/>
    <s v="Latgalē"/>
    <m/>
    <s v="vecticībnieku(ci)"/>
    <m/>
    <s v="Jā"/>
    <s v="Jā"/>
    <s v="Jā"/>
    <s v="Jā"/>
    <s v="Nē"/>
    <s v="Nē"/>
    <s v="Nē"/>
    <s v="Jā"/>
    <s v="Jā"/>
    <s v="Nē"/>
    <s v="Nē"/>
    <s v="Nē"/>
    <s v="Jā"/>
    <s v="Nē"/>
    <s v="Jā"/>
    <s v="Nē"/>
    <s v="Nē"/>
    <s v="Jā"/>
    <s v="Nē"/>
    <s v="Nē"/>
    <s v="Nē"/>
    <s v="Jā"/>
    <s v="Jā"/>
    <s v="Jā"/>
    <s v="Jā"/>
    <s v="Jā"/>
    <s v="Jā"/>
    <s v="Nē"/>
    <s v="tikai a"/>
    <s v="tikai b"/>
    <s v="a un b"/>
    <s v="tikai b"/>
    <s v="tikai a"/>
    <s v="tikai b"/>
    <s v="Lielākoties nevienlīdzīgi"/>
    <s v="Lielākoties vienlīdzīgi"/>
    <s v="Vienlīdzīgi"/>
    <s v="Vienlīdzīgi"/>
    <s v="Lielākoties nevienlīdzīgi"/>
    <s v="nezinu"/>
    <s v="nezinu"/>
    <s v="nezinu"/>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 sevišķi"/>
    <s v="Neinteresē"/>
    <s v="Neinteresē"/>
    <s v="Neinteresē"/>
    <s v="nezinu"/>
    <s v="Nē"/>
    <s v="Nē"/>
    <s v="Nē"/>
    <s v="Nē"/>
    <s v="Jā"/>
    <s v="Nē"/>
    <s v="1...."/>
    <n v="80"/>
    <n v="15"/>
    <n v="85"/>
    <n v="25"/>
    <s v="Drīzāk saspīlētas"/>
    <s v="Nav saspīlētas"/>
    <s v="Nav saspīlētas"/>
    <s v="(Gandrīz) nekad"/>
    <s v="(Gandrīz) nekad"/>
    <s v="(Gandrīz) nekad"/>
    <s v="(Gandrīz) nekad"/>
    <s v="(Gandrīz) nekad"/>
    <s v="Reti"/>
    <s v="Reti"/>
    <s v="(Gandrīz) nekad"/>
    <s v="(Gandrīz) nekad"/>
    <s v="(Gandrīz) nekad"/>
    <s v="Skolā runājot ar skolotājiem vai klasesbiedriem lietoju latviešu valodu , pārējas vietās lietoju krievijas valodu."/>
    <s v="nē"/>
    <s v="N/A"/>
    <s v="N/A"/>
    <s v="N/A"/>
    <s v="N/A"/>
    <s v="Jā"/>
    <s v="Jā"/>
    <s v="Jā"/>
    <s v="Nē"/>
    <s v="Jā"/>
    <s v="Jā"/>
    <s v="Jā"/>
    <s v="Nē"/>
    <s v="(gandrīz) nekad"/>
    <s v="(gandrīz) katru dienu"/>
    <s v="(gandrīz) nekad"/>
    <s v="pāris reižu mēnesī"/>
    <s v="(gandrīz) nekad"/>
    <s v="reizi nedēļā"/>
    <s v="(gandrīz) nekad"/>
    <s v="(gandrīz) katru dienu"/>
    <s v="(gandrīz) katru dienu"/>
    <s v="(gandrīz) nekad"/>
    <s v="(gandrīz) katru dienu"/>
    <s v="(gandrīz) katru dienu"/>
    <s v="(gandrīz) katru dienu"/>
    <s v="(gandrīz) katru dienu"/>
    <s v="pilsoniskās brīvības (vārda brīvība, tiesības uz tiesisko aizsardzību)"/>
    <s v="vienlīdz pieejama izglītība, veselības aprūpe, sociālais nodrošinājums"/>
    <s v="brīvas vēlēšanas un plurālisms"/>
    <m/>
    <m/>
    <s v="citreiz labi, citreiz slikti"/>
    <s v="slikti"/>
    <s v="ļoti labi"/>
    <s v="slikti"/>
    <s v="slikti"/>
    <s v="pamatizglītību"/>
    <m/>
    <s v="N/A"/>
    <s v="N/A"/>
    <s v="N/A"/>
    <s v="Jā"/>
    <s v="vienlīdz latviešu un kriev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Jā"/>
    <s v="Jā"/>
    <s v="Nē"/>
    <s v="Nē"/>
    <s v="Nē"/>
    <s v="Jā"/>
    <s v="Nē"/>
    <m/>
    <s v="Jā"/>
    <s v="gorod.lv"/>
    <s v="Nē"/>
    <m/>
    <s v="Jā"/>
    <s v="gorod.lv"/>
    <s v="Nē"/>
    <m/>
    <s v="Jā"/>
    <s v="Jā"/>
    <s v="Jā"/>
    <s v="Nē"/>
    <s v="Jā"/>
    <s v="Jā"/>
    <s v="Nē"/>
    <s v="Jā"/>
    <s v="Nē"/>
    <s v="Nē"/>
    <s v="Nē"/>
    <s v="Nē"/>
    <s v="Jā"/>
    <s v="Nē"/>
    <m/>
    <m/>
    <m/>
    <m/>
    <m/>
    <m/>
  </r>
  <r>
    <x v="2"/>
    <n v="310"/>
    <s v="2023-09-21 14:18:33"/>
    <n v="14"/>
    <s v="lv"/>
    <n v="1546648334"/>
    <s v="2023-09-21 13:55:17"/>
    <s v="2023-09-21 14:18:33"/>
    <s v="burts"/>
    <n v="17"/>
    <s v="vīriešu"/>
    <m/>
    <x v="0"/>
    <x v="0"/>
    <x v="0"/>
    <x v="0"/>
    <x v="0"/>
    <x v="0"/>
    <s v="Latgalē"/>
    <m/>
    <s v="ateistu(ti), nereliģiozu"/>
    <m/>
    <s v="Jā"/>
    <s v="Jā"/>
    <s v="Nē"/>
    <s v="Nē"/>
    <s v="Nē"/>
    <s v="Jā"/>
    <s v="Nē"/>
    <s v="Jā"/>
    <s v="Jā"/>
    <s v="Nē"/>
    <s v="Nē"/>
    <s v="Nē"/>
    <s v="Nē"/>
    <s v="Nē"/>
    <s v="Jā"/>
    <s v="Nē"/>
    <s v="Jā"/>
    <s v="Nē"/>
    <s v="Nē"/>
    <s v="Nē"/>
    <s v="Nē"/>
    <s v="Nē"/>
    <s v="Jā"/>
    <s v="Jā"/>
    <s v="Jā"/>
    <s v="Nē"/>
    <s v="Nē"/>
    <s v="Nē"/>
    <s v="tikai a"/>
    <s v="tikai a"/>
    <s v="tikai a"/>
    <s v="a un b"/>
    <s v="tikai b"/>
    <s v="nezinu"/>
    <s v="Lielākoties nevienlīdzīgi"/>
    <s v="Lielākoties vienlīdzīgi"/>
    <s v="Vienlīdzīgi"/>
    <s v="Lielākoties vienlīdzīgi"/>
    <s v="Lielākoties nevienlīdzīgi"/>
    <s v="&quot;Apvienotais saraksts&quot;"/>
    <s v="Nacionālā Apvienība"/>
    <s v="Politiskā partija &quot;Stabilitātei&quot;"/>
    <s v="&quot;Latvija pirmajā vietā&quot;"/>
    <s v="Zaļo un Zemnieku savienība"/>
    <s v="Jaunā Vienotība"/>
    <s v="&quot;Progresīvie&quot;"/>
    <s v="Klimata pārmaiņas – tas ir ciklisks un dabisks process."/>
    <s v="nē"/>
    <s v="Nacionālā Apvienība"/>
    <s v="Politiskā partija &quot;Stabilitātei&quot;"/>
    <s v="&quot;Apvienotais saraksts&quot;"/>
    <s v="&quot;Progresīvie&quot;"/>
    <s v="&quot;Latvija pirmajā vietā&quot;"/>
    <s v="Zaļo un Zemnieku savienība"/>
    <s v="Jaunā Vienotība"/>
    <s v="&quot;Progresīvie&quot;"/>
    <s v="Nacionālā Apvienība"/>
    <s v="Politiskā partija &quot;Stabilitātei&quot;"/>
    <s v="Jaunā Vienotība"/>
    <s v="&quot;Latvija pirmajā vietā&quot;"/>
    <s v="Zaļo un Zemnieku savienība"/>
    <s v="&quot;Apvienotais saraksts&quot;"/>
    <s v="Viduvēji"/>
    <s v="Ārkārtīgi"/>
    <s v="Ne sevišķi"/>
    <s v="Viduvēji"/>
    <s v="nezinu"/>
    <s v="Nē"/>
    <s v="Nē"/>
    <s v="Jā"/>
    <s v="Nē"/>
    <s v="Nē"/>
    <s v="Nē"/>
    <s v="1.."/>
    <n v="80"/>
    <n v="60"/>
    <n v="100"/>
    <n v="60"/>
    <s v="Mazliet saspīlētas"/>
    <s v="Nav saspīlētas"/>
    <s v="Nav saspīlētas"/>
    <s v="(Gandrīz) nekad"/>
    <s v="Dažreiz"/>
    <s v="(Gandrīz) nekad"/>
    <s v="(Gandrīz) nekad"/>
    <s v="(Gandrīz) nekad"/>
    <s v="(Gandrīz) nekad"/>
    <s v="Reti"/>
    <s v="(Gandrīz) nekad"/>
    <s v="(Gandrīz) nekad"/>
    <s v="Nezinu"/>
    <s v="Izmantoju krievu valodu , ar saviem drauģiem, radiniekiem un ģimeni."/>
    <s v="jā, valsts iestādē"/>
    <s v="N/A"/>
    <s v="N/A"/>
    <s v="N/A"/>
    <s v="Jā"/>
    <s v="N/A"/>
    <s v="N/A"/>
    <s v="N/A"/>
    <s v="Jā"/>
    <s v="Jā"/>
    <s v="Jā"/>
    <s v="Jā"/>
    <s v="Nē"/>
    <s v="(gandrīz) nekad"/>
    <s v="pāris reižu mēnesī"/>
    <s v="(gandrīz) nekad"/>
    <s v="pāris reižu mēnesī"/>
    <s v="pāris reižu mēnesī"/>
    <s v="pāris reižu mēnesī"/>
    <s v="pāris reižu mēnesī"/>
    <s v="(gandrīz) katru dienu"/>
    <s v="(gandrīz) katru dienu"/>
    <s v="(gandrīz) nekad"/>
    <s v="(gandrīz) katru dienu"/>
    <s v="(gandrīz) katru dienu"/>
    <s v="(gandrīz) katru dienu"/>
    <s v="(gandrīz) katru dienu"/>
    <s v="pilsoniskās brīvības (vārda brīvība, tiesības uz tiesisko aizsardzību)"/>
    <s v="brīvas vēlēšanas un plurālisms"/>
    <s v="vienlīdzīgas tiesības minoritātēm un ievainojamām sabiedrības grupām"/>
    <m/>
    <m/>
    <s v="labi"/>
    <s v="citreiz labi, citreiz slikti"/>
    <s v="citreiz labi, citreiz slikti"/>
    <s v="labi"/>
    <s v="slikti"/>
    <s v="pamatizglītību"/>
    <m/>
    <s v="N/A"/>
    <s v="N/A"/>
    <s v="N/A"/>
    <s v="Jā"/>
    <s v="latviešu"/>
    <m/>
    <s v="latviešu"/>
    <m/>
    <s v="Spēju ilgstoši sarunāties ar vienaudžiem / piedalīties darba pārrunās."/>
    <s v="Spēju uzrakstīt garāku sacerējumu / kursa darbu."/>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Nē"/>
    <s v="Nē"/>
    <s v="Nē"/>
    <s v="Jā"/>
    <s v="Jā"/>
    <s v="Nē"/>
    <s v="Jā"/>
    <s v="Nē"/>
    <s v="Nē"/>
    <s v="Nē"/>
    <s v="Nē"/>
    <s v="Nē"/>
    <s v="Nē"/>
    <m/>
    <m/>
    <m/>
    <m/>
    <m/>
    <m/>
  </r>
  <r>
    <x v="2"/>
    <n v="311"/>
    <s v="2023-09-21 14:10:16"/>
    <n v="14"/>
    <s v="lv"/>
    <n v="1458325100"/>
    <s v="2023-09-21 13:55:18"/>
    <s v="2023-09-21 14:10:16"/>
    <s v="burts"/>
    <n v="17"/>
    <s v="sieviešu"/>
    <m/>
    <x v="1"/>
    <x v="0"/>
    <x v="0"/>
    <x v="0"/>
    <x v="0"/>
    <x v="0"/>
    <s v="Latgalē"/>
    <m/>
    <s v="katoli(ieti)"/>
    <m/>
    <s v="Jā"/>
    <s v="Nē"/>
    <s v="Nē"/>
    <s v="Nē"/>
    <s v="Nē"/>
    <s v="Jā"/>
    <s v="Nē"/>
    <s v="Nē"/>
    <s v="Nē"/>
    <s v="Nē"/>
    <s v="Jā"/>
    <s v="Nē"/>
    <s v="Nē"/>
    <s v="Nē"/>
    <s v="Nē"/>
    <s v="Nē"/>
    <s v="Jā"/>
    <s v="Nē"/>
    <s v="Nē"/>
    <s v="Nē"/>
    <s v="Nē"/>
    <s v="Nē"/>
    <s v="Nē"/>
    <s v="Nē"/>
    <s v="Jā"/>
    <s v="Nē"/>
    <s v="Nē"/>
    <s v="Nē"/>
    <s v="tikai b"/>
    <s v="tikai b"/>
    <s v="ne a, ne b"/>
    <s v="a un b"/>
    <s v="tikai a"/>
    <s v="tikai b"/>
    <s v="Lielākoties vienlīdzīgi"/>
    <s v="Lielākoties vienlīdzīgi"/>
    <s v="Lielākoties vienlīdzīgi"/>
    <s v="Lielākoties vienlīdzīgi"/>
    <s v="Lielākoties vienlīdzīgi"/>
    <s v="nezinu"/>
    <s v="nezinu"/>
    <s v="nezinu"/>
    <s v="nezinu"/>
    <s v="nezinu"/>
    <s v="nezinu"/>
    <s v="nezinu"/>
    <s v="Cīņai ar klimata pārmaiņām būtu jābūt vairumam pasaules valstu galvenajai prioritātei."/>
    <s v="nē"/>
    <s v="nezinu"/>
    <s v="nezinu"/>
    <s v="nezinu"/>
    <s v="nezinu"/>
    <s v="nezinu"/>
    <s v="nezinu"/>
    <s v="nezinu"/>
    <s v="nezinu"/>
    <s v="nezinu"/>
    <s v="nezinu"/>
    <s v="nezinu"/>
    <s v="nezinu"/>
    <s v="nezinu"/>
    <s v="nezinu"/>
    <s v="Ne sevišķi"/>
    <s v="Ne sevišķi"/>
    <s v="Viduvēji"/>
    <s v="Viduvēji"/>
    <s v="nezinu"/>
    <s v="Nē"/>
    <s v="Nē"/>
    <s v="Jā"/>
    <s v="Nē"/>
    <s v="Jā"/>
    <s v="Jā"/>
    <s v="2.."/>
    <n v="63"/>
    <n v="60"/>
    <n v="38"/>
    <n v="9"/>
    <s v="Drīzāk saspīlētas"/>
    <s v="Nav saspīlētas"/>
    <s v="Nav saspīlētas"/>
    <s v="(Gandrīz) nekad"/>
    <s v="(Gandrīz) nekad"/>
    <s v="(Gandrīz) nekad"/>
    <s v="(Gandrīz) nekad"/>
    <s v="Dažreiz"/>
    <s v="(Gandrīz) nekad"/>
    <s v="(Gandrīz) nekad"/>
    <s v="(Gandrīz) nekad"/>
    <s v="(Gandrīz) nekad"/>
    <s v="Reti"/>
    <s v="nebija"/>
    <s v="nē"/>
    <s v="N/A"/>
    <s v="N/A"/>
    <s v="N/A"/>
    <s v="N/A"/>
    <s v="Jā"/>
    <s v="Nē"/>
    <s v="Jā"/>
    <s v="Nē"/>
    <s v="N/A"/>
    <s v="N/A"/>
    <s v="N/A"/>
    <s v="Jā"/>
    <s v="(gandrīz) nekad"/>
    <s v="(gandrīz) katru dienu"/>
    <s v="(gandrīz) katru dienu"/>
    <s v="(gandrīz) katru dienu"/>
    <s v="(gandrīz) nekad"/>
    <s v="(gandrīz) nekad"/>
    <s v="(gandrīz) katru dienu"/>
    <s v="(gandrīz) katru dienu"/>
    <s v="(gandrīz) katru dienu"/>
    <s v="(gandrīz) nekad"/>
    <s v="(gandrīz) katru dienu"/>
    <s v="(gandrīz) nekad"/>
    <s v="(gandrīz) nekad"/>
    <s v="(gandrīz) katru dienu"/>
    <s v="pilsoniskās brīvības (vārda brīvība, tiesības uz tiesisko aizsardzību)"/>
    <s v="vienlīdz pieejama izglītība, veselības aprūpe, sociālais nodrošinājums"/>
    <s v="brīvas vēlēšanas un plurālisms"/>
    <m/>
    <m/>
    <s v="citreiz labi, citreiz slikti"/>
    <s v="citreiz labi, citreiz slikti"/>
    <s v="labi"/>
    <s v="labi"/>
    <s v="citreiz labi, citreiz slikti"/>
    <s v="pamatizglītību"/>
    <m/>
    <s v="N/A"/>
    <s v="N/A"/>
    <s v="N/A"/>
    <s v="Jā"/>
    <s v="latvieš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m/>
    <m/>
    <m/>
    <m/>
    <m/>
  </r>
  <r>
    <x v="2"/>
    <n v="312"/>
    <s v="2023-09-21 14:12:15"/>
    <n v="14"/>
    <s v="lv"/>
    <n v="784393599"/>
    <s v="2023-09-21 13:55:52"/>
    <s v="2023-09-21 14:12:15"/>
    <s v="burts"/>
    <n v="16"/>
    <s v="sieviešu"/>
    <m/>
    <x v="1"/>
    <x v="0"/>
    <x v="0"/>
    <x v="0"/>
    <x v="0"/>
    <x v="0"/>
    <s v="Latgalē"/>
    <m/>
    <s v="ateistu(ti), nereliģiozu"/>
    <m/>
    <s v="Jā"/>
    <s v="Nē"/>
    <s v="Nē"/>
    <s v="Nē"/>
    <s v="Nē"/>
    <s v="Nē"/>
    <s v="Nē"/>
    <s v="Jā"/>
    <s v="Nē"/>
    <s v="Nē"/>
    <s v="Nē"/>
    <s v="Nē"/>
    <s v="Nē"/>
    <s v="Nē"/>
    <s v="Nē"/>
    <s v="Nē"/>
    <s v="Nē"/>
    <s v="Nē"/>
    <s v="Nē"/>
    <s v="Jā"/>
    <s v="Nē"/>
    <s v="Jā"/>
    <s v="Nē"/>
    <s v="Nē"/>
    <s v="Nē"/>
    <s v="Nē"/>
    <s v="Nē"/>
    <s v="Nē"/>
    <s v="nezinu"/>
    <s v="tikai a"/>
    <s v="tikai a"/>
    <s v="tikai a"/>
    <s v="tikai a"/>
    <s v="nezinu"/>
    <s v="Lielākoties nevienlīdzīgi"/>
    <s v="Lielākoties vienlīdzīgi"/>
    <s v="Lielākoties vienlīdzīgi"/>
    <s v="Vienlīdzīgi"/>
    <s v="Lielākoties nevienlīdzīgi"/>
    <s v="&quot;Progresīvie&quot;"/>
    <s v="&quot;Progresīvie&quot;"/>
    <s v="&quot;Progresīvie&quot;"/>
    <s v="nezinu"/>
    <s v="nezinu"/>
    <s v="nezinu"/>
    <s v="nezinu"/>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Ne sevišķi"/>
    <s v="Ļoti"/>
    <s v="Ļoti"/>
    <s v="Ļoti"/>
    <s v="nezinu"/>
    <s v="Nē"/>
    <s v="Nē"/>
    <s v="Nē"/>
    <s v="Nē"/>
    <s v="Jā"/>
    <s v="Nē"/>
    <s v="1.."/>
    <n v="10"/>
    <n v="76"/>
    <n v="75"/>
    <n v="1"/>
    <s v="Drīzāk saspīlētas"/>
    <s v="Nav saspīlētas"/>
    <s v="Nav saspīlētas"/>
    <s v="(Gandrīz) nekad"/>
    <s v="(Gandrīz) nekad"/>
    <s v="(Gandrīz) nekad"/>
    <s v="Dažreiz"/>
    <s v="Dažreiz"/>
    <s v="Bieži"/>
    <s v="Bieži"/>
    <s v="Bieži"/>
    <s v="Bieži"/>
    <s v="Bieži"/>
    <m/>
    <s v="nē"/>
    <s v="N/A"/>
    <s v="N/A"/>
    <s v="N/A"/>
    <s v="N/A"/>
    <s v="N/A"/>
    <s v="N/A"/>
    <s v="N/A"/>
    <s v="Jā"/>
    <s v="Jā"/>
    <s v="Jā"/>
    <s v="Jā"/>
    <s v="Nē"/>
    <s v="pāris reižu mēnesī"/>
    <s v="pāris reižu nedēļā"/>
    <s v="pāris reižu nedēļā"/>
    <s v="reizi nedēļā"/>
    <s v="pāris reižu mēnesī"/>
    <s v="pāris reižu mēnesī"/>
    <s v="(gandrīz) katru dienu"/>
    <s v="(gandrīz) katru dienu"/>
    <s v="(gandrīz) katru dienu"/>
    <s v="(gandrīz) katru dienu"/>
    <s v="(gandrīz) katru dienu"/>
    <s v="(gandrīz) katru dienu"/>
    <s v="(gandrīz) katru dienu"/>
    <s v="pāris reižu nedēļā"/>
    <s v="pilsoniskās brīvības (vārda brīvība, tiesības uz tiesisko aizsardzību)"/>
    <s v="vienlīdz pieejama izglītība, veselības aprūpe, sociālais nodrošinājums"/>
    <s v="vienlīdzīgas tiesības minoritātēm un ievainojamām sabiedrības grupām"/>
    <m/>
    <m/>
    <s v="citreiz labi, citreiz slikti"/>
    <s v="labi"/>
    <s v="labi"/>
    <s v="labi"/>
    <s v="labi"/>
    <s v="pamatizglītību"/>
    <m/>
    <s v="N/A"/>
    <s v="N/A"/>
    <s v="N/A"/>
    <s v="Jā"/>
    <s v="latviešu"/>
    <m/>
    <s v="Cita atbilde"/>
    <s v="tikai sāku mācibas vidusskolā"/>
    <m/>
    <m/>
    <m/>
    <m/>
    <m/>
    <m/>
    <m/>
    <m/>
    <m/>
    <m/>
    <m/>
    <m/>
    <m/>
    <m/>
    <m/>
    <m/>
    <m/>
    <m/>
    <m/>
    <m/>
    <m/>
    <s v="N/A"/>
    <s v="N/A"/>
    <s v="N/A"/>
    <s v="N/A"/>
    <s v="N/A"/>
    <s v="N/A"/>
    <m/>
    <m/>
    <m/>
    <m/>
    <m/>
    <s v="Nē"/>
    <s v="Nē"/>
    <s v="Nē"/>
    <s v="Nē"/>
    <s v="Nē"/>
    <s v="Nē"/>
    <s v="Nē"/>
    <s v="Nē"/>
    <s v="Nē"/>
    <s v="Nē"/>
    <s v="Nē"/>
    <s v="Nē"/>
    <s v="Nē"/>
    <s v="Nē"/>
    <s v="Nē"/>
    <s v="Jā"/>
    <m/>
    <s v="Nē"/>
    <m/>
    <s v="Nē"/>
    <m/>
    <s v="Nē"/>
    <m/>
    <s v="Nē"/>
    <m/>
    <s v="Nē"/>
    <s v="Nē"/>
    <s v="Nē"/>
    <s v="Jā"/>
    <s v="Nē"/>
    <s v="Nē"/>
    <s v="Nē"/>
    <s v="Nē"/>
    <s v="Nē"/>
    <s v="Nē"/>
    <s v="Nē"/>
    <s v="Nē"/>
    <s v="Jā"/>
    <s v="Nē"/>
    <s v="Nē"/>
    <s v="Nē"/>
    <s v="Nē"/>
    <s v="Jā"/>
    <s v="Nē"/>
    <m/>
    <s v="Nē"/>
    <m/>
    <s v="Nē"/>
    <m/>
    <s v="Nē"/>
    <m/>
    <s v="Nē"/>
    <m/>
    <s v="Jā"/>
    <s v="Jā"/>
    <s v="Jā"/>
    <s v="Nē"/>
    <s v="Jā"/>
    <s v="Jā"/>
    <s v="Nē"/>
    <s v="Jā"/>
    <s v="Nē"/>
    <s v="Nē"/>
    <s v="Nē"/>
    <s v="Nē"/>
    <s v="Jā"/>
    <s v="Nē"/>
    <m/>
    <s v="Paldies!"/>
    <m/>
    <m/>
    <m/>
    <m/>
  </r>
  <r>
    <x v="2"/>
    <n v="313"/>
    <s v="2023-09-21 14:24:58"/>
    <n v="14"/>
    <s v="lv"/>
    <n v="1270151093"/>
    <s v="2023-09-21 13:56:06"/>
    <s v="2023-09-21 14:24:58"/>
    <s v="burts"/>
    <n v="17"/>
    <s v="vīriešu"/>
    <m/>
    <x v="1"/>
    <x v="0"/>
    <x v="0"/>
    <x v="0"/>
    <x v="0"/>
    <x v="0"/>
    <s v="Latgalē"/>
    <m/>
    <s v="katoli(ieti)"/>
    <m/>
    <s v="Jā"/>
    <s v="Jā"/>
    <s v="Nē"/>
    <s v="Nē"/>
    <s v="Nē"/>
    <s v="Nē"/>
    <s v="Nē"/>
    <s v="Jā"/>
    <s v="Nē"/>
    <s v="Nē"/>
    <s v="Jā"/>
    <s v="Nē"/>
    <s v="Nē"/>
    <s v="Nē"/>
    <s v="Nē"/>
    <s v="Jā"/>
    <s v="Jā"/>
    <s v="Jā"/>
    <s v="Nē"/>
    <s v="Nē"/>
    <s v="Nē"/>
    <s v="Jā"/>
    <s v="Jā"/>
    <s v="Jā"/>
    <s v="Jā"/>
    <s v="Jā"/>
    <s v="Jā"/>
    <s v="Nē"/>
    <s v="tikai a"/>
    <s v="tikai b"/>
    <s v="a un b"/>
    <s v="a un b"/>
    <s v="nezinu"/>
    <s v="nezinu"/>
    <s v="Lielākoties vienlīdzīgi"/>
    <s v="Lielākoties nevienlīdzīgi"/>
    <s v="Vienlīdzīgi"/>
    <s v="Vienlīdzīgi"/>
    <s v="Lielākoties vienlīdzīgi"/>
    <s v="nezinu"/>
    <s v="nezinu"/>
    <s v="&quot;Progresīvie&quot;"/>
    <s v="&quot;Latvija pirmajā vietā&quot;"/>
    <s v="nezinu"/>
    <s v="nezinu"/>
    <s v="nezinu"/>
    <s v="Cīņai ar klimata pārmaiņām būtu jābūt vairumam pasaules valstu galvenajai prioritātei."/>
    <s v="jā, lielāko daļu no tā, ko iespējams šķirot"/>
    <s v="nezinu"/>
    <s v="nezinu"/>
    <s v="nezinu"/>
    <s v="nezinu"/>
    <s v="nezinu"/>
    <s v="nezinu"/>
    <s v="nezinu"/>
    <s v="nezinu"/>
    <s v="nezinu"/>
    <s v="nezinu"/>
    <s v="nezinu"/>
    <s v="nezinu"/>
    <s v="nezinu"/>
    <s v="nezinu"/>
    <s v="Ļoti"/>
    <s v="Neinteresē"/>
    <s v="Viduvēji"/>
    <s v="Ne sevišķi"/>
    <s v="Tas ko grib dzirdēt tauta"/>
    <s v="Nē"/>
    <s v="Nē"/>
    <s v="Jā"/>
    <s v="Jā"/>
    <s v="Jā"/>
    <s v="Nē"/>
    <s v="1.."/>
    <n v="20"/>
    <n v="100"/>
    <n v="70"/>
    <n v="70"/>
    <s v="Drīzāk saspīlētas"/>
    <s v="Nav saspīlētas"/>
    <s v="Nav saspīlētas"/>
    <s v="(Gandrīz) nekad"/>
    <s v="(Gandrīz) nekad"/>
    <s v="(Gandrīz) nekad"/>
    <s v="(Gandrīz) nekad"/>
    <s v="(Gandrīz) nekad"/>
    <s v="Bieži"/>
    <s v="Bieži"/>
    <s v="(Gandrīz) nekad"/>
    <s v="(Gandrīz) nekad"/>
    <s v="Reti"/>
    <s v="Izmantoju krievu valodu lai sarunāties skolā ar draugiem kuriem dzimtā valoda ir krievu lai mums būtu vieglāk sarunāties"/>
    <s v="nē"/>
    <s v="N/A"/>
    <s v="N/A"/>
    <s v="N/A"/>
    <s v="N/A"/>
    <s v="Jā"/>
    <s v="Nē"/>
    <s v="Nē"/>
    <s v="Nē"/>
    <s v="Jā"/>
    <s v="Jā"/>
    <s v="Jā"/>
    <s v="Nē"/>
    <s v="(gandrīz) katru dienu"/>
    <s v="(gandrīz) katru dienu"/>
    <s v="(gandrīz) katru dienu"/>
    <s v="(gandrīz) katru dienu"/>
    <s v="pāris reižu nedēļā"/>
    <s v="pāris reižu nedēļā"/>
    <s v="(gandrīz) katru dienu"/>
    <s v="(gandrīz) nekad"/>
    <s v="(gandrīz) katru dienu"/>
    <s v="(gandrīz) katru dienu"/>
    <s v="(gandrīz) katru dienu"/>
    <s v="(gandrīz) katru dienu"/>
    <s v="(gandrīz) katru dienu"/>
    <s v="(gandrīz) katru dienu"/>
    <s v="brīvas vēlēšanas un plurālisms"/>
    <s v="vienlīdz pieejama izglītība, veselības aprūpe, sociālais nodrošinājums"/>
    <s v="varas līdzsvars starp parlamentu, prezidentu un tiesām, lai neviena no institūcijām nespētu sevī koncentrēt lielāko daļu varas"/>
    <m/>
    <m/>
    <s v="citreiz labi, citreiz slikti"/>
    <s v="citreiz labi, citreiz slikti"/>
    <s v="slikti"/>
    <s v="citreiz labi, citreiz slikti"/>
    <s v="citreiz labi, citreiz slikti"/>
    <s v="pamatizglītību"/>
    <m/>
    <s v="Jā"/>
    <s v="Nē"/>
    <s v="Nē"/>
    <s v="Nē"/>
    <s v="latviešu"/>
    <m/>
    <s v="latviešu"/>
    <m/>
    <m/>
    <m/>
    <m/>
    <m/>
    <m/>
    <m/>
    <m/>
    <m/>
    <m/>
    <m/>
    <m/>
    <m/>
    <m/>
    <m/>
    <m/>
    <m/>
    <m/>
    <m/>
    <m/>
    <m/>
    <m/>
    <s v="N/A"/>
    <s v="N/A"/>
    <s v="N/A"/>
    <s v="N/A"/>
    <s v="N/A"/>
    <s v="N/A"/>
    <m/>
    <m/>
    <m/>
    <m/>
    <m/>
    <s v="Nē"/>
    <s v="Nē"/>
    <s v="Jā"/>
    <s v="Jā"/>
    <s v="Nē"/>
    <s v="Nē"/>
    <s v="Nē"/>
    <s v="Nē"/>
    <s v="Jā"/>
    <s v="Jā"/>
    <s v="Jā"/>
    <s v="Jā"/>
    <s v="Jā"/>
    <s v="Jā"/>
    <s v="Jā"/>
    <s v="Nē"/>
    <m/>
    <s v="Nē"/>
    <m/>
    <s v="Nē"/>
    <m/>
    <s v="Nē"/>
    <m/>
    <s v="Nē"/>
    <m/>
    <s v="Nē"/>
    <s v="Nē"/>
    <s v="Nē"/>
    <s v="Nē"/>
    <s v="Nē"/>
    <s v="Nē"/>
    <s v="Nē"/>
    <s v="Nē"/>
    <s v="Nē"/>
    <s v="Nē"/>
    <s v="Nē"/>
    <s v="Nē"/>
    <s v="Nē"/>
    <s v="Nē"/>
    <s v="Nē"/>
    <s v="Nē"/>
    <s v="Nē"/>
    <s v="Nē"/>
    <s v="Jā"/>
    <m/>
    <s v="Nē"/>
    <m/>
    <s v="Nē"/>
    <m/>
    <s v="Nē"/>
    <m/>
    <s v="Nē"/>
    <m/>
    <s v="Nē"/>
    <s v="Jā"/>
    <s v="Nē"/>
    <s v="Jā"/>
    <s v="Jā"/>
    <s v="Jā"/>
    <s v="Nē"/>
    <s v="Jā"/>
    <s v="Nē"/>
    <s v="Nē"/>
    <s v="Nē"/>
    <s v="Nē"/>
    <s v="Jā"/>
    <s v="Nē"/>
    <m/>
    <m/>
    <m/>
    <m/>
    <m/>
    <m/>
  </r>
  <r>
    <x v="2"/>
    <n v="314"/>
    <s v="2023-09-21 14:22:55"/>
    <n v="14"/>
    <s v="lv"/>
    <n v="2109119810"/>
    <s v="2023-09-21 13:56:25"/>
    <s v="2023-09-21 14:22:55"/>
    <s v="burts"/>
    <n v="17"/>
    <s v="sieviešu"/>
    <m/>
    <x v="0"/>
    <x v="0"/>
    <x v="0"/>
    <x v="0"/>
    <x v="0"/>
    <x v="0"/>
    <s v="Latgalē"/>
    <m/>
    <s v="pareizticīgo"/>
    <m/>
    <s v="Jā"/>
    <s v="Nē"/>
    <s v="Nē"/>
    <s v="Nē"/>
    <s v="Nē"/>
    <s v="Nē"/>
    <s v="Nē"/>
    <s v="N/A"/>
    <s v="N/A"/>
    <s v="N/A"/>
    <s v="N/A"/>
    <s v="N/A"/>
    <s v="N/A"/>
    <s v="Jā"/>
    <s v="Nē"/>
    <s v="Nē"/>
    <s v="Jā"/>
    <s v="Nē"/>
    <s v="Nē"/>
    <s v="Nē"/>
    <s v="Nē"/>
    <s v="Nē"/>
    <s v="Nē"/>
    <s v="Jā"/>
    <s v="Nē"/>
    <s v="Nē"/>
    <s v="Nē"/>
    <s v="Nē"/>
    <s v="a un b"/>
    <s v="tikai a"/>
    <s v="tikai b"/>
    <s v="a un b"/>
    <s v="tikai b"/>
    <s v="tikai b"/>
    <s v="Vienlīdzīgi"/>
    <s v="Lielākoties vienlīdzīgi"/>
    <s v="Vienlīdzīgi"/>
    <s v="Lielākoties vienlīdzīgi"/>
    <s v="Nezinu"/>
    <s v="Politiskā partija &quot;Stabilitātei&quot;"/>
    <s v="&quot;Progresīvie&quot;"/>
    <s v="Nacionālā Apvienība"/>
    <s v="Zaļo un Zemnieku savienība"/>
    <s v="&quot;Apvienotais saraksts&quot;"/>
    <s v="Jaunā Vienotība"/>
    <s v="nezinu"/>
    <s v="Klimata pārmaiņas – tas ir ciklisks un dabisks process."/>
    <s v="jā, lielāko daļu no tā, ko iespējams šķirot"/>
    <s v="Zaļo un Zemnieku savienība"/>
    <s v="&quot;Progresīvie&quot;"/>
    <s v="&quot;Latvija pirmajā vietā&quot;"/>
    <s v="Politiskā partija &quot;Stabilitātei&quot;"/>
    <s v="Nacionālā Apvienība"/>
    <s v="Jaunā Vienotība"/>
    <s v="&quot;Apvienotais saraksts&quot;"/>
    <s v="Jaunā Vienotība"/>
    <s v="&quot;Apvienotais saraksts&quot;"/>
    <s v="Nacionālā Apvienība"/>
    <s v="nezinu"/>
    <s v="nezinu"/>
    <s v="nezinu"/>
    <s v="nezinu"/>
    <s v="Viduvēji"/>
    <s v="Ne sevišķi"/>
    <s v="Ne sevišķi"/>
    <s v="Viduvēji"/>
    <s v="nezinu"/>
    <s v="Nē"/>
    <s v="Nē"/>
    <s v="Nē"/>
    <s v="Nē"/>
    <s v="Nē"/>
    <s v="Jā"/>
    <s v="1.."/>
    <n v="75"/>
    <n v="60"/>
    <n v="77"/>
    <n v="74"/>
    <s v="Es nezinu"/>
    <s v="Nav saspīlētas"/>
    <s v="Nav saspīlētas"/>
    <s v="Nezinu"/>
    <s v="(Gandrīz) nekad"/>
    <s v="(Gandrīz) nekad"/>
    <s v="(Gandrīz) nekad"/>
    <s v="(Gandrīz) nekad"/>
    <s v="Nezinu"/>
    <s v="Reti"/>
    <s v="(Gandrīz) nekad"/>
    <s v="(Gandrīz) nekad"/>
    <s v="(Gandrīz) nekad"/>
    <s v="Skolā latviešu valodu, mājās krievu valodu"/>
    <s v="nē"/>
    <s v="N/A"/>
    <s v="N/A"/>
    <s v="N/A"/>
    <s v="N/A"/>
    <s v="N/A"/>
    <s v="N/A"/>
    <s v="N/A"/>
    <s v="Jā"/>
    <s v="N/A"/>
    <s v="N/A"/>
    <s v="N/A"/>
    <s v="Jā"/>
    <s v="pāris reižu mēnesī"/>
    <s v="(gandrīz) katru dienu"/>
    <s v="(gandrīz) nekad"/>
    <s v="(gandrīz) nekad"/>
    <s v="pāris reižu mēnesī"/>
    <s v="(gandrīz) nekad"/>
    <s v="reizi nedēļā"/>
    <s v="(gandrīz) katru dienu"/>
    <s v="(gandrīz) katru dienu"/>
    <s v="(gandrīz) nekad"/>
    <s v="(gandrīz) katru dienu"/>
    <s v="(gandrīz) katru dienu"/>
    <s v="(gandrīz) katru dienu"/>
    <s v="(gandrīz) katru dienu"/>
    <s v="pilsoniskās brīvības (vārda brīvība, tiesības uz tiesisko aizsardzību)"/>
    <s v="vienlīdz pieejama izglītība, veselības aprūpe, sociālais nodrošinājums"/>
    <s v="vienlīdzīgas tiesības minoritātēm un ievainojamām sabiedrības grupām"/>
    <m/>
    <m/>
    <s v="labi"/>
    <s v="labi"/>
    <s v="labi"/>
    <s v="labi"/>
    <s v="labi"/>
    <s v="pamatizglītību"/>
    <m/>
    <s v="N/A"/>
    <s v="N/A"/>
    <s v="N/A"/>
    <s v="Jā"/>
    <s v="latviešu"/>
    <m/>
    <s v="latviešu"/>
    <m/>
    <s v="Spēju ilgstoši sarunāties ar vienaudžiem / piedalīties darba pārrunās."/>
    <s v="Spēju uzrakstīt garāku sacerējumu / kursa darbu."/>
    <s v="Viegli saprotu televīzijas pārraides vai Youtube video par saviem hobijiem / darbības sfēru."/>
    <s v="Spēju izlasīt avīzi / īsstāstus."/>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s v="pardaudz jautājumu"/>
    <m/>
    <m/>
    <m/>
    <m/>
  </r>
  <r>
    <x v="2"/>
    <n v="315"/>
    <s v="2023-09-21 14:11:24"/>
    <n v="14"/>
    <s v="lv"/>
    <n v="2014051362"/>
    <s v="2023-09-21 13:56:53"/>
    <s v="2023-09-21 14:11:24"/>
    <s v="burts"/>
    <n v="17"/>
    <s v="sieviešu"/>
    <m/>
    <x v="1"/>
    <x v="1"/>
    <x v="0"/>
    <x v="0"/>
    <x v="0"/>
    <x v="0"/>
    <s v="Latgalē"/>
    <m/>
    <s v="katoli(ieti)"/>
    <m/>
    <s v="Jā"/>
    <s v="Jā"/>
    <s v="Nē"/>
    <s v="Nē"/>
    <s v="Nē"/>
    <s v="Nē"/>
    <s v="Nē"/>
    <s v="Nē"/>
    <s v="Jā"/>
    <s v="Nē"/>
    <s v="Nē"/>
    <s v="Nē"/>
    <s v="Jā"/>
    <s v="Nē"/>
    <s v="N/A"/>
    <s v="N/A"/>
    <s v="N/A"/>
    <s v="N/A"/>
    <s v="N/A"/>
    <s v="N/A"/>
    <s v="Jā"/>
    <s v="Nē"/>
    <s v="Nē"/>
    <s v="Jā"/>
    <s v="Nē"/>
    <s v="Jā"/>
    <s v="Jā"/>
    <s v="Nē"/>
    <s v="nezinu"/>
    <s v="nezinu"/>
    <s v="nezinu"/>
    <s v="nezinu"/>
    <s v="nezinu"/>
    <s v="nezinu"/>
    <s v="Lielākoties nevienlīdzīgi"/>
    <s v="Lielākoties vienlīdzīgi"/>
    <s v="Vienlīdzīgi"/>
    <s v="Lielākoties vienlīdzīgi"/>
    <s v="Lielākoties 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Viduvēji"/>
    <s v="Ārkārtīgi"/>
    <s v="Ne sevišķi"/>
    <s v="Ārkārtīgi"/>
    <s v="es nezinu, kas tas ir"/>
    <s v="Jā"/>
    <s v="Nē"/>
    <s v="Jā"/>
    <s v="Jā"/>
    <s v="Jā"/>
    <s v="Nē"/>
    <s v="2.."/>
    <n v="12"/>
    <n v="100"/>
    <m/>
    <m/>
    <s v="Ļoti saspīlētas"/>
    <s v="Ļoti saspīlētas"/>
    <s v="Nav saspīlētas"/>
    <s v="Reti"/>
    <s v="Reti"/>
    <s v="Reti"/>
    <s v="Reti"/>
    <s v="Bieži"/>
    <m/>
    <m/>
    <m/>
    <m/>
    <m/>
    <s v="latviesu valodu, daugvapili, sabiedriskas vietaas"/>
    <s v="nē"/>
    <s v="N/A"/>
    <s v="N/A"/>
    <s v="N/A"/>
    <s v="N/A"/>
    <s v="Jā"/>
    <s v="Nē"/>
    <s v="Nē"/>
    <s v="Nē"/>
    <s v="Jā"/>
    <s v="Jā"/>
    <s v="Jā"/>
    <s v="Nē"/>
    <s v="(gandrīz) katru dienu"/>
    <s v="(gandrīz) katru dienu"/>
    <s v="(gandrīz) katru dienu"/>
    <s v="(gandrīz) katru dienu"/>
    <s v="(gandrīz) katru dienu"/>
    <s v="(gandrīz) katru dienu"/>
    <s v="(gandrīz) katru dienu"/>
    <s v="(gandrīz) nekad"/>
    <s v="reizi nedēļā"/>
    <s v="(gandrīz) nekad"/>
    <s v="pāris reižu nedēļā"/>
    <s v="(gandrīz) nekad"/>
    <s v="pāris reižu nedēļā"/>
    <s v="pāris reižu nedēļā"/>
    <s v="vienlīdzīgas tiesības minoritātēm un ievainojamām sabiedrības grupām"/>
    <s v="pilsoniskās brīvības (vārda brīvība, tiesības uz tiesisko aizsardzību)"/>
    <s v="vienlīdz pieejama izglītība, veselības aprūpe, sociālais nodrošinājums"/>
    <m/>
    <m/>
    <s v="citreiz labi, citreiz slikti"/>
    <s v="citreiz labi, citreiz slikti"/>
    <s v="labi"/>
    <s v="citreiz labi, citreiz slikti"/>
    <s v="citreiz labi, citreiz slikti"/>
    <s v="pamatizglītību"/>
    <m/>
    <s v="N/A"/>
    <s v="N/A"/>
    <s v="N/A"/>
    <s v="Jā"/>
    <s v="latviešu"/>
    <m/>
    <s v="latviešu"/>
    <m/>
    <s v="Spēju pastāstīt par savu hobiju / darbu."/>
    <s v="Spēju uzrakstīt motivācijas vēstuli darbam / par savu darba pieredzi."/>
    <s v="Viegli saprotu radio programmas / podkāstus par saviem hobijiem / darbības sfēru."/>
    <s v="Spēju izlasīt garus tekstus par vēstures, politikas un zinātnes tēmām."/>
    <m/>
    <m/>
    <m/>
    <m/>
    <m/>
    <m/>
    <m/>
    <m/>
    <m/>
    <m/>
    <m/>
    <m/>
    <m/>
    <m/>
    <m/>
    <m/>
    <m/>
    <s v="N/A"/>
    <s v="N/A"/>
    <s v="N/A"/>
    <s v="N/A"/>
    <s v="N/A"/>
    <s v="N/A"/>
    <m/>
    <m/>
    <m/>
    <m/>
    <m/>
    <s v="Nē"/>
    <s v="Nē"/>
    <s v="Nē"/>
    <s v="Nē"/>
    <s v="Nē"/>
    <s v="Nē"/>
    <s v="Nē"/>
    <s v="Nē"/>
    <s v="Jā"/>
    <s v="Nē"/>
    <s v="Nē"/>
    <s v="Jā"/>
    <s v="Nē"/>
    <s v="Nē"/>
    <s v="Nē"/>
    <s v="Nē"/>
    <m/>
    <s v="Nē"/>
    <m/>
    <s v="Nē"/>
    <m/>
    <s v="Nē"/>
    <m/>
    <s v="Nē"/>
    <m/>
    <s v="Nē"/>
    <s v="Nē"/>
    <s v="Nē"/>
    <s v="Nē"/>
    <s v="Nē"/>
    <s v="Nē"/>
    <s v="Nē"/>
    <s v="Nē"/>
    <s v="Nē"/>
    <s v="Nē"/>
    <s v="Nē"/>
    <s v="Nē"/>
    <s v="Nē"/>
    <s v="Nē"/>
    <s v="Nē"/>
    <s v="Nē"/>
    <s v="Nē"/>
    <s v="Nē"/>
    <s v="Jā"/>
    <m/>
    <s v="Nē"/>
    <m/>
    <s v="Nē"/>
    <m/>
    <s v="Nē"/>
    <m/>
    <s v="Nē"/>
    <m/>
    <s v="Jā"/>
    <s v="Jā"/>
    <s v="Nē"/>
    <s v="Nē"/>
    <s v="Jā"/>
    <s v="Jā"/>
    <s v="Nē"/>
    <s v="Jā"/>
    <s v="Nē"/>
    <s v="Nē"/>
    <s v="Nē"/>
    <s v="Nē"/>
    <s v="Jā"/>
    <s v="Nē"/>
    <m/>
    <s v="tiesi pec manas pieredzes man nebija nejausmas par partijaam"/>
    <m/>
    <m/>
    <m/>
    <m/>
  </r>
  <r>
    <x v="2"/>
    <n v="316"/>
    <s v="2023-09-21 14:19:59"/>
    <n v="14"/>
    <s v="ru"/>
    <n v="561219466"/>
    <s v="2023-09-21 13:57:00"/>
    <s v="2023-09-21 14:19:59"/>
    <s v="буква"/>
    <n v="16"/>
    <s v="sieviešu"/>
    <m/>
    <x v="1"/>
    <x v="0"/>
    <x v="0"/>
    <x v="0"/>
    <x v="0"/>
    <x v="0"/>
    <s v="Latgalē"/>
    <m/>
    <s v="katoli(ieti)"/>
    <m/>
    <s v="Nē"/>
    <s v="Jā"/>
    <s v="Nē"/>
    <s v="Nē"/>
    <s v="Nē"/>
    <s v="Nē"/>
    <s v="Nē"/>
    <s v="Nē"/>
    <s v="Jā"/>
    <s v="Nē"/>
    <s v="Nē"/>
    <s v="Nē"/>
    <s v="Nē"/>
    <s v="Nē"/>
    <s v="Nē"/>
    <s v="Jā"/>
    <s v="Jā"/>
    <s v="Nē"/>
    <s v="Nē"/>
    <s v="Nē"/>
    <s v="Nē"/>
    <s v="Jā"/>
    <s v="Jā"/>
    <s v="Nē"/>
    <s v="Nē"/>
    <s v="Nē"/>
    <s v="Nē"/>
    <s v="Nē"/>
    <s v="a un b"/>
    <s v="ne a, ne b"/>
    <s v="tikai b"/>
    <s v="a un b"/>
    <s v="tikai b"/>
    <s v="tikai b"/>
    <s v="Nevienlīdzīgi"/>
    <s v="Lielākoties vienlīdzīgi"/>
    <s v="Lielākoties vienlīdzīgi"/>
    <s v="Vienlīdzīgi"/>
    <s v="Lielākoties vienlīdzīgi"/>
    <s v="Zaļo un Zemnieku savienība"/>
    <s v="&quot;Progresīvie&quot;"/>
    <s v="nezinu"/>
    <s v="Politiskā partija &quot;Stabilitātei&quot;"/>
    <s v="nezinu"/>
    <s v="nezinu"/>
    <s v="&quot;Apvienotais saraksts&quot;"/>
    <s v="Globālā sasilšana ir šķērsojusi robežu, pēc kuras nav iespējams atgriezties, un cilvēkiem būs jāpielāgojas."/>
    <s v="jā, daļu no tā, ko iespējams šķirot"/>
    <s v="nezinu"/>
    <s v="nezinu"/>
    <s v="nezinu"/>
    <s v="nezinu"/>
    <s v="nezinu"/>
    <s v="nezinu"/>
    <s v="nezinu"/>
    <s v="nezinu"/>
    <s v="nezinu"/>
    <s v="nezinu"/>
    <s v="nezinu"/>
    <s v="nezinu"/>
    <s v="nezinu"/>
    <s v="nezinu"/>
    <s v="Viduvēji"/>
    <s v="Neinteresē"/>
    <s v="Viduvēji"/>
    <s v="Ļoti"/>
    <s v="не знаю"/>
    <s v="Nē"/>
    <s v="Nē"/>
    <s v="Nē"/>
    <s v="Nē"/>
    <s v="Jā"/>
    <s v="Nē"/>
    <s v="1.."/>
    <n v="20"/>
    <n v="70"/>
    <n v="63"/>
    <n v="50"/>
    <s v="Drīzāk saspīlētas"/>
    <s v="Nav saspīlētas"/>
    <s v="Nav saspīlētas"/>
    <s v="(Gandrīz) nekad"/>
    <s v="(Gandrīz) nekad"/>
    <s v="(Gandrīz) nekad"/>
    <s v="(Gandrīz) nekad"/>
    <s v="Bieži"/>
    <s v="Bieži"/>
    <s v="Bieži"/>
    <s v="(Gandrīz) nekad"/>
    <s v="(Gandrīz) nekad"/>
    <s v="(Gandrīz) nekad"/>
    <m/>
    <s v="nē"/>
    <s v="N/A"/>
    <s v="N/A"/>
    <s v="N/A"/>
    <s v="N/A"/>
    <s v="Nē"/>
    <s v="Nē"/>
    <s v="Jā"/>
    <s v="Nē"/>
    <s v="N/A"/>
    <s v="N/A"/>
    <s v="N/A"/>
    <s v="Jā"/>
    <s v="pāris reižu nedēļā"/>
    <s v="(gandrīz) katru dienu"/>
    <s v="(gandrīz) katru dienu"/>
    <s v="(gandrīz) nekad"/>
    <s v="(gandrīz) nekad"/>
    <s v="(gandrīz) nekad"/>
    <s v="pāris reižu nedēļā"/>
    <s v="pāris reižu nedēļā"/>
    <s v="pāris reižu nedēļā"/>
    <s v="(gandrīz) nekad"/>
    <s v="(gandrīz) katru dienu"/>
    <s v="(gandrīz) katru dienu"/>
    <s v="(gandrīz) katru dienu"/>
    <s v="reizi nedēļā"/>
    <s v="brīvas vēlēšanas un plurālisms"/>
    <s v="pilsoniskās brīvības (vārda brīvība, tiesības uz tiesisko aizsardzību)"/>
    <s v="vienlīdzīgas tiesības minoritātēm un ievainojamām sabiedrības grupām"/>
    <m/>
    <m/>
    <s v="labi"/>
    <s v="labi"/>
    <s v="citreiz labi, citreiz slikti"/>
    <s v="labi"/>
    <s v="slikti"/>
    <s v="pamatizglītību"/>
    <m/>
    <s v="N/A"/>
    <s v="N/A"/>
    <s v="N/A"/>
    <s v="Jā"/>
    <s v="latviešu"/>
    <m/>
    <s v="latviešu"/>
    <m/>
    <m/>
    <m/>
    <m/>
    <m/>
    <m/>
    <m/>
    <m/>
    <m/>
    <m/>
    <m/>
    <m/>
    <m/>
    <m/>
    <m/>
    <m/>
    <m/>
    <m/>
    <m/>
    <m/>
    <m/>
    <m/>
    <s v="N/A"/>
    <s v="N/A"/>
    <s v="N/A"/>
    <s v="N/A"/>
    <s v="N/A"/>
    <s v="N/A"/>
    <m/>
    <m/>
    <m/>
    <m/>
    <m/>
    <s v="Nē"/>
    <s v="Nē"/>
    <s v="Jā"/>
    <s v="Jā"/>
    <s v="Nē"/>
    <s v="Jā"/>
    <s v="Nē"/>
    <s v="Nē"/>
    <s v="Nē"/>
    <s v="Nē"/>
    <s v="Nē"/>
    <s v="Jā"/>
    <s v="Nē"/>
    <s v="Nē"/>
    <s v="Nē"/>
    <s v="Nē"/>
    <m/>
    <s v="Nē"/>
    <m/>
    <s v="Nē"/>
    <m/>
    <s v="Nē"/>
    <m/>
    <s v="Nē"/>
    <m/>
    <s v="Nē"/>
    <s v="Nē"/>
    <s v="Nē"/>
    <s v="Jā"/>
    <s v="Nē"/>
    <s v="Nē"/>
    <s v="Jā"/>
    <s v="Nē"/>
    <s v="Nē"/>
    <s v="Nē"/>
    <s v="Nē"/>
    <s v="Nē"/>
    <s v="Jā"/>
    <s v="Jā"/>
    <s v="Nē"/>
    <s v="Nē"/>
    <s v="Nē"/>
    <s v="Jā"/>
    <s v="Nē"/>
    <m/>
    <s v="Nē"/>
    <m/>
    <s v="Nē"/>
    <m/>
    <s v="Nē"/>
    <m/>
    <s v="Nē"/>
    <m/>
    <s v="Jā"/>
    <s v="Jā"/>
    <s v="Nē"/>
    <s v="Nē"/>
    <s v="Jā"/>
    <s v="Jā"/>
    <s v="Nē"/>
    <s v="Jā"/>
    <s v="Nē"/>
    <s v="Nē"/>
    <s v="Nē"/>
    <s v="Nē"/>
    <s v="Jā"/>
    <s v="Nē"/>
    <m/>
    <m/>
    <m/>
    <m/>
    <m/>
    <m/>
  </r>
  <r>
    <x v="2"/>
    <n v="317"/>
    <s v="2023-09-21 14:27:36"/>
    <n v="14"/>
    <s v="lv"/>
    <n v="1518681725"/>
    <s v="2023-09-21 13:57:01"/>
    <s v="2023-09-21 14:27:36"/>
    <s v="burts"/>
    <n v="17"/>
    <s v="sieviešu"/>
    <m/>
    <x v="1"/>
    <x v="0"/>
    <x v="0"/>
    <x v="0"/>
    <x v="0"/>
    <x v="0"/>
    <s v="Latgalē"/>
    <m/>
    <s v="ateistu(ti), nereliģiozu"/>
    <m/>
    <s v="Jā"/>
    <s v="Jā"/>
    <s v="Nē"/>
    <s v="Nē"/>
    <s v="Nē"/>
    <s v="Jā"/>
    <s v="Nē"/>
    <s v="N/A"/>
    <s v="N/A"/>
    <s v="N/A"/>
    <s v="N/A"/>
    <s v="N/A"/>
    <s v="N/A"/>
    <s v="Jā"/>
    <s v="Jā"/>
    <s v="Nē"/>
    <s v="Nē"/>
    <s v="Nē"/>
    <s v="Nē"/>
    <s v="Nē"/>
    <s v="Nē"/>
    <s v="Jā"/>
    <s v="Nē"/>
    <s v="Nē"/>
    <s v="Jā"/>
    <s v="Nē"/>
    <s v="Nē"/>
    <s v="Nē"/>
    <s v="nezinu"/>
    <s v="nezinu"/>
    <s v="ne a, ne b"/>
    <s v="tikai a"/>
    <s v="tikai a"/>
    <s v="tikai a"/>
    <s v="Lielākoties nevienlīdzīgi"/>
    <s v="Lielākoties vienlīdzīgi"/>
    <s v="Lielākoties vienlīdzīgi"/>
    <s v="Vienlīdzīgi"/>
    <s v="Lielākoties ne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Ne sevišķi"/>
    <s v="Ārkārtīgi"/>
    <s v="Ļoti"/>
    <s v="Ļoti"/>
    <s v="Nezinu, esmu dzirdējusi šo vārdu, bet nekad neesmu interesējusies ko tas nozīmē, bet šīs stundas laikā sapratu tik to ka, politiķi populisti nav labākie politiki"/>
    <s v="Nē"/>
    <s v="Nē"/>
    <s v="Nē"/>
    <s v="Nē"/>
    <s v="Jā"/>
    <s v="Nē"/>
    <s v="2....."/>
    <n v="50"/>
    <n v="90"/>
    <n v="77"/>
    <n v="5"/>
    <s v="Ļoti saspīlētas"/>
    <s v="Drīzāk saspīlētas"/>
    <s v="Mazliet saspīlētas"/>
    <s v="(Gandrīz) nekad"/>
    <s v="(Gandrīz) nekad"/>
    <s v="(Gandrīz) nekad"/>
    <s v="(Gandrīz) nekad"/>
    <s v="(Gandrīz) nekad"/>
    <s v="(Gandrīz) nekad"/>
    <s v="Dažreiz"/>
    <s v="(Gandrīz) nekad"/>
    <s v="(Gandrīz) nekad"/>
    <s v="(Gandrīz) nekad"/>
    <s v="Nevaru atcerēties kādu konkrētu un traku situāciju. Nu bet citreiz gadās, kad sāc runāt ar cilvēku vienā valodā (latviešu vai krievu), bet cilvēks atbild otrā valodā, nu un tad es vienkārši turpinu sarunu tajā valodā, kurā ir ērtāk runāt sarunu biedram"/>
    <s v="jā, privāta darba devēja labā"/>
    <s v="N/A"/>
    <s v="N/A"/>
    <s v="N/A"/>
    <s v="Jā"/>
    <s v="Jā"/>
    <s v="Nē"/>
    <s v="Nē"/>
    <s v="Nē"/>
    <s v="Jā"/>
    <s v="Jā"/>
    <s v="Jā"/>
    <s v="Nē"/>
    <s v="(gandrīz) katru dienu"/>
    <s v="(gandrīz) katru dienu"/>
    <s v="(gandrīz) nekad"/>
    <s v="reizi nedēļā"/>
    <s v="(gandrīz) nekad"/>
    <s v="(gandrīz) nekad"/>
    <s v="(gandrīz) nekad"/>
    <s v="(gandrīz) katru dienu"/>
    <s v="(gandrīz) katru dienu"/>
    <s v="(gandrīz) katru dienu"/>
    <s v="(gandrīz) katru dienu"/>
    <s v="(gandrīz) katru dienu"/>
    <s v="(gandrīz) katru dienu"/>
    <s v="(gandrīz) katru dienu"/>
    <s v="vienlīdzīgas tiesības minoritātēm un ievainojamām sabiedrības grupām"/>
    <s v="pilsoniskās brīvības (vārda brīvība, tiesības uz tiesisko aizsardzību)"/>
    <s v="vienlīdz pieejama izglītība, veselības aprūpe, sociālais nodrošinājums"/>
    <m/>
    <m/>
    <s v="nezinu"/>
    <s v="nezinu"/>
    <s v="labi"/>
    <s v="slikti"/>
    <s v="slikti"/>
    <s v="pamatizglītību"/>
    <m/>
    <s v="N/A"/>
    <s v="N/A"/>
    <s v="N/A"/>
    <s v="Jā"/>
    <s v="kriev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Nē"/>
    <s v="Nē"/>
    <s v="Jā"/>
    <s v="Nē"/>
    <s v="Jā"/>
    <s v="Jā"/>
    <s v="Nē"/>
    <s v="Jā"/>
    <s v="Nē"/>
    <s v="Nē"/>
    <s v="Nē"/>
    <s v="Nē"/>
    <s v="Nē"/>
    <s v="Nē"/>
    <m/>
    <m/>
    <m/>
    <m/>
    <m/>
    <m/>
  </r>
  <r>
    <x v="2"/>
    <n v="318"/>
    <s v="2023-09-21 14:21:37"/>
    <n v="14"/>
    <s v="lv"/>
    <n v="1753851380"/>
    <s v="2023-09-21 13:58:34"/>
    <s v="2023-09-21 14:21:37"/>
    <s v="burts"/>
    <n v="17"/>
    <s v="vīriešu"/>
    <m/>
    <x v="1"/>
    <x v="0"/>
    <x v="0"/>
    <x v="0"/>
    <x v="0"/>
    <x v="0"/>
    <s v="Latgalē"/>
    <m/>
    <s v="katoli(ieti)"/>
    <m/>
    <s v="Jā"/>
    <s v="Nē"/>
    <s v="Jā"/>
    <s v="Nē"/>
    <s v="Nē"/>
    <s v="Nē"/>
    <s v="Nē"/>
    <s v="Jā"/>
    <s v="Jā"/>
    <s v="Nē"/>
    <s v="Nē"/>
    <s v="Nē"/>
    <s v="Nē"/>
    <s v="Nē"/>
    <s v="Nē"/>
    <s v="Jā"/>
    <s v="Nē"/>
    <s v="Nē"/>
    <s v="Nē"/>
    <s v="Nē"/>
    <s v="Nē"/>
    <s v="Jā"/>
    <s v="Jā"/>
    <s v="Nē"/>
    <s v="Nē"/>
    <s v="Nē"/>
    <s v="Nē"/>
    <s v="Nē"/>
    <s v="tikai b"/>
    <s v="tikai b"/>
    <s v="tikai a"/>
    <s v="tikai b"/>
    <s v="ne a, ne b"/>
    <s v="tikai b"/>
    <s v="Lielākoties vienlīdzīgi"/>
    <s v="Vienlīdzīgi"/>
    <s v="Vienlīdzīgi"/>
    <s v="Vienlīdzīgi"/>
    <s v="Lielākoties vienlīdzīgi"/>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Viduvēji"/>
    <s v="Ārkārtīgi"/>
    <s v="Ne sevišķi"/>
    <s v="Es iedomājos cilvēku kurš pamatmērķis, būs iedzīvotāju pašsajūta"/>
    <s v="Nē"/>
    <s v="Nē"/>
    <s v="Nē"/>
    <s v="Jā"/>
    <s v="Jā"/>
    <s v="Nē"/>
    <s v="2.."/>
    <n v="25"/>
    <n v="100"/>
    <n v="30"/>
    <n v="1"/>
    <s v="Mazliet saspīlētas"/>
    <s v="Drīzāk saspīlētas"/>
    <s v="Nav saspīlētas"/>
    <s v="(Gandrīz) nekad"/>
    <s v="(Gandrīz) nekad"/>
    <s v="(Gandrīz) nekad"/>
    <s v="(Gandrīz) nekad"/>
    <s v="(Gandrīz) nekad"/>
    <s v="(Gandrīz) nekad"/>
    <s v="Reti"/>
    <s v="(Gandrīz) nekad"/>
    <s v="(Gandrīz) nekad"/>
    <s v="(Gandrīz) nekad"/>
    <s v="Skolas teritorijā labāk runāt latviski, bet ar draugiem es biežāk runāju krieviski."/>
    <s v="nē"/>
    <s v="N/A"/>
    <s v="N/A"/>
    <s v="N/A"/>
    <s v="N/A"/>
    <s v="Nē"/>
    <s v="Nē"/>
    <s v="Jā"/>
    <s v="Nē"/>
    <s v="Nē"/>
    <s v="Jā"/>
    <s v="Jā"/>
    <s v="Nē"/>
    <s v="(gandrīz) katru dienu"/>
    <s v="(gandrīz) katru dienu"/>
    <s v="(gandrīz) nekad"/>
    <s v="pāris reižu mēnesī"/>
    <s v="pāris reižu mēnesī"/>
    <s v="pāris reižu nedēļā"/>
    <s v="pāris reižu nedēļā"/>
    <s v="(gandrīz) katru dienu"/>
    <s v="(gandrīz) katru dienu"/>
    <s v="(gandrīz) nekad"/>
    <s v="(gandrīz) katru dienu"/>
    <s v="(gandrīz) katru dienu"/>
    <s v="(gandrīz) katru dienu"/>
    <s v="reizi nedēļā"/>
    <s v="brīvas vēlēšanas un plurālisms"/>
    <s v="vienlīdz pieejama izglītība, veselības aprūpe, sociālais nodrošinājums"/>
    <s v="vienlīdzīgas tiesības minoritātēm un ievainojamām sabiedrības grupām"/>
    <m/>
    <m/>
    <s v="labi"/>
    <s v="labi"/>
    <s v="ļoti labi"/>
    <s v="citreiz labi, citreiz slikti"/>
    <s v="slikti"/>
    <s v="pamatizglītību"/>
    <m/>
    <s v="N/A"/>
    <s v="N/A"/>
    <s v="N/A"/>
    <s v="Jā"/>
    <s v="latviešu"/>
    <m/>
    <s v="latviešu"/>
    <m/>
    <m/>
    <m/>
    <m/>
    <m/>
    <m/>
    <m/>
    <m/>
    <m/>
    <m/>
    <m/>
    <m/>
    <m/>
    <m/>
    <m/>
    <m/>
    <m/>
    <m/>
    <m/>
    <m/>
    <m/>
    <m/>
    <s v="N/A"/>
    <s v="N/A"/>
    <s v="N/A"/>
    <s v="N/A"/>
    <s v="N/A"/>
    <s v="N/A"/>
    <m/>
    <m/>
    <m/>
    <m/>
    <m/>
    <s v="Nē"/>
    <s v="Nē"/>
    <s v="Nē"/>
    <s v="Nē"/>
    <s v="Nē"/>
    <s v="Nē"/>
    <s v="Nē"/>
    <s v="Nē"/>
    <s v="Nē"/>
    <s v="Jā"/>
    <s v="Nē"/>
    <s v="Nē"/>
    <s v="Jā"/>
    <s v="Nē"/>
    <s v="Jā"/>
    <s v="Nē"/>
    <m/>
    <s v="Nē"/>
    <m/>
    <s v="Nē"/>
    <m/>
    <s v="Nē"/>
    <m/>
    <s v="Nē"/>
    <m/>
    <s v="Nē"/>
    <s v="Nē"/>
    <s v="Nē"/>
    <s v="Nē"/>
    <s v="Nē"/>
    <s v="Nē"/>
    <s v="Nē"/>
    <s v="Nē"/>
    <s v="Nē"/>
    <s v="Nē"/>
    <s v="Nē"/>
    <s v="Nē"/>
    <s v="Jā"/>
    <s v="Nē"/>
    <s v="Nē"/>
    <s v="Nē"/>
    <s v="Nē"/>
    <s v="Nē"/>
    <s v="Nē"/>
    <m/>
    <s v="Nē"/>
    <m/>
    <s v="Nē"/>
    <m/>
    <s v="Nē"/>
    <m/>
    <s v="Nē"/>
    <m/>
    <s v="Jā"/>
    <s v="Jā"/>
    <s v="Nē"/>
    <s v="Jā"/>
    <s v="Jā"/>
    <s v="Jā"/>
    <s v="Nē"/>
    <s v="Jā"/>
    <s v="Jā"/>
    <s v="Nē"/>
    <s v="Jā"/>
    <s v="Nē"/>
    <s v="Jā"/>
    <s v="Nē"/>
    <m/>
    <m/>
    <m/>
    <m/>
    <m/>
    <m/>
  </r>
  <r>
    <x v="1"/>
    <n v="152"/>
    <m/>
    <n v="13"/>
    <s v="lv"/>
    <n v="1169374601"/>
    <s v="2023-09-15 08:04:40"/>
    <s v="2023-09-15 08:29:31"/>
    <s v="putns"/>
    <n v="16"/>
    <s v="vīriešu"/>
    <m/>
    <x v="1"/>
    <x v="1"/>
    <x v="0"/>
    <x v="1"/>
    <x v="0"/>
    <x v="0"/>
    <s v="Kurzemē"/>
    <m/>
    <s v="ateistu(ti), nereliģiozu"/>
    <m/>
    <s v="Nē"/>
    <s v="Nē"/>
    <s v="Jā"/>
    <s v="Nē"/>
    <s v="Jā"/>
    <s v="Nē"/>
    <s v="Nē"/>
    <s v="Jā"/>
    <s v="Jā"/>
    <s v="Jā"/>
    <s v="Nē"/>
    <s v="Nē"/>
    <s v="Nē"/>
    <s v="Nē"/>
    <s v="Nē"/>
    <s v="Jā"/>
    <s v="Nē"/>
    <s v="Nē"/>
    <s v="Nē"/>
    <s v="Nē"/>
    <s v="Nē"/>
    <s v="Jā"/>
    <s v="Nē"/>
    <s v="Nē"/>
    <s v="Jā"/>
    <s v="Nē"/>
    <s v="Nē"/>
    <s v="Nē"/>
    <s v="tikai b"/>
    <s v="a un b"/>
    <s v="a un b"/>
    <s v="nezinu"/>
    <s v="tikai b"/>
    <s v="tikai b"/>
    <s v="Lielākoties vienlīdzīgi"/>
    <s v="Lielākoties nevienlīdzīgi"/>
    <s v="Vienlīdzīgi"/>
    <s v="Lielākoties vienlīdzīgi"/>
    <s v="Nezinu"/>
    <s v="nezinu"/>
    <s v="nezinu"/>
    <s v="nezinu"/>
    <s v="nezinu"/>
    <s v="nezinu"/>
    <s v="nezinu"/>
    <s v="nezinu"/>
    <s v="Cīņai ar klimata pārmaiņām būtu jābūt vairumam pasaules valstu galvenajai prioritātei."/>
    <s v="jā, daļu no tā, ko iespējams šķirot"/>
    <s v="nezinu"/>
    <s v="nezinu"/>
    <s v="nezinu"/>
    <s v="nezinu"/>
    <s v="nezinu"/>
    <s v="nezinu"/>
    <s v="nezinu"/>
    <s v="nezinu"/>
    <s v="nezinu"/>
    <s v="nezinu"/>
    <s v="nezinu"/>
    <s v="nezinu"/>
    <s v="nezinu"/>
    <s v="nezinu"/>
    <s v="Ļoti"/>
    <s v="Viduvēji"/>
    <s v="Ne sevišķi"/>
    <s v="Viduvēji"/>
    <s v="Manuprāt, populisms ir tad, kad kāda persona cenšas pielīst pēc iespējas vairāk cilvēkiem ar jebkādām metodēm."/>
    <s v="Nē"/>
    <s v="Jā"/>
    <s v="Nē"/>
    <s v="Jā"/>
    <s v="Jā"/>
    <s v="Nē"/>
    <s v="2.."/>
    <n v="35"/>
    <n v="100"/>
    <m/>
    <m/>
    <s v="Ļoti saspīlētas"/>
    <s v="Mazliet saspīlētas"/>
    <s v="Drīzāk saspīlētas"/>
    <s v="Nezinu"/>
    <s v="Reti"/>
    <s v="(Gandrīz) nekad"/>
    <s v="Reti"/>
    <s v="Bieži"/>
    <m/>
    <m/>
    <m/>
    <m/>
    <m/>
    <s v="Vienīgās valodas ko protu ir latviešu, vācu un angļu. Veikalos bieži sanāk kad kasieris tikai runā krieviski un es vispār nespēju komunicēt. Angļu valodu tik reti sanāk ar tūristiem izmantot."/>
    <s v="nē"/>
    <s v="N/A"/>
    <s v="N/A"/>
    <s v="N/A"/>
    <s v="N/A"/>
    <s v="Jā"/>
    <s v="Nē"/>
    <s v="Nē"/>
    <s v="Nē"/>
    <s v="Jā"/>
    <s v="Jā"/>
    <s v="Nē"/>
    <s v="Nē"/>
    <s v="(gandrīz) katru dienu"/>
    <s v="(gandrīz) katru dienu"/>
    <s v="(gandrīz) katru dienu"/>
    <s v="pāris reižu nedēļā"/>
    <s v="(gandrīz) katru dienu"/>
    <s v="(gandrīz) katru dienu"/>
    <s v="(gandrīz) katru dienu"/>
    <s v="(gandrīz) nekad"/>
    <s v="(gandrīz) nekad"/>
    <s v="(gandrīz) nekad"/>
    <s v="(gandrīz) nekad"/>
    <s v="(gandrīz) nekad"/>
    <s v="(gandrīz) nekad"/>
    <s v="(gandrīz) nekad"/>
    <s v="brīvas vēlēšanas un plurālisms"/>
    <s v="vienlīdzīgas tiesības minoritātēm un ievainojamām sabiedrības grupām"/>
    <s v="pilsoniskās brīvības (vārda brīvība, tiesības uz tiesisko aizsardzību)"/>
    <m/>
    <m/>
    <s v="labi"/>
    <s v="ļoti labi"/>
    <s v="slikti"/>
    <s v="citreiz labi, citreiz slikti"/>
    <s v="citreiz labi, citreiz slikti"/>
    <s v="pamatizglītību"/>
    <m/>
    <s v="N/A"/>
    <s v="N/A"/>
    <s v="N/A"/>
    <s v="Jā"/>
    <s v="latviešu"/>
    <m/>
    <s v="latviešu"/>
    <m/>
    <s v="{if(is_empty(tongueLAT_SQ001.NAOK), 'latviski','krieviski')} nerunāju it nemaz."/>
    <s v="Spēju uzrakstīt vēstuli draugam."/>
    <s v="Saprotu norādes, kur iet."/>
    <s v="{if(is_empty(tongueLAT_SQ001.NAOK), 'latviski','krieviski')} spēju izlasīt ēdienkarti restorānā."/>
    <m/>
    <m/>
    <m/>
    <m/>
    <m/>
    <m/>
    <m/>
    <m/>
    <m/>
    <m/>
    <m/>
    <m/>
    <m/>
    <m/>
    <m/>
    <m/>
    <m/>
    <s v="N/A"/>
    <s v="N/A"/>
    <s v="N/A"/>
    <s v="N/A"/>
    <s v="N/A"/>
    <s v="N/A"/>
    <m/>
    <m/>
    <m/>
    <m/>
    <m/>
    <s v="Nē"/>
    <s v="Nē"/>
    <s v="Jā"/>
    <s v="Nē"/>
    <s v="Nē"/>
    <s v="Nē"/>
    <s v="Nē"/>
    <s v="Nē"/>
    <s v="Jā"/>
    <s v="Nē"/>
    <s v="Jā"/>
    <s v="Jā"/>
    <s v="Nē"/>
    <s v="Nē"/>
    <s v="Nē"/>
    <s v="Nē"/>
    <m/>
    <s v="Nē"/>
    <m/>
    <s v="Nē"/>
    <m/>
    <s v="Nē"/>
    <m/>
    <s v="Nē"/>
    <m/>
    <s v="Nē"/>
    <s v="Nē"/>
    <s v="Nē"/>
    <s v="Jā"/>
    <s v="Nē"/>
    <s v="Nē"/>
    <s v="Nē"/>
    <s v="Nē"/>
    <s v="Nē"/>
    <s v="Nē"/>
    <s v="Nē"/>
    <s v="Nē"/>
    <s v="Nē"/>
    <s v="Nē"/>
    <s v="Nē"/>
    <s v="Nē"/>
    <s v="Jā"/>
    <s v="Nē"/>
    <s v="Nē"/>
    <m/>
    <s v="Nē"/>
    <m/>
    <s v="Nē"/>
    <m/>
    <s v="Nē"/>
    <m/>
    <s v="Nē"/>
    <m/>
    <s v="Jā"/>
    <s v="Jā"/>
    <s v="Nē"/>
    <s v="Nē"/>
    <s v="Jā"/>
    <s v="Nē"/>
    <s v="Nē"/>
    <s v="Jā"/>
    <s v="Jā"/>
    <s v="Nē"/>
    <s v="Jā"/>
    <s v="Nē"/>
    <s v="Jā"/>
    <s v="Nē"/>
    <m/>
    <m/>
    <n v="1492.18"/>
    <n v="8.42"/>
    <m/>
    <n v="57.19"/>
  </r>
  <r>
    <x v="1"/>
    <n v="171"/>
    <m/>
    <n v="13"/>
    <s v="ru"/>
    <n v="1303322540"/>
    <s v="2023-09-15 08:05:40"/>
    <s v="2023-09-15 08:34:22"/>
    <s v="столб"/>
    <n v="17"/>
    <s v="vīriešu"/>
    <m/>
    <x v="1"/>
    <x v="0"/>
    <x v="0"/>
    <x v="0"/>
    <x v="0"/>
    <x v="0"/>
    <s v="Kurzemē"/>
    <m/>
    <s v="pareizticīgo"/>
    <m/>
    <s v="Nē"/>
    <s v="Jā"/>
    <s v="Nē"/>
    <s v="Nē"/>
    <s v="Nē"/>
    <s v="Nē"/>
    <s v="Nē"/>
    <s v="Nē"/>
    <s v="Nē"/>
    <s v="Nē"/>
    <s v="Jā"/>
    <s v="Nē"/>
    <s v="Nē"/>
    <s v="Nē"/>
    <s v="Nē"/>
    <s v="Nē"/>
    <s v="Jā"/>
    <s v="Nē"/>
    <s v="Nē"/>
    <s v="Nē"/>
    <s v="Nē"/>
    <s v="Jā"/>
    <s v="Nē"/>
    <s v="Nē"/>
    <s v="Nē"/>
    <s v="Nē"/>
    <s v="Nē"/>
    <s v="Nē"/>
    <m/>
    <m/>
    <m/>
    <m/>
    <s v="tikai a"/>
    <m/>
    <s v="Lielākoties vienlīdzīgi"/>
    <s v="Nevienlīdzīgi"/>
    <s v="Lielākoties vienlīdzīgi"/>
    <s v="Vienlīdzīgi"/>
    <s v="Lielākoties nevienlīdzīgi"/>
    <s v="nezinu"/>
    <s v="nezinu"/>
    <s v="nezinu"/>
    <s v="nezinu"/>
    <s v="nezinu"/>
    <s v="nezinu"/>
    <s v="nezinu"/>
    <s v="Cīņai ar klimata pārmaiņām būtu jābūt vairumam pasaules valstu galvenajai prioritātei."/>
    <s v="jā, visu, ko iespējams šķirot"/>
    <s v="nezinu"/>
    <s v="nezinu"/>
    <s v="nezinu"/>
    <s v="nezinu"/>
    <s v="nezinu"/>
    <s v="nezinu"/>
    <s v="nezinu"/>
    <s v="nezinu"/>
    <s v="nezinu"/>
    <s v="nezinu"/>
    <s v="nezinu"/>
    <s v="nezinu"/>
    <s v="nezinu"/>
    <s v="nezinu"/>
    <s v="Neinteresē"/>
    <s v="Neinteresē"/>
    <s v="Neinteresē"/>
    <s v="Neinteresē"/>
    <s v="цель навязать обществу те или иные &quot;понятия&quot; которые в других странах считаються нормальными, тот же пример с лгбт сообществом где людям навязали что однополые браки это нормально"/>
    <s v="Nē"/>
    <s v="Nē"/>
    <s v="Jā"/>
    <s v="Nē"/>
    <s v="Jā"/>
    <s v="Nē"/>
    <s v="1.."/>
    <n v="60"/>
    <n v="100"/>
    <n v="100"/>
    <n v="100"/>
    <s v="Ļoti saspīlētas"/>
    <s v="Mazliet saspīlētas"/>
    <s v="Nav saspīlētas"/>
    <s v="(Gandrīz) nekad"/>
    <s v="(Gandrīz) nekad"/>
    <s v="(Gandrīz) nekad"/>
    <s v="(Gandrīz) nekad"/>
    <s v="(Gandrīz) nekad"/>
    <s v="Reti"/>
    <s v="Reti"/>
    <s v="Reti"/>
    <s v="Reti"/>
    <s v="Dažreiz"/>
    <s v="подрался с латышом на улице потому что ему не понравился язык на котором я говорю"/>
    <s v="nē"/>
    <s v="N/A"/>
    <s v="N/A"/>
    <s v="N/A"/>
    <s v="N/A"/>
    <s v="Nē"/>
    <s v="Nē"/>
    <s v="Jā"/>
    <s v="Nē"/>
    <s v="N/A"/>
    <s v="N/A"/>
    <s v="N/A"/>
    <s v="Jā"/>
    <s v="(gandrīz) nekad"/>
    <s v="(gandrīz) katru dienu"/>
    <s v="(gandrīz) katru dienu"/>
    <s v="(gandrīz) nekad"/>
    <s v="(gandrīz) nekad"/>
    <s v="(gandrīz) nekad"/>
    <s v="pāris reižu nedēļā"/>
    <s v="(gandrīz) katru dienu"/>
    <s v="(gandrīz) katru dienu"/>
    <s v="(gandrīz) nekad"/>
    <s v="(gandrīz) katru dienu"/>
    <s v="(gandrīz) katru dienu"/>
    <s v="(gandrīz) katru dienu"/>
    <s v="(gandrīz) nekad"/>
    <s v="brīvas vēlēšanas un plurālisms"/>
    <s v="pilsoniskās brīvības (vārda brīvība, tiesības uz tiesisko aizsardzību)"/>
    <s v="vienlīdz pieejama izglītība, veselības aprūpe, sociālais nodrošinājums"/>
    <m/>
    <m/>
    <s v="nezinu"/>
    <s v="nezinu"/>
    <s v="nezinu"/>
    <s v="nezinu"/>
    <s v="nezinu"/>
    <s v="pamatizglītību"/>
    <m/>
    <s v="N/A"/>
    <s v="N/A"/>
    <s v="N/A"/>
    <s v="Jā"/>
    <s v="krievu"/>
    <m/>
    <s v="latviešu"/>
    <m/>
    <m/>
    <m/>
    <m/>
    <m/>
    <m/>
    <m/>
    <m/>
    <m/>
    <m/>
    <m/>
    <m/>
    <m/>
    <m/>
    <m/>
    <m/>
    <m/>
    <m/>
    <m/>
    <m/>
    <m/>
    <m/>
    <s v="N/A"/>
    <s v="N/A"/>
    <s v="N/A"/>
    <s v="N/A"/>
    <s v="N/A"/>
    <s v="N/A"/>
    <m/>
    <m/>
    <m/>
    <m/>
    <m/>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Jā"/>
    <s v="Jā"/>
    <s v="Jā"/>
    <s v="Jā"/>
    <s v="Jā"/>
    <s v="Nē"/>
    <s v="Jā"/>
    <s v="Nē"/>
    <s v="Nē"/>
    <s v="Nē"/>
    <s v="Nē"/>
    <s v="Jā"/>
    <s v="Nē"/>
    <m/>
    <m/>
    <n v="1724.84"/>
    <n v="14.27"/>
    <m/>
    <n v="48.53"/>
  </r>
  <r>
    <x v="0"/>
    <n v="257"/>
    <m/>
    <n v="13"/>
    <s v="lv"/>
    <n v="76278457"/>
    <s v="2023-09-18 08:06:07"/>
    <s v="2023-09-18 08:40:12"/>
    <s v="ledus"/>
    <n v="17"/>
    <s v="vīriešu"/>
    <m/>
    <x v="0"/>
    <x v="1"/>
    <x v="0"/>
    <x v="1"/>
    <x v="0"/>
    <x v="0"/>
    <s v="Cita atbilde"/>
    <s v="Miami"/>
    <s v="katoli(ieti)"/>
    <m/>
    <s v="Nē"/>
    <s v="Jā"/>
    <s v="Nē"/>
    <s v="Nē"/>
    <s v="Nē"/>
    <s v="Nē"/>
    <s v="Nē"/>
    <s v="Jā"/>
    <s v="Jā"/>
    <s v="Nē"/>
    <s v="Nē"/>
    <s v="Nē"/>
    <s v="Nē"/>
    <s v="Nē"/>
    <s v="Nē"/>
    <s v="Nē"/>
    <s v="Nē"/>
    <s v="Jā"/>
    <s v="Nē"/>
    <s v="Nē"/>
    <s v="Nē"/>
    <s v="Jā"/>
    <s v="Jā"/>
    <s v="Nē"/>
    <s v="Nē"/>
    <s v="Nē"/>
    <s v="Nē"/>
    <s v="Nē"/>
    <s v="tikai a"/>
    <s v="a un b"/>
    <s v="a un b"/>
    <s v="a un b"/>
    <s v="a un b"/>
    <s v="a un b"/>
    <s v="Vienlīdzīgi"/>
    <s v="Vienlīdzīgi"/>
    <s v="Vienlīdzīgi"/>
    <s v="Vienlīdzīgi"/>
    <s v="Vienlīdzīgi"/>
    <s v="nezinu"/>
    <s v="nezinu"/>
    <s v="nezinu"/>
    <s v="nezinu"/>
    <s v="nezinu"/>
    <s v="nezinu"/>
    <s v="nezinu"/>
    <s v="Reizēm ekonomiskā un valsts stabilitāte varētu nozīmēt, ka atsevišķi ekoloģiskās politikas aspekti ir uz brīdi jāiepauzē."/>
    <s v="jā, lielāko daļu no tā, ko iespējams šķirot"/>
    <s v="nezinu"/>
    <s v="nezinu"/>
    <s v="nezinu"/>
    <s v="nezinu"/>
    <s v="nezinu"/>
    <s v="nezinu"/>
    <s v="nezinu"/>
    <s v="nezinu"/>
    <s v="nezinu"/>
    <s v="nezinu"/>
    <s v="nezinu"/>
    <s v="nezinu"/>
    <s v="nezinu"/>
    <s v="nezinu"/>
    <s v="Viduvēji"/>
    <s v="Neinteresē"/>
    <s v="Ne sevišķi"/>
    <s v="Viduvēji"/>
    <s v="nezinu"/>
    <s v="N/A"/>
    <s v="N/A"/>
    <s v="N/A"/>
    <s v="N/A"/>
    <s v="N/A"/>
    <s v="N/A"/>
    <m/>
    <m/>
    <m/>
    <m/>
    <m/>
    <m/>
    <m/>
    <m/>
    <m/>
    <m/>
    <m/>
    <m/>
    <m/>
    <m/>
    <m/>
    <m/>
    <m/>
    <m/>
    <m/>
    <s v="nē"/>
    <s v="N/A"/>
    <s v="N/A"/>
    <s v="N/A"/>
    <s v="N/A"/>
    <s v="Jā"/>
    <s v="Jā"/>
    <s v="Jā"/>
    <s v="Nē"/>
    <s v="Jā"/>
    <s v="Nē"/>
    <s v="Jā"/>
    <s v="Nē"/>
    <m/>
    <m/>
    <m/>
    <m/>
    <m/>
    <m/>
    <m/>
    <m/>
    <m/>
    <m/>
    <m/>
    <m/>
    <m/>
    <m/>
    <s v="pilsoniskās brīvības (vārda brīvība, tiesības uz tiesisko aizsardzību)"/>
    <s v="vienlīdzīgas tiesības minoritātēm un ievainojamām sabiedrības grupām"/>
    <s v="brīvas vēlēšanas un plurālisms"/>
    <m/>
    <m/>
    <s v="citreiz labi, citreiz slikti"/>
    <s v="citreiz labi, citreiz slikti"/>
    <s v="citreiz labi, citreiz slikti"/>
    <s v="nezinu"/>
    <s v="nezinu"/>
    <s v="vidējo izglītību"/>
    <m/>
    <s v="Jā"/>
    <s v="Nē"/>
    <s v="Nē"/>
    <s v="Nē"/>
    <s v="Cita atbilde"/>
    <s v="Angļu"/>
    <s v="latviešu"/>
    <m/>
    <m/>
    <m/>
    <m/>
    <m/>
    <s v="Spēju pastāstīt par savu hobiju / darbu."/>
    <s v="Spēju uzrakstīt garāku sacerējumu / kursa darbu."/>
    <s v="Viegli saprotu televīzijas pārraides vai Youtube video par saviem hobijiem / darbības sfēru."/>
    <s v="Spēju izlasīt garus tekstus par vēstures, politikas un zinātnes tēmām."/>
    <s v="(Gandrīz) nekad"/>
    <s v="Dažreiz"/>
    <s v="Reti"/>
    <s v="Reti"/>
    <s v="Dažreiz"/>
    <s v="Reti"/>
    <s v="Reti"/>
    <s v="Reti"/>
    <s v="Reti"/>
    <s v="Dažreiz"/>
    <s v="Jā, personisku iemeslu dēļ."/>
    <m/>
    <s v="Man jau ir konkrēts plāns (esmu pieteicies kursā / pie privātskolotāja utt., ir sarunāts valodas tandēms)."/>
    <s v="Nē"/>
    <s v="Nē"/>
    <s v="Jā"/>
    <s v="Nē"/>
    <s v="Jā"/>
    <s v="Nē"/>
    <n v="80"/>
    <n v="25"/>
    <m/>
    <m/>
    <s v="nē"/>
    <s v="Nē"/>
    <s v="Nē"/>
    <s v="Nē"/>
    <s v="Nē"/>
    <s v="Nē"/>
    <s v="Nē"/>
    <s v="Nē"/>
    <s v="Nē"/>
    <s v="Nē"/>
    <s v="Nē"/>
    <s v="Nē"/>
    <s v="Nē"/>
    <s v="Nē"/>
    <s v="Nē"/>
    <s v="Nē"/>
    <s v="Jā"/>
    <m/>
    <s v="Nē"/>
    <m/>
    <s v="Nē"/>
    <m/>
    <s v="Nē"/>
    <m/>
    <s v="Nē"/>
    <m/>
    <s v="Nē"/>
    <s v="Nē"/>
    <s v="Nē"/>
    <s v="Nē"/>
    <s v="Nē"/>
    <s v="Nē"/>
    <s v="Nē"/>
    <s v="Nē"/>
    <s v="Nē"/>
    <s v="Nē"/>
    <s v="Nē"/>
    <s v="Nē"/>
    <s v="Nē"/>
    <s v="Nē"/>
    <s v="Nē"/>
    <s v="Nē"/>
    <s v="Nē"/>
    <s v="Nē"/>
    <s v="Jā"/>
    <m/>
    <s v="Nē"/>
    <m/>
    <s v="Nē"/>
    <m/>
    <s v="Nē"/>
    <m/>
    <s v="Nē"/>
    <m/>
    <s v="Jā"/>
    <s v="Nē"/>
    <s v="Nē"/>
    <s v="Nē"/>
    <s v="Jā"/>
    <s v="Jā"/>
    <s v="Nē"/>
    <s v="Jā"/>
    <s v="Nē"/>
    <s v="Nē"/>
    <s v="Nē"/>
    <s v="Nē"/>
    <s v="Nē"/>
    <s v="Nē"/>
    <m/>
    <m/>
    <n v="2049.4499999999998"/>
    <n v="12.72"/>
    <m/>
    <n v="93.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6F973B-0423-4ECC-AF2D-4DCB7E9C8D54}" name="Rakurstabula1" cacheId="0" applyNumberFormats="0" applyBorderFormats="0" applyFontFormats="0" applyPatternFormats="0" applyAlignmentFormats="0" applyWidthHeightFormats="1" dataCaption="Vērtības" updatedVersion="7" minRefreshableVersion="3" useAutoFormatting="1" itemPrintTitles="1" createdVersion="7" indent="0" outline="1" outlineData="1" multipleFieldFilters="0">
  <location ref="A8:G12" firstHeaderRow="0" firstDataRow="1" firstDataCol="1" rowPageCount="6" colPageCount="1"/>
  <pivotFields count="266">
    <pivotField axis="axisRow"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axis="axisPage" dataField="1" showAll="0">
      <items count="3">
        <item x="0"/>
        <item x="1"/>
        <item t="default"/>
      </items>
    </pivotField>
    <pivotField axis="axisPage" dataField="1" showAll="0">
      <items count="3">
        <item x="1"/>
        <item x="0"/>
        <item t="default"/>
      </items>
    </pivotField>
    <pivotField axis="axisPage" dataField="1" showAll="0">
      <items count="3">
        <item x="1"/>
        <item x="0"/>
        <item t="default"/>
      </items>
    </pivotField>
    <pivotField axis="axisPage" dataField="1" showAll="0">
      <items count="3">
        <item x="1"/>
        <item x="0"/>
        <item t="default"/>
      </items>
    </pivotField>
    <pivotField axis="axisPage" dataField="1" showAll="0">
      <items count="6">
        <item x="3"/>
        <item x="1"/>
        <item x="4"/>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
  </colFields>
  <colItems count="6">
    <i>
      <x/>
    </i>
    <i i="1">
      <x v="1"/>
    </i>
    <i i="2">
      <x v="2"/>
    </i>
    <i i="3">
      <x v="3"/>
    </i>
    <i i="4">
      <x v="4"/>
    </i>
    <i i="5">
      <x v="5"/>
    </i>
  </colItems>
  <pageFields count="6">
    <pageField fld="12" item="0" hier="-1"/>
    <pageField fld="13" item="0" hier="-1"/>
    <pageField fld="14" item="1" hier="-1"/>
    <pageField fld="15" item="1" hier="-1"/>
    <pageField fld="16" item="1" hier="-1"/>
    <pageField fld="17" hier="-1"/>
  </pageFields>
  <dataFields count="6">
    <dataField name="Skaits no Dzimtā valoda(s): [Latviešu]" fld="12" subtotal="count" baseField="0" baseItem="0"/>
    <dataField name="Skaits no Dzimtā valoda(s): [Krievu  ]" fld="13" subtotal="count" baseField="0" baseItem="0"/>
    <dataField name="Skaits no Dzimtā valoda(s): [Ukraiņu ]" fld="14" subtotal="count" baseField="0" baseItem="0"/>
    <dataField name="Skaits no Dzimtā valoda(s): [Angļu]" fld="15" subtotal="count" baseField="0" baseItem="0"/>
    <dataField name="Skaits no Dzimtā valoda(s): [Poļu]" fld="16" subtotal="count" baseField="0" baseItem="0"/>
    <dataField name="Skaits no Dzimtā valoda(s): [Cita atbilde]"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DA7BBC-B8E4-4741-9BFB-66B0C20C6194}" name="Tabula1" displayName="Tabula1" ref="A1:XFD1048575" totalsRowShown="0">
  <autoFilter ref="A1:XFD1048575" xr:uid="{03DA7BBC-B8E4-4741-9BFB-66B0C20C6194}"/>
  <tableColumns count="16384">
    <tableColumn id="1" xr3:uid="{93E193FD-EFB3-41F1-8A68-FD39165EA6D0}" name="City"/>
    <tableColumn id="2" xr3:uid="{C511049F-0112-438D-A92C-87063752467E}" name="Atbildes ID"/>
    <tableColumn id="3" xr3:uid="{7F2F1ED3-D3DD-4FA6-B19A-FBEB5F725436}" name="Nosūtīšanas datums"/>
    <tableColumn id="4" xr3:uid="{4E065E41-CE37-44A0-AC2C-183776AB1BC0}" name="Pēdēja lapa"/>
    <tableColumn id="5" xr3:uid="{E68EF7D2-F975-431B-8755-4D99072248A7}" name="Sākuma valoda"/>
    <tableColumn id="6" xr3:uid="{7E0496C5-C109-4435-8A85-51B682DA6A34}" name="Sākotnējā vērtība"/>
    <tableColumn id="7" xr3:uid="{5E667AB9-BF3E-4017-9AD1-FC59F52B4CE1}" name="Sākuma datums"/>
    <tableColumn id="8" xr3:uid="{E577F898-4AD5-405E-AD98-13465AF0CF86}" name="Pēdējās darbības datums"/>
    <tableColumn id="9" xr3:uid="{CA55333C-AB9E-4029-82FD-85C727DF4BBA}" name="Vispārēja datu aizsardzības regula un cita informācija. Lai piedalītos aptaujā, lūdzu, ievadiet kodu:"/>
    <tableColumn id="10" xr3:uid="{633C05C3-FED7-4E61-8721-0002EE1064E1}" name="Vecums (gados):"/>
    <tableColumn id="11" xr3:uid="{8BEA926F-8B1B-4E98-9EA0-9C31E7100719}" name="Dzimums (dzimumidentitāte):"/>
    <tableColumn id="12" xr3:uid="{FB9E315C-1F36-418A-8FFD-B9B4A337856D}" name="Dzimums (dzimumidentitāte): [Cita atbilde]"/>
    <tableColumn id="13" xr3:uid="{4A7DE0BB-5EC2-4E55-97D5-C8BB0AC5247A}" name="Dzimtā valoda(s): [Latviešu]"/>
    <tableColumn id="14" xr3:uid="{8DCC22F2-FC5A-4BC1-9236-1BD50DAA1AE1}" name="Dzimtā valoda(s): [Krievu  ]"/>
    <tableColumn id="15" xr3:uid="{CEB12E42-2EF1-45D7-BFFB-F4F536B2CA02}" name="Dzimtā valoda(s): [Ukraiņu ]"/>
    <tableColumn id="16" xr3:uid="{53D1B663-B00E-47D3-972C-166D70F8F55B}" name="Dzimtā valoda(s): [Angļu]"/>
    <tableColumn id="17" xr3:uid="{2EA8D7A9-DF7F-428C-A5C2-DC4BFAC1FDDE}" name="Dzimtā valoda(s): [Poļu]"/>
    <tableColumn id="18" xr3:uid="{EE89BF2F-8871-41BF-A6D7-882D19314393}" name="Dzimtā valoda(s): [Cita atbilde]"/>
    <tableColumn id="19" xr3:uid="{128DB0DA-BD8D-4170-809E-BCE6EBB165CF}" name="Lielāko dzīves daļu esmu pavadījis šajā reģionā:"/>
    <tableColumn id="20" xr3:uid="{022168E2-1A87-4383-881A-347CFEA60763}" name="Lielāko dzīves daļu esmu pavadījis šajā reģionā: [Cita atbilde]"/>
    <tableColumn id="21" xr3:uid="{88AA4EE0-85A5-4A02-B873-50EBF2CC8FE9}" name="Reliģiskās ticības ziņā sevi uzskatu par:"/>
    <tableColumn id="22" xr3:uid="{BBA288BD-5B54-468C-8A1B-E5A5A8A1A8BE}" name="Reliģiskās ticības ziņā sevi uzskatu par: [Cita atbilde]"/>
    <tableColumn id="23" xr3:uid="{56043BAB-44D1-4658-B291-F3815E834FE0}" name="Politiķis, uzrunādams publiku: &quot;Mēs... [... esam sabiedrība, kas sastāv no dažādiem, taču vienlīdzīgiem indivīdiem.&quot;]"/>
    <tableColumn id="24" xr3:uid="{2811B528-DFA5-4204-A424-01839616EB15}" name="Politiķis, uzrunādams publiku: &quot;Mēs... [... esam gatavi sadarboties sabiedrības labumam.&quot;]"/>
    <tableColumn id="25" xr3:uid="{D3C9DDDE-63A6-4A1F-BBD5-F7240CB8E1A5}" name="Politiķis, uzrunādams publiku: &quot;Mēs... [... esam neiznīcināma nācija, ko nospiež svešzemju ietekmes.&quot;]"/>
    <tableColumn id="26" xr3:uid="{5D42FE13-4CC8-4A14-B412-3A4615A29AC0}" name="Politiķis, uzrunādams publiku: &quot;Mēs... [... esam spēcīga nācija, kura piemēro ārzemju likumdošanu.&quot;]"/>
    <tableColumn id="27" xr3:uid="{135574EC-3C0F-4810-A545-653F28F3C69B}" name="Politiķis, uzrunādams publiku: &quot;Mēs... [... esam tuvu tam, lai zaudētu savu identitāti, savu dzīvesveidu.&quot;]"/>
    <tableColumn id="28" xr3:uid="{0EA062A7-01A8-4F73-AFB9-6334E9BB9FB9}" name="Politiķis, uzrunādams publiku: &quot;Mēs... [... piedzīvojam identitātes pārmaiņas.&quot;]"/>
    <tableColumn id="29" xr3:uid="{620C69BB-8326-41C9-9883-3CFAC0B4D70A}" name="Politiķis, uzrunādams publiku: &quot;Mēs... [es nezinu]"/>
    <tableColumn id="30" xr3:uid="{6BD14051-C041-444A-A4B6-4FF4AB74F63B}" name="Politiķis, runādams par pašreizējo valdību: &quot;Pašreizējā valdība... [... pastāvīgi aizmirst par vienkāršajiem ļaudīm.&quot;]"/>
    <tableColumn id="31" xr3:uid="{7B207512-5BC5-42CD-9D15-13FD43326F9C}" name="Politiķis, runādams par pašreizējo valdību: &quot;Pašreizējā valdība... [... ne vienmēr ņem vērā visas sabiedrības daļas.&quot;]"/>
    <tableColumn id="32" xr3:uid="{1291ECDF-7B00-4743-A51E-A2CB91F067BC}" name="Politiķis, runādams par pašreizējo valdību: &quot;Pašreizējā valdība... [... ir uzpirkusi un kontrolē valsts medijus.&quot;]"/>
    <tableColumn id="33" xr3:uid="{D1B81DB1-1AEC-4AC6-B9EA-A8BFB7F27D19}" name="Politiķis, runādams par pašreizējo valdību: &quot;Pašreizējā valdība... [... ir pelnījusi cieņu, par spīti mūsu politiskajām domstarpībām.&quot;]"/>
    <tableColumn id="34" xr3:uid="{A1E4A51E-83DF-4C36-AE21-6617A450C776}" name="Politiķis, runādams par pašreizējo valdību: &quot;Pašreizējā valdība... [... saskārusies ar krīzi, rīkojās pilnīgi bezatbildīgi.&quot;]"/>
    <tableColumn id="35" xr3:uid="{4907DFEB-4491-4A8B-A422-CAB600342E91}" name="Politiķis, runādams par pašreizējo valdību: &quot;Pašreizējā valdība... [... ir veikusi pieņemamu darbu, taču mēs to varam uzlabot.&quot;]"/>
    <tableColumn id="36" xr3:uid="{A28B9863-C633-4453-824C-F62C5B4C97D0}" name="Politiķis, runādams par pašreizējo valdību: &quot;Pašreizējā valdība... [es nezinu]"/>
    <tableColumn id="37" xr3:uid="{55527F4E-EB83-4CBF-8552-790DAA71DAE9}" name="Politiķis, runādams par sabiedrību: &quot;Mūsu valstī... [... jāstrādā ar to daudzveidību, kāda mums ir.&quot;]"/>
    <tableColumn id="38" xr3:uid="{4461F238-624D-45DC-87D3-B915CC7311C8}" name="Politiķis, runādams par sabiedrību: &quot;Mūsu valstī... [... ir pienākums atbalstīt un aizsargāt īstās ģimenes.&quot;]"/>
    <tableColumn id="39" xr3:uid="{23427444-C4CA-4D85-B51F-09AF0EF114A6}" name="Politiķis, runādams par sabiedrību: &quot;Mūsu valstī... [... pastāv iekļaujoša, demokrātiska pilsoniskā sabiedrībā.&quot;]"/>
    <tableColumn id="40" xr3:uid="{016E0581-E5F5-4AEF-8BC1-81C19FCE7CEB}" name="Politiķis, runādams par sabiedrību: &quot;Mūsu valstī... [... vienmēr bijusi multietniska sabiedrība.&quot;]"/>
    <tableColumn id="41" xr3:uid="{1A62CF8F-8D76-4AFC-BB99-4DE7CA2183D7}" name="Politiķis, runādams par sabiedrību: &quot;Mūsu valstī... [... nav pienākums piekāpties katras minoritātes katrai prasībai.&quot;]"/>
    <tableColumn id="42" xr3:uid="{E6356E45-1035-4DB1-A2E6-8C8957F66FF1}" name="Politiķis, runādams par sabiedrību: &quot;Mūsu valstī... [... nevar izpildīt visu minoritāšu vēlmes.&quot;]"/>
    <tableColumn id="43" xr3:uid="{2A2F56EC-45B0-4E94-B97F-EA7A571D0398}" name="Politiķis, runādams par sabiedrību: &quot;Mūsu valstī... [es nezinu]"/>
    <tableColumn id="44" xr3:uid="{27F52E2B-A3DA-4C77-A0BD-FD847FE85B6B}" name="Politiķis, runādams par politisku vai ar likumdošanu saistītu rīcību: &quot;Ja nobalsosit par mums... [..., mēs izdarīsim tā, lai katra Jūsu balss tiktu sadzirdēta parlamentā.&quot;]"/>
    <tableColumn id="45" xr3:uid="{49705CD4-5CE0-43D6-8DBA-6C6577B1FECC}" name="Politiķis, runādams par politisku vai ar likumdošanu saistītu rīcību: &quot;Ja nobalsosit par mums... [..., mēs pārstāvēsim Jūsu intereses parlamentā.&quot;]"/>
    <tableColumn id="46" xr3:uid="{7ABA95E4-B78A-4335-9E1E-7F4E63AA9139}" name="Politiķis, runādams par politisku vai ar likumdošanu saistītu rīcību: &quot;Ja nobalsosit par mums... [..., mēs sāksim risināt pašas nozīmīgākās problēmas.&quot;]"/>
    <tableColumn id="47" xr3:uid="{792F22B4-4B32-4B1B-981A-E946F96C8873}" name="Politiķis, runādams par politisku vai ar likumdošanu saistītu rīcību: &quot;Ja nobalsosit par mums... [..., pašas nozīmīgākās problēmas tiks atrisinātas nekavējoties.&quot;]"/>
    <tableColumn id="48" xr3:uid="{724B8AC5-984D-46E0-918C-9BA343ECB8C0}" name="Politiķis, runādams par politisku vai ar likumdošanu saistītu rīcību: &quot;Ja nobalsosit par mums... [..., mēs pieņemsim likumus īstās Latvijas nākotnes nodrošināšanai.&quot;]"/>
    <tableColumn id="49" xr3:uid="{A60FDB04-8D68-4714-82DC-052EC3AB2114}" name="Politiķis, runādams par politisku vai ar likumdošanu saistītu rīcību: &quot;Ja nobalsosit par mums... [..., mēs rūpīgi pārskatīsim un pilnveidosim likumdošanu.&quot;]"/>
    <tableColumn id="50" xr3:uid="{E18C1DF0-4B81-460A-8AD3-BB93339A0FA3}" name="Politiķis, runādams par politisku vai ar likumdošanu saistītu rīcību: &quot;Ja nobalsosit par mums... [es nezinu]"/>
    <tableColumn id="51" xr3:uid="{DB22C9AE-1BBB-43F1-8E51-9BB5CCD75AB6}" name="Kuri vārdi, ja tos izmantotu politiķi, varētu novest pie tā, ka viņus nodēvē par populistiem? [a) progresīvists | b) progresīvs]"/>
    <tableColumn id="52" xr3:uid="{66044BCA-5739-4401-B240-8CC3F066FF62}" name="Kuri vārdi, ja tos izmantotu politiķi, varētu novest pie tā, ka viņus nodēvē par populistiem? [a) likumdošanas izmaiņas | b) radikāla reforma]"/>
    <tableColumn id="53" xr3:uid="{D99CE796-1A80-42BD-A164-126C5B960008}" name="Kuri vārdi, ja tos izmantotu politiķi, varētu novest pie tā, ka viņus nodēvē par populistiem? [a) globālā sasilšana | b) klimata pārmaiņas]"/>
    <tableColumn id="54" xr3:uid="{CDFD80EE-AB37-4155-9BC1-6E930BF1FD79}" name="Kuri vārdi, ja tos izmantotu politiķi, varētu novest pie tā, ka viņus nodēvē par populistiem? [a) tradicionāla ģimene | b) moderna ģimene]"/>
    <tableColumn id="55" xr3:uid="{DE5FD55F-D33F-439B-85DF-5B4CA339B919}" name="Kuri vārdi, ja tos izmantotu politiķi, varētu novest pie tā, ka viņus nodēvē par populistiem? [a) piespiedu vakcinācija | b) vakcināciju brīvība]"/>
    <tableColumn id="56" xr3:uid="{B1451902-5442-480B-A9B6-0AD8269E3958}" name="Kuri vārdi, ja tos izmantotu politiķi, varētu novest pie tā, ka viņus nodēvē par populistiem? [a) krīze | b) grūts uzdevums]"/>
    <tableColumn id="57" xr3:uid="{30DABB76-73B6-4777-92B8-F5B2C8B01F3C}" name="Cik, Jūsuprāt, sievietes un vīrieši ir vienlīdzīgi katrā no šīm sfērām? [Ģimenes dzīvē]"/>
    <tableColumn id="58" xr3:uid="{A1BC9E4A-60BB-4694-A24B-09BFFD6EF4AE}" name="Cik, Jūsuprāt, sievietes un vīrieši ir vienlīdzīgi katrā no šīm sfērām? [Darbā / nodarbinātībā]"/>
    <tableColumn id="59" xr3:uid="{4D331110-E346-4F78-AA06-0B0F0CA55EE7}" name="Cik, Jūsuprāt, sievietes un vīrieši ir vienlīdzīgi katrā no šīm sfērām? [Izglītībā]"/>
    <tableColumn id="60" xr3:uid="{4B36627D-B16D-4D88-94B8-A83CEF13E33D}" name="Cik, Jūsuprāt, sievietes un vīrieši ir vienlīdzīgi katrā no šīm sfērām? [Kultūrā]"/>
    <tableColumn id="61" xr3:uid="{6E2AEAEA-021B-4421-AB07-F3C6DFD7479F}" name="Cik, Jūsuprāt, sievietes un vīrieši ir vienlīdzīgi katrā no šīm sfērām? [Politikā]"/>
    <tableColumn id="62" xr3:uid="{2BB7C718-4123-4067-8C78-EB7253B38A7F}" name="Kura no šīm politiskajām partijām būt varējusi veiktu kuru apgalvojumu par viendzimuma laulību?(katrai partijai viens apgalvojums) [&quot;Valsts ir veidota uz šādiem pamatiem: indivīds – stipra ģimene – neatkarīga uzņēmējdarbība – spēcīgi reģioni – spēcīga val"/>
    <tableColumn id="63" xr3:uid="{AE47252A-86C4-40AB-92D1-B689B90E2A4D}" name="Kura no šīm politiskajām partijām būt varējusi veiktu kuru apgalvojumu par viendzimuma laulību?(katrai partijai viens apgalvojums) [ &quot;Ja runa ir par LGBTQ tiesībām, tad mums jāseko ES rekomendācijām un standartiem.&quot;]"/>
    <tableColumn id="64" xr3:uid="{34D96AC7-EB8D-412F-A952-D40FEB0C6F25}" name="Kura no šīm politiskajām partijām būt varējusi veiktu kuru apgalvojumu par viendzimuma laulību?(katrai partijai viens apgalvojums) [&quot;Par dabisku ģimeni! Tas ir vienīgais ceļš!&quot;]"/>
    <tableColumn id="65" xr3:uid="{EAD49199-FEF0-4C7F-A198-045579F960D8}" name="Kura no šīm politiskajām partijām būt varējusi veiktu kuru apgalvojumu par viendzimuma laulību?(katrai partijai viens apgalvojums) [&quot;Ir jāaptur Rietumu LGBT propaganda, it sevišķi skolās!&quot;]"/>
    <tableColumn id="66" xr3:uid="{E0118EEF-0188-4853-B54E-A6A6AF8EC4D3}" name="Kura no šīm politiskajām partijām būt varējusi veiktu kuru apgalvojumu par viendzimuma laulību?(katrai partijai viens apgalvojums) [&quot;Godīgie ļaudi reģionos, kurus mēs pārstāvam, nekad neatbalstītu viendzimuma laulības.&quot;]"/>
    <tableColumn id="67" xr3:uid="{2C96748E-88BF-4D54-A242-27252B20234F}" name="Kura no šīm politiskajām partijām būt varējusi veiktu kuru apgalvojumu par viendzimuma laulību?(katrai partijai viens apgalvojums) [ &quot;Homoseksuāliem pāriem un transpersonām jābūt tādām pašām juridiskām laulību tiesībām kā heteroseksuāliem pāriem.&quot;]"/>
    <tableColumn id="68" xr3:uid="{A9979052-F907-4A58-80AA-D7273049A7CD}" name="Kura no šīm politiskajām partijām būt varējusi veiktu kuru apgalvojumu par viendzimuma laulību?(katrai partijai viens apgalvojums) [&quot;Geju praids ir līdzvērtīgs komunistu maršam, komunistu teroram.&quot;]"/>
    <tableColumn id="69" xr3:uid="{F1E4FB3A-03F4-40DE-A84B-9C4692F15048}" name="Kurš no sekojošajiem apgalvojumiem vislabāk apraksta Jūsu skatpunktu par klimata pārmaiņām?"/>
    <tableColumn id="70" xr3:uid="{55383AF0-6559-4FA7-9842-910AD297A2DE}" name="Vai Jūs šķirojat?"/>
    <tableColumn id="71" xr3:uid="{1F8AE34E-1944-4A4A-A681-773EEBDE1D0B}" name="Kura no šīm politiskajām partijām būt varējusi veiktu kuru apgalvojumu par &quot;zaļo&quot; politiku un ekoloģiju (katrai partijai viens apgalvojums)? [&quot;Ekonomiku ir nepieciešams modernizēt tam, lai līdz ANO noteiktajam termiņam – 2050. gadam – sasniegtu klimata ne"/>
    <tableColumn id="72" xr3:uid="{DC558135-2BB0-4F25-A83B-182713FB84C1}" name="Kura no šīm politiskajām partijām būt varējusi veiktu kuru apgalvojumu par &quot;zaļo&quot; politiku un ekoloģiju (katrai partijai viens apgalvojums)? [ &quot;Mēs palielināsim finansējumu pētījumiem, kas izstrādā un rada klimata neitrālus produktus vai tehnoloģijas noza"/>
    <tableColumn id="73" xr3:uid="{F199C275-5124-4709-AE94-13E966D41876}" name="Kura no šīm politiskajām partijām būt varējusi veiktu kuru apgalvojumu par &quot;zaļo&quot; politiku un ekoloģiju (katrai partijai viens apgalvojums)? [&quot;Latvijai pēc iespējas ātrāk un plašāk nepieciešams pāriet uz klimatneitrālām tehnoloģijām – vēja ģeneratoriem, s"/>
    <tableColumn id="74" xr3:uid="{4F421E53-F343-4171-A568-23536A704731}" name="Kura no šīm politiskajām partijām būt varējusi veiktu kuru apgalvojumu par &quot;zaļo&quot; politiku un ekoloģiju (katrai partijai viens apgalvojums)? [&quot;ES ambiciozajām klimata normām jābūt, pirmkārt, piemērotām Latvijai un mūsu dzīves reālijām.&quot;]"/>
    <tableColumn id="75" xr3:uid="{C8704D02-DBFF-40F8-B788-0BF98A39BFBE}" name="Kura no šīm politiskajām partijām būt varējusi veiktu kuru apgalvojumu par &quot;zaļo&quot; politiku un ekoloģiju (katrai partijai viens apgalvojums)? [&quot;Šobrīd Latvijā pašas asākās problēmas ir saistītas nevis ar ekoloģiju, bet gan sociālo un etnisko sadalījumu.&quot;]"/>
    <tableColumn id="76" xr3:uid="{4682B50C-FE53-451B-BABB-378335FB0613}" name="Kura no šīm politiskajām partijām būt varējusi veiktu kuru apgalvojumu par &quot;zaļo&quot; politiku un ekoloģiju (katrai partijai viens apgalvojums)? [&quot;Mēs nodrošināsim sabalansētu, videi draudzīgas lauksaimniecības, mežsaimniecības un zivsaimniecības nozaru attīs"/>
    <tableColumn id="77" xr3:uid="{16CB6993-F3BD-4F41-9A4E-4CFF275B4BAF}" name="Kura no šīm politiskajām partijām būt varējusi veiktu kuru apgalvojumu par &quot;zaļo&quot; politiku un ekoloģiju (katrai partijai viens apgalvojums)? [&quot;Latvijai nepieciešams koncentrēties uz gāzes, elektronenerģijas un degvielu cenu samazināšanu valstī. Sankcijas "/>
    <tableColumn id="78" xr3:uid="{AFD5BF82-0DE1-4770-91FD-71B7B94DBE65}" name="Kura no šīm vadošajām politiskajām partijām būt varējusi veiktu kuru apgalvojumu par demokrātijas un valstiskuma nākotni (katrai partijai viens apgalvojums)? [&quot;Mēs atbalstām vienotu un iekļaujošu politisku nāciju, kas balstīta Eiropas vērtībās un Latvijas"/>
    <tableColumn id="79" xr3:uid="{EEF95A3B-021A-4B42-8610-F91375F83859}" name="Kura no šīm vadošajām politiskajām partijām būt varējusi veiktu kuru apgalvojumu par demokrātijas un valstiskuma nākotni (katrai partijai viens apgalvojums)? [&quot;Latviju jāpārveido pēc iekļaujoša, inovatīva socioekonomiskā modeļa, kāds tas ir Ziemeļvalstīs."/>
    <tableColumn id="80" xr3:uid="{46E1C705-5531-4FAC-9DDC-4150D98E6904}" name="Kura no šīm vadošajām politiskajām partijām būt varējusi veiktu kuru apgalvojumu par demokrātijas un valstiskuma nākotni (katrai partijai viens apgalvojums)? [&quot;Trauksmainos laikos ir svarīgi pieturēties pie fundamentālām vērtībām: valodas, kultūras, ģimen"/>
    <tableColumn id="81" xr3:uid="{D151D988-7C8F-4FA8-9F30-E557BDDD0BF9}" name="Kura no šīm vadošajām politiskajām partijām būt varējusi veiktu kuru apgalvojumu par demokrātijas un valstiskuma nākotni (katrai partijai viens apgalvojums)? [&quot;Vadošajai partijai jāsastāv no pieredzējušiem krīzes menedžeriem un uzņēmējiem, kuri prot veikt"/>
    <tableColumn id="82" xr3:uid="{2768E050-3AE8-459C-B644-42D9D99730AF}" name="Kura no šīm vadošajām politiskajām partijām būt varējusi veiktu kuru apgalvojumu par demokrātijas un valstiskuma nākotni (katrai partijai viens apgalvojums)? [&quot;Mēs pārstāvēsim simtiem tūkstošu ignorētu mūsu pilsoņu balsis, mēs Latvijā izveidosim pavisam j"/>
    <tableColumn id="83" xr3:uid="{2759F2EC-C26B-4479-BDA5-006E11907BA6}" name="Kura no šīm vadošajām politiskajām partijām būt varējusi veiktu kuru apgalvojumu par demokrātijas un valstiskuma nākotni (katrai partijai viens apgalvojums)? [&quot;Pie valdības galda jābūt spēcīgam, pieredzējušam, neatkarīgam, tautas mīlētam līderim, kurš ir "/>
    <tableColumn id="84" xr3:uid="{68127907-A22E-49DB-B53A-F32994423339}" name="Kura no šīm vadošajām politiskajām partijām būt varējusi veiktu kuru apgalvojumu par demokrātijas un valstiskuma nākotni (katrai partijai viens apgalvojums)? [&quot;Latvijai jākļūst par Eiropas &quot;Silikona ieleju&quot; un &quot;Ziemeļu Dubaiju&quot;. Mūsu kinoindustrijai jākļū"/>
    <tableColumn id="85" xr3:uid="{5F68628B-BC26-4393-879B-0167A867A299}" name="Cik ļoti Jūs interesē sekojošie politiskie jautājumi Latvijas sakarā? [ekoloģiskā politika (atjaunojamie energoresursi, kūdrāji...)]"/>
    <tableColumn id="86" xr3:uid="{286E64F2-437A-45BA-B137-9054AF7A2929}" name="Cik ļoti Jūs interesē sekojošie politiskie jautājumi Latvijas sakarā? [LGBTIQ* tiesības]"/>
    <tableColumn id="87" xr3:uid="{67D0A56E-BCFD-47FE-AB0A-897436F8A491}" name="Cik ļoti Jūs interesē sekojošie politiskie jautājumi Latvijas sakarā? [demokrātijas sistēma / procesi]"/>
    <tableColumn id="88" xr3:uid="{297FB145-AE21-4182-B098-4AE1939BB92A}" name="Cik ļoti Jūs interesē sekojošie politiskie jautājumi Latvijas sakarā? [sieviešu tiesības]"/>
    <tableColumn id="89" xr3:uid="{1F105ADC-FA38-448F-A656-2913C7B755EA}" name="Kas Jums ienāk prātā, kad dzirdat vārdu &quot;populisms&quot;? Kā Jūs to aprakstītu? (piemēram, var minēt politiķi; ideoloģiju; notikumu; incidentu utt.)Atbilde &quot;nezinu&quot; arī ir pieļaujama."/>
    <tableColumn id="90" xr3:uid="{62F8FA9D-A8C0-4924-82F3-14EA83C6520A}" name="Jūsuprat, kuram no šiem reģioniem vai institūcijām Latvija ir piederīgāka? [Ziemeļeiropas valstīm]"/>
    <tableColumn id="91" xr3:uid="{520DCE99-3A95-4A2B-8490-4ACE580D3F77}" name="Jūsuprat, kuram no šiem reģioniem vai institūcijām Latvija ir piederīgāka? [Rietumeiropai]"/>
    <tableColumn id="92" xr3:uid="{7C56E0F2-91B0-47EF-BE6C-F345BA1A9C74}" name="Jūsuprat, kuram no šiem reģioniem vai institūcijām Latvija ir piederīgāka? [Austrumeiropai]"/>
    <tableColumn id="93" xr3:uid="{A97BCC76-9A21-4ADC-BB82-7AA73A512C18}" name="Jūsuprat, kuram no šiem reģioniem vai institūcijām Latvija ir piederīgāka? [Eiropas Savienībai]"/>
    <tableColumn id="94" xr3:uid="{C6C53F98-DD15-4BB6-AC8A-87C93FEDBECF}" name="Jūsuprat, kuram no šiem reģioniem vai institūcijām Latvija ir piederīgāka? [Baltijas valstīm]"/>
    <tableColumn id="95" xr3:uid="{D8425A2C-8523-4FF2-BBF3-471852283801}" name="Jūsuprat, kuram no šiem reģioniem vai institūcijām Latvija ir piederīgāka? [Latvija ir daļa no plašākas postsociālisma sfēras]"/>
    <tableColumn id="96" xr3:uid="{491653A9-978E-4D4A-8057-032B29142C3C}" name="{(if(is_empty(randnumber),rand(1,2),randnumber.NAOK))}."/>
    <tableColumn id="97" xr3:uid="{F78114AB-6132-487E-AA6F-C6A24D4050CB}" name="{if((tongueLAT_SQ001.NAOK==&quot;Y&quot; &amp;amp;&amp;amp; tongueLAT_SQ002.NAOK==&quot;Y&quot;), if(randnumber.NAOK=='1', 'Manuprāt, krievvalodīgie Latvijā ir...', 'Kā krievvalodīgais/ā Latvijā es jūtos kā...'), if(tongueLAT_SQ001.NAOK==&quot;Y&quot;, 'Manuprāt, krievvalodīgie Latvijā ir...'"/>
    <tableColumn id="98" xr3:uid="{DF8194E0-E8F6-4802-B184-D2298CDBA4D6}" name="Skatoties pēc {if(tongueLAT_SQ002.NAOK==&quot;Y&quot;, 'šīs skalas', 'šīm skalām')}, cik spēcīgi jūs izjūtat piederību kādai no šīm {if(tongueLAT_SQ002.NAOK==&quot;Y&quot;, 'grupa', 'grupām')}:     [latviešiem:| it nemaz | pilnībā]"/>
    <tableColumn id="99" xr3:uid="{C5A9E9FF-6DD9-419E-ABDE-03B8C3312A90}" name="Skatoties pēc {if(tongueLAT_SQ002.NAOK==&quot;Y&quot;, 'šīs skalas', 'šīm skalām')}, cik spēcīgi jūs izjūtat piederību kādai no šīm {if(tongueLAT_SQ002.NAOK==&quot;Y&quot;, 'grupa', 'grupām')}:     [Latvijas krieviem:| it nemaz | pilnībā]"/>
    <tableColumn id="100" xr3:uid="{44814ABC-7B2E-4AF0-A461-8967CCDA5634}" name="Skatoties pēc {if(tongueLAT_SQ002.NAOK==&quot;Y&quot;, 'šīs skalas', 'šīm skalām')}, cik spēcīgi jūs izjūtat piederību kādai no šīm {if(tongueLAT_SQ002.NAOK==&quot;Y&quot;, 'grupa', 'grupām')}:     [krieviem (Krievijas):| it nemaz | pilnībā]"/>
    <tableColumn id="101" xr3:uid="{C05D9E99-F952-46B9-A436-28BBFEBE7EAC}" name="Kā Jūs aprakstītu savstarpējās attiecības starp cilvēkiem, kuriem dzimtā valoda ir latviešu, un cilvēkiem, kuriem dzimtā valoda ir krievu? [Latvijā kopumā]"/>
    <tableColumn id="102" xr3:uid="{11C93C0A-C3FD-4050-A914-754346999C9C}" name="Kā Jūs aprakstītu savstarpējās attiecības starp cilvēkiem, kuriem dzimtā valoda ir latviešu, un cilvēkiem, kuriem dzimtā valoda ir krievu? [Jūsu pašreizējā dzīvesvietā]"/>
    <tableColumn id="103" xr3:uid="{6ACDBB94-A2C5-4746-8513-FDCC2796206C}" name="Kā Jūs aprakstītu savstarpējās attiecības starp cilvēkiem, kuriem dzimtā valoda ir latviešu, un cilvēkiem, kuriem dzimtā valoda ir krievu? [Jūsu personiskās attiecības ar {if((tongueLAT_SQ001.NAOK==&quot;Y&quot; &amp;amp;&amp;amp; tongueLAT_SQ002.NAOK==&quot;Y&quot;), if(randnumber."/>
    <tableColumn id="104" xr3:uid="{E307A565-17FA-47C7-9DF2-9F51DEAE7AB2}" name="Vai Jums kādreiz ir bijusi sajūta, ka esat ticis diskriminēts, kad izmantojāt latviešu valodu kādā no šiem kontekstiem? [Darbā]"/>
    <tableColumn id="105" xr3:uid="{756E3468-FD55-418E-9B73-BDF395AB173A}" name="Vai Jums kādreiz ir bijusi sajūta, ka esat ticis diskriminēts, kad izmantojāt latviešu valodu kādā no šiem kontekstiem? [Skolas / universitātes vidē]"/>
    <tableColumn id="106" xr3:uid="{F8AFA8E4-76F1-4F41-B3D7-4AD858943715}" name="Vai Jums kādreiz ir bijusi sajūta, ka esat ticis diskriminēts, kad izmantojāt latviešu valodu kādā no šiem kontekstiem? [Sportā]"/>
    <tableColumn id="107" xr3:uid="{C757EB03-E166-446F-BE6F-1C0294DD532A}" name="Vai Jums kādreiz ir bijusi sajūta, ka esat ticis diskriminēts, kad izmantojāt latviešu valodu kādā no šiem kontekstiem? [Citos hobijos / interešu grupās]"/>
    <tableColumn id="108" xr3:uid="{99B763A6-7F6D-4AA9-9792-07F1B7888717}" name="Vai Jums kādreiz ir bijusi sajūta, ka esat ticis diskriminēts, kad izmantojāt latviešu valodu kādā no šiem kontekstiem? [Uz ielas / veikalā utt.]"/>
    <tableColumn id="109" xr3:uid="{AB6DE635-4631-463D-850A-8ACB2B2DA1AF}" name="Vai Jums kādreiz ir bijusi sajūta, ka esat ticis diskriminēts, kad izmantojāt krievu valodu kādā no šiem kontekstiem? [Darbā]"/>
    <tableColumn id="110" xr3:uid="{A3BB1850-42A4-4C9D-BC79-FCB7844207B7}" name="Vai Jums kādreiz ir bijusi sajūta, ka esat ticis diskriminēts, kad izmantojāt krievu valodu kādā no šiem kontekstiem? [Skolas / universitātes vidē]"/>
    <tableColumn id="111" xr3:uid="{53294278-AC3B-4448-ADB0-2FFF57C4DD74}" name="Vai Jums kādreiz ir bijusi sajūta, ka esat ticis diskriminēts, kad izmantojāt krievu valodu kādā no šiem kontekstiem? [Sportā]"/>
    <tableColumn id="112" xr3:uid="{19F671D4-EEFA-4CED-8637-A89F3472CF67}" name="Vai Jums kādreiz ir bijusi sajūta, ka esat ticis diskriminēts, kad izmantojāt krievu valodu kādā no šiem kontekstiem? [Citos hobijos / interešu grupās]"/>
    <tableColumn id="113" xr3:uid="{94F0AD03-5C34-4D21-A0E2-8A5CDB8F1FC0}" name="Vai Jums kādreiz ir bijusi sajūta, ka esat ticis diskriminēts, kad izmantojāt krievu valodu kādā no šiem kontekstiem? [Uz ielas / veikalā utt.]"/>
    <tableColumn id="114" xr3:uid="{91EB1AE3-9A17-4A5E-A851-185D123B8B75}" name="Lūdzu, īsi aprakstiet situāciju, kurā jūs izmantojāt &quot;nepareizo valodu&quot;. Kuru valodu (vai valodas) izmantojāt, ar kādiem cilvēkiem, ar kādu mērķi?"/>
    <tableColumn id="115" xr3:uid="{E62FF784-3B31-4A95-9E8B-D6BFAB4BBF9A}" name="Vai šobrīt esat nodarbināts?"/>
    <tableColumn id="116" xr3:uid="{0B5F8495-6BB6-4258-BE7E-AF10E29C1E44}" name="Vai pēdējo septiņu dienu laikā esat darba vietā runājuši par sabiedrību, valsts vēsturi un / vai arī politiku? [Sabiedrību]"/>
    <tableColumn id="117" xr3:uid="{A4246C2D-8929-4894-A940-D5D75D5345A1}" name="Vai pēdējo septiņu dienu laikā esat darba vietā runājuši par sabiedrību, valsts vēsturi un / vai arī politiku? [Valsts vēsturi]"/>
    <tableColumn id="118" xr3:uid="{5A656345-9FA2-4FDC-81D5-9664CEB5A431}" name="Vai pēdējo septiņu dienu laikā esat darba vietā runājuši par sabiedrību, valsts vēsturi un / vai arī politiku? [Politiku]"/>
    <tableColumn id="119" xr3:uid="{833DB7BA-0995-4DA4-8306-A0E108EEEBCB}" name="Vai pēdējo septiņu dienu laikā esat darba vietā runājuši par sabiedrību, valsts vēsturi un / vai arī politiku? [Nē]"/>
    <tableColumn id="120" xr3:uid="{33A5393B-6D96-45C2-BEBD-A2CB141B92DE}" name="Vai pēdējo septiņu dienu laikā esat ģimenē runājuši par sabiedrību, valsts vēsturi un / vai arī politiku? [Sabiedrību]"/>
    <tableColumn id="121" xr3:uid="{DF6161CA-69B3-43AA-936F-9365E95534B0}" name="Vai pēdējo septiņu dienu laikā esat ģimenē runājuši par sabiedrību, valsts vēsturi un / vai arī politiku? [Valsts vēsturi]"/>
    <tableColumn id="122" xr3:uid="{6BECB57D-FC65-46B6-8727-E1305084D3AD}" name="Vai pēdējo septiņu dienu laikā esat ģimenē runājuši par sabiedrību, valsts vēsturi un / vai arī politiku? [Politiku]"/>
    <tableColumn id="123" xr3:uid="{6D4D82FD-E884-48AB-9259-84DF4C57E5DC}" name="Vai pēdējo septiņu dienu laikā esat ģimenē runājuši par sabiedrību, valsts vēsturi un / vai arī politiku? [Nē]"/>
    <tableColumn id="124" xr3:uid="{533F7357-1393-4CCB-B261-85EF91735E41}" name="Vai pēdējo septiņu dienu laikā esat skolā / universitātē runājuši par sabiedrību, valsts vēsturi un / vai arī politiku? [Sabiedrību]"/>
    <tableColumn id="125" xr3:uid="{D8980A7B-E9DC-4275-81EC-3BF337655CC2}" name="Vai pēdējo septiņu dienu laikā esat skolā / universitātē runājuši par sabiedrību, valsts vēsturi un / vai arī politiku? [Valsts vēsturi]"/>
    <tableColumn id="126" xr3:uid="{2D73054F-310C-4B74-96A5-C4E2AFAF3582}" name="Vai pēdējo septiņu dienu laikā esat skolā / universitātē runājuši par sabiedrību, valsts vēsturi un / vai arī politiku? [Politiku ]"/>
    <tableColumn id="127" xr3:uid="{4298E6F7-8705-40E6-B859-257AA744B23E}" name="Vai pēdējo septiņu dienu laikā esat skolā / universitātē runājuši par sabiedrību, valsts vēsturi un / vai arī politiku? [Nē]"/>
    <tableColumn id="128" xr3:uid="{C6BD8B23-95F3-4E4A-BBD6-2916A51B6799}" name="Cik bieži izmantojat latviešu valodu šajos kontekstos?  [Ģimenē]"/>
    <tableColumn id="129" xr3:uid="{96A65215-22DD-4631-BDDE-D7827F1A307E}" name="Cik bieži izmantojat latviešu valodu šajos kontekstos?  [Skolā (ārpus nodarbībām)]"/>
    <tableColumn id="130" xr3:uid="{04FE1AAE-AFF7-4DBB-8711-746155573461}" name="Cik bieži izmantojat latviešu valodu šajos kontekstos?  [Darbā]"/>
    <tableColumn id="131" xr3:uid="{F01D441C-0FD7-412B-801A-B70229E9C8A0}" name="Cik bieži izmantojat latviešu valodu šajos kontekstos?  [Ar draugiem]"/>
    <tableColumn id="132" xr3:uid="{46A5D195-D850-44A8-89C8-61847819F07E}" name="Cik bieži izmantojat latviešu valodu šajos kontekstos?  [Sportā]"/>
    <tableColumn id="133" xr3:uid="{FCE45743-B3B5-42EE-BE81-F6505FE23DCA}" name="Cik bieži izmantojat latviešu valodu šajos kontekstos?  [Hobijos / citās interešu grupās]"/>
    <tableColumn id="134" xr3:uid="{ED6F2755-25B2-49BA-A35C-58BCC8AC5F83}" name="Cik bieži izmantojat latviešu valodu šajos kontekstos?  [Uz ielas / veikalā utt.]"/>
    <tableColumn id="135" xr3:uid="{839BB144-E528-4870-BB22-008E7BC244EE}" name="Cik bieži izmantojat krievu valodu šajos kontekstos?  [Ģimenē]"/>
    <tableColumn id="136" xr3:uid="{1D8AA00F-5D49-4A89-BFDC-ABDF8735A037}" name="Cik bieži izmantojat krievu valodu šajos kontekstos?  [Skolā (ārpus nodarbībām)]"/>
    <tableColumn id="137" xr3:uid="{57B45A37-9B18-4FFE-8CAD-BEE5719102D0}" name="Cik bieži izmantojat krievu valodu šajos kontekstos?  [Darbā]"/>
    <tableColumn id="138" xr3:uid="{2980787F-2DAD-4019-832B-56E821866A00}" name="Cik bieži izmantojat krievu valodu šajos kontekstos?  [Ar draugiem]"/>
    <tableColumn id="139" xr3:uid="{AE195F93-42C8-4EE5-9DB7-57BCB84B5084}" name="Cik bieži izmantojat krievu valodu šajos kontekstos?  [Sportā]"/>
    <tableColumn id="140" xr3:uid="{7B4D6A94-616B-49E1-B535-CB036AD30F0D}" name="Cik bieži izmantojat krievu valodu šajos kontekstos?  [Hobijos / citās interešu grupās]"/>
    <tableColumn id="141" xr3:uid="{69036212-DCD9-42FE-A4D6-0FFAA8B5D2EC}" name="Cik bieži izmantojat krievu valodu šajos kontekstos?  [Uz ielas / veikalā utt.]"/>
    <tableColumn id="142" xr3:uid="{D47AFBCB-3F81-4E1E-84F3-591EAB00E3C8}" name="Domājot par to, kas definē demokrātiju, kuras trīs no šīm kategorijām Jums vispirms ienāk prātā? [Rangs 1]"/>
    <tableColumn id="143" xr3:uid="{D7134026-AE65-4B42-8E3B-42137F1C0D10}" name="Domājot par to, kas definē demokrātiju, kuras trīs no šīm kategorijām Jums vispirms ienāk prātā? [Rangs 2]"/>
    <tableColumn id="144" xr3:uid="{B7243AD6-48F7-4665-8F10-BC3CE0C3E3D7}" name="Domājot par to, kas definē demokrātiju, kuras trīs no šīm kategorijām Jums vispirms ienāk prātā? [Rangs 3]"/>
    <tableColumn id="145" xr3:uid="{A2D856F2-A16B-440B-A339-E13BC6832156}" name="Domājot par to, kas definē demokrātiju, kuras trīs no šīm kategorijām Jums vispirms ienāk prātā? [Rangs 4]"/>
    <tableColumn id="146" xr3:uid="{372F747C-79C8-417F-AFFF-2AE253C64A78}" name="Domājot par to, kas definē demokrātiju, kuras trīs no šīm kategorijām Jums vispirms ienāk prātā? [Rangs 5]"/>
    <tableColumn id="147" xr3:uid="{BED26E8A-8C6F-45FA-A8AE-AD7CC768575B}" name="Cik labi katra no šīm demokrātiskajām kategorijām funkcionē Latvijā? [Brīvas vēlēšanas un plurālisms]"/>
    <tableColumn id="148" xr3:uid="{BB9A2163-A423-4C0C-B1A7-7FF6C8218276}" name="Cik labi katra no šīm demokrātiskajām kategorijām funkcionē Latvijā? [Pilsoniskās brīvības (vārda brīvība, tiesības uz taisnīgu tiesu)]"/>
    <tableColumn id="149" xr3:uid="{9F6672AA-2283-46E9-A195-9259E0A85405}" name="Cik labi katra no šīm demokrātiskajām kategorijām funkcionē Latvijā? [Vienlīdz pieejama izglītība, veselības aprūpe, sociālais nodrošinājums]"/>
    <tableColumn id="150" xr3:uid="{9B713C45-C514-4BED-B29A-E7EF1C283785}" name="Cik labi katra no šīm demokrātiskajām kategorijām funkcionē Latvijā? [Varas līdzsvars starp parlamentu, prezidentu un tiesām, lai neviena no institūcijām nespētu sevī koncentrēt lielāko daļu varas]"/>
    <tableColumn id="151" xr3:uid="{3F53C3B1-063E-4195-A1FC-36D9EC27178A}" name="Cik labi katra no šīm demokrātiskajām kategorijām funkcionē Latvijā? [Vienlīdzīgas tiesības minoritātēm un ievainojamām sabiedrības grupām]"/>
    <tableColumn id="152" xr3:uid="{BF53CD6F-4C34-4D0E-8B9E-2E82191A3ACD}" name="Kāds ir augstākais izglītības līmenis, kādu esat pabeiguši?"/>
    <tableColumn id="153" xr3:uid="{98D0A8C4-5F43-4A35-BE81-D747F2C231C9}" name="Kāds ir augstākais izglītības līmenis, kādu esat pabeiguši? [Cita atbilde]"/>
    <tableColumn id="154" xr3:uid="{A3EA7B86-BF61-4959-AF3C-E33B6D6BF0E5}" name="Vai esat mācījušies vairāk par pusi no pamatskolas vai / un vidusskolas vai arodskolas gadiem ārzemēs? [Jā, pamatskolā]"/>
    <tableColumn id="155" xr3:uid="{FD22C08A-59BA-4C35-A2AC-DC69837BCE6E}" name="Vai esat mācījušies vairāk par pusi no pamatskolas vai / un vidusskolas vai arodskolas gadiem ārzemēs? [Jā, vidusskolā]"/>
    <tableColumn id="156" xr3:uid="{2C2EA222-E914-4E3B-91E1-36FB89F269A4}" name="Vai esat mācījušies vairāk par pusi no pamatskolas vai / un vidusskolas vai arodskolas gadiem ārzemēs? [Jā, arodskolā]"/>
    <tableColumn id="157" xr3:uid="{DBE5367D-CF8E-48F4-B709-328416A4C07C}" name="Vai esat mācījušies vairāk par pusi no pamatskolas vai / un vidusskolas vai arodskolas gadiem ārzemēs? [Nē, lielākoties vai tikai mācījos Latvijā]"/>
    <tableColumn id="158" xr3:uid="{8FB78799-ECA5-45D6-8A55-DC5AC1FCF236}" name="Kādā valodā jūs lielākoties saņēmāt pamatizglītību, neskaitot svešvalodu stundas?"/>
    <tableColumn id="159" xr3:uid="{A9C621D2-B4C2-4C57-9B49-C7746A945A12}" name="Kādā valodā jūs lielākoties saņēmāt pamatizglītību, neskaitot svešvalodu stundas? [Cita atbilde]"/>
    <tableColumn id="160" xr3:uid="{BEF3F6CC-B582-4F56-8A74-864012E88BDA}" name="Kādā valodā jūs lielākoties saņēmāt / saņemat vidējo izglītību, neskaitot svešvalodu stundas?"/>
    <tableColumn id="161" xr3:uid="{1DBEF183-F502-4B7E-85EF-7152D3660675}" name="Kādā valodā jūs lielākoties saņēmāt / saņemat vidējo izglītību, neskaitot svešvalodu stundas? [Cita atbilde]"/>
    <tableColumn id="162" xr3:uid="{E7899229-D859-4292-9759-F4B6EABBDDD4}" name="Runāšana:   "/>
    <tableColumn id="163" xr3:uid="{EC335613-DC81-444F-9ECF-B35CC270CFC1}" name="Rakstīšana:"/>
    <tableColumn id="164" xr3:uid="{36CA3CFB-ED17-4EE3-BE3D-82347F038E00}" name="Klausīšanās:"/>
    <tableColumn id="165" xr3:uid="{E6C0DC72-D90A-40CB-9477-89DD5370D5A8}" name="Lasīšana:"/>
    <tableColumn id="166" xr3:uid="{DFF57F78-D4F7-4AF5-9ADC-F96E92F1B074}" name="Runāšana:   2"/>
    <tableColumn id="167" xr3:uid="{8FC37AD3-1072-4EE1-B835-608C9B39F7B5}" name="Rakstīšana:   "/>
    <tableColumn id="168" xr3:uid="{77997194-E2A2-42D8-8196-9D1FCF705C08}" name="Klausīšanās:   "/>
    <tableColumn id="169" xr3:uid="{F34B66E0-D317-4D31-A98D-268EF4202710}" name="Lasīšana:   "/>
    <tableColumn id="170" xr3:uid="{DC6C95B2-2F81-4DCB-B1B8-E1493D23BC15}" name="Cik bieži un kādā kontekstā Jūs izmantojat latviešu valodu? [Darbā]"/>
    <tableColumn id="171" xr3:uid="{53644E9C-47A4-4D95-84BD-700625640BF2}" name="Cik bieži un kādā kontekstā Jūs izmantojat latviešu valodu? [Skolas / universitātes vidē]"/>
    <tableColumn id="172" xr3:uid="{B331D817-0949-424A-995A-13EF44F803E2}" name="Cik bieži un kādā kontekstā Jūs izmantojat latviešu valodu? [Sportā]"/>
    <tableColumn id="173" xr3:uid="{62F12180-698C-475B-9BD9-D98B5770478A}" name="Cik bieži un kādā kontekstā Jūs izmantojat latviešu valodu? [Citos hobijos / interešu grupās]"/>
    <tableColumn id="174" xr3:uid="{D6CA9DB4-0C3F-49C8-AD94-CAC358DF822D}" name="Cik bieži un kādā kontekstā Jūs izmantojat latviešu valodu? [Uz ielas / veikalā utt.]"/>
    <tableColumn id="175" xr3:uid="{A550982A-946A-4DD7-8683-74F16CCEF9FD}" name="Cik bieži un kādā kontekstā Jūs izmantojat krievu valodu? [Darbā]"/>
    <tableColumn id="176" xr3:uid="{22EDBA89-C15E-4B33-ADAA-00AA0472ED95}" name="Cik bieži un kādā kontekstā Jūs izmantojat krievu valodu? [Skolas / universitātes vidē]"/>
    <tableColumn id="177" xr3:uid="{1E0E7697-74DB-490D-8C4A-488E368711DC}" name="Cik bieži un kādā kontekstā Jūs izmantojat krievu valodu? [Sportā]"/>
    <tableColumn id="178" xr3:uid="{56716DFF-7C4B-479B-B31A-C2C3EA098024}" name="Cik bieži un kādā kontekstā Jūs izmantojat krievu valodu? [Citos hobijos / interešu grupās]"/>
    <tableColumn id="179" xr3:uid="{FCF3B70D-097B-49B5-9089-98EC24FFD0AA}" name="Cik bieži un kādā kontekstā Jūs izmantojat krievu valodu? [Uz ielas / veikalā utt.]"/>
    <tableColumn id="180" xr3:uid="{91DF72EC-1B0B-4417-BE63-B6BE6B0B88E3}" name="Vai Jūs gribētu uzlabot savas latviešu valodas zināšanas?"/>
    <tableColumn id="181" xr3:uid="{0B69253B-B141-483A-8CDA-1F7DFF356E51}" name="Vai Jūs gribētu uzlabot savas latviešu valodas zināšanas? [Cita atbilde]"/>
    <tableColumn id="182" xr3:uid="{89E8A2EE-3C5B-494D-B681-8264E0152992}" name="Kā jums liekas, cik ticami ir, ka tuvākajā nākotnē (aptuveni gada laikā) veiksit darbības, lai uzlabotu savas latviešu valodas zināšanas?"/>
    <tableColumn id="183" xr3:uid="{9B3566F5-526E-492D-85C1-9AD577C46D24}" name="Jūsuprat, kuram no šiem reģioniem vai institūcijām Latvija ir piederīgāka? [Ziemeļeiropas valstīm]3"/>
    <tableColumn id="184" xr3:uid="{6671B35D-0023-42BC-A375-CAC538D78A22}" name="Jūsuprat, kuram no šiem reģioniem vai institūcijām Latvija ir piederīgāka? [Rietumeiropai]4"/>
    <tableColumn id="185" xr3:uid="{FBD423C1-CC5E-4639-AD4A-4501B4877761}" name="Jūsuprat, kuram no šiem reģioniem vai institūcijām Latvija ir piederīgāka? [Austrumeiropai]5"/>
    <tableColumn id="186" xr3:uid="{07504541-B29C-4A10-9699-6DE02DCD630D}" name="Jūsuprat, kuram no šiem reģioniem vai institūcijām Latvija ir piederīgāka? [Eiropas Savienībai]6"/>
    <tableColumn id="187" xr3:uid="{A1ED8215-F9F9-4D33-A16E-3866943F329A}" name="Jūsuprat, kuram no šiem reģioniem vai institūcijām Latvija ir piederīgāka? [Baltijas valstīm]7"/>
    <tableColumn id="188" xr3:uid="{F656A4E0-3553-40F5-8FE7-1DE80AF1A1A5}" name="Jūsuprat, kuram no šiem reģioniem vai institūcijām Latvija ir piederīgāka? [Latvija ir daļa no plašākas postsociālisma sfēras]8"/>
    <tableColumn id="189" xr3:uid="{7527AF2C-BE38-4F03-85D6-782EA419AF18}" name="Manuprāt, krievvalodīgie Latvijā ir...  [| ...daļa Latvijas sabiedrības. | ...sveša valodiskā grupa]"/>
    <tableColumn id="190" xr3:uid="{F3BCD27D-CA40-4F50-ADBF-1781AC01712C}" name="Skatoties pēc šīs skalas, cik spēcīgi jūs izjūtat piederību šai grupai:  [latviešiem:| it nemaz | pilnībā]"/>
    <tableColumn id="191" xr3:uid="{98EF622F-5DDF-401D-95C1-AA86956047E8}" name="Skatoties pēc šīs skalas, cik spēcīgi jūs izjūtat piederību šai grupai:  [Latvijas krieviem:| it nemaz | pilnībā]"/>
    <tableColumn id="192" xr3:uid="{427E014C-3322-450D-B2A6-A3F47346F605}" name="Skatoties pēc šīs skalas, cik spēcīgi jūs izjūtat piederību šai grupai:  [krieviem (Krievijas):| it nemaz | pilnībā]"/>
    <tableColumn id="193" xr3:uid="{E000431E-8EA3-44EF-8A97-243C7CFF74C7}" name="Kā Jūs aprakstītu savstarpējās attiecības starp cilvēkiem, kam dzimtā valoda ir latviešu, un tiem, kam krievu? Vai varat sniegt kādu piemēru no personiskās peredzes:"/>
    <tableColumn id="194" xr3:uid="{9060C638-0F3A-4843-A2C1-BC23760B48AC}" name="Kurus no šiem TV un / vai radio kanāliem esat izmantojuši pēdējo septiņu dienu laikā? [ARD / ZDF (TV vai tiešsaites straumēšana)]"/>
    <tableColumn id="195" xr3:uid="{9D19EBAF-C9FE-40F1-975D-D12A36BDF83A}" name="Kurus no šiem TV un / vai radio kanāliem esat izmantojuši pēdējo septiņu dienu laikā? [Dozd TV / TV Rain (TV vai tiešsaites straumēšana)                               ]"/>
    <tableColumn id="196" xr3:uid="{53122712-36F2-45D1-8EF2-8DBE21376828}" name="Kurus no šiem TV un / vai radio kanāliem esat izmantojuši pēdējo septiņu dienu laikā? [Latvijas Radio (jebkurš kanāls)                                        ]"/>
    <tableColumn id="197" xr3:uid="{76134B65-3B8C-4AB0-96E5-A83BFA2E7A59}" name="Kurus no šiem TV un / vai radio kanāliem esat izmantojuši pēdējo septiņu dienu laikā? [LTV (jebkurš kanāls, TV vai tiešsaites straumēšana)                 ]"/>
    <tableColumn id="198" xr3:uid="{799287D7-8F85-4E8C-9CB5-628F281CA111}" name="Kurus no šiem TV un / vai radio kanāliem esat izmantojuši pēdējo septiņu dienu laikā? [НТВ (TV vai tiešsaites straumēšana)]"/>
    <tableColumn id="199" xr3:uid="{251C483E-0D31-40AD-AF6A-AC3AA5DD628C}" name="Kurus no šiem TV un / vai radio kanāliem esat izmantojuši pēdējo septiņu dienu laikā? [8TV]"/>
    <tableColumn id="200" xr3:uid="{76E0AE7D-F0F8-494B-A893-581D53968047}" name="Kurus no šiem TV un / vai radio kanāliem esat izmantojuši pēdējo septiņu dienu laikā? [Pirmais Baltijas kanāls (PBK)                              ]"/>
    <tableColumn id="201" xr3:uid="{2FFB537D-05D6-4069-8CAA-ED55A8917DEA}" name="Kurus no šiem TV un / vai radio kanāliem esat izmantojuši pēdējo septiņu dienu laikā? [Radio Baltcom]"/>
    <tableColumn id="202" xr3:uid="{06E04746-2CED-4391-8464-6177F220E898}" name="Kurus no šiem TV un / vai radio kanāliem esat izmantojuši pēdējo septiņu dienu laikā? [Radio Skonto]"/>
    <tableColumn id="203" xr3:uid="{B9FAAAB0-1B35-40EF-9934-20105262E6AF}" name="Kurus no šiem TV un / vai radio kanāliem esat izmantojuši pēdējo septiņu dienu laikā? [Россия 1 (TV vai tiešsaites straumēšana)                                   ]"/>
    <tableColumn id="204" xr3:uid="{91232738-CC13-4334-8476-541A488EA076}" name="Kurus no šiem TV un / vai radio kanāliem esat izmantojuši pēdējo septiņu dienu laikā? [straumēšanas servisi (Netflix, Amazon Prime, Mubi, HBO…)      ]"/>
    <tableColumn id="205" xr3:uid="{D9E86AEE-744B-4978-81C8-AA1249C88EB2}" name="Kurus no šiem TV un / vai radio kanāliem esat izmantojuši pēdējo septiņu dienu laikā? [TV3 / TV3 Plus / TV 6 / TV3 Life / TV3 Sport / TV3 Mini (TV vai tiešsaites straumēšana)]"/>
    <tableColumn id="206" xr3:uid="{9C960701-0882-4D0D-B14C-88091B74709D}" name="Kurus no šiem TV un / vai radio kanāliem esat izmantojuši pēdējo septiņu dienu laikā? [Первый канал (TV vai tiešsaites straumēšana)]"/>
    <tableColumn id="207" xr3:uid="{6BEBA608-4129-4459-862D-8746C5F57022}" name="Kurus no šiem TV un / vai radio kanāliem esat izmantojuši pēdējo septiņu dienu laikā? [BBC / CNN]"/>
    <tableColumn id="208" xr3:uid="{84769A81-B5EB-4944-8DAF-88764FB81535}" name="Kurus no šiem TV un / vai radio kanāliem esat izmantojuši pēdējo septiņu dienu laikā? [TNT (TV vai tiešsaites straumēšana)]"/>
    <tableColumn id="209" xr3:uid="{DEEC1E35-DB71-49BC-ADC4-998C3D830DFD}" name="Kurus no šiem TV un / vai radio kanāliem esat izmantojuši pēdējo septiņu dienu laikā? [Nevienu no augstākminētajiem]"/>
    <tableColumn id="210" xr3:uid="{F8F7C3F2-8FBF-4428-A98D-497581E2B949}" name="Kurus no šiem TV un / vai radio kanāliem esat izmantojuši pēdējo septiņu dienu laikā? [Cita atbilde]"/>
    <tableColumn id="211" xr3:uid="{BC685CFA-1494-4675-8766-1D5F809488EA}" name="Ierakstiet tikai, ja skatāties citus kanālus. [Citi kanāli latviešu valodā (kādi?):]"/>
    <tableColumn id="212" xr3:uid="{9E578393-8874-49B1-8E9E-D24DFDF305FD}" name="Ierakstiet tikai, ja skatāties citus kanālus. [Citi kanāli latviešu valodā (kādi?):][Komentārs]"/>
    <tableColumn id="213" xr3:uid="{1BDF2165-42AE-4CC0-8DC4-80378B1247EF}" name="Ierakstiet tikai, ja skatāties citus kanālus. [Citi kanāli angļu valodā (kādi?):]"/>
    <tableColumn id="214" xr3:uid="{C284A0DE-9A7A-4839-9803-DD3B8BA2AEC7}" name="Ierakstiet tikai, ja skatāties citus kanālus. [Citi kanāli angļu valodā (kādi?):][Komentārs]"/>
    <tableColumn id="215" xr3:uid="{6BF436D8-F93D-49E9-B219-F33EF2A161AE}" name="Ierakstiet tikai, ja skatāties citus kanālus. [Citi kanāli krievu valodā (kādi?):]"/>
    <tableColumn id="216" xr3:uid="{16CA7894-C41B-4E2B-84E5-53EA1466110B}" name="Ierakstiet tikai, ja skatāties citus kanālus. [Citi kanāli krievu valodā (kādi?):][Komentārs]"/>
    <tableColumn id="217" xr3:uid="{B0096BB7-EF79-4BA2-9FAF-03C0F814F745}" name="Ierakstiet tikai, ja skatāties citus kanālus. [Citi kanāli vācu valodā (kādi?):]"/>
    <tableColumn id="218" xr3:uid="{C09652EA-8078-4088-A0D5-2147CA33CFC8}" name="Ierakstiet tikai, ja skatāties citus kanālus. [Citi kanāli vācu valodā (kādi?):][Komentārs]"/>
    <tableColumn id="219" xr3:uid="{4355F535-7333-4DB6-A8A8-4C70C803A93D}" name="Kurus no šiem izdevumiem esat lasījuši vai mājaslapas apmeklējuši pēdējo septiņu dienu laikā? [BBC                                                                                                       ]"/>
    <tableColumn id="220" xr3:uid="{11A041AB-8039-43EF-B478-227586092BA5}" name="Kurus no šiem izdevumiem esat lasījuši vai mājaslapas apmeklējuši pēdējo septiņu dienu laikā? [CNN                                                                                                     ]"/>
    <tableColumn id="221" xr3:uid="{3EDED5E0-7E05-4BBC-9564-9FAA9474189F}" name="Kurus no šiem izdevumiem esat lasījuši vai mājaslapas apmeklējuši pēdējo septiņu dienu laikā? [Латвийские вести (laikraksts vai tiešsaitē)                 ]"/>
    <tableColumn id="222" xr3:uid="{9E111A7C-543F-4940-8345-C20CB4F751F0}" name="Kurus no šiem izdevumiem esat lasījuši vai mājaslapas apmeklējuši pēdējo septiņu dienu laikā? [lsm.lv (latviski)]"/>
    <tableColumn id="223" xr3:uid="{66A52E74-0870-4547-AD4D-BA420267259E}" name="Kurus no šiem izdevumiem esat lasījuši vai mājaslapas apmeklējuši pēdējo septiņu dienu laikā? [lsm.lv (krieviski)   ]"/>
    <tableColumn id="224" xr3:uid="{59C98DF0-1108-46CA-B39B-4400D1F4E0E6}" name="Kurus no šiem izdevumiem esat lasījuši vai mājaslapas apmeklējuši pēdējo septiņu dienu laikā? [MK Латвия (laikraksts vai tiešsaitē)                          ]"/>
    <tableColumn id="225" xr3:uid="{763ADFD6-0C77-454C-B941-E1CAC6190C1C}" name="Kurus no šiem izdevumiem esat lasījuši vai mājaslapas apmeklējuši pēdējo septiņu dienu laikā? [Новая Газета]"/>
    <tableColumn id="226" xr3:uid="{F4655F32-853B-4A41-A54A-842EECE57155}" name="Kurus no šiem izdevumiem esat lasījuši vai mājaslapas apmeklējuši pēdējo septiņu dienu laikā? [Kas Jauns (laikraksts vai tiešsaitē)]"/>
    <tableColumn id="227" xr3:uid="{0D8A2E0A-9761-4E12-921E-5412D549101D}" name="Kurus no šiem izdevumiem esat lasījuši vai mājaslapas apmeklējuši pēdējo septiņu dienu laikā? [Ir (laikraksts vai tiešsaitē) ]"/>
    <tableColumn id="228" xr3:uid="{F56C54F8-38F8-4097-8FFB-0F53645417A4}" name="Kurus no šiem izdevumiem esat lasījuši vai mājaslapas apmeklējuši pēdējo septiņu dienu laikā? [Latvijas Avīze (laikraksts vai tiešsaitē)]"/>
    <tableColumn id="229" xr3:uid="{B04DC02F-FFB2-4E0B-88C0-47AEBBE5952A}" name="Kurus no šiem izdevumiem esat lasījuši vai mājaslapas apmeklējuši pēdējo septiņu dienu laikā? [Diena (laikraksts vai tiešsaitē)]"/>
    <tableColumn id="230" xr3:uid="{5D717F26-9D9A-4D4D-AA27-A136F4505988}" name="Kurus no šiem izdevumiem esat lasījuši vai mājaslapas apmeklējuši pēdējo septiņu dienu laikā? [Neatkarīgā Rīta Avīze (laikraksts vai tiešsaitē)]"/>
    <tableColumn id="231" xr3:uid="{E2139BD3-C391-476C-A115-6C5B2F699569}" name="Kurus no šiem izdevumiem esat lasījuši vai mājaslapas apmeklējuši pēdējo septiņu dienu laikā? [Delfi / TVNET / Apollo (latviski)]"/>
    <tableColumn id="232" xr3:uid="{32222CD5-D2AD-4334-841E-DB9BA66BFB51}" name="Kurus no šiem izdevumiem esat lasījuši vai mājaslapas apmeklējuši pēdējo septiņu dienu laikā? [Delfi / TVNET / Apollo (krieviski)]"/>
    <tableColumn id="233" xr3:uid="{46B7F16F-F300-41C4-A5D8-59230A51786F}" name="Kurus no šiem izdevumiem esat lasījuši vai mājaslapas apmeklējuši pēdējo septiņu dienu laikā? [Vesti.ru]"/>
    <tableColumn id="234" xr3:uid="{50DF0CCF-3ECD-41E0-A698-7610557107A9}" name="Kurus no šiem izdevumiem esat lasījuši vai mājaslapas apmeklējuši pēdējo septiņu dienu laikā? [РИА Новости]"/>
    <tableColumn id="235" xr3:uid="{54431C09-26A3-4D70-B2E5-0F15C44F8AA7}" name="Kurus no šiem izdevumiem esat lasījuši vai mājaslapas apmeklējuši pēdējo septiņu dienu laikā? [liepajniekiem.lv]"/>
    <tableColumn id="236" xr3:uid="{982EC705-25A8-461D-B4DA-0B4E1D4C545A}" name="Kurus no šiem izdevumiem esat lasījuši vai mājaslapas apmeklējuši pēdējo septiņu dienu laikā? [chayka.lv / grani.lv]"/>
    <tableColumn id="237" xr3:uid="{B1CAEAC6-55DD-43E7-B3B6-B00821561525}" name="Kurus no šiem izdevumiem esat lasījuši vai mājaslapas apmeklējuši pēdējo septiņu dienu laikā? [Nevienu no augstākminētajām]"/>
    <tableColumn id="238" xr3:uid="{5FD8F6B0-1F23-45CA-BD9F-E741C8B7677A}" name="Kurus no šiem izdevumiem esat lasījuši vai mājaslapas apmeklējuši pēdējo septiņu dienu laikā? [Cita atbilde]"/>
    <tableColumn id="239" xr3:uid="{634B65CB-7CC7-4451-82AB-C1942C1F3F27}" name="Rakstiet tikai tad, ja lasiet citus medijus. [Citi laikraksti / mājaslapas latviešu valodā (kādi?):]"/>
    <tableColumn id="240" xr3:uid="{D91A772F-5CAB-4A28-A70B-8E6D7D8B2D08}" name="Rakstiet tikai tad, ja lasiet citus medijus. [Citi laikraksti / mājaslapas latviešu valodā (kādi?):][Komentārs]"/>
    <tableColumn id="241" xr3:uid="{6D1D0675-4D0D-498D-9E00-D1A2773BF383}" name="Rakstiet tikai tad, ja lasiet citus medijus. [Citi laikraksti / mājaslapas angļu valodā (kādi?):]"/>
    <tableColumn id="242" xr3:uid="{5E9AB989-F30C-4526-A99E-E9073C7C6124}" name="Rakstiet tikai tad, ja lasiet citus medijus. [Citi laikraksti / mājaslapas angļu valodā (kādi?):][Komentārs]"/>
    <tableColumn id="243" xr3:uid="{5202E54B-0BB4-4F2E-9467-3642DAB9AE6D}" name="Rakstiet tikai tad, ja lasiet citus medijus. [Citi laikraksti / mājaslapas krievu valodā (kādi?):]"/>
    <tableColumn id="244" xr3:uid="{4CED68D0-9492-45AC-A1DC-3FE38EBA8840}" name="Rakstiet tikai tad, ja lasiet citus medijus. [Citi laikraksti / mājaslapas krievu valodā (kādi?):][Komentārs]"/>
    <tableColumn id="245" xr3:uid="{DE622E0C-E162-46D0-8E33-7ECA8D29E539}" name="Rakstiet tikai tad, ja lasiet citus medijus. [Citi laikraksti / mājaslapas vācu valodā (kādi?):]"/>
    <tableColumn id="246" xr3:uid="{CDBE257E-B4DA-4BD7-BC52-8910709FD9DA}" name="Rakstiet tikai tad, ja lasiet citus medijus. [Citi laikraksti / mājaslapas vācu valodā (kādi?):][Komentārs]"/>
    <tableColumn id="247" xr3:uid="{28A27A30-A11C-4256-BC61-34BB5EDC8162}" name="Kuru no sekojošajiem sociāliem tīkliem esat izmantojuši pēdējo 24 stundu laikā? [TikTok]"/>
    <tableColumn id="248" xr3:uid="{B1DE0B51-C03E-4920-968B-1485D149D97D}" name="Kuru no sekojošajiem sociāliem tīkliem esat izmantojuši pēdējo 24 stundu laikā? [Instagram]"/>
    <tableColumn id="249" xr3:uid="{77E48912-532B-468A-B9AB-FFD4DD6C7516}" name="Kuru no sekojošajiem sociāliem tīkliem esat izmantojuši pēdējo 24 stundu laikā? [Facebook]"/>
    <tableColumn id="250" xr3:uid="{51BBEFE4-44BD-4F0F-BC3F-B728A6367744}" name="Kuru no sekojošajiem sociāliem tīkliem esat izmantojuši pēdējo 24 stundu laikā? [ВКонтакте]"/>
    <tableColumn id="251" xr3:uid="{07484D70-C9B7-4489-B13D-0AD48543FF3D}" name="Kuru no sekojošajiem sociāliem tīkliem esat izmantojuši pēdējo 24 stundu laikā? [YouTube]"/>
    <tableColumn id="252" xr3:uid="{17CF4F46-D5D7-4B62-B43C-207759D31CAC}" name="Kuru no sekojošajiem sociāliem tīkliem esat izmantojuši pēdējo 24 stundu laikā? [Telegram]"/>
    <tableColumn id="253" xr3:uid="{F3F8ADDC-0D03-4016-8BFB-7E125374867F}" name="Kuru no sekojošajiem sociāliem tīkliem esat izmantojuši pēdējo 24 stundu laikā? [Одноклассники]"/>
    <tableColumn id="254" xr3:uid="{249288B1-ACB7-488E-A68D-A0E2A5AA6193}" name="Kuru no sekojošajiem sociāliem tīkliem esat izmantojuši pēdējo 24 stundu laikā? [Whatsapp]"/>
    <tableColumn id="255" xr3:uid="{ABBD25D5-C493-44C1-9AE7-E6A62BB9E72B}" name="Kuru no sekojošajiem sociāliem tīkliem esat izmantojuši pēdējo 24 stundu laikā? [Reddit]"/>
    <tableColumn id="256" xr3:uid="{859FD283-3B4E-4227-BE86-03E6DA4D50F4}" name="Kuru no sekojošajiem sociāliem tīkliem esat izmantojuši pēdējo 24 stundu laikā? [Draugiem]"/>
    <tableColumn id="257" xr3:uid="{4179F070-70E1-44CA-AA24-292CCB8DB969}" name="Kuru no sekojošajiem sociāliem tīkliem esat izmantojuši pēdējo 24 stundu laikā? [Twitter]"/>
    <tableColumn id="258" xr3:uid="{BBFB098B-94F6-4825-A191-096F6DE4FAC9}" name="Kuru no sekojošajiem sociāliem tīkliem esat izmantojuši pēdējo 24 stundu laikā? [Rutube]"/>
    <tableColumn id="259" xr3:uid="{E97A385B-2DD9-4F35-99C7-E6DEAED6E62C}" name="Kuru no sekojošajiem sociāliem tīkliem esat izmantojuši pēdējo 24 stundu laikā? [Snapchat]"/>
    <tableColumn id="260" xr3:uid="{DBAA8EED-9851-48ED-AEDB-936A3DF3C618}" name="Kuru no sekojošajiem sociāliem tīkliem esat izmantojuši pēdējo 24 stundu laikā? [Nevienu no iepriekšminētajām]"/>
    <tableColumn id="261" xr3:uid="{AB86EBCD-6593-4133-9FDE-8DCFFA25F718}" name="Kuru no sekojošajiem sociāliem tīkliem esat izmantojuši pēdējo 24 stundu laikā? [Cita atbilde]"/>
    <tableColumn id="262" xr3:uid="{E50249BB-E636-49C8-AC14-996FB95A0A1D}" name="Esat sasniedzis aptaujas beigas. Paldies par Jūsu laiku un interesi! Šādas aptaujas sniedz mums dziļāku sapratni par to, ko cilvēki (kā Jūs!) domā par noteiktiem jautājumiem.  Ja vēlaties par kaut ko izteikt domas, lūdzu, rakstiet šeit. Arī būsim pateicīg"/>
    <tableColumn id="263" xr3:uid="{14BFA7B3-D0FC-446D-9998-DA7A6ADA87B8}" name="Laiks kopā"/>
    <tableColumn id="264" xr3:uid="{1E4E91DA-95D3-4B4D-9CAE-05634F842810}" name="Grupas laiks: Ieejas kods"/>
    <tableColumn id="265" xr3:uid="{FA2B9D5C-9722-45CA-A8E0-B06A70838154}" name="Jautājuma laiks: acode"/>
    <tableColumn id="266" xr3:uid="{8684E4A1-59E7-480A-AE26-D2DB366D68FF}" name="Grupas laiks: Personiskā informācija"/>
    <tableColumn id="267" xr3:uid="{96DE573C-FC81-4B9D-B541-33216BD90CA7}" name="Jautājuma laiks: age"/>
    <tableColumn id="268" xr3:uid="{84F28E06-4409-48BA-9AF4-3F742045C283}" name="Jautājuma laiks: gender"/>
    <tableColumn id="269" xr3:uid="{E2F8B710-5F62-413B-A47F-C681C7DA373E}" name="Jautājuma laiks: tongueLAT"/>
    <tableColumn id="270" xr3:uid="{90820D9A-8020-4C0B-A699-EBBA290ED02C}" name="Jautājuma laiks: regionLAT"/>
    <tableColumn id="271" xr3:uid="{AC0D9F77-2013-4F4A-BF5A-B858A65C94AB}" name="Jautājuma laiks: religion"/>
    <tableColumn id="272" xr3:uid="{6C0A3381-499C-462F-B4E6-9FD560A8DDB7}" name="Grupas laiks: Politiskās valodas izmantošana"/>
    <tableColumn id="273" xr3:uid="{FCFC31B3-3FEE-4BC4-9399-DEF4427D0F6E}" name="Jautājuma laiks: reflpoptarget"/>
    <tableColumn id="274" xr3:uid="{A13BD82B-88B9-43E7-9735-7C6C3FC0C5C6}" name="Jautājuma laiks: reflpopgov"/>
    <tableColumn id="275" xr3:uid="{E8BB8A6D-7A81-4A2A-8BFC-1D894F6542E2}" name="Jautājuma laiks: reflpopdown"/>
    <tableColumn id="276" xr3:uid="{42E22A7D-F696-4586-8524-EA46BC30B17A}" name="Jautājuma laiks: reflpopleg"/>
    <tableColumn id="277" xr3:uid="{AC754CD9-70A0-458A-B419-2285B43D231C}" name="Jautājuma laiks: reflpopwords3"/>
    <tableColumn id="278" xr3:uid="{57F2A73D-E2C7-4AB2-881E-DE351A43E8D5}" name="Grupas laiks: Politiskās valodas izmantošana 2"/>
    <tableColumn id="279" xr3:uid="{7FF2061B-2DE6-4C63-880D-46EB721EC24E}" name="Jautājuma laiks: genderfem"/>
    <tableColumn id="280" xr3:uid="{A0180F87-9B36-4AAA-9DE0-A7199365C16F}" name="Jautājuma laiks: Latgendrec"/>
    <tableColumn id="281" xr3:uid="{C7D85625-EC17-4207-9CDB-BE61D9F81E92}" name="Jautājuma laiks: Reclatenergy"/>
    <tableColumn id="282" xr3:uid="{2BD1F15E-1EE0-4AE3-84A1-01656E620124}" name="Jautājuma laiks: rec"/>
    <tableColumn id="283" xr3:uid="{F87FC169-037A-4263-A058-11AC964D67D3}" name="Jautājuma laiks: Latgreenrec"/>
    <tableColumn id="284" xr3:uid="{EEBD317A-A827-4C3A-AB40-3CEA98B2060A}" name="Jautājuma laiks: Reclatdemoc"/>
    <tableColumn id="285" xr3:uid="{30ED4CA5-43A0-494A-B03F-E5E5F17A38CB}" name="Jautājuma laiks: politicsinterestLAT"/>
    <tableColumn id="286" xr3:uid="{580FEAF0-919E-4821-A030-146F39118F65}" name="Jautājuma laiks: Recpopulism"/>
    <tableColumn id="287" xr3:uid="{7A1FAB37-6EF8-43D4-A117-C0ADFA6B6ADE}" name="Grupas laiks: Piederība"/>
    <tableColumn id="288" xr3:uid="{BE412C3B-C8A4-4581-98BB-983A5DE7BA49}" name="Jautājuma laiks: belonggeneralEST"/>
    <tableColumn id="289" xr3:uid="{F02D2F1A-145F-4943-AFE3-1F7243B6D72A}" name="Jautājuma laiks: randnumber"/>
    <tableColumn id="290" xr3:uid="{0D5793CA-0ED7-4E59-B15D-AC10F5518CB7}" name="Jautājuma laiks: belonging1"/>
    <tableColumn id="291" xr3:uid="{ECCFF436-061D-459F-A21D-9AE12D6163CB}" name="Jautājuma laiks: belonging2"/>
    <tableColumn id="292" xr3:uid="{B9ACE41E-568D-4755-B726-31892A80D4D4}" name="Jautājuma laiks: relationgeneral"/>
    <tableColumn id="293" xr3:uid="{B96BA5BF-904A-4BF0-94FF-2E5F6E4E7F67}" name="Jautājuma laiks: allwronglangEstLat"/>
    <tableColumn id="294" xr3:uid="{77E7A3A9-B4E8-4312-883F-2EDF62B59E70}" name="Jautājuma laiks: allwronglangRus"/>
    <tableColumn id="295" xr3:uid="{E5FC35BE-C34E-4B5A-86DE-BE96A26A309A}" name="Jautājuma laiks: allwronglangkomm"/>
    <tableColumn id="296" xr3:uid="{72BDE510-4E6D-4937-8014-21BC684F7A71}" name="Grupas laiks: Sarunas par sabiedriski nozīmīgām tēmām"/>
    <tableColumn id="297" xr3:uid="{489DC082-EED3-47FB-A1D0-1536626DC0C8}" name="Jautājuma laiks: workLAT"/>
    <tableColumn id="298" xr3:uid="{6A187B08-78CF-4834-852A-2AD8953D76FF}" name="Jautājuma laiks: workdiscussLAT"/>
    <tableColumn id="299" xr3:uid="{A2CEA2A4-97C3-4939-8AC7-270658629DE1}" name="Jautājuma laiks: famdiscussLAT"/>
    <tableColumn id="300" xr3:uid="{E7E7205C-F278-4D1F-A028-78D97BEAE86D}" name="Jautājuma laiks: schooldiscussLAT"/>
    <tableColumn id="301" xr3:uid="{DF865F47-61B2-4DD6-9B75-2AF5073A5745}" name="Jautājuma laiks: domainleisureLAT"/>
    <tableColumn id="302" xr3:uid="{ED6A7889-1806-499F-BC60-E83D029A3B35}" name="Jautājuma laiks: domainleisureLATCopy"/>
    <tableColumn id="303" xr3:uid="{6D22DF29-CE17-4B81-81B0-E966498F6250}" name="Grupas laiks: Demokrātija Latvijā"/>
    <tableColumn id="304" xr3:uid="{A8FDF6E3-3729-41C9-859B-EF9305C8DBC0}" name="Jautājuma laiks: demogeneralrankLAT"/>
    <tableColumn id="305" xr3:uid="{C9F60445-3523-4CB1-96D7-06DCD2CBB20D}" name="Jautājuma laiks: demofuncLAT"/>
    <tableColumn id="306" xr3:uid="{E8E33759-0704-4383-88B8-AFFD7C8173C4}" name="Grupas laiks: Izglītība un valodas"/>
    <tableColumn id="307" xr3:uid="{816067EA-F018-44F5-90F4-B3798AC4062B}" name="Jautājuma laiks: educ"/>
    <tableColumn id="308" xr3:uid="{463E71A6-A754-4883-BF59-8207303CACCC}" name="Jautājuma laiks: abroadschool"/>
    <tableColumn id="309" xr3:uid="{EAC49486-CB32-4F83-A8CF-41CC83F93FEB}" name="Jautājuma laiks: langschoolprime"/>
    <tableColumn id="310" xr3:uid="{12D8B519-CD52-40A5-85E9-699728BC27E4}" name="Jautājuma laiks: langschoolsec"/>
    <tableColumn id="311" xr3:uid="{145CA1A6-E708-47FF-8A96-E6EA1DCC17DD}" name="Grupas laiks: Valodas prasmes"/>
    <tableColumn id="312" xr3:uid="{91F58F02-D922-41EF-B471-476CBE0E8AAE}" name="Jautājuma laiks: langskills1speak"/>
    <tableColumn id="313" xr3:uid="{6004597E-3985-4B37-B5B2-79BDE2F28BCB}" name="Jautājuma laiks: langskills2write"/>
    <tableColumn id="314" xr3:uid="{5D1683A7-39A4-47CA-A56F-2E8DE1F7D083}" name="Jautājuma laiks: langskills3underst"/>
    <tableColumn id="315" xr3:uid="{BEA014EA-375A-4CA6-9226-617DDCBBCB76}" name="Jautājuma laiks: langskills4read"/>
    <tableColumn id="316" xr3:uid="{05B38D66-F126-4D3A-A9D3-2F685CCA59EA}" name="Grupas laiks: Valodas prasmes 2"/>
    <tableColumn id="317" xr3:uid="{9DEA9EF9-3047-4843-B1E1-22B8A16FC664}" name="Jautājuma laiks: otherlangskills1spea"/>
    <tableColumn id="318" xr3:uid="{A2C30A45-778A-4E84-BD21-869999648595}" name="Jautājuma laiks: otherlangskills2writ"/>
    <tableColumn id="319" xr3:uid="{89E1B807-A00C-4E3B-BE4A-BF8F22928C48}" name="Jautājuma laiks: otherlangskills3unde"/>
    <tableColumn id="320" xr3:uid="{3867B302-58F7-4949-B1E5-773B67EE9B3C}" name="Jautājuma laiks: otherlangskills4read"/>
    <tableColumn id="321" xr3:uid="{35BFFAF2-F279-4603-AA41-2C83B8B075B3}" name="Grupas laiks:"/>
    <tableColumn id="322" xr3:uid="{2B870937-9681-4383-ADDF-05215D4F13CD}" name="Jautājuma laiks: otherlanguseEstLat"/>
    <tableColumn id="323" xr3:uid="{F64EE7BC-A617-4584-A109-E75DB6AEB3A5}" name="Jautājuma laiks: otherlanguseRus"/>
    <tableColumn id="324" xr3:uid="{588E2742-911A-4E88-8F7A-75BE849DAD34}" name="Jautājuma laiks: otherlangimprov"/>
    <tableColumn id="325" xr3:uid="{EFB35AE1-236D-4AB5-A986-6ECC1ABE9E2B}" name="Jautājuma laiks: otherlangimprovactio"/>
    <tableColumn id="326" xr3:uid="{F2BE3E9D-A094-480D-8127-1238971B0CFF}" name="Grupas laiks: Piederība 2"/>
    <tableColumn id="327" xr3:uid="{228A9E04-8D37-4C29-B767-F7F9F6A61C58}" name="Jautājuma laiks: belonggeneralESTCopy"/>
    <tableColumn id="328" xr3:uid="{A626D48E-3ABB-427A-B6A6-7C35861D53E9}" name="Jautājuma laiks: belonging1Copy"/>
    <tableColumn id="329" xr3:uid="{21427A9C-4994-48EC-B748-45C269DB7755}" name="Jautājuma laiks: belonging2Copy"/>
    <tableColumn id="330" xr3:uid="{0B9581AB-7519-4243-B63C-AD07458751CF}" name="Jautājuma laiks: otherrelationship"/>
    <tableColumn id="331" xr3:uid="{BD648D9F-85CA-4354-AB1E-D47DE658301C}" name="Grupas laiks: Mediji un valoda"/>
    <tableColumn id="332" xr3:uid="{9FA03703-74ED-4155-90B3-5DB678D8EA57}" name="Jautājuma laiks: mediaTvRadioLAT"/>
    <tableColumn id="333" xr3:uid="{7B64A165-8592-46DF-B145-0DF43BA56C97}" name="Jautājuma laiks: mediaTvRadioLATkomm"/>
    <tableColumn id="334" xr3:uid="{E66DF26C-7A5C-4922-9119-AE1148D3F859}" name="Jautājuma laiks: mediaPapersWebLAT"/>
    <tableColumn id="335" xr3:uid="{B050C7E3-1A38-4E2D-B278-86F98BFC3B73}" name="Jautājuma laiks: mediaPapersLATkomm"/>
    <tableColumn id="336" xr3:uid="{6DABBBFD-E7FA-45E8-AE5E-3F2506ECF0E0}" name="Jautājuma laiks: mediaSoMeLAT"/>
    <tableColumn id="337" xr3:uid="{EB8D8BAB-F93E-4861-A834-F627A03606A0}" name="Grupas laiks: Komentārs"/>
    <tableColumn id="338" xr3:uid="{F4ADEECC-7718-47DD-B4BA-6E1D41D68780}" name="Jautājuma laiks: lastwords"/>
    <tableColumn id="339" xr3:uid="{013781D9-40F8-442A-B875-A735698B29A7}" name="Kolonna1"/>
    <tableColumn id="340" xr3:uid="{2D16AFEB-E97E-40C6-BB91-4A676AF84043}" name="Kolonna2"/>
    <tableColumn id="341" xr3:uid="{B93DD4E5-7A8A-4279-99B1-E0C1CA689738}" name="Kolonna3"/>
    <tableColumn id="342" xr3:uid="{64DED8B4-A5C2-4B32-89A9-4C1A783273C5}" name="Kolonna4"/>
    <tableColumn id="343" xr3:uid="{F7516B7B-C886-415A-8731-3DA42BDE32B7}" name="Kolonna5"/>
    <tableColumn id="344" xr3:uid="{CAC9FE55-4E02-4BDE-B567-99145547BEB8}" name="Kolonna6"/>
    <tableColumn id="345" xr3:uid="{EECAC4BC-92A7-44FA-A755-9222F10A113F}" name="Kolonna7"/>
    <tableColumn id="346" xr3:uid="{09BD55F1-3ECE-475A-A9B2-4ADA62FE636F}" name="Kolonna8"/>
    <tableColumn id="347" xr3:uid="{6D5ADDC4-F596-4693-98D3-B199EF49200C}" name="Kolonna9"/>
    <tableColumn id="348" xr3:uid="{8E577115-DC48-48A4-BBFE-9E901A3A7FB1}" name="Kolonna10"/>
    <tableColumn id="349" xr3:uid="{E90DB917-F5CD-4B57-9206-AA56FC74187F}" name="Kolonna11"/>
    <tableColumn id="350" xr3:uid="{AFD5D8CE-55F2-4763-B01F-498A5ECBAEB3}" name="Kolonna12"/>
    <tableColumn id="351" xr3:uid="{C4D53613-8EDB-4CE0-B333-D04329F12750}" name="Kolonna13"/>
    <tableColumn id="352" xr3:uid="{DAAF28D3-6BA2-41B9-AC88-17BCEF1E6258}" name="Kolonna14"/>
    <tableColumn id="353" xr3:uid="{D9F7AF71-8984-41B4-A0C3-BE5DC0279556}" name="Kolonna15"/>
    <tableColumn id="354" xr3:uid="{B79F57E7-3CAB-4C09-BA89-3AA2AC769C61}" name="Kolonna16"/>
    <tableColumn id="355" xr3:uid="{18CE47D2-55F3-45A6-968D-A89D33B88FE3}" name="Kolonna17"/>
    <tableColumn id="356" xr3:uid="{4D8D3EB6-89E9-4999-84C2-F1FD26135B37}" name="Kolonna18"/>
    <tableColumn id="357" xr3:uid="{B4E6FB5B-0CE2-435B-A287-96F7573C2839}" name="Kolonna19"/>
    <tableColumn id="358" xr3:uid="{A478662F-AE77-445B-A371-DB18441023AC}" name="Kolonna20"/>
    <tableColumn id="359" xr3:uid="{8A397C25-538A-43FF-AF73-919D09B9ED3F}" name="Kolonna21"/>
    <tableColumn id="360" xr3:uid="{3AB81AAC-62E4-4B27-964B-732D30CC7A7F}" name="Kolonna22"/>
    <tableColumn id="361" xr3:uid="{23F88358-C1AC-4161-87D6-14015C6E6870}" name="Kolonna23"/>
    <tableColumn id="362" xr3:uid="{2499CE49-47DD-40FC-A45E-9A64A669C612}" name="Kolonna24"/>
    <tableColumn id="363" xr3:uid="{599BAB5A-B16C-4830-8E06-D7D769CB18CA}" name="Kolonna25"/>
    <tableColumn id="364" xr3:uid="{0812F44D-BB44-4F2D-AF42-3F5447A8BA5B}" name="Kolonna26"/>
    <tableColumn id="365" xr3:uid="{3FAF1443-36C5-42EC-B115-205EC5AFD7CE}" name="Kolonna27"/>
    <tableColumn id="366" xr3:uid="{84704153-7A6B-487F-BE07-4BB9AFE101C7}" name="Kolonna28"/>
    <tableColumn id="367" xr3:uid="{A969BF1C-8570-48E2-8EBE-33FE39A06B01}" name="Kolonna29"/>
    <tableColumn id="368" xr3:uid="{2AE3E6A9-E960-4A81-8CE0-740D3F4634D4}" name="Kolonna30"/>
    <tableColumn id="369" xr3:uid="{170EC9F5-4E07-4DD1-9C35-8D10817D448F}" name="Kolonna31"/>
    <tableColumn id="370" xr3:uid="{242258DC-DCB9-4DBA-8FDB-EB76A5CAE395}" name="Kolonna32"/>
    <tableColumn id="371" xr3:uid="{69A8E3D4-D52A-4A99-B73C-25AD02451324}" name="Kolonna33"/>
    <tableColumn id="372" xr3:uid="{1395E6AF-4FDB-4638-9828-93041F19B7D5}" name="Kolonna34"/>
    <tableColumn id="373" xr3:uid="{2BBC9E75-0E5A-493D-8163-0923643A25BF}" name="Kolonna35"/>
    <tableColumn id="374" xr3:uid="{3AA7E845-69E4-44B7-91D2-C43B03DB6222}" name="Kolonna36"/>
    <tableColumn id="375" xr3:uid="{C27E1B35-FF74-44C2-AA3A-08D9B421E392}" name="Kolonna37"/>
    <tableColumn id="376" xr3:uid="{1E29C561-C715-4388-B0B6-522C7DBD0D11}" name="Kolonna38"/>
    <tableColumn id="377" xr3:uid="{558CC6DE-A1C2-4B4E-94A3-324FB5EA288F}" name="Kolonna39"/>
    <tableColumn id="378" xr3:uid="{62F38E7C-5B13-4DD3-9EC9-EBBF30C3557D}" name="Kolonna40"/>
    <tableColumn id="379" xr3:uid="{5D59CA24-D123-4D81-A7BE-6BFA2F6107F0}" name="Kolonna41"/>
    <tableColumn id="380" xr3:uid="{93AE0AAF-7F66-4E6A-A595-50464C34E9E4}" name="Kolonna42"/>
    <tableColumn id="381" xr3:uid="{3F7CD16D-AF44-49CB-A19E-46294A780579}" name="Kolonna43"/>
    <tableColumn id="382" xr3:uid="{3FA9AF1B-8364-4AB8-92F0-2ECB8F3A5501}" name="Kolonna44"/>
    <tableColumn id="383" xr3:uid="{EBD66198-9286-4931-A14A-991F15F53F75}" name="Kolonna45"/>
    <tableColumn id="384" xr3:uid="{C1D58D06-11EC-4251-A83E-F2105D53F80B}" name="Kolonna46"/>
    <tableColumn id="385" xr3:uid="{D23481D5-7D0E-4661-9203-2C316B26ADAE}" name="Kolonna47"/>
    <tableColumn id="386" xr3:uid="{40D5D753-DA34-4FB3-9830-600E97E783F9}" name="Kolonna48"/>
    <tableColumn id="387" xr3:uid="{95DAF9A6-E464-4555-A2B9-7B48E9BFFFC6}" name="Kolonna49"/>
    <tableColumn id="388" xr3:uid="{3F333A30-EA33-470A-991A-D850D98F52A7}" name="Kolonna50"/>
    <tableColumn id="389" xr3:uid="{DB619587-3245-4EE7-BA20-2EE95F6BEBB3}" name="Kolonna51"/>
    <tableColumn id="390" xr3:uid="{81EED4A1-6F61-45E8-A336-43E2DFFC9945}" name="Kolonna52"/>
    <tableColumn id="391" xr3:uid="{0E52D57F-6B9A-4370-B3C8-D6B986F0120E}" name="Kolonna53"/>
    <tableColumn id="392" xr3:uid="{04D0EBCC-F604-40D1-B2B6-C66B57526925}" name="Kolonna54"/>
    <tableColumn id="393" xr3:uid="{2C36390A-62D7-4405-AD76-61654E3B3023}" name="Kolonna55"/>
    <tableColumn id="394" xr3:uid="{7700727C-2F9B-4F73-A098-B4EEE254A1D0}" name="Kolonna56"/>
    <tableColumn id="395" xr3:uid="{7017AED1-10D9-4847-8AB2-DFEDF599F395}" name="Kolonna57"/>
    <tableColumn id="396" xr3:uid="{CBC5403E-D1BB-42B9-82A4-FFEB37C48A01}" name="Kolonna58"/>
    <tableColumn id="397" xr3:uid="{BF02A76F-079F-461D-968B-2BC362953AFB}" name="Kolonna59"/>
    <tableColumn id="398" xr3:uid="{98036643-E3AA-4F86-BAD1-7BC2CE4866A8}" name="Kolonna60"/>
    <tableColumn id="399" xr3:uid="{B7ABFCB9-0839-4EC5-9C19-655E6DFDDE55}" name="Kolonna61"/>
    <tableColumn id="400" xr3:uid="{E7BE8689-8458-4806-86E6-6F75DB8BFADF}" name="Kolonna62"/>
    <tableColumn id="401" xr3:uid="{3BBED5A3-F062-44AB-AC0A-4B7889DA8BB5}" name="Kolonna63"/>
    <tableColumn id="402" xr3:uid="{8F0E4094-6C2B-4520-8530-620F76EC8ED0}" name="Kolonna64"/>
    <tableColumn id="403" xr3:uid="{6B9C1CE5-1449-45D0-B42B-C5C29AA954FC}" name="Kolonna65"/>
    <tableColumn id="404" xr3:uid="{AAC47FB4-F3E4-4B2C-B5A3-2914BBF53E96}" name="Kolonna66"/>
    <tableColumn id="405" xr3:uid="{19B74F65-74AE-4F8E-AA41-900F7D8980BD}" name="Kolonna67"/>
    <tableColumn id="406" xr3:uid="{C344F2FA-191C-486C-B9FF-131ABCC55544}" name="Kolonna68"/>
    <tableColumn id="407" xr3:uid="{483B658C-8CF4-428D-A975-84AD76E81CED}" name="Kolonna69"/>
    <tableColumn id="408" xr3:uid="{0917E661-BC1B-4231-850F-2A33F5DFA5B4}" name="Kolonna70"/>
    <tableColumn id="409" xr3:uid="{160F3291-861B-4D9E-BDE9-BD162DAA7F2C}" name="Kolonna71"/>
    <tableColumn id="410" xr3:uid="{D3F99656-5D33-49A7-8F6E-FAEF46D40347}" name="Kolonna72"/>
    <tableColumn id="411" xr3:uid="{8DBAABD2-E2F2-4129-9C4F-D7E962CBADAC}" name="Kolonna73"/>
    <tableColumn id="412" xr3:uid="{16295CE5-AF83-4F4C-9FDC-FB770548F872}" name="Kolonna74"/>
    <tableColumn id="413" xr3:uid="{7D88C81F-E450-47DD-9919-1F3DF41B80CD}" name="Kolonna75"/>
    <tableColumn id="414" xr3:uid="{AF6C24B5-6585-491D-ADB7-16D812C1FB6E}" name="Kolonna76"/>
    <tableColumn id="415" xr3:uid="{B6415BDE-0FD1-4225-B3B3-062501658B5B}" name="Kolonna77"/>
    <tableColumn id="416" xr3:uid="{62319015-008C-4E4C-86E0-901720AEC5C6}" name="Kolonna78"/>
    <tableColumn id="417" xr3:uid="{0BE59295-DFB2-4FB7-BDC5-5BA884F484E3}" name="Kolonna79"/>
    <tableColumn id="418" xr3:uid="{BCD6EDED-B1AA-4E34-9FE5-CE68E67D680F}" name="Kolonna80"/>
    <tableColumn id="419" xr3:uid="{E436DE9F-C7DC-4F56-9A06-A8E4D3BEB9F0}" name="Kolonna81"/>
    <tableColumn id="420" xr3:uid="{C2A273ED-FF41-4752-A513-E47964D8BF33}" name="Kolonna82"/>
    <tableColumn id="421" xr3:uid="{92E69988-5F3C-4D02-B775-BA5DF690FC65}" name="Kolonna83"/>
    <tableColumn id="422" xr3:uid="{CC695AFF-6A80-4CE8-8B11-552C3761DAC0}" name="Kolonna84"/>
    <tableColumn id="423" xr3:uid="{E5DE9DF8-9D5C-4ECE-BA04-B427E84F3F7B}" name="Kolonna85"/>
    <tableColumn id="424" xr3:uid="{7DDD6025-AEEC-4685-8B70-562BB443271B}" name="Kolonna86"/>
    <tableColumn id="425" xr3:uid="{454A408F-6F31-4DE8-AC27-8AA8D899B478}" name="Kolonna87"/>
    <tableColumn id="426" xr3:uid="{16AA2C64-E7E1-413B-8B37-06ACDA98EF45}" name="Kolonna88"/>
    <tableColumn id="427" xr3:uid="{6D6DF9ED-E2C8-45A2-8E0A-046001461E79}" name="Kolonna89"/>
    <tableColumn id="428" xr3:uid="{4FFF1E36-20B5-41A0-B84E-ED5CD0552C70}" name="Kolonna90"/>
    <tableColumn id="429" xr3:uid="{65EB3267-CCFC-487E-A69E-9B73010C3789}" name="Kolonna91"/>
    <tableColumn id="430" xr3:uid="{F3DFCF2D-36FD-4E02-8C6F-89FC0165E45A}" name="Kolonna92"/>
    <tableColumn id="431" xr3:uid="{BCB93253-E3B1-4E77-BDCE-D7BB6094D31E}" name="Kolonna93"/>
    <tableColumn id="432" xr3:uid="{8D5D26F6-0F01-4B01-B5C3-9AD507CD61B5}" name="Kolonna94"/>
    <tableColumn id="433" xr3:uid="{679B99BF-F3A8-4E15-AE71-F79714F4C543}" name="Kolonna95"/>
    <tableColumn id="434" xr3:uid="{67E3625D-D092-4265-93CD-52CE304741E8}" name="Kolonna96"/>
    <tableColumn id="435" xr3:uid="{95074725-25FA-4979-9577-80407174FDCA}" name="Kolonna97"/>
    <tableColumn id="436" xr3:uid="{17CEC57E-F522-4292-9B95-0BDA357306C8}" name="Kolonna98"/>
    <tableColumn id="437" xr3:uid="{FD14A51C-E7FA-4EC8-BE48-5D58FF51E1C4}" name="Kolonna99"/>
    <tableColumn id="438" xr3:uid="{1C917DBC-F66D-4611-9702-5B19E72837FE}" name="Kolonna100"/>
    <tableColumn id="439" xr3:uid="{AC050F31-7703-4987-A203-B265B1DAC03E}" name="Kolonna101"/>
    <tableColumn id="440" xr3:uid="{226AEE92-9189-4D64-9202-14A860168683}" name="Kolonna102"/>
    <tableColumn id="441" xr3:uid="{F506042F-9E66-46D4-A249-B5BC9F9E9D54}" name="Kolonna103"/>
    <tableColumn id="442" xr3:uid="{3B93E385-4992-4D32-8535-F76955107377}" name="Kolonna104"/>
    <tableColumn id="443" xr3:uid="{6E4A44C6-312F-489B-A185-6FCC6FB417BA}" name="Kolonna105"/>
    <tableColumn id="444" xr3:uid="{51B676DB-523E-449A-91EB-34177FDD39C2}" name="Kolonna106"/>
    <tableColumn id="445" xr3:uid="{443D20A1-C2DC-4D0B-A9F0-848E99E84A22}" name="Kolonna107"/>
    <tableColumn id="446" xr3:uid="{482D159F-8CC1-4914-A576-670C2C1B04E3}" name="Kolonna108"/>
    <tableColumn id="447" xr3:uid="{90126238-EC94-4E1B-839D-17E26238E44D}" name="Kolonna109"/>
    <tableColumn id="448" xr3:uid="{BD59BE74-67CF-4090-BCEC-0CDE3197DB9A}" name="Kolonna110"/>
    <tableColumn id="449" xr3:uid="{986DF9BF-82A4-49D0-B3ED-72D216E92E01}" name="Kolonna111"/>
    <tableColumn id="450" xr3:uid="{A401646B-0620-4126-8482-B4E3237B1FB3}" name="Kolonna112"/>
    <tableColumn id="451" xr3:uid="{C3342656-651F-4328-88B7-2244737A9EBC}" name="Kolonna113"/>
    <tableColumn id="452" xr3:uid="{508BB746-BFC2-4B6E-BA85-12082B397DA6}" name="Kolonna114"/>
    <tableColumn id="453" xr3:uid="{1546953D-10BB-4F3E-9106-F43C1AEC21F5}" name="Kolonna115"/>
    <tableColumn id="454" xr3:uid="{2C20F5F6-574F-46C9-AB90-9F442A55DEE2}" name="Kolonna116"/>
    <tableColumn id="455" xr3:uid="{FE204A73-CD3D-44F0-AA24-21DDFEF9E2FA}" name="Kolonna117"/>
    <tableColumn id="456" xr3:uid="{178CBC11-8291-4A67-A17F-9BE14E7474BB}" name="Kolonna118"/>
    <tableColumn id="457" xr3:uid="{253A2DB9-9D91-4BEE-9BF6-1BCF9868EA6F}" name="Kolonna119"/>
    <tableColumn id="458" xr3:uid="{EC4C5905-0BAE-44AC-8D78-91A9F31C0CC7}" name="Kolonna120"/>
    <tableColumn id="459" xr3:uid="{9A14F68F-A0EC-4AA1-A51F-4F635072DC15}" name="Kolonna121"/>
    <tableColumn id="460" xr3:uid="{6FA86B3A-5214-491E-AF36-1075B4FCB3CB}" name="Kolonna122"/>
    <tableColumn id="461" xr3:uid="{CBFFEF79-727C-4280-A517-E470FCC51E5A}" name="Kolonna123"/>
    <tableColumn id="462" xr3:uid="{7D00579A-0104-4291-AE43-A176CFF458EC}" name="Kolonna124"/>
    <tableColumn id="463" xr3:uid="{DA7F3C00-E4E0-4254-B044-D049C203A463}" name="Kolonna125"/>
    <tableColumn id="464" xr3:uid="{BC0AAD4B-95DD-4C49-B8AA-61287CB4A2B8}" name="Kolonna126"/>
    <tableColumn id="465" xr3:uid="{44ADCDD7-A2D0-4153-BEE7-0A6B26B571CC}" name="Kolonna127"/>
    <tableColumn id="466" xr3:uid="{6DE85DE8-B200-485D-9EC6-4520462D420D}" name="Kolonna128"/>
    <tableColumn id="467" xr3:uid="{FBB52775-CA6A-48BD-A6DD-9AC5A037E6EC}" name="Kolonna129"/>
    <tableColumn id="468" xr3:uid="{84A19B6F-3EB8-40A7-8AF6-ED9B3B198A02}" name="Kolonna130"/>
    <tableColumn id="469" xr3:uid="{CD31DAE7-3A2A-4D66-A7A0-A2AD20DF6104}" name="Kolonna131"/>
    <tableColumn id="470" xr3:uid="{3999FE70-6B5A-481A-9A0B-5585408363B6}" name="Kolonna132"/>
    <tableColumn id="471" xr3:uid="{B2F192C4-5E17-45F1-8C8A-EA82B0FD3015}" name="Kolonna133"/>
    <tableColumn id="472" xr3:uid="{DD2C35D0-3827-41A2-A2BC-19B2BEC9CD54}" name="Kolonna134"/>
    <tableColumn id="473" xr3:uid="{C0989F34-4C18-47ED-B4C0-6409165E4F68}" name="Kolonna135"/>
    <tableColumn id="474" xr3:uid="{C3D06ECA-2367-49D1-8811-2521A4049C17}" name="Kolonna136"/>
    <tableColumn id="475" xr3:uid="{BB0AB7C7-FD7B-40A6-AACC-8C5A9A9C1709}" name="Kolonna137"/>
    <tableColumn id="476" xr3:uid="{CD611464-0B82-4170-B542-C5E9D8D3F49C}" name="Kolonna138"/>
    <tableColumn id="477" xr3:uid="{CE4B96BF-1A47-4CC6-9133-6661CACD16DE}" name="Kolonna139"/>
    <tableColumn id="478" xr3:uid="{A3B2B088-63DD-4B95-AA18-3D4957B303BB}" name="Kolonna140"/>
    <tableColumn id="479" xr3:uid="{039F0B16-CE76-4AE0-8B16-770C626A1689}" name="Kolonna141"/>
    <tableColumn id="480" xr3:uid="{465C9BB5-1EEA-436A-91C7-8DD9AEE111AA}" name="Kolonna142"/>
    <tableColumn id="481" xr3:uid="{0A091351-1F4A-4FDA-B314-D736845A7058}" name="Kolonna143"/>
    <tableColumn id="482" xr3:uid="{0B9E9133-A7E0-48AA-A075-6CFD0CFD73D7}" name="Kolonna144"/>
    <tableColumn id="483" xr3:uid="{54A8E66D-F89B-4927-8109-6575867260EF}" name="Kolonna145"/>
    <tableColumn id="484" xr3:uid="{11F66C04-F28F-486D-A60F-7F39EF501D17}" name="Kolonna146"/>
    <tableColumn id="485" xr3:uid="{4BEC154D-9A49-41D4-9881-E2B2D1863B47}" name="Kolonna147"/>
    <tableColumn id="486" xr3:uid="{142B73DE-CD47-4156-8EA4-B55E47BB71E5}" name="Kolonna148"/>
    <tableColumn id="487" xr3:uid="{EFBEC05B-82A3-4B75-AABC-402683FDAFA8}" name="Kolonna149"/>
    <tableColumn id="488" xr3:uid="{51E93B0C-7304-4EC5-A73A-BB692EAC595E}" name="Kolonna150"/>
    <tableColumn id="489" xr3:uid="{686D0840-6807-4F0E-9999-2CF8FC5626EB}" name="Kolonna151"/>
    <tableColumn id="490" xr3:uid="{F3D55163-493D-41D5-9396-8C9D4F8A8291}" name="Kolonna152"/>
    <tableColumn id="491" xr3:uid="{ADD2A91D-5ED7-495A-AB1C-72C3B951B542}" name="Kolonna153"/>
    <tableColumn id="492" xr3:uid="{72334923-5550-4CC2-9988-A8D9508F9AD6}" name="Kolonna154"/>
    <tableColumn id="493" xr3:uid="{8CAD5ED7-43E6-425E-BBD8-94F7AB973DFF}" name="Kolonna155"/>
    <tableColumn id="494" xr3:uid="{1A83225E-DE2B-4BF8-BDBB-7C2D3FD2B36F}" name="Kolonna156"/>
    <tableColumn id="495" xr3:uid="{D54FDB36-7A5D-4C59-A4EC-6BB928A42E31}" name="Kolonna157"/>
    <tableColumn id="496" xr3:uid="{45A2BD69-F0F3-42EE-AAB4-2311BB963227}" name="Kolonna158"/>
    <tableColumn id="497" xr3:uid="{08DF4740-D9D4-4CA9-9174-F9DCBEB7308E}" name="Kolonna159"/>
    <tableColumn id="498" xr3:uid="{0E6E2400-E3A5-4E03-8CF0-CAC52E1FF896}" name="Kolonna160"/>
    <tableColumn id="499" xr3:uid="{D68655FE-AD48-44B7-8A58-1C1D45ACC3A6}" name="Kolonna161"/>
    <tableColumn id="500" xr3:uid="{E5EDCDA5-B0D7-4D61-970D-1FB28AD10EFF}" name="Kolonna162"/>
    <tableColumn id="501" xr3:uid="{C91F215D-D464-422B-8FDD-4904F5274672}" name="Kolonna163"/>
    <tableColumn id="502" xr3:uid="{CD5C5627-576E-4B25-B94C-23A70A688729}" name="Kolonna164"/>
    <tableColumn id="503" xr3:uid="{23FDA39B-69FF-422E-BAFA-0AD0BCB7E42E}" name="Kolonna165"/>
    <tableColumn id="504" xr3:uid="{C0A2EAD7-955B-4A7F-9A50-B69DC61FE3D7}" name="Kolonna166"/>
    <tableColumn id="505" xr3:uid="{26BE8EDC-CE1E-4AC9-B07E-CAB5878E7843}" name="Kolonna167"/>
    <tableColumn id="506" xr3:uid="{294BEF3E-EF68-403C-9C8C-5642144C10B8}" name="Kolonna168"/>
    <tableColumn id="507" xr3:uid="{7F8A9639-EAB9-4EBD-9629-FADEC8508862}" name="Kolonna169"/>
    <tableColumn id="508" xr3:uid="{F3585377-5C63-4795-B2B5-67DBB18CE35E}" name="Kolonna170"/>
    <tableColumn id="509" xr3:uid="{3D86B346-E4E2-4872-ADB8-9DAD80D59796}" name="Kolonna171"/>
    <tableColumn id="510" xr3:uid="{4ABF1948-DDA8-43E7-9BF7-F2639E0C621C}" name="Kolonna172"/>
    <tableColumn id="511" xr3:uid="{3E58F498-7174-4B1A-884E-681C048061FE}" name="Kolonna173"/>
    <tableColumn id="512" xr3:uid="{97FBF847-3036-4E78-8FEA-16821742CB7F}" name="Kolonna174"/>
    <tableColumn id="513" xr3:uid="{A70A99B8-A44C-4D91-A1C8-D14BD8039E42}" name="Kolonna175"/>
    <tableColumn id="514" xr3:uid="{6A46CD72-D521-4962-89D3-13FD5483B6F8}" name="Kolonna176"/>
    <tableColumn id="515" xr3:uid="{09ACB6D0-D171-4F1E-AB88-9B43DBE8C989}" name="Kolonna177"/>
    <tableColumn id="516" xr3:uid="{AA211382-E29A-4567-BF52-F4CF93738E49}" name="Kolonna178"/>
    <tableColumn id="517" xr3:uid="{C458EFD0-248A-4BAF-94DE-9F11B32592A7}" name="Kolonna179"/>
    <tableColumn id="518" xr3:uid="{61DE86F3-2FB7-4A2A-9703-4FEE086FD058}" name="Kolonna180"/>
    <tableColumn id="519" xr3:uid="{DB1B3AFB-A310-497A-AB82-4FA8D8BB14B6}" name="Kolonna181"/>
    <tableColumn id="520" xr3:uid="{3A533DD5-E5DD-4939-A73A-F4866EB3C9EB}" name="Kolonna182"/>
    <tableColumn id="521" xr3:uid="{ACD88309-9B92-4ADF-ACBE-7081451BA923}" name="Kolonna183"/>
    <tableColumn id="522" xr3:uid="{6EDCF729-2E93-4989-96FA-4AEB3361DA91}" name="Kolonna184"/>
    <tableColumn id="523" xr3:uid="{D4FDD7C2-AA99-4AF5-98C8-35926D8DB2DA}" name="Kolonna185"/>
    <tableColumn id="524" xr3:uid="{1B2B86F6-E5AE-425B-B3A3-E15E7F0E1147}" name="Kolonna186"/>
    <tableColumn id="525" xr3:uid="{07C9B6E8-6BC7-451F-B20E-ABE764FF8002}" name="Kolonna187"/>
    <tableColumn id="526" xr3:uid="{163A5AE7-8D00-4EC4-9511-0B9FA1B6FF83}" name="Kolonna188"/>
    <tableColumn id="527" xr3:uid="{87892EC2-EC45-44A3-8EC6-7277664E1EC7}" name="Kolonna189"/>
    <tableColumn id="528" xr3:uid="{F4A74E26-DE3C-44E6-9993-B5505F7F1B97}" name="Kolonna190"/>
    <tableColumn id="529" xr3:uid="{5F8128BF-B02E-428F-9FC8-27837220EA77}" name="Kolonna191"/>
    <tableColumn id="530" xr3:uid="{8461440F-9444-4202-9F59-851ED8C67555}" name="Kolonna192"/>
    <tableColumn id="531" xr3:uid="{78A53C08-30E5-48FF-8507-80BA417A42B8}" name="Kolonna193"/>
    <tableColumn id="532" xr3:uid="{74DE61F4-F7A1-44D9-8357-8B8C154CD596}" name="Kolonna194"/>
    <tableColumn id="533" xr3:uid="{6AFA75FC-02B1-4C8E-AEA9-C474CD72A855}" name="Kolonna195"/>
    <tableColumn id="534" xr3:uid="{62F7A034-AA3E-4493-8113-DB047E7C5920}" name="Kolonna196"/>
    <tableColumn id="535" xr3:uid="{204AB7F5-97D7-4DD7-AF40-32B79F4EE11B}" name="Kolonna197"/>
    <tableColumn id="536" xr3:uid="{FC7C97ED-DC91-4CED-9785-67A200F52EBF}" name="Kolonna198"/>
    <tableColumn id="537" xr3:uid="{C9209392-38A1-4238-8AAF-866F3265C34D}" name="Kolonna199"/>
    <tableColumn id="538" xr3:uid="{D5FD9F50-8E06-4482-ABDF-40B50D248FA2}" name="Kolonna200"/>
    <tableColumn id="539" xr3:uid="{2DC95383-E9D9-4A6A-99A4-5647CF330122}" name="Kolonna201"/>
    <tableColumn id="540" xr3:uid="{FF490410-B9B3-4785-84C8-ADA9817AFEDC}" name="Kolonna202"/>
    <tableColumn id="541" xr3:uid="{D118DA32-874A-45F8-9C71-EA50FE4CFD43}" name="Kolonna203"/>
    <tableColumn id="542" xr3:uid="{66C0AEBC-3608-4D6A-A92A-1848865092F6}" name="Kolonna204"/>
    <tableColumn id="543" xr3:uid="{552031C0-81BA-4C50-A0CF-CAD953E8E5A2}" name="Kolonna205"/>
    <tableColumn id="544" xr3:uid="{4477A8CE-8A56-45FB-A54D-7F1D7459188B}" name="Kolonna206"/>
    <tableColumn id="545" xr3:uid="{0C18EBE1-17FB-4E18-A1EA-AE11F2C8C26D}" name="Kolonna207"/>
    <tableColumn id="546" xr3:uid="{57A47393-BFF7-4B56-8B02-D52768781856}" name="Kolonna208"/>
    <tableColumn id="547" xr3:uid="{EEE508AC-44A7-46C6-A88A-61AD7AAABC75}" name="Kolonna209"/>
    <tableColumn id="548" xr3:uid="{6B0378FC-6C84-47D8-BC69-59C5E31AB5F3}" name="Kolonna210"/>
    <tableColumn id="549" xr3:uid="{7E949E0E-F351-45CA-B49E-E29004CBB10F}" name="Kolonna211"/>
    <tableColumn id="550" xr3:uid="{4B0BF70B-1FD1-4F36-BF97-2166718D2C7C}" name="Kolonna212"/>
    <tableColumn id="551" xr3:uid="{56B59BCC-8DE8-4CF0-B6A3-8FD27EC4AFF7}" name="Kolonna213"/>
    <tableColumn id="552" xr3:uid="{7B5BFA8E-6A78-499D-AA1E-F2DEB8DCCE7F}" name="Kolonna214"/>
    <tableColumn id="553" xr3:uid="{2F907BF9-4618-4078-8DB6-AD0ABC636D82}" name="Kolonna215"/>
    <tableColumn id="554" xr3:uid="{0283F021-2E3D-4B9B-B7E0-2C12AF543E9E}" name="Kolonna216"/>
    <tableColumn id="555" xr3:uid="{76CC1FC3-B8AF-4506-B2A8-3132469D1C26}" name="Kolonna217"/>
    <tableColumn id="556" xr3:uid="{3A4E40EB-C0A4-4473-8BAE-40C2045A315C}" name="Kolonna218"/>
    <tableColumn id="557" xr3:uid="{089A4761-5F22-4132-A8E2-434497FCFE0D}" name="Kolonna219"/>
    <tableColumn id="558" xr3:uid="{C64BABF9-842E-4F80-825E-5816B8179500}" name="Kolonna220"/>
    <tableColumn id="559" xr3:uid="{79F9171B-0F8C-4E8D-AB10-80BED631645A}" name="Kolonna221"/>
    <tableColumn id="560" xr3:uid="{66A67FE6-E159-4851-A1FA-0C16320B5F6F}" name="Kolonna222"/>
    <tableColumn id="561" xr3:uid="{E23ECC4C-A2A1-4DE0-8D60-65436C023471}" name="Kolonna223"/>
    <tableColumn id="562" xr3:uid="{D0722AD4-43A5-4C0C-8CCE-12CBD781CAAB}" name="Kolonna224"/>
    <tableColumn id="563" xr3:uid="{310ADFA5-110A-4018-A54C-9770AD47C24E}" name="Kolonna225"/>
    <tableColumn id="564" xr3:uid="{E0F065CE-65F5-49E8-B6B2-AF4359BBBBB2}" name="Kolonna226"/>
    <tableColumn id="565" xr3:uid="{794A745E-BA4A-4F34-B741-768C2F393668}" name="Kolonna227"/>
    <tableColumn id="566" xr3:uid="{E48FF3B3-BA61-447D-9B84-9406322ADBC9}" name="Kolonna228"/>
    <tableColumn id="567" xr3:uid="{2318BB05-9C68-41CB-A88E-6D52A452F8DC}" name="Kolonna229"/>
    <tableColumn id="568" xr3:uid="{447F387E-585F-41B4-A330-D1497E940FB8}" name="Kolonna230"/>
    <tableColumn id="569" xr3:uid="{D1550A19-0DDD-4256-87C5-203D835458E2}" name="Kolonna231"/>
    <tableColumn id="570" xr3:uid="{5F59F025-7C8F-447A-9AC9-6D068AD28998}" name="Kolonna232"/>
    <tableColumn id="571" xr3:uid="{B825653F-5757-4634-9B67-DC98AEA2D2F2}" name="Kolonna233"/>
    <tableColumn id="572" xr3:uid="{F2DD0266-3B98-4952-8917-C1F0CE382BC7}" name="Kolonna234"/>
    <tableColumn id="573" xr3:uid="{B44D3148-9C10-4209-A586-6FC1CCB3E928}" name="Kolonna235"/>
    <tableColumn id="574" xr3:uid="{B89FE73E-DACD-4D4F-B5E7-BEF7BAEE135A}" name="Kolonna236"/>
    <tableColumn id="575" xr3:uid="{8E0E107C-9E9B-4F0D-A32A-685A0270732F}" name="Kolonna237"/>
    <tableColumn id="576" xr3:uid="{4EEDD511-B033-4EA5-9667-E3405FD812D3}" name="Kolonna238"/>
    <tableColumn id="577" xr3:uid="{C53E4CEC-32B2-43FE-89B5-863F287120F2}" name="Kolonna239"/>
    <tableColumn id="578" xr3:uid="{37DD1178-42CD-4126-BD3F-D5C4600B7716}" name="Kolonna240"/>
    <tableColumn id="579" xr3:uid="{9BDC6063-AB24-4234-B837-DDAAB375853C}" name="Kolonna241"/>
    <tableColumn id="580" xr3:uid="{C5D107B3-B2E0-4170-96AC-56B15F4EA33F}" name="Kolonna242"/>
    <tableColumn id="581" xr3:uid="{8C7DA11F-3800-4546-89B5-6BDF1826F328}" name="Kolonna243"/>
    <tableColumn id="582" xr3:uid="{ADD69F51-3D9C-468F-880E-527E1D7A567D}" name="Kolonna244"/>
    <tableColumn id="583" xr3:uid="{ABD6501C-C5BC-4580-86EF-D2B772546DA0}" name="Kolonna245"/>
    <tableColumn id="584" xr3:uid="{E60D7788-BE4A-4EDF-A096-5CCABDE85C97}" name="Kolonna246"/>
    <tableColumn id="585" xr3:uid="{EA8528C7-4985-4FC8-84D4-BEE689A8806A}" name="Kolonna247"/>
    <tableColumn id="586" xr3:uid="{F8E3EB31-ED51-49DD-8068-056A9AA0A43C}" name="Kolonna248"/>
    <tableColumn id="587" xr3:uid="{41FC1FD6-8C9D-46C2-B1F0-66E590AE4B86}" name="Kolonna249"/>
    <tableColumn id="588" xr3:uid="{5886614C-BA5F-4E4C-B171-C7A3182D059C}" name="Kolonna250"/>
    <tableColumn id="589" xr3:uid="{A180BF7B-EFC8-4804-95F8-9B424390A839}" name="Kolonna251"/>
    <tableColumn id="590" xr3:uid="{9A394B5C-140E-4A04-B1F3-428CA3FBF982}" name="Kolonna252"/>
    <tableColumn id="591" xr3:uid="{AD5ADF9D-8D39-4197-A076-EC1387600B53}" name="Kolonna253"/>
    <tableColumn id="592" xr3:uid="{6CD0E2C1-0274-411A-AE3F-33B5D93CE008}" name="Kolonna254"/>
    <tableColumn id="593" xr3:uid="{69F98FC8-28A6-40A1-BF2D-302440C5F990}" name="Kolonna255"/>
    <tableColumn id="594" xr3:uid="{6110EAF6-DBC1-41E0-A8FC-0DFD3C863729}" name="Kolonna256"/>
    <tableColumn id="595" xr3:uid="{26982491-146D-410C-9ACF-A82E2F3DA0A3}" name="Kolonna257"/>
    <tableColumn id="596" xr3:uid="{65A71F34-E672-4284-842C-43E1C22C1B1D}" name="Kolonna258"/>
    <tableColumn id="597" xr3:uid="{75DA3EBC-BE3C-419E-87FC-C93D81D35DE8}" name="Kolonna259"/>
    <tableColumn id="598" xr3:uid="{B9856F0A-9245-42DF-AEB2-FB50C28A757F}" name="Kolonna260"/>
    <tableColumn id="599" xr3:uid="{7CC61A50-79FD-4DF1-A7FB-B385C14C9027}" name="Kolonna261"/>
    <tableColumn id="600" xr3:uid="{7AEC689C-88DF-421F-A9DA-6F3C9A3E2270}" name="Kolonna262"/>
    <tableColumn id="601" xr3:uid="{C3D6E1A3-0F9A-4D62-A9F9-F7E8DC1CD833}" name="Kolonna263"/>
    <tableColumn id="602" xr3:uid="{A5A85570-9DDE-49C7-8C35-9DBF9A5A32D0}" name="Kolonna264"/>
    <tableColumn id="603" xr3:uid="{F5D18A2A-AD16-4AF2-AB03-B8FF0073F99B}" name="Kolonna265"/>
    <tableColumn id="604" xr3:uid="{C1F4C421-B37B-429B-B557-DFF8D501848B}" name="Kolonna266"/>
    <tableColumn id="605" xr3:uid="{95641C6C-B8EE-494F-94E8-073A7F508502}" name="Kolonna267"/>
    <tableColumn id="606" xr3:uid="{CA0F6397-AF03-469A-9C52-277C14330184}" name="Kolonna268"/>
    <tableColumn id="607" xr3:uid="{1FA0BC57-6524-4989-A66C-C1B90D5AD5FA}" name="Kolonna269"/>
    <tableColumn id="608" xr3:uid="{3A75C101-161D-4404-BC1C-5A5DB3A23EAF}" name="Kolonna270"/>
    <tableColumn id="609" xr3:uid="{7BDE0E79-8A0E-4B6F-811D-BCE59CFFAE4D}" name="Kolonna271"/>
    <tableColumn id="610" xr3:uid="{6D279F0F-860F-4FE2-8057-C7336154A2CC}" name="Kolonna272"/>
    <tableColumn id="611" xr3:uid="{19F774E1-8014-45FE-A98F-88051C68AD6F}" name="Kolonna273"/>
    <tableColumn id="612" xr3:uid="{3C8A85CB-EB27-4B82-B5F7-AA1B36C1EA8E}" name="Kolonna274"/>
    <tableColumn id="613" xr3:uid="{BB8941DF-BF18-44E5-B6CD-0B375979F30F}" name="Kolonna275"/>
    <tableColumn id="614" xr3:uid="{F50A5BF8-DB93-458C-9229-7CE5A60D1427}" name="Kolonna276"/>
    <tableColumn id="615" xr3:uid="{F0BE1D59-AE23-4816-AFBF-1550D1EAC817}" name="Kolonna277"/>
    <tableColumn id="616" xr3:uid="{74FEA719-71A0-4A8A-957F-69AA27F6D8BA}" name="Kolonna278"/>
    <tableColumn id="617" xr3:uid="{510C35D7-803B-4DB8-9BE5-C3418377328F}" name="Kolonna279"/>
    <tableColumn id="618" xr3:uid="{5715C874-8C46-4BA2-892F-23F4196F2B4B}" name="Kolonna280"/>
    <tableColumn id="619" xr3:uid="{F2455693-12B7-48E6-9A3F-479D730B6566}" name="Kolonna281"/>
    <tableColumn id="620" xr3:uid="{3F96E4D8-A954-49CD-B666-E414595BB415}" name="Kolonna282"/>
    <tableColumn id="621" xr3:uid="{3B4B43C0-0F8E-4423-9F7D-923FCC52C864}" name="Kolonna283"/>
    <tableColumn id="622" xr3:uid="{61916B92-A579-45E1-9A2B-1C313E330E0F}" name="Kolonna284"/>
    <tableColumn id="623" xr3:uid="{341CA938-F29A-45FF-A3FB-CDE88E37BE45}" name="Kolonna285"/>
    <tableColumn id="624" xr3:uid="{E81B83EF-DCBF-4830-8FFA-1FC44309B808}" name="Kolonna286"/>
    <tableColumn id="625" xr3:uid="{1E86075D-476C-4190-8AF1-9E7E25F85341}" name="Kolonna287"/>
    <tableColumn id="626" xr3:uid="{DD5686A5-5ED5-46AD-A209-6D2BB3E7C002}" name="Kolonna288"/>
    <tableColumn id="627" xr3:uid="{3C8F92D9-B54C-45FE-898F-707D52FE9A93}" name="Kolonna289"/>
    <tableColumn id="628" xr3:uid="{9F7262B1-9745-4287-84AD-3678F007786E}" name="Kolonna290"/>
    <tableColumn id="629" xr3:uid="{6B81F63E-D8E1-4DD2-A60F-0593905F45F5}" name="Kolonna291"/>
    <tableColumn id="630" xr3:uid="{CD7E4CB5-D507-4A49-A7E4-F1762E8A5C69}" name="Kolonna292"/>
    <tableColumn id="631" xr3:uid="{CB3F94A4-DD4D-4125-948A-7821C78E45D4}" name="Kolonna293"/>
    <tableColumn id="632" xr3:uid="{5748E508-F838-4132-AD5F-155E152654C2}" name="Kolonna294"/>
    <tableColumn id="633" xr3:uid="{5FAD1E67-1103-496D-B7DA-8544C9DC923C}" name="Kolonna295"/>
    <tableColumn id="634" xr3:uid="{7C5F4D56-802F-4353-899C-C508F4B90ED2}" name="Kolonna296"/>
    <tableColumn id="635" xr3:uid="{AB231E5A-1707-4837-88A8-110C69BFE0C3}" name="Kolonna297"/>
    <tableColumn id="636" xr3:uid="{227349CA-2BF0-46F2-BDF6-0A34B7D10575}" name="Kolonna298"/>
    <tableColumn id="637" xr3:uid="{A60DAF5A-4B99-4511-9B18-E37679FDBFE3}" name="Kolonna299"/>
    <tableColumn id="638" xr3:uid="{3A958CC3-B600-4ACF-9781-90EFF1552E6A}" name="Kolonna300"/>
    <tableColumn id="639" xr3:uid="{D2532B0A-FDAF-4A7C-8DE4-E044C08E1877}" name="Kolonna301"/>
    <tableColumn id="640" xr3:uid="{F7AA32EF-80B7-4824-9DE7-ACD3589B2D02}" name="Kolonna302"/>
    <tableColumn id="641" xr3:uid="{79B4724F-0D7B-4D30-9DBD-7ECB5CE3F86C}" name="Kolonna303"/>
    <tableColumn id="642" xr3:uid="{C320DA98-93CA-4648-9515-0809AF4C46FA}" name="Kolonna304"/>
    <tableColumn id="643" xr3:uid="{2B98ABFB-D529-4FB5-B5C3-D1CDD578DBB1}" name="Kolonna305"/>
    <tableColumn id="644" xr3:uid="{4644F420-ADA0-4C12-AC17-A1A2ABE7F796}" name="Kolonna306"/>
    <tableColumn id="645" xr3:uid="{54D962DB-8FDE-4146-8697-B27888DA3FA5}" name="Kolonna307"/>
    <tableColumn id="646" xr3:uid="{55E0C286-DE18-4638-86D9-DB4E96FE9875}" name="Kolonna308"/>
    <tableColumn id="647" xr3:uid="{38AB85AF-9197-4694-873D-EBCB97485E07}" name="Kolonna309"/>
    <tableColumn id="648" xr3:uid="{F3E9AECB-BD8D-44BD-8FF4-9B2A986ED7CF}" name="Kolonna310"/>
    <tableColumn id="649" xr3:uid="{E3CFB069-14B0-4B7C-9EBD-CD2A55DD66A3}" name="Kolonna311"/>
    <tableColumn id="650" xr3:uid="{C3DF5A99-90DB-4518-A808-480B2F268B7C}" name="Kolonna312"/>
    <tableColumn id="651" xr3:uid="{943729A2-A9A4-4B82-AC17-DEF1897CEE2C}" name="Kolonna313"/>
    <tableColumn id="652" xr3:uid="{5C126376-E26B-4F38-8587-26EB142F6DFC}" name="Kolonna314"/>
    <tableColumn id="653" xr3:uid="{ED12DA3A-7F1E-4C25-9841-BD096F75BD68}" name="Kolonna315"/>
    <tableColumn id="654" xr3:uid="{4BCCF99B-8118-4C41-83C7-3A3EA644B572}" name="Kolonna316"/>
    <tableColumn id="655" xr3:uid="{7AEFB878-E4A7-4BC0-91C4-8C3A7ED2ABB2}" name="Kolonna317"/>
    <tableColumn id="656" xr3:uid="{CF18E6BC-AC23-41C6-9D39-D7C79D8D48F6}" name="Kolonna318"/>
    <tableColumn id="657" xr3:uid="{D2F36475-71F8-47AA-903F-8FF354D5CC8D}" name="Kolonna319"/>
    <tableColumn id="658" xr3:uid="{EB3BB336-BFB4-43EF-A3C7-6C3F173280D5}" name="Kolonna320"/>
    <tableColumn id="659" xr3:uid="{D5CE7724-D9CC-4B23-A538-FD7E7F6A2476}" name="Kolonna321"/>
    <tableColumn id="660" xr3:uid="{DBB716AE-3456-416F-AF40-A07DC9C8EE2B}" name="Kolonna322"/>
    <tableColumn id="661" xr3:uid="{70F9056F-517D-4166-89C9-36F46CF32F98}" name="Kolonna323"/>
    <tableColumn id="662" xr3:uid="{333D38A9-C0E5-4578-8E03-53711EA177AC}" name="Kolonna324"/>
    <tableColumn id="663" xr3:uid="{537E296F-F526-492D-A0BB-F9A6AA5E93D1}" name="Kolonna325"/>
    <tableColumn id="664" xr3:uid="{CDF4B39B-D5BD-4FEA-9BA9-FC147E0DDCA6}" name="Kolonna326"/>
    <tableColumn id="665" xr3:uid="{A8E4BF8D-DC23-4A6D-BA6A-F2DEDB4E0485}" name="Kolonna327"/>
    <tableColumn id="666" xr3:uid="{05642BD8-A747-4E3A-8BFF-5F6E6EF21045}" name="Kolonna328"/>
    <tableColumn id="667" xr3:uid="{6314C78B-8B5D-42FA-8EF2-39F74EF5B4F8}" name="Kolonna329"/>
    <tableColumn id="668" xr3:uid="{31F3689A-3B4E-45E1-8E42-6A4445BDB95D}" name="Kolonna330"/>
    <tableColumn id="669" xr3:uid="{07F0912A-60E5-422E-AFCD-4AFA96A9BA0E}" name="Kolonna331"/>
    <tableColumn id="670" xr3:uid="{84EB58F2-B4E4-46FB-9617-1DDAC14CB1F4}" name="Kolonna332"/>
    <tableColumn id="671" xr3:uid="{14864B07-4096-42B5-B463-79CB3D9A1FC4}" name="Kolonna333"/>
    <tableColumn id="672" xr3:uid="{766EBA0F-FD60-46B6-B65B-3E358F41AE5A}" name="Kolonna334"/>
    <tableColumn id="673" xr3:uid="{BC0D3217-2CBF-4903-844F-3D2DE311E88B}" name="Kolonna335"/>
    <tableColumn id="674" xr3:uid="{FCE2052B-6ED9-4A42-A7BB-3A7F81C8EA61}" name="Kolonna336"/>
    <tableColumn id="675" xr3:uid="{6D9562B5-B07A-4948-B305-528F975710E0}" name="Kolonna337"/>
    <tableColumn id="676" xr3:uid="{EE4F7BE6-0C43-457B-AA72-F1A569F726B5}" name="Kolonna338"/>
    <tableColumn id="677" xr3:uid="{03A90BBC-E798-4D2A-B046-0CFA6C0B812A}" name="Kolonna339"/>
    <tableColumn id="678" xr3:uid="{88820F24-8413-45EE-BC9D-EE0A3D803D69}" name="Kolonna340"/>
    <tableColumn id="679" xr3:uid="{9F8A1F80-04FC-43CA-A23F-DF48EF96B3DB}" name="Kolonna341"/>
    <tableColumn id="680" xr3:uid="{599F5B82-9C91-4976-858C-878EAAEDFB07}" name="Kolonna342"/>
    <tableColumn id="681" xr3:uid="{449BFD20-E426-4589-92FA-87B2BAAB045D}" name="Kolonna343"/>
    <tableColumn id="682" xr3:uid="{1C3B12A1-027A-4ECA-9755-AB70CD905987}" name="Kolonna344"/>
    <tableColumn id="683" xr3:uid="{B82C87E6-344F-42EB-983F-8E6CCF685C85}" name="Kolonna345"/>
    <tableColumn id="684" xr3:uid="{C2A55BAF-4A58-4945-B4FA-B12E232DC057}" name="Kolonna346"/>
    <tableColumn id="685" xr3:uid="{BDEC6DBC-7EDC-4AEB-8BC9-B9C9DDA989F9}" name="Kolonna347"/>
    <tableColumn id="686" xr3:uid="{52E51826-4E6C-4702-BE75-0AF2C5381E97}" name="Kolonna348"/>
    <tableColumn id="687" xr3:uid="{996129A7-34C5-4CA9-B5FB-712ED215D547}" name="Kolonna349"/>
    <tableColumn id="688" xr3:uid="{CA5526F4-1051-405C-9CC3-1D0A2D541671}" name="Kolonna350"/>
    <tableColumn id="689" xr3:uid="{952C88F3-8008-4372-A93D-FB1EFF23D55F}" name="Kolonna351"/>
    <tableColumn id="690" xr3:uid="{C180BE9D-027E-4501-951B-063C9A33256D}" name="Kolonna352"/>
    <tableColumn id="691" xr3:uid="{3B45189F-C0BF-4ECE-A582-D254BC9A9B8E}" name="Kolonna353"/>
    <tableColumn id="692" xr3:uid="{070071CF-2B22-4F7D-93FA-46D6A12353B2}" name="Kolonna354"/>
    <tableColumn id="693" xr3:uid="{9B384141-C2A7-486D-A847-B3BA883A74CA}" name="Kolonna355"/>
    <tableColumn id="694" xr3:uid="{A36B39BC-300E-40BC-B2ED-82AD52374EDF}" name="Kolonna356"/>
    <tableColumn id="695" xr3:uid="{048CEC40-0B48-478A-8041-DE696ACDE2D9}" name="Kolonna357"/>
    <tableColumn id="696" xr3:uid="{A4628AB1-6129-43A1-81CE-A5B33B6C0245}" name="Kolonna358"/>
    <tableColumn id="697" xr3:uid="{104357F1-8E4A-4191-B6D5-F19DE175B05A}" name="Kolonna359"/>
    <tableColumn id="698" xr3:uid="{41B15B92-EB20-4090-BF81-7D4AE234ED47}" name="Kolonna360"/>
    <tableColumn id="699" xr3:uid="{64612C92-6904-4058-9054-62D03A334B19}" name="Kolonna361"/>
    <tableColumn id="700" xr3:uid="{77240C79-6EB7-44E3-AB90-FF6BB14110E7}" name="Kolonna362"/>
    <tableColumn id="701" xr3:uid="{3D921E6B-B2C8-483F-92EF-80704522907E}" name="Kolonna363"/>
    <tableColumn id="702" xr3:uid="{57AB000D-A63E-429E-9178-CBD5518038C9}" name="Kolonna364"/>
    <tableColumn id="703" xr3:uid="{EFF2A8C6-FD06-409F-A430-DDECFD445218}" name="Kolonna365"/>
    <tableColumn id="704" xr3:uid="{30357E72-9DAA-49C5-8095-4952434D1CA8}" name="Kolonna366"/>
    <tableColumn id="705" xr3:uid="{154A3D62-CC10-4F9C-9F45-5F8E4A18A160}" name="Kolonna367"/>
    <tableColumn id="706" xr3:uid="{12C8002C-115F-47A8-B81F-8C217A69D8E7}" name="Kolonna368"/>
    <tableColumn id="707" xr3:uid="{649C7C5D-0389-49FF-B75A-31B1AE9456C9}" name="Kolonna369"/>
    <tableColumn id="708" xr3:uid="{4CA12393-3AEC-4220-B601-332D7271D453}" name="Kolonna370"/>
    <tableColumn id="709" xr3:uid="{DA56C321-1B99-4C3F-94F8-2E5952384EB0}" name="Kolonna371"/>
    <tableColumn id="710" xr3:uid="{7B550C5F-5C2C-4580-9C62-1516C69CB1F0}" name="Kolonna372"/>
    <tableColumn id="711" xr3:uid="{EA5DFFE8-8537-4018-8843-2E166C34B6B3}" name="Kolonna373"/>
    <tableColumn id="712" xr3:uid="{70F75018-1B8D-4D4A-A115-BC4334426D88}" name="Kolonna374"/>
    <tableColumn id="713" xr3:uid="{ADF8976B-17E5-4C0E-A726-BA9A7116A702}" name="Kolonna375"/>
    <tableColumn id="714" xr3:uid="{D8796781-A169-48EB-8EA0-88E3099D70CB}" name="Kolonna376"/>
    <tableColumn id="715" xr3:uid="{3967C069-10F8-46C6-B9D4-1D4D4B4147C3}" name="Kolonna377"/>
    <tableColumn id="716" xr3:uid="{DE8DF8D8-B8BB-4845-98AF-B8B6767B9EA9}" name="Kolonna378"/>
    <tableColumn id="717" xr3:uid="{7A741126-4BCC-4C6C-A02B-896A18BDD849}" name="Kolonna379"/>
    <tableColumn id="718" xr3:uid="{030637B2-55E5-4639-A572-8DC88E58818D}" name="Kolonna380"/>
    <tableColumn id="719" xr3:uid="{1BCE29D0-4F72-408F-A5CD-544465E32E98}" name="Kolonna381"/>
    <tableColumn id="720" xr3:uid="{54C33325-8092-41F1-92F1-C46E8646FD96}" name="Kolonna382"/>
    <tableColumn id="721" xr3:uid="{8571618B-A40A-4D33-81CB-F8AE0A15AF97}" name="Kolonna383"/>
    <tableColumn id="722" xr3:uid="{80853D8C-8232-4BBA-B4D5-C542570F2A8F}" name="Kolonna384"/>
    <tableColumn id="723" xr3:uid="{FEFB06BC-A1EA-41CB-A50C-59731101CFB2}" name="Kolonna385"/>
    <tableColumn id="724" xr3:uid="{789ECFD8-6079-411C-A02E-67C0705AB536}" name="Kolonna386"/>
    <tableColumn id="725" xr3:uid="{45D4A2DF-4281-4339-B79E-5F44A1AA106A}" name="Kolonna387"/>
    <tableColumn id="726" xr3:uid="{B7A4FBAC-E256-4BF2-8407-1E978BF8F31C}" name="Kolonna388"/>
    <tableColumn id="727" xr3:uid="{BDD5FDF6-7D4B-45FE-91F6-15C4470D9720}" name="Kolonna389"/>
    <tableColumn id="728" xr3:uid="{B9BD4E9C-44E3-42CF-A764-E91BF15C0E8E}" name="Kolonna390"/>
    <tableColumn id="729" xr3:uid="{414911A5-0F1D-46C9-B59E-1899593FBD65}" name="Kolonna391"/>
    <tableColumn id="730" xr3:uid="{D2110E47-EEF7-478D-ADC7-E926ED856D36}" name="Kolonna392"/>
    <tableColumn id="731" xr3:uid="{FAD20DDF-BA26-4CD9-8775-0C0629D11131}" name="Kolonna393"/>
    <tableColumn id="732" xr3:uid="{8402A6A6-3333-4726-88DD-C677384976B1}" name="Kolonna394"/>
    <tableColumn id="733" xr3:uid="{113E2B08-93BE-4629-9795-03853E25C8C6}" name="Kolonna395"/>
    <tableColumn id="734" xr3:uid="{0F090BB7-AE08-4DA2-8FD0-5A9D5AAEA29B}" name="Kolonna396"/>
    <tableColumn id="735" xr3:uid="{1C523A7F-E6B1-4F41-80C6-D437E0BF4CD1}" name="Kolonna397"/>
    <tableColumn id="736" xr3:uid="{0BD96FC6-0E11-4C0B-A1E2-78565D2376CA}" name="Kolonna398"/>
    <tableColumn id="737" xr3:uid="{3BCB9FC6-5542-4AD7-A6C1-9A7D2CA078EC}" name="Kolonna399"/>
    <tableColumn id="738" xr3:uid="{9DA70B36-082B-4B9B-9EBC-79166B7B99B1}" name="Kolonna400"/>
    <tableColumn id="739" xr3:uid="{F846A5F2-32C3-4D90-A1B7-7E842B796C47}" name="Kolonna401"/>
    <tableColumn id="740" xr3:uid="{2F95693D-83FE-43EE-8DD2-AF7773CE4BC1}" name="Kolonna402"/>
    <tableColumn id="741" xr3:uid="{0A9DB537-E6CB-4476-9239-EFA5B353ACF3}" name="Kolonna403"/>
    <tableColumn id="742" xr3:uid="{5FC03D32-FB73-412D-B742-630F03695E3B}" name="Kolonna404"/>
    <tableColumn id="743" xr3:uid="{B099A0DD-DA8C-404C-9CE4-A061D6E0108E}" name="Kolonna405"/>
    <tableColumn id="744" xr3:uid="{9B8E5068-DAF0-40B0-BCED-C4C1E373535C}" name="Kolonna406"/>
    <tableColumn id="745" xr3:uid="{F5221E0F-B449-4E91-A96E-5F1E1C5340BE}" name="Kolonna407"/>
    <tableColumn id="746" xr3:uid="{EA8CD55F-EF01-4679-AFAF-056889AF90FA}" name="Kolonna408"/>
    <tableColumn id="747" xr3:uid="{A3E666C6-F8F3-40BE-A97B-C67B8BCB9DF6}" name="Kolonna409"/>
    <tableColumn id="748" xr3:uid="{2D844448-9E27-48DA-98B3-D6623FE00AB5}" name="Kolonna410"/>
    <tableColumn id="749" xr3:uid="{8CE57CA3-8AF1-419C-A7BD-054BA13470EF}" name="Kolonna411"/>
    <tableColumn id="750" xr3:uid="{E6B94B17-E98C-4166-ACE6-72E71704B2A1}" name="Kolonna412"/>
    <tableColumn id="751" xr3:uid="{1B808C16-76BA-4BCD-BDCE-440FD1CC7DF3}" name="Kolonna413"/>
    <tableColumn id="752" xr3:uid="{E34B41C1-49C9-4541-A3CC-854C94483E1B}" name="Kolonna414"/>
    <tableColumn id="753" xr3:uid="{F7BBAF8F-07DC-4D59-8ECC-E24E86A080AA}" name="Kolonna415"/>
    <tableColumn id="754" xr3:uid="{9AD97080-4C93-4AD6-8320-4A500CBDC4F1}" name="Kolonna416"/>
    <tableColumn id="755" xr3:uid="{6DD47D09-A0B7-452F-81AD-3A646608A69F}" name="Kolonna417"/>
    <tableColumn id="756" xr3:uid="{DFBC9616-3BA0-417E-B96C-D4E4AC10B715}" name="Kolonna418"/>
    <tableColumn id="757" xr3:uid="{A095D494-2B50-419C-BB40-503A3ED57683}" name="Kolonna419"/>
    <tableColumn id="758" xr3:uid="{09A4D7B0-9268-41B4-9869-576869DF765F}" name="Kolonna420"/>
    <tableColumn id="759" xr3:uid="{5E11108E-4668-4C80-99D3-A4BE9BFBBD54}" name="Kolonna421"/>
    <tableColumn id="760" xr3:uid="{0AECA923-2C46-4BCC-A146-FE33A9CACC1B}" name="Kolonna422"/>
    <tableColumn id="761" xr3:uid="{B0D11ECD-095B-48D4-AA53-24EF31F18710}" name="Kolonna423"/>
    <tableColumn id="762" xr3:uid="{7AEE479E-D2D3-4BDF-92F7-08E595753E46}" name="Kolonna424"/>
    <tableColumn id="763" xr3:uid="{EE2D6BA2-AC74-46C9-BFB3-120CB2D328AB}" name="Kolonna425"/>
    <tableColumn id="764" xr3:uid="{449104CA-E523-4A27-8189-B945422C057B}" name="Kolonna426"/>
    <tableColumn id="765" xr3:uid="{7349F61D-0650-4F86-A25D-22A6D59D6A08}" name="Kolonna427"/>
    <tableColumn id="766" xr3:uid="{51B2274F-8ECE-42E7-9A7D-F9A602231B9B}" name="Kolonna428"/>
    <tableColumn id="767" xr3:uid="{B9C41DBB-15BF-46D3-87A9-D5B707B3D0F9}" name="Kolonna429"/>
    <tableColumn id="768" xr3:uid="{93E10560-B408-43C7-A57D-4D818D5FBC96}" name="Kolonna430"/>
    <tableColumn id="769" xr3:uid="{D5118C1E-6E9D-4C27-B03E-B87EEBECB170}" name="Kolonna431"/>
    <tableColumn id="770" xr3:uid="{8A0DBDDB-574C-48D6-8777-92A98C377EDC}" name="Kolonna432"/>
    <tableColumn id="771" xr3:uid="{98A46D2F-6054-4F7E-9D8D-398CBC7B829B}" name="Kolonna433"/>
    <tableColumn id="772" xr3:uid="{4A01B0AC-BCD5-4C9D-B830-D33DC56549B6}" name="Kolonna434"/>
    <tableColumn id="773" xr3:uid="{6E042176-A3D8-4567-8D36-A521DF5F9980}" name="Kolonna435"/>
    <tableColumn id="774" xr3:uid="{49A8D642-D76B-47C0-92D4-00C5BAF0E97F}" name="Kolonna436"/>
    <tableColumn id="775" xr3:uid="{D931DA81-88F6-40BE-8577-27A5EAEAC2AB}" name="Kolonna437"/>
    <tableColumn id="776" xr3:uid="{7B1D1088-4662-4E8E-8DD2-C8BA320E6075}" name="Kolonna438"/>
    <tableColumn id="777" xr3:uid="{2C36259C-4B98-4B55-92A4-A09A62318831}" name="Kolonna439"/>
    <tableColumn id="778" xr3:uid="{C7ED6279-37B8-4C2E-A383-D1A8EFDD0141}" name="Kolonna440"/>
    <tableColumn id="779" xr3:uid="{FDA31ED6-8499-4240-A185-1F204ACC9FE0}" name="Kolonna441"/>
    <tableColumn id="780" xr3:uid="{3258C3E2-7D54-4157-8F27-02BFBAB2DBAD}" name="Kolonna442"/>
    <tableColumn id="781" xr3:uid="{31D05759-44DF-42A8-922E-B63B9A5EDACB}" name="Kolonna443"/>
    <tableColumn id="782" xr3:uid="{F9E8536E-B211-44C3-ABF0-82619403E9BA}" name="Kolonna444"/>
    <tableColumn id="783" xr3:uid="{F8B87D80-5F9C-4262-8A8E-366395B8911D}" name="Kolonna445"/>
    <tableColumn id="784" xr3:uid="{016265C6-C6D8-4D7C-B6AA-810F3806263F}" name="Kolonna446"/>
    <tableColumn id="785" xr3:uid="{BF176207-A04E-442F-AF34-DC7F4FB389A9}" name="Kolonna447"/>
    <tableColumn id="786" xr3:uid="{47E29D40-A53C-4CF5-996A-E0098F87A681}" name="Kolonna448"/>
    <tableColumn id="787" xr3:uid="{92CF96A3-9475-4615-85DE-6EDE2DF5B689}" name="Kolonna449"/>
    <tableColumn id="788" xr3:uid="{5361B904-E0F3-4AF5-AF8B-4480A3C3AC6B}" name="Kolonna450"/>
    <tableColumn id="789" xr3:uid="{1462AA10-525B-493D-8B34-110466800C98}" name="Kolonna451"/>
    <tableColumn id="790" xr3:uid="{D4A3BD5B-1DE6-498C-BA7F-A049CC24D854}" name="Kolonna452"/>
    <tableColumn id="791" xr3:uid="{352F3181-25B7-43C8-8F63-ABE6D31A0BB1}" name="Kolonna453"/>
    <tableColumn id="792" xr3:uid="{FEAE0FEE-25C8-4DA4-8EC7-E3F72314A471}" name="Kolonna454"/>
    <tableColumn id="793" xr3:uid="{2ED53378-F382-4452-AAF5-10224DCB5088}" name="Kolonna455"/>
    <tableColumn id="794" xr3:uid="{EB2795DC-46E4-40A1-BAC4-8D294FC30D1B}" name="Kolonna456"/>
    <tableColumn id="795" xr3:uid="{1BB6C760-3714-4485-A574-8E11BCF0C3D6}" name="Kolonna457"/>
    <tableColumn id="796" xr3:uid="{D61FFAA6-D973-4BA5-92AD-94F666FBA15D}" name="Kolonna458"/>
    <tableColumn id="797" xr3:uid="{DC1AB73C-6663-4D69-B883-1725FA271BFC}" name="Kolonna459"/>
    <tableColumn id="798" xr3:uid="{209E2678-27BC-4081-BBBB-8BDE64419933}" name="Kolonna460"/>
    <tableColumn id="799" xr3:uid="{9CF25716-988B-4DB5-8677-5CCB13B791C1}" name="Kolonna461"/>
    <tableColumn id="800" xr3:uid="{2D8C0E48-004F-425B-AFBC-2FCD77C23920}" name="Kolonna462"/>
    <tableColumn id="801" xr3:uid="{52A6F833-CD7E-4821-A5E8-A27D260D23C9}" name="Kolonna463"/>
    <tableColumn id="802" xr3:uid="{E18E3C2F-E784-4F96-A9D0-0842BF8DFAB1}" name="Kolonna464"/>
    <tableColumn id="803" xr3:uid="{30BF4B74-0ECF-4484-A629-F4D402250BCB}" name="Kolonna465"/>
    <tableColumn id="804" xr3:uid="{FC488184-2508-4A54-A26D-022FEA8DF18A}" name="Kolonna466"/>
    <tableColumn id="805" xr3:uid="{0A48FA3E-C532-4B01-8DF4-E54693A2D4FD}" name="Kolonna467"/>
    <tableColumn id="806" xr3:uid="{59F8B824-FE49-4C20-9A0A-18661DADBD29}" name="Kolonna468"/>
    <tableColumn id="807" xr3:uid="{F54CA475-674E-41D8-8F27-FA1F97B9BDBD}" name="Kolonna469"/>
    <tableColumn id="808" xr3:uid="{2D3BE72D-03EC-423A-8C7F-D181D237F65C}" name="Kolonna470"/>
    <tableColumn id="809" xr3:uid="{42C11728-74E7-427E-A106-0C08E2C45F4D}" name="Kolonna471"/>
    <tableColumn id="810" xr3:uid="{644E5959-A335-48F9-9464-E9FB83773C79}" name="Kolonna472"/>
    <tableColumn id="811" xr3:uid="{835A12C7-C8FA-46E0-B776-0904AEBDA651}" name="Kolonna473"/>
    <tableColumn id="812" xr3:uid="{CDB7F89A-F82E-4ECD-A724-D80E3824A03D}" name="Kolonna474"/>
    <tableColumn id="813" xr3:uid="{E597A31B-FAC4-44D2-AA54-8063B5536EE4}" name="Kolonna475"/>
    <tableColumn id="814" xr3:uid="{2D044EF8-71CA-4A49-8DD0-F64AF748173B}" name="Kolonna476"/>
    <tableColumn id="815" xr3:uid="{3CA0E8E7-ACFF-4096-8471-1789EE1EBDE7}" name="Kolonna477"/>
    <tableColumn id="816" xr3:uid="{2969E854-9D53-487B-966D-F12875873F9A}" name="Kolonna478"/>
    <tableColumn id="817" xr3:uid="{08635696-2577-490D-AE75-D143FFFE41FC}" name="Kolonna479"/>
    <tableColumn id="818" xr3:uid="{868A0B51-F253-49D6-A9CA-546B17CAB1D6}" name="Kolonna480"/>
    <tableColumn id="819" xr3:uid="{BCBD11D3-D3BE-4712-84F1-3AE4E35BAAA9}" name="Kolonna481"/>
    <tableColumn id="820" xr3:uid="{1A63ADEB-53A1-4DCE-AE7D-4CB90ABFF9CB}" name="Kolonna482"/>
    <tableColumn id="821" xr3:uid="{44F31E22-BCDB-4248-AEBA-D0955273EE79}" name="Kolonna483"/>
    <tableColumn id="822" xr3:uid="{6544D709-6ED3-473D-907C-3578E8C52872}" name="Kolonna484"/>
    <tableColumn id="823" xr3:uid="{D43C451A-9E54-4C4E-A51E-FE8F3137BA26}" name="Kolonna485"/>
    <tableColumn id="824" xr3:uid="{32CC439B-0579-4AD5-BB52-ACFB4AF5E0B9}" name="Kolonna486"/>
    <tableColumn id="825" xr3:uid="{9C7D99A8-360F-4038-AB15-7D1F575D06CE}" name="Kolonna487"/>
    <tableColumn id="826" xr3:uid="{E7BCA2B9-5065-4895-93D9-8ACBF3AD7EE3}" name="Kolonna488"/>
    <tableColumn id="827" xr3:uid="{973D308F-F7F5-41F0-92BF-00588043201B}" name="Kolonna489"/>
    <tableColumn id="828" xr3:uid="{AEA79614-94F8-4C55-98B9-9F12C175D7A5}" name="Kolonna490"/>
    <tableColumn id="829" xr3:uid="{A0B96666-D70D-41A5-8910-9D4CA6963800}" name="Kolonna491"/>
    <tableColumn id="830" xr3:uid="{4F3374B4-7181-4596-A7B1-72B90A908413}" name="Kolonna492"/>
    <tableColumn id="831" xr3:uid="{6B20FC63-8301-4FF8-8DC2-ED6D4AF1DB82}" name="Kolonna493"/>
    <tableColumn id="832" xr3:uid="{80418F22-011A-4E1D-8CA5-04E974E55092}" name="Kolonna494"/>
    <tableColumn id="833" xr3:uid="{533681CE-833D-4610-A70C-95ABF6ABDC7E}" name="Kolonna495"/>
    <tableColumn id="834" xr3:uid="{BEDC131E-3776-489A-9B03-4903760B671A}" name="Kolonna496"/>
    <tableColumn id="835" xr3:uid="{3FA66CB0-A49A-4B5D-8CCD-74C6987E964E}" name="Kolonna497"/>
    <tableColumn id="836" xr3:uid="{5F998375-0843-41FE-A6CF-EB7694E934F8}" name="Kolonna498"/>
    <tableColumn id="837" xr3:uid="{8C6BE2DB-1F26-43FB-8FD0-545E1DE8145E}" name="Kolonna499"/>
    <tableColumn id="838" xr3:uid="{5094CB5E-310E-4B14-98C7-D6C27057704B}" name="Kolonna500"/>
    <tableColumn id="839" xr3:uid="{18D3BAA7-3B74-4571-A815-9DD666CBE07D}" name="Kolonna501"/>
    <tableColumn id="840" xr3:uid="{6A69B691-2A52-4F37-85C1-4507B7615D9D}" name="Kolonna502"/>
    <tableColumn id="841" xr3:uid="{58B29ABA-5796-4615-BE84-5217E9E34FF3}" name="Kolonna503"/>
    <tableColumn id="842" xr3:uid="{E5450725-A007-4621-BBBD-BEA44E2A3779}" name="Kolonna504"/>
    <tableColumn id="843" xr3:uid="{86B39F36-A5B4-4548-B9E1-36E75119E5FF}" name="Kolonna505"/>
    <tableColumn id="844" xr3:uid="{2CE17C5F-87E3-413C-A703-F96F525C06F1}" name="Kolonna506"/>
    <tableColumn id="845" xr3:uid="{508B665B-FB43-4238-A256-860C698F9DBC}" name="Kolonna507"/>
    <tableColumn id="846" xr3:uid="{D5A9CA02-14B8-44BA-B928-C50D3403884D}" name="Kolonna508"/>
    <tableColumn id="847" xr3:uid="{DBE418EC-C95B-4CC0-BC81-58FBAC573902}" name="Kolonna509"/>
    <tableColumn id="848" xr3:uid="{01B32F9F-AA91-40A3-BB4E-9647A65F2DAB}" name="Kolonna510"/>
    <tableColumn id="849" xr3:uid="{48354628-E526-447E-9FCE-8E070B70CE88}" name="Kolonna511"/>
    <tableColumn id="850" xr3:uid="{013889BA-95B0-43FA-A8A3-6CDAF5D3F659}" name="Kolonna512"/>
    <tableColumn id="851" xr3:uid="{AE75F58B-DFDF-4E9C-BE31-E3CD5D910442}" name="Kolonna513"/>
    <tableColumn id="852" xr3:uid="{B71AD962-8771-48C8-A8BB-5DA2B0E554EE}" name="Kolonna514"/>
    <tableColumn id="853" xr3:uid="{3C14CCAE-5661-44B5-BFE2-1DAE4C90B35A}" name="Kolonna515"/>
    <tableColumn id="854" xr3:uid="{92184F64-8027-4852-BBF5-163E7CA4C355}" name="Kolonna516"/>
    <tableColumn id="855" xr3:uid="{C28CC9F8-98E0-4CF9-8FC4-FF8F92BC8BAA}" name="Kolonna517"/>
    <tableColumn id="856" xr3:uid="{06980991-B3CD-498F-B535-F3534AA2A5F8}" name="Kolonna518"/>
    <tableColumn id="857" xr3:uid="{F49F8D06-CBFF-4EDF-9547-709CBACB81E6}" name="Kolonna519"/>
    <tableColumn id="858" xr3:uid="{A9048223-6F43-484E-8A58-A3510577EFF1}" name="Kolonna520"/>
    <tableColumn id="859" xr3:uid="{FAAE0EE2-55ED-43BE-BB94-09AFF046AF39}" name="Kolonna521"/>
    <tableColumn id="860" xr3:uid="{55530DD6-8511-473D-A304-FF2B000049FE}" name="Kolonna522"/>
    <tableColumn id="861" xr3:uid="{2ECC6C5E-9776-486C-A1FD-0E006D353D16}" name="Kolonna523"/>
    <tableColumn id="862" xr3:uid="{ACDFFDCB-FA57-4A24-B478-D284EC14848B}" name="Kolonna524"/>
    <tableColumn id="863" xr3:uid="{82BE2538-E9CB-479B-8842-51507CC23C20}" name="Kolonna525"/>
    <tableColumn id="864" xr3:uid="{7EFB3E60-4CEC-40DB-9A02-C6580C65D706}" name="Kolonna526"/>
    <tableColumn id="865" xr3:uid="{C9BEFD72-E9D1-4DDC-A41F-5FEE58143A40}" name="Kolonna527"/>
    <tableColumn id="866" xr3:uid="{4E513D41-7344-4250-9471-7D6B6965F773}" name="Kolonna528"/>
    <tableColumn id="867" xr3:uid="{83F9E675-3DDD-4B07-B9BA-89F774C29ED0}" name="Kolonna529"/>
    <tableColumn id="868" xr3:uid="{0B26AC3C-983F-445B-B842-5C229952348A}" name="Kolonna530"/>
    <tableColumn id="869" xr3:uid="{EF63E36A-5987-408E-AF39-77174774C125}" name="Kolonna531"/>
    <tableColumn id="870" xr3:uid="{73D4A7ED-CCD7-4DDC-95A2-0DB1752DBBDC}" name="Kolonna532"/>
    <tableColumn id="871" xr3:uid="{33DA071B-BF8C-4A5D-8E2D-B0EFBB3DB6E7}" name="Kolonna533"/>
    <tableColumn id="872" xr3:uid="{BAAC3B91-8A08-4890-83B6-06E8B389639A}" name="Kolonna534"/>
    <tableColumn id="873" xr3:uid="{24DD47D4-8658-4777-99F5-3F2AE7A4FA32}" name="Kolonna535"/>
    <tableColumn id="874" xr3:uid="{7DD0DB96-36AC-4974-A6EB-C1A662C073FA}" name="Kolonna536"/>
    <tableColumn id="875" xr3:uid="{71B59BF3-4F44-4949-99EF-84416EE6A87D}" name="Kolonna537"/>
    <tableColumn id="876" xr3:uid="{33843702-D1F3-4FD2-8CBF-9A0E2AFBE427}" name="Kolonna538"/>
    <tableColumn id="877" xr3:uid="{DC521C8A-DC60-4053-852F-E110EB7683FE}" name="Kolonna539"/>
    <tableColumn id="878" xr3:uid="{4CCAB0A8-FA45-4313-B9A7-FE63D66EA9D7}" name="Kolonna540"/>
    <tableColumn id="879" xr3:uid="{3042D24B-6DD5-4CDD-A365-A7F14A0A0E4B}" name="Kolonna541"/>
    <tableColumn id="880" xr3:uid="{2B8BFC59-9A4F-4466-B1DB-4B22B5C2C093}" name="Kolonna542"/>
    <tableColumn id="881" xr3:uid="{813B5F40-1B24-4073-8E80-8E77135E4C3A}" name="Kolonna543"/>
    <tableColumn id="882" xr3:uid="{0C8BDD97-8E1B-40E3-BE52-7F0BE6E50CC6}" name="Kolonna544"/>
    <tableColumn id="883" xr3:uid="{9342FBE8-F720-422F-A512-DDD31377908D}" name="Kolonna545"/>
    <tableColumn id="884" xr3:uid="{EC7681FE-C41A-4F75-A503-B07C91B58154}" name="Kolonna546"/>
    <tableColumn id="885" xr3:uid="{E9710641-EC6C-48BA-ACFF-C7C89F775EDC}" name="Kolonna547"/>
    <tableColumn id="886" xr3:uid="{E3B1B076-9838-4331-8144-6243BEB1ABE0}" name="Kolonna548"/>
    <tableColumn id="887" xr3:uid="{0B6F2A56-54CA-4411-B8A4-87A905BA06CE}" name="Kolonna549"/>
    <tableColumn id="888" xr3:uid="{46E6894E-D7DA-4E1D-A476-B45D5D1ECA30}" name="Kolonna550"/>
    <tableColumn id="889" xr3:uid="{071041E3-6BCD-4A3A-A04E-3393F548D2B9}" name="Kolonna551"/>
    <tableColumn id="890" xr3:uid="{5918EB6A-DF73-412E-ADF8-112B71583351}" name="Kolonna552"/>
    <tableColumn id="891" xr3:uid="{1BC972BF-1075-4B9C-9D19-DF4FD4191BC7}" name="Kolonna553"/>
    <tableColumn id="892" xr3:uid="{57C9D421-BDD2-4D8E-B082-C6F51F2D12AD}" name="Kolonna554"/>
    <tableColumn id="893" xr3:uid="{6F4E131E-AD27-4B66-9F1D-9642FF6946B9}" name="Kolonna555"/>
    <tableColumn id="894" xr3:uid="{951DF625-86A5-482F-857D-238758AE4664}" name="Kolonna556"/>
    <tableColumn id="895" xr3:uid="{A346F223-FE32-4D82-835B-06C6C5DDB185}" name="Kolonna557"/>
    <tableColumn id="896" xr3:uid="{25A26EAB-2154-486B-98FD-E3081BBAE150}" name="Kolonna558"/>
    <tableColumn id="897" xr3:uid="{71AF9D53-C918-4BDF-BEC2-D98826951C5B}" name="Kolonna559"/>
    <tableColumn id="898" xr3:uid="{34B5A0EA-48F2-499E-82E4-5C3AF4387A40}" name="Kolonna560"/>
    <tableColumn id="899" xr3:uid="{D7ABFE3C-44A9-4C5D-8DCD-A9E8C2A94CAF}" name="Kolonna561"/>
    <tableColumn id="900" xr3:uid="{FD4FFEA0-B89C-4B52-A4E8-B4BE58D0FF58}" name="Kolonna562"/>
    <tableColumn id="901" xr3:uid="{810B839C-17AF-4E24-AA69-AF8C988439C6}" name="Kolonna563"/>
    <tableColumn id="902" xr3:uid="{F0B75BCA-CEDB-4C7B-BA29-55F15BD4F557}" name="Kolonna564"/>
    <tableColumn id="903" xr3:uid="{864D39E8-51D0-4D1A-BDBC-D7B7DE099D66}" name="Kolonna565"/>
    <tableColumn id="904" xr3:uid="{79E363B4-2E12-4313-B766-FA3B32CB66DA}" name="Kolonna566"/>
    <tableColumn id="905" xr3:uid="{D8687D53-3FD2-4B2A-81EA-54980C1A5A6A}" name="Kolonna567"/>
    <tableColumn id="906" xr3:uid="{C8F14B63-44C7-4901-A80C-BF6F0F14226E}" name="Kolonna568"/>
    <tableColumn id="907" xr3:uid="{3F21B263-7A08-412B-8ACC-3214B8085372}" name="Kolonna569"/>
    <tableColumn id="908" xr3:uid="{669C6539-AADB-492F-81C7-10FE6C83EA46}" name="Kolonna570"/>
    <tableColumn id="909" xr3:uid="{B00BB058-629B-4935-BA9E-CAC42D060812}" name="Kolonna571"/>
    <tableColumn id="910" xr3:uid="{81867FED-D0B5-4DFB-9B92-0DFCC094B81A}" name="Kolonna572"/>
    <tableColumn id="911" xr3:uid="{C31CC2FC-B733-4351-9645-AF549E64F9B9}" name="Kolonna573"/>
    <tableColumn id="912" xr3:uid="{B949C182-9DFF-49E2-B64B-CBB3A614D71C}" name="Kolonna574"/>
    <tableColumn id="913" xr3:uid="{36F6CE5B-D277-4B67-A3C4-B1872A980873}" name="Kolonna575"/>
    <tableColumn id="914" xr3:uid="{C9E62EC3-E10A-4A50-8384-D6E1237DD259}" name="Kolonna576"/>
    <tableColumn id="915" xr3:uid="{EE998C93-E5DC-414B-B1F1-A1F607560C85}" name="Kolonna577"/>
    <tableColumn id="916" xr3:uid="{72368899-9930-43C5-AE0A-E370A4A78125}" name="Kolonna578"/>
    <tableColumn id="917" xr3:uid="{BC8E6C5D-E3A6-4771-BF1D-CF3E591412D7}" name="Kolonna579"/>
    <tableColumn id="918" xr3:uid="{8C53C84F-7146-4FE0-946E-F5446BA3CCB3}" name="Kolonna580"/>
    <tableColumn id="919" xr3:uid="{3435F0DD-EDE4-4DDD-AC54-4C7AFAEBBA37}" name="Kolonna581"/>
    <tableColumn id="920" xr3:uid="{4481F34B-7B05-43F1-8B1C-C585975C46F6}" name="Kolonna582"/>
    <tableColumn id="921" xr3:uid="{96FAD04F-558E-4A23-B50A-2BB44BAD2634}" name="Kolonna583"/>
    <tableColumn id="922" xr3:uid="{D9B3C722-1FC3-4250-992E-DEBD1B317318}" name="Kolonna584"/>
    <tableColumn id="923" xr3:uid="{C48A437F-10B5-47E8-BE88-DC6D7D2BEC75}" name="Kolonna585"/>
    <tableColumn id="924" xr3:uid="{5F148837-842C-4627-A4B0-3F8CC11652C1}" name="Kolonna586"/>
    <tableColumn id="925" xr3:uid="{47481443-9060-41AC-BD91-9EC04E954C94}" name="Kolonna587"/>
    <tableColumn id="926" xr3:uid="{6664B52F-6114-49D3-857C-08DEC649FE57}" name="Kolonna588"/>
    <tableColumn id="927" xr3:uid="{FDD3D37E-26CF-4D93-8E8A-39D75A5DE590}" name="Kolonna589"/>
    <tableColumn id="928" xr3:uid="{4FCE5C8A-B42D-432E-8A7E-96500DF3CC89}" name="Kolonna590"/>
    <tableColumn id="929" xr3:uid="{3025C121-13BF-45E8-A02E-363480D94641}" name="Kolonna591"/>
    <tableColumn id="930" xr3:uid="{61DC061D-6EBD-4FDB-B79F-6C11E0EBBEBF}" name="Kolonna592"/>
    <tableColumn id="931" xr3:uid="{8873B5EB-104C-47E4-AB2A-BEAF1E7A3480}" name="Kolonna593"/>
    <tableColumn id="932" xr3:uid="{CBFB49FD-13F6-400B-8222-B6C4F2D0BDB2}" name="Kolonna594"/>
    <tableColumn id="933" xr3:uid="{970DF056-6F7B-4238-975A-26815FF92455}" name="Kolonna595"/>
    <tableColumn id="934" xr3:uid="{3B5899A2-192D-4DCA-937B-9A2A7BB304B5}" name="Kolonna596"/>
    <tableColumn id="935" xr3:uid="{B25B61E9-223D-401B-9CB7-1AD080C51991}" name="Kolonna597"/>
    <tableColumn id="936" xr3:uid="{CDDA384E-2CDB-43F3-89AD-4BBC63B81EC7}" name="Kolonna598"/>
    <tableColumn id="937" xr3:uid="{6FF88F01-ED91-471F-8722-D57D498A80E0}" name="Kolonna599"/>
    <tableColumn id="938" xr3:uid="{AA97932D-8286-4241-BA34-A967A4CF0038}" name="Kolonna600"/>
    <tableColumn id="939" xr3:uid="{9CABE0F4-C1DD-48FC-AB53-9B840DBC5DE2}" name="Kolonna601"/>
    <tableColumn id="940" xr3:uid="{768E577D-762E-4CEE-8CC1-7BBA37CA7F0C}" name="Kolonna602"/>
    <tableColumn id="941" xr3:uid="{EBADF086-36B5-4E82-A9BB-1B8EA00D8DAF}" name="Kolonna603"/>
    <tableColumn id="942" xr3:uid="{5EF9685D-DB1A-4FF5-9BD3-3E3F1CCF3A69}" name="Kolonna604"/>
    <tableColumn id="943" xr3:uid="{549A5DA2-3E00-436A-888A-C4C4ADDBF702}" name="Kolonna605"/>
    <tableColumn id="944" xr3:uid="{25188BDC-7FAE-4D36-A598-F0EAC74EF390}" name="Kolonna606"/>
    <tableColumn id="945" xr3:uid="{72BDC7A8-9C3D-435A-9D6E-982DEAA11EBF}" name="Kolonna607"/>
    <tableColumn id="946" xr3:uid="{6B2E2755-34CF-481B-B737-07B73788D8C5}" name="Kolonna608"/>
    <tableColumn id="947" xr3:uid="{833820B6-8C77-4EA6-8724-F239B69B7A72}" name="Kolonna609"/>
    <tableColumn id="948" xr3:uid="{5B7F9EB7-F9AE-467E-9012-18AA5E256441}" name="Kolonna610"/>
    <tableColumn id="949" xr3:uid="{7FB15BC0-DA2A-4D25-B24E-A89A5F7DDADB}" name="Kolonna611"/>
    <tableColumn id="950" xr3:uid="{2E610E47-3DD2-460A-8BF2-14F8160CAD2F}" name="Kolonna612"/>
    <tableColumn id="951" xr3:uid="{13F93639-980D-49CC-81FD-669BFBC95FD5}" name="Kolonna613"/>
    <tableColumn id="952" xr3:uid="{F44BF452-4E55-4BD0-B5EB-07F6DED6C0FB}" name="Kolonna614"/>
    <tableColumn id="953" xr3:uid="{55AAE5BA-94BB-479A-AE32-57029DC35EA4}" name="Kolonna615"/>
    <tableColumn id="954" xr3:uid="{1EEE7574-98C2-4B96-A0AB-F25AB8713298}" name="Kolonna616"/>
    <tableColumn id="955" xr3:uid="{19F05730-A5D3-4B52-A473-4B0075AB540C}" name="Kolonna617"/>
    <tableColumn id="956" xr3:uid="{F592F0F7-A648-44FE-B90D-A072C81E1224}" name="Kolonna618"/>
    <tableColumn id="957" xr3:uid="{8B11693E-D643-4666-B07A-028A78FA8B26}" name="Kolonna619"/>
    <tableColumn id="958" xr3:uid="{4D7BE79E-7BD1-4A76-BB2F-75FEAE824870}" name="Kolonna620"/>
    <tableColumn id="959" xr3:uid="{0B64C228-872C-41B1-9ABE-0ADB50DE635D}" name="Kolonna621"/>
    <tableColumn id="960" xr3:uid="{AA805B4A-6304-4877-AD7A-B6CC164B8581}" name="Kolonna622"/>
    <tableColumn id="961" xr3:uid="{52CCEB9E-E509-49F3-9410-53D6F54FC8C9}" name="Kolonna623"/>
    <tableColumn id="962" xr3:uid="{1670111B-D230-4046-A32A-90CDA6A77659}" name="Kolonna624"/>
    <tableColumn id="963" xr3:uid="{869FDB49-E023-4D65-BB8C-42D404CC7117}" name="Kolonna625"/>
    <tableColumn id="964" xr3:uid="{AF14A097-FCBB-476C-8FCC-7B9DAB211DC7}" name="Kolonna626"/>
    <tableColumn id="965" xr3:uid="{459A2DEF-AFF5-48AE-8F17-3FA6ED06F508}" name="Kolonna627"/>
    <tableColumn id="966" xr3:uid="{EDFF289B-8B9B-45DB-B3E0-1DACC3CEEB1E}" name="Kolonna628"/>
    <tableColumn id="967" xr3:uid="{1C145DA1-3FB4-4430-A4F6-BD1527FA6752}" name="Kolonna629"/>
    <tableColumn id="968" xr3:uid="{9E90CF66-3192-4EE0-9BFD-BDCC8D92BF4E}" name="Kolonna630"/>
    <tableColumn id="969" xr3:uid="{C97E9F2F-B885-460D-849D-66FD784E9824}" name="Kolonna631"/>
    <tableColumn id="970" xr3:uid="{6842D5A8-6E66-4684-BB1F-50B8EC2BC425}" name="Kolonna632"/>
    <tableColumn id="971" xr3:uid="{4B6FDD1C-4C75-485D-A28D-305D9ED6247F}" name="Kolonna633"/>
    <tableColumn id="972" xr3:uid="{2CF6360F-1DE5-48DD-9189-53A09820291A}" name="Kolonna634"/>
    <tableColumn id="973" xr3:uid="{4B5B75B3-8555-4F8B-8F46-400D43F98C99}" name="Kolonna635"/>
    <tableColumn id="974" xr3:uid="{919C8E6B-D1C4-4DC7-A556-4DE0693E9363}" name="Kolonna636"/>
    <tableColumn id="975" xr3:uid="{40787F70-43B7-4FE3-BE53-8155104C1F2D}" name="Kolonna637"/>
    <tableColumn id="976" xr3:uid="{CD58BAC4-2E34-47B0-958B-009FD3C7427D}" name="Kolonna638"/>
    <tableColumn id="977" xr3:uid="{32493BF7-346B-41B8-BFC2-5CA528282C67}" name="Kolonna639"/>
    <tableColumn id="978" xr3:uid="{D1979A1F-C7BC-4C47-8917-74FD677B42DE}" name="Kolonna640"/>
    <tableColumn id="979" xr3:uid="{13F3683B-918D-4630-BCDB-E06C2C000C96}" name="Kolonna641"/>
    <tableColumn id="980" xr3:uid="{50812069-A30A-4E09-887B-1F67C3ECE915}" name="Kolonna642"/>
    <tableColumn id="981" xr3:uid="{F99D0F9B-BFF6-4965-8536-099B8F070457}" name="Kolonna643"/>
    <tableColumn id="982" xr3:uid="{7840C191-15A6-4C2A-91FB-598EDCCE79A4}" name="Kolonna644"/>
    <tableColumn id="983" xr3:uid="{9F916216-178B-4F27-B2F8-21E3FD4AF84C}" name="Kolonna645"/>
    <tableColumn id="984" xr3:uid="{5C9758FC-D502-4084-A619-41AFA86DEF8F}" name="Kolonna646"/>
    <tableColumn id="985" xr3:uid="{2C7D7C53-849B-4269-841F-0F04DBC91225}" name="Kolonna647"/>
    <tableColumn id="986" xr3:uid="{B3589BB9-B62B-4447-85D3-11C0A67E5D90}" name="Kolonna648"/>
    <tableColumn id="987" xr3:uid="{8B3B15C8-653F-4EF9-BC54-0E1C5860BBEA}" name="Kolonna649"/>
    <tableColumn id="988" xr3:uid="{3C03EE03-71AC-4475-A202-B1662E0FD5CE}" name="Kolonna650"/>
    <tableColumn id="989" xr3:uid="{D6FB462B-83D4-4DBB-A7C6-21CAE86E13E9}" name="Kolonna651"/>
    <tableColumn id="990" xr3:uid="{17EDDE06-0E73-4DD2-8E1D-71387DD00333}" name="Kolonna652"/>
    <tableColumn id="991" xr3:uid="{AD734102-A2EC-46D0-8358-5086BE254D8E}" name="Kolonna653"/>
    <tableColumn id="992" xr3:uid="{64E07CDE-C712-49AF-9129-BCFE412C1A30}" name="Kolonna654"/>
    <tableColumn id="993" xr3:uid="{38558D01-CCFE-4287-843C-D99EEE1F358B}" name="Kolonna655"/>
    <tableColumn id="994" xr3:uid="{0D17E496-0FE7-4D76-AFF7-E07E45BF4421}" name="Kolonna656"/>
    <tableColumn id="995" xr3:uid="{54A5153F-BEF9-49DB-A304-6ABD76EC4EE8}" name="Kolonna657"/>
    <tableColumn id="996" xr3:uid="{8DF43EB7-00AB-4357-BAF8-41649B2C49F5}" name="Kolonna658"/>
    <tableColumn id="997" xr3:uid="{1C61E99E-7087-480D-974A-C563D4396C2F}" name="Kolonna659"/>
    <tableColumn id="998" xr3:uid="{7A8E3CC9-8DCB-4E68-90A0-3BE374B4E98A}" name="Kolonna660"/>
    <tableColumn id="999" xr3:uid="{7CCA5D57-9B50-4C2B-A327-07B04008032A}" name="Kolonna661"/>
    <tableColumn id="1000" xr3:uid="{94A8757E-A7AC-43A3-9863-6CB7282F1A7A}" name="Kolonna662"/>
    <tableColumn id="1001" xr3:uid="{AD6BCEDE-287C-4BC0-8D42-3EC2D9C510F3}" name="Kolonna663"/>
    <tableColumn id="1002" xr3:uid="{19EE99CD-C623-41D0-9509-71C7E73A4920}" name="Kolonna664"/>
    <tableColumn id="1003" xr3:uid="{561BBDBD-9BF5-4A9E-A52D-B6986F3B15B7}" name="Kolonna665"/>
    <tableColumn id="1004" xr3:uid="{335823EF-0A91-47B2-AD93-27D562C805F9}" name="Kolonna666"/>
    <tableColumn id="1005" xr3:uid="{E67E4880-10C9-4E20-935A-10CABECF4AB2}" name="Kolonna667"/>
    <tableColumn id="1006" xr3:uid="{A30E30F3-AD36-4DD3-BCE8-5E71F6A86490}" name="Kolonna668"/>
    <tableColumn id="1007" xr3:uid="{01C1741B-798E-46FA-AF1D-C17C9A85F4CC}" name="Kolonna669"/>
    <tableColumn id="1008" xr3:uid="{B4C66E8D-6FCE-4D5D-A083-0DC0F2FFD1FB}" name="Kolonna670"/>
    <tableColumn id="1009" xr3:uid="{9346459B-8B1E-4CB0-A15F-74347059BF1D}" name="Kolonna671"/>
    <tableColumn id="1010" xr3:uid="{F7FFA626-2FDB-4E2C-8386-27681AEEF5F7}" name="Kolonna672"/>
    <tableColumn id="1011" xr3:uid="{01C31600-E7BA-40E0-A140-5765B2C7B9FA}" name="Kolonna673"/>
    <tableColumn id="1012" xr3:uid="{F32E981A-7A23-446A-A422-3B3477D8AB53}" name="Kolonna674"/>
    <tableColumn id="1013" xr3:uid="{71F08260-11A8-4A9B-A684-E38BC07CA720}" name="Kolonna675"/>
    <tableColumn id="1014" xr3:uid="{56A08C74-2FDF-48F5-B23C-AB25ACC9B7B3}" name="Kolonna676"/>
    <tableColumn id="1015" xr3:uid="{5301345A-1484-4533-B1D8-E71D70094DE2}" name="Kolonna677"/>
    <tableColumn id="1016" xr3:uid="{3F0C2CDC-F665-4635-A4C9-2C71648A5B69}" name="Kolonna678"/>
    <tableColumn id="1017" xr3:uid="{9C012E0E-655C-4E54-8BF5-C489FB77962B}" name="Kolonna679"/>
    <tableColumn id="1018" xr3:uid="{2677710E-758F-42F8-8215-F14EF3308F1F}" name="Kolonna680"/>
    <tableColumn id="1019" xr3:uid="{F1BA5A42-4ECA-4F03-931A-D40C66BFA0F6}" name="Kolonna681"/>
    <tableColumn id="1020" xr3:uid="{5FE2A282-3583-426A-B4F0-F51489238AD6}" name="Kolonna682"/>
    <tableColumn id="1021" xr3:uid="{02174269-A14C-47E6-9440-9342CB8FBA34}" name="Kolonna683"/>
    <tableColumn id="1022" xr3:uid="{FF563DB8-BC69-419B-9EB2-B4DE82C652C4}" name="Kolonna684"/>
    <tableColumn id="1023" xr3:uid="{4786F2B0-2FB3-4228-B98F-A387CC5D6F6B}" name="Kolonna685"/>
    <tableColumn id="1024" xr3:uid="{897CD9AF-3556-4EFD-AC6F-E408A2AD9072}" name="Kolonna686"/>
    <tableColumn id="1025" xr3:uid="{383DCA03-0B10-4467-8903-AE3CAC9A5C6C}" name="Kolonna687"/>
    <tableColumn id="1026" xr3:uid="{3738974A-B5F5-4FFA-9AB7-7F6CB5FAC727}" name="Kolonna688"/>
    <tableColumn id="1027" xr3:uid="{CEF24973-13F9-44EF-9167-61419B868C0A}" name="Kolonna689"/>
    <tableColumn id="1028" xr3:uid="{703D1C9F-671B-43BA-AD49-EFF0FC61445A}" name="Kolonna690"/>
    <tableColumn id="1029" xr3:uid="{3D55CC36-2938-4CC3-8B26-0789525536A1}" name="Kolonna691"/>
    <tableColumn id="1030" xr3:uid="{5408BE6F-9849-4D1B-A782-1FAA322A11F2}" name="Kolonna692"/>
    <tableColumn id="1031" xr3:uid="{EA88B843-9880-4FB2-BE0E-B8E484037EA9}" name="Kolonna693"/>
    <tableColumn id="1032" xr3:uid="{72724397-8824-47F5-8A83-0334344D3EE6}" name="Kolonna694"/>
    <tableColumn id="1033" xr3:uid="{BB888E0D-6EDE-46FC-9125-7236253FD711}" name="Kolonna695"/>
    <tableColumn id="1034" xr3:uid="{3B42481A-CAC1-49ED-BE4F-24535E8B435D}" name="Kolonna696"/>
    <tableColumn id="1035" xr3:uid="{D6744D3A-AB31-4EBC-8B89-F99EBC4FF50A}" name="Kolonna697"/>
    <tableColumn id="1036" xr3:uid="{205991B8-7B52-4B9C-ACB8-5D81EF8E3E64}" name="Kolonna698"/>
    <tableColumn id="1037" xr3:uid="{CFF51F8C-AF57-483C-A617-3DDEAF7F3732}" name="Kolonna699"/>
    <tableColumn id="1038" xr3:uid="{F5E58C62-AD99-40C1-8AFD-A0E1FC7213D9}" name="Kolonna700"/>
    <tableColumn id="1039" xr3:uid="{4BB6D074-94A4-43A0-9F0F-B049DA03FC56}" name="Kolonna701"/>
    <tableColumn id="1040" xr3:uid="{BFDAAA51-A4E7-405F-AFF1-C022CD74F335}" name="Kolonna702"/>
    <tableColumn id="1041" xr3:uid="{30BF04D4-9A46-4ACF-8C06-DF38878F677C}" name="Kolonna703"/>
    <tableColumn id="1042" xr3:uid="{9F0507E4-004E-4760-B456-16F9CE352282}" name="Kolonna704"/>
    <tableColumn id="1043" xr3:uid="{535D0346-8CB0-4E5B-A5D1-56A4278326E2}" name="Kolonna705"/>
    <tableColumn id="1044" xr3:uid="{338C910F-60D4-4348-A40D-854D9741E0CA}" name="Kolonna706"/>
    <tableColumn id="1045" xr3:uid="{F7480254-DB70-41A5-9CAE-A154F0224C65}" name="Kolonna707"/>
    <tableColumn id="1046" xr3:uid="{9C64E381-866F-43CE-8322-C6C77D18ECC6}" name="Kolonna708"/>
    <tableColumn id="1047" xr3:uid="{9FC04FE1-B18C-449A-B6EF-54D2038D3B5C}" name="Kolonna709"/>
    <tableColumn id="1048" xr3:uid="{D5641724-6FB7-4A9E-8843-088188BE8C9A}" name="Kolonna710"/>
    <tableColumn id="1049" xr3:uid="{052BF2E6-1F6F-40DB-96EA-DBC9859536D9}" name="Kolonna711"/>
    <tableColumn id="1050" xr3:uid="{5C9B68C9-DCC4-48AC-80ED-80083010CFA0}" name="Kolonna712"/>
    <tableColumn id="1051" xr3:uid="{0D3BFB7B-EBA0-4EEE-85A8-A3C1503D96B2}" name="Kolonna713"/>
    <tableColumn id="1052" xr3:uid="{57DD7F4F-9C93-4AA4-BB2C-1062D579EEA0}" name="Kolonna714"/>
    <tableColumn id="1053" xr3:uid="{477CA431-8B82-4388-B9A7-CECD815216EB}" name="Kolonna715"/>
    <tableColumn id="1054" xr3:uid="{C0C7478A-609B-4C98-B295-2765F908CA99}" name="Kolonna716"/>
    <tableColumn id="1055" xr3:uid="{36B8592F-A121-4194-8D23-B5231DCF8D37}" name="Kolonna717"/>
    <tableColumn id="1056" xr3:uid="{17108948-1DB4-46FA-B377-FF630C4F2A83}" name="Kolonna718"/>
    <tableColumn id="1057" xr3:uid="{2C627464-5D08-4A90-B003-141B3816D1CD}" name="Kolonna719"/>
    <tableColumn id="1058" xr3:uid="{103D39DF-C3BE-4ABC-B471-981998C90C4C}" name="Kolonna720"/>
    <tableColumn id="1059" xr3:uid="{884362A8-404E-4903-A995-23068BFFBA62}" name="Kolonna721"/>
    <tableColumn id="1060" xr3:uid="{E827C12A-B0CC-4C62-A8C7-2BCC36860CE5}" name="Kolonna722"/>
    <tableColumn id="1061" xr3:uid="{24F8954D-EF40-4291-B676-F869BF029A1E}" name="Kolonna723"/>
    <tableColumn id="1062" xr3:uid="{7CEAEEBD-131F-4612-B396-9E4AA5682895}" name="Kolonna724"/>
    <tableColumn id="1063" xr3:uid="{7F48293D-0304-46DD-A535-54182204D994}" name="Kolonna725"/>
    <tableColumn id="1064" xr3:uid="{87DB728E-B97B-4432-819A-AC0ADC5F5C3B}" name="Kolonna726"/>
    <tableColumn id="1065" xr3:uid="{86221FD6-DD77-4807-AFC8-40AE28861566}" name="Kolonna727"/>
    <tableColumn id="1066" xr3:uid="{6F6C9D03-EEBE-4125-BBAD-A58B4B027A5F}" name="Kolonna728"/>
    <tableColumn id="1067" xr3:uid="{2799DFE7-8450-4CD4-BDF6-80C1135575C3}" name="Kolonna729"/>
    <tableColumn id="1068" xr3:uid="{DF09C801-6FC5-4D8D-83E0-C638F9BB99F1}" name="Kolonna730"/>
    <tableColumn id="1069" xr3:uid="{630A6D9A-A224-4B0D-80B6-6B86F85DF114}" name="Kolonna731"/>
    <tableColumn id="1070" xr3:uid="{5123678B-86F5-4A7A-BE43-BFB59CE11D3C}" name="Kolonna732"/>
    <tableColumn id="1071" xr3:uid="{9D0F0C23-6B8D-4996-9860-87C327B5E7DD}" name="Kolonna733"/>
    <tableColumn id="1072" xr3:uid="{AFA03AF3-ED8E-4D78-95D1-CFB40FC2CD4E}" name="Kolonna734"/>
    <tableColumn id="1073" xr3:uid="{3C128249-31EE-401F-A265-09F62AC5B690}" name="Kolonna735"/>
    <tableColumn id="1074" xr3:uid="{CDFE1BEA-DD32-4E19-92B4-096971144459}" name="Kolonna736"/>
    <tableColumn id="1075" xr3:uid="{DE6B6047-A225-4CFB-9B77-1431484A15AB}" name="Kolonna737"/>
    <tableColumn id="1076" xr3:uid="{FE60F69B-74D6-4BB8-92C7-DEBCD0908F63}" name="Kolonna738"/>
    <tableColumn id="1077" xr3:uid="{99D5E0C0-853C-457E-A171-9C890298B7F9}" name="Kolonna739"/>
    <tableColumn id="1078" xr3:uid="{B24CB7AD-527D-4883-9F76-7592B1214165}" name="Kolonna740"/>
    <tableColumn id="1079" xr3:uid="{13A059B4-3B47-487B-9810-1F7944A82A4A}" name="Kolonna741"/>
    <tableColumn id="1080" xr3:uid="{665A228E-C5DE-4061-84A4-1B9E8E4B6E7A}" name="Kolonna742"/>
    <tableColumn id="1081" xr3:uid="{E58D159C-BE99-4CB5-9126-2B5241A64511}" name="Kolonna743"/>
    <tableColumn id="1082" xr3:uid="{45907624-97EE-4FC9-93D9-5C385FA62ACB}" name="Kolonna744"/>
    <tableColumn id="1083" xr3:uid="{2465CAC2-6734-4954-8C27-C60344CD729C}" name="Kolonna745"/>
    <tableColumn id="1084" xr3:uid="{FC9358E8-F60E-4EB4-9287-8E0EFAAFDBD0}" name="Kolonna746"/>
    <tableColumn id="1085" xr3:uid="{26E3A617-442F-4FDF-8083-27E31381F2D2}" name="Kolonna747"/>
    <tableColumn id="1086" xr3:uid="{74609D08-978F-40CB-9F68-4A63FF8D8E1A}" name="Kolonna748"/>
    <tableColumn id="1087" xr3:uid="{FCF1E088-8EDC-42E8-B598-794D5D966D3F}" name="Kolonna749"/>
    <tableColumn id="1088" xr3:uid="{65D59A3C-80E1-4698-A635-A7D3610FFE89}" name="Kolonna750"/>
    <tableColumn id="1089" xr3:uid="{9B4931B3-F5EE-4B18-8FE8-5E0D545A715A}" name="Kolonna751"/>
    <tableColumn id="1090" xr3:uid="{BFDCB946-711A-4D46-9289-509DA0C1C332}" name="Kolonna752"/>
    <tableColumn id="1091" xr3:uid="{24348998-7C89-4CA5-98B4-0013CD2A0D72}" name="Kolonna753"/>
    <tableColumn id="1092" xr3:uid="{02CE6CE5-8624-44B2-BE82-08DEA468EF44}" name="Kolonna754"/>
    <tableColumn id="1093" xr3:uid="{572C9AB0-4651-44C3-AC07-9F4E1B7E49C3}" name="Kolonna755"/>
    <tableColumn id="1094" xr3:uid="{27CCEB4B-BD72-435B-A7EB-E81F82977A6A}" name="Kolonna756"/>
    <tableColumn id="1095" xr3:uid="{FD98C5E9-E8D9-4FCA-900B-E85C2E3AAB38}" name="Kolonna757"/>
    <tableColumn id="1096" xr3:uid="{87BEB95A-B612-4315-B1E8-0EA5056762DD}" name="Kolonna758"/>
    <tableColumn id="1097" xr3:uid="{BFF422E1-9F4F-4253-A790-EBD04445AC02}" name="Kolonna759"/>
    <tableColumn id="1098" xr3:uid="{651DD12F-FE43-4F10-958E-419F181CADD1}" name="Kolonna760"/>
    <tableColumn id="1099" xr3:uid="{506ED6EF-6FBB-4C7E-91DF-97FCB6BBD3D0}" name="Kolonna761"/>
    <tableColumn id="1100" xr3:uid="{0A25C7B9-DA8D-45CD-AB61-BF0F30DDAE27}" name="Kolonna762"/>
    <tableColumn id="1101" xr3:uid="{E78CEB80-36BD-4FEF-ACB0-184F0F6FA7F7}" name="Kolonna763"/>
    <tableColumn id="1102" xr3:uid="{AE3B486B-B8DA-4393-BBD9-DF5A3800B6D4}" name="Kolonna764"/>
    <tableColumn id="1103" xr3:uid="{ABCA55F8-7868-49DE-BE04-A151DC09A6AC}" name="Kolonna765"/>
    <tableColumn id="1104" xr3:uid="{F0F1DE20-93C1-4614-8B58-7DB6F26421A2}" name="Kolonna766"/>
    <tableColumn id="1105" xr3:uid="{6819B65D-CEB1-4FF6-97E1-75B839BC648C}" name="Kolonna767"/>
    <tableColumn id="1106" xr3:uid="{834D676D-37DA-4BB7-8B50-3C937228B14E}" name="Kolonna768"/>
    <tableColumn id="1107" xr3:uid="{91F8C55D-A9F3-4546-9A8B-55BE54B0AA8E}" name="Kolonna769"/>
    <tableColumn id="1108" xr3:uid="{2D7E568E-351C-4062-895C-501D11A52E33}" name="Kolonna770"/>
    <tableColumn id="1109" xr3:uid="{805CE63D-A243-4957-827D-6C73CEC2952B}" name="Kolonna771"/>
    <tableColumn id="1110" xr3:uid="{612B93EC-0FB6-4FB9-9247-25D687EBF44E}" name="Kolonna772"/>
    <tableColumn id="1111" xr3:uid="{A150CD3F-815D-4E99-865D-607FAA845B64}" name="Kolonna773"/>
    <tableColumn id="1112" xr3:uid="{4797EE32-6EBB-4A91-99D4-130DFCBA5DE6}" name="Kolonna774"/>
    <tableColumn id="1113" xr3:uid="{12575A41-CC68-4552-A3CF-4E2417A1E05F}" name="Kolonna775"/>
    <tableColumn id="1114" xr3:uid="{AA2E1FD7-D5C1-460A-8B46-9B4546D9F5E8}" name="Kolonna776"/>
    <tableColumn id="1115" xr3:uid="{9F2944A4-42F4-485F-ABF8-57C484D9FE6E}" name="Kolonna777"/>
    <tableColumn id="1116" xr3:uid="{B024E081-51F8-466B-8736-0787FAD2EC4D}" name="Kolonna778"/>
    <tableColumn id="1117" xr3:uid="{09E96CB6-9502-4C7E-90C8-0534429C5B1B}" name="Kolonna779"/>
    <tableColumn id="1118" xr3:uid="{22BD56DE-198A-4B17-A97A-1535A9FD55CE}" name="Kolonna780"/>
    <tableColumn id="1119" xr3:uid="{84C33377-1B2C-4B20-AEF1-94B67026D407}" name="Kolonna781"/>
    <tableColumn id="1120" xr3:uid="{4D639F4D-02E1-4A2F-B6ED-323D57A85CEC}" name="Kolonna782"/>
    <tableColumn id="1121" xr3:uid="{3DD7A432-F8A6-4F1B-B429-7F98D4A721BD}" name="Kolonna783"/>
    <tableColumn id="1122" xr3:uid="{65746010-7042-4154-9C49-86CF69DA4914}" name="Kolonna784"/>
    <tableColumn id="1123" xr3:uid="{FF18EC2D-B3A2-4B68-8225-E928FCD5A255}" name="Kolonna785"/>
    <tableColumn id="1124" xr3:uid="{E9050E2C-28CF-4E0C-A801-8826DC40F4E6}" name="Kolonna786"/>
    <tableColumn id="1125" xr3:uid="{C4FCE9AB-9B96-4227-B47B-E9F52079A2C5}" name="Kolonna787"/>
    <tableColumn id="1126" xr3:uid="{4F43D8CE-B6D2-4F19-9D8B-17ABA9155888}" name="Kolonna788"/>
    <tableColumn id="1127" xr3:uid="{AEAA509A-2435-4915-8FB8-0C48C427C889}" name="Kolonna789"/>
    <tableColumn id="1128" xr3:uid="{88AF732F-DB9B-48D8-A7B5-E825246DAF48}" name="Kolonna790"/>
    <tableColumn id="1129" xr3:uid="{04D530B2-A09D-49A2-BF0B-C96ED413C334}" name="Kolonna791"/>
    <tableColumn id="1130" xr3:uid="{66440423-3227-42BD-8E6E-EFBD72ACD3D4}" name="Kolonna792"/>
    <tableColumn id="1131" xr3:uid="{5F16C570-0E63-44B8-B546-47FF4F6457ED}" name="Kolonna793"/>
    <tableColumn id="1132" xr3:uid="{9E0F8B6F-F831-41A1-8421-D7E35AC0F6AB}" name="Kolonna794"/>
    <tableColumn id="1133" xr3:uid="{62AC8BD3-2DA3-4984-A7A9-53B163B42878}" name="Kolonna795"/>
    <tableColumn id="1134" xr3:uid="{6711AF37-F35E-408D-BAF0-9B94368E25AE}" name="Kolonna796"/>
    <tableColumn id="1135" xr3:uid="{F005BEC2-567D-4440-BF68-F01BF7007F2B}" name="Kolonna797"/>
    <tableColumn id="1136" xr3:uid="{EDCE02D6-C770-438A-82E2-9FE09968BBC6}" name="Kolonna798"/>
    <tableColumn id="1137" xr3:uid="{80421061-1FF2-4341-81C9-69B96A2567B1}" name="Kolonna799"/>
    <tableColumn id="1138" xr3:uid="{E1BE2E30-E1C6-4A8C-BB97-F61E3A615809}" name="Kolonna800"/>
    <tableColumn id="1139" xr3:uid="{25767500-6FE7-4A61-AD2D-7DB35FC10B4C}" name="Kolonna801"/>
    <tableColumn id="1140" xr3:uid="{2BB56CE4-ED98-429B-953D-8B6F4EED1DA1}" name="Kolonna802"/>
    <tableColumn id="1141" xr3:uid="{142BC7C9-534D-425F-81E0-CA8F78A2F66D}" name="Kolonna803"/>
    <tableColumn id="1142" xr3:uid="{8E19CBDD-4B4F-4EF0-A719-597DFE27DF3E}" name="Kolonna804"/>
    <tableColumn id="1143" xr3:uid="{40C772A0-B2EE-4C45-8F69-49D2F2669B07}" name="Kolonna805"/>
    <tableColumn id="1144" xr3:uid="{6D7E0C68-3681-42BB-9486-C71346EEDAF9}" name="Kolonna806"/>
    <tableColumn id="1145" xr3:uid="{914D82B6-5E01-4FFF-B45F-3B7010C81437}" name="Kolonna807"/>
    <tableColumn id="1146" xr3:uid="{51524AFF-0CF9-4EC5-A119-AC5552C1E17A}" name="Kolonna808"/>
    <tableColumn id="1147" xr3:uid="{BB49C141-68A9-4F93-BA2A-8F012C2B2375}" name="Kolonna809"/>
    <tableColumn id="1148" xr3:uid="{F56D571E-075A-47DD-9124-4EFE06670BE1}" name="Kolonna810"/>
    <tableColumn id="1149" xr3:uid="{2899338E-7F3A-4F7C-97EA-1BA6FE376A37}" name="Kolonna811"/>
    <tableColumn id="1150" xr3:uid="{C73B07CC-7145-44B0-ABC6-27B77424694B}" name="Kolonna812"/>
    <tableColumn id="1151" xr3:uid="{083910CD-F31C-4E97-A291-E984B611D52A}" name="Kolonna813"/>
    <tableColumn id="1152" xr3:uid="{BFAFAF0A-67FD-49C9-8688-4D6AFA786053}" name="Kolonna814"/>
    <tableColumn id="1153" xr3:uid="{26C67FC0-4D63-4025-82D7-3782DFC525FD}" name="Kolonna815"/>
    <tableColumn id="1154" xr3:uid="{B342FD75-6312-454D-941F-3F11028C401E}" name="Kolonna816"/>
    <tableColumn id="1155" xr3:uid="{8D2758A3-0B71-40ED-966A-80D888FBDE56}" name="Kolonna817"/>
    <tableColumn id="1156" xr3:uid="{B7949C81-D8F3-454B-A362-0DDB72EC6DEB}" name="Kolonna818"/>
    <tableColumn id="1157" xr3:uid="{FE1502D8-A31E-4B50-B529-A3C5B3D344F9}" name="Kolonna819"/>
    <tableColumn id="1158" xr3:uid="{359DDD32-6E39-4FD2-97AA-9AE1A12DA646}" name="Kolonna820"/>
    <tableColumn id="1159" xr3:uid="{DA2AE14A-7C0C-464F-95C8-F9B976A9D679}" name="Kolonna821"/>
    <tableColumn id="1160" xr3:uid="{34CB91E0-1352-45F2-8234-060558080B72}" name="Kolonna822"/>
    <tableColumn id="1161" xr3:uid="{1B568B5B-56B0-4FFC-A096-A678F40E8465}" name="Kolonna823"/>
    <tableColumn id="1162" xr3:uid="{2F2B936D-45B5-47E2-81D9-80745256662A}" name="Kolonna824"/>
    <tableColumn id="1163" xr3:uid="{0F512930-6BD3-47C7-8CF1-FA9AE9466CA5}" name="Kolonna825"/>
    <tableColumn id="1164" xr3:uid="{D7A86031-DE9C-4400-A1FD-F543DD74E524}" name="Kolonna826"/>
    <tableColumn id="1165" xr3:uid="{44A70FD2-4266-42B0-B143-21B9190CC079}" name="Kolonna827"/>
    <tableColumn id="1166" xr3:uid="{A3FA07A9-994B-4693-83F3-62F265FA1FBA}" name="Kolonna828"/>
    <tableColumn id="1167" xr3:uid="{8BFEDD92-6DB7-48DD-A025-978E1D471247}" name="Kolonna829"/>
    <tableColumn id="1168" xr3:uid="{0F450292-58EF-40FC-BD52-C4C0CCF6674F}" name="Kolonna830"/>
    <tableColumn id="1169" xr3:uid="{934BC274-8C17-4EB1-AA4C-FD41AA50EE51}" name="Kolonna831"/>
    <tableColumn id="1170" xr3:uid="{2CC532F2-F77A-4817-962B-C1248B999217}" name="Kolonna832"/>
    <tableColumn id="1171" xr3:uid="{4DE3F2B8-F02A-47E0-A6C3-1494D2B777FF}" name="Kolonna833"/>
    <tableColumn id="1172" xr3:uid="{85C70A9B-BA79-41CD-9655-E61EFE7D17AB}" name="Kolonna834"/>
    <tableColumn id="1173" xr3:uid="{2E0FC92B-346E-43F5-A2DD-574377EBAC1C}" name="Kolonna835"/>
    <tableColumn id="1174" xr3:uid="{B2AC6054-263F-47BC-87D8-245382415450}" name="Kolonna836"/>
    <tableColumn id="1175" xr3:uid="{E70CA9F2-FFA9-4789-8A7B-8D8AC2FB3916}" name="Kolonna837"/>
    <tableColumn id="1176" xr3:uid="{C26A4176-1741-4C6D-B111-793E1151F45E}" name="Kolonna838"/>
    <tableColumn id="1177" xr3:uid="{F5913033-392E-4F6D-92AC-F0C47E1C5F9A}" name="Kolonna839"/>
    <tableColumn id="1178" xr3:uid="{2C7C633A-9290-4C36-8855-AEB0543529DE}" name="Kolonna840"/>
    <tableColumn id="1179" xr3:uid="{3B9D4A8A-306A-4AA8-A9BD-B70CF7F0E5CA}" name="Kolonna841"/>
    <tableColumn id="1180" xr3:uid="{0464DED5-9572-40D9-805F-C8422A14A6E3}" name="Kolonna842"/>
    <tableColumn id="1181" xr3:uid="{4BB57379-7C46-4B40-B74C-352BDFE8EC0F}" name="Kolonna843"/>
    <tableColumn id="1182" xr3:uid="{D2E6638E-E489-4C94-B425-6CEADF6A6BAE}" name="Kolonna844"/>
    <tableColumn id="1183" xr3:uid="{3B12B067-CB8F-42AE-A2A2-3A71EEFC7D4A}" name="Kolonna845"/>
    <tableColumn id="1184" xr3:uid="{92DA860E-E69A-4AC3-A2C1-C5F167EF852B}" name="Kolonna846"/>
    <tableColumn id="1185" xr3:uid="{CDC59E02-D91D-455C-B586-475DD2660A80}" name="Kolonna847"/>
    <tableColumn id="1186" xr3:uid="{5DDFE2D7-BB2E-4BEE-87A8-056AA1859E47}" name="Kolonna848"/>
    <tableColumn id="1187" xr3:uid="{68A2A008-8AAA-4F09-B8E6-F488306A6B6A}" name="Kolonna849"/>
    <tableColumn id="1188" xr3:uid="{E941DC08-507D-4C13-92D5-6397EBB6FF21}" name="Kolonna850"/>
    <tableColumn id="1189" xr3:uid="{9B9DAC87-2FC7-4349-A572-89EA6371233F}" name="Kolonna851"/>
    <tableColumn id="1190" xr3:uid="{C349305A-1E2A-4338-B703-007FF54CAC89}" name="Kolonna852"/>
    <tableColumn id="1191" xr3:uid="{0577579E-9900-4946-A856-3802D2E4C1D7}" name="Kolonna853"/>
    <tableColumn id="1192" xr3:uid="{3ECC16AA-3629-47DF-BC2B-91A77437F4F4}" name="Kolonna854"/>
    <tableColumn id="1193" xr3:uid="{ADBFCBD4-95CA-4648-B85F-DF00E003884B}" name="Kolonna855"/>
    <tableColumn id="1194" xr3:uid="{96729DA2-6F83-45B6-AB3B-24534326C692}" name="Kolonna856"/>
    <tableColumn id="1195" xr3:uid="{C3353DCC-CD28-46D7-BE07-2F0AD0CE0729}" name="Kolonna857"/>
    <tableColumn id="1196" xr3:uid="{C596E7DA-B358-460D-8BF7-1591C3C0702D}" name="Kolonna858"/>
    <tableColumn id="1197" xr3:uid="{5CD2DA7F-9CBC-4436-B43D-2C9832547421}" name="Kolonna859"/>
    <tableColumn id="1198" xr3:uid="{94304522-5D5D-4FFF-B25C-DFFB63920F00}" name="Kolonna860"/>
    <tableColumn id="1199" xr3:uid="{14B69ECF-91B8-43CD-A149-FE3F17F6D646}" name="Kolonna861"/>
    <tableColumn id="1200" xr3:uid="{B3F37597-DDF8-4455-ACFA-2005C1BC7BD5}" name="Kolonna862"/>
    <tableColumn id="1201" xr3:uid="{CA6BD030-B523-415A-AD25-BFAE16B9E500}" name="Kolonna863"/>
    <tableColumn id="1202" xr3:uid="{B433101C-8F32-417B-8A13-222B0658B768}" name="Kolonna864"/>
    <tableColumn id="1203" xr3:uid="{14F3B01C-79B9-4047-95E6-58D4485EFEA2}" name="Kolonna865"/>
    <tableColumn id="1204" xr3:uid="{058A4166-7775-4C49-AFDD-B6125400D83C}" name="Kolonna866"/>
    <tableColumn id="1205" xr3:uid="{3095094B-4841-4F9A-A7B5-AB8FF0929538}" name="Kolonna867"/>
    <tableColumn id="1206" xr3:uid="{BCDE3819-AAF4-4102-9760-06E13E93CAFC}" name="Kolonna868"/>
    <tableColumn id="1207" xr3:uid="{D0275F98-4CC5-43C6-8E8F-AF1E42D87A36}" name="Kolonna869"/>
    <tableColumn id="1208" xr3:uid="{8F0A2E78-9488-4311-BDF5-F9F197187EE7}" name="Kolonna870"/>
    <tableColumn id="1209" xr3:uid="{436A19D9-6349-4E9A-81A1-2DDFDBDA77BF}" name="Kolonna871"/>
    <tableColumn id="1210" xr3:uid="{7988738D-2B99-4A03-A421-736629909503}" name="Kolonna872"/>
    <tableColumn id="1211" xr3:uid="{6F4498C5-3463-4A77-968D-96AAFDC97BC4}" name="Kolonna873"/>
    <tableColumn id="1212" xr3:uid="{D3B7497C-BD5C-4360-A358-60C17A42EE02}" name="Kolonna874"/>
    <tableColumn id="1213" xr3:uid="{32AA8D76-3235-491F-8CEF-30E1DFCCBAA3}" name="Kolonna875"/>
    <tableColumn id="1214" xr3:uid="{D191F750-5D28-4681-B0E4-86D3AFF83C03}" name="Kolonna876"/>
    <tableColumn id="1215" xr3:uid="{92E2FD63-CA9E-4F43-B95B-FE170CF3DD52}" name="Kolonna877"/>
    <tableColumn id="1216" xr3:uid="{57FA6537-B7CC-4536-AEB1-2CC424801A2A}" name="Kolonna878"/>
    <tableColumn id="1217" xr3:uid="{498FE776-3849-42F5-9804-C2227718C622}" name="Kolonna879"/>
    <tableColumn id="1218" xr3:uid="{900E4C00-FF42-47A8-9E26-31519BADE440}" name="Kolonna880"/>
    <tableColumn id="1219" xr3:uid="{BAA9462C-675B-4515-B106-A242BCC4E846}" name="Kolonna881"/>
    <tableColumn id="1220" xr3:uid="{A19AD5FC-1B64-4F0A-B9BC-9C65B0286815}" name="Kolonna882"/>
    <tableColumn id="1221" xr3:uid="{AB0E9C4E-0E2B-4CD9-ADBB-ED6386DB4675}" name="Kolonna883"/>
    <tableColumn id="1222" xr3:uid="{EDB4BE61-B9AB-4E7A-8F46-EE56C1EC5AC2}" name="Kolonna884"/>
    <tableColumn id="1223" xr3:uid="{19CFABF3-67AD-40B1-90C9-84304B6557E2}" name="Kolonna885"/>
    <tableColumn id="1224" xr3:uid="{103B8610-4035-4DCA-B006-4ABBA5C03968}" name="Kolonna886"/>
    <tableColumn id="1225" xr3:uid="{FC70A6A4-D602-48FE-96F0-50ED502367BD}" name="Kolonna887"/>
    <tableColumn id="1226" xr3:uid="{7CD2B8FA-2532-45ED-B839-859D3976A228}" name="Kolonna888"/>
    <tableColumn id="1227" xr3:uid="{2B83B275-FB0C-4CC6-B44C-197AEAA279FC}" name="Kolonna889"/>
    <tableColumn id="1228" xr3:uid="{3B0F20A9-3DA3-462E-A2DB-F54B6A795288}" name="Kolonna890"/>
    <tableColumn id="1229" xr3:uid="{E18A7A4B-5A56-4FE6-8F47-9450655E3374}" name="Kolonna891"/>
    <tableColumn id="1230" xr3:uid="{F049DD5A-1FDD-490E-A1BC-322636446E13}" name="Kolonna892"/>
    <tableColumn id="1231" xr3:uid="{0910B05C-E514-44FE-AD30-AC02B35A8929}" name="Kolonna893"/>
    <tableColumn id="1232" xr3:uid="{80B47D42-05CF-4EC2-88DD-F0077C3CCD50}" name="Kolonna894"/>
    <tableColumn id="1233" xr3:uid="{C71A2ABF-27BE-4DEE-BF57-E6FC890E0BD3}" name="Kolonna895"/>
    <tableColumn id="1234" xr3:uid="{0EC12A64-A7B0-4541-B349-A5CC1D3353CB}" name="Kolonna896"/>
    <tableColumn id="1235" xr3:uid="{E83A98E1-3C12-44CC-B1E8-CCA2B180FB09}" name="Kolonna897"/>
    <tableColumn id="1236" xr3:uid="{5BF92BA7-2D81-4C52-9C5E-7B07EA9B1C23}" name="Kolonna898"/>
    <tableColumn id="1237" xr3:uid="{26FB80E3-E3E1-4D0E-948F-6453CA5B469F}" name="Kolonna899"/>
    <tableColumn id="1238" xr3:uid="{E8AAA2E8-42CE-4ED1-ACC9-F21680BB1BD1}" name="Kolonna900"/>
    <tableColumn id="1239" xr3:uid="{63A2365D-B283-4F33-8CF3-EA552A3153C0}" name="Kolonna901"/>
    <tableColumn id="1240" xr3:uid="{07BDFB01-32D8-432A-B110-F6B6D38A9FD6}" name="Kolonna902"/>
    <tableColumn id="1241" xr3:uid="{6FCF7D97-9E3E-46BC-9A3C-26873CF37BA7}" name="Kolonna903"/>
    <tableColumn id="1242" xr3:uid="{52DDA12A-A66B-4B33-9BB0-8EADB8FE23D6}" name="Kolonna904"/>
    <tableColumn id="1243" xr3:uid="{7171A722-DC96-4577-879D-DD0FB68E1990}" name="Kolonna905"/>
    <tableColumn id="1244" xr3:uid="{A6748450-362D-4A2E-8A51-28B684C8A7C4}" name="Kolonna906"/>
    <tableColumn id="1245" xr3:uid="{91718050-62E1-4EFE-B200-FF081E6EB50F}" name="Kolonna907"/>
    <tableColumn id="1246" xr3:uid="{CFBB1073-B158-4329-AF0F-45DA6CD77C96}" name="Kolonna908"/>
    <tableColumn id="1247" xr3:uid="{33BBB2CC-5988-4E09-A689-08156A9CAFD5}" name="Kolonna909"/>
    <tableColumn id="1248" xr3:uid="{87A2D5E1-B980-4FEF-B107-F7F623987124}" name="Kolonna910"/>
    <tableColumn id="1249" xr3:uid="{24B00A59-E3AB-45F8-9637-147F76C2102D}" name="Kolonna911"/>
    <tableColumn id="1250" xr3:uid="{D62385FF-A4E0-4202-A154-D6EECC4CC5A4}" name="Kolonna912"/>
    <tableColumn id="1251" xr3:uid="{4B4D7285-DC96-4FE8-B755-1AC1A7886BA6}" name="Kolonna913"/>
    <tableColumn id="1252" xr3:uid="{77ACD0BA-9685-4FEB-B112-DDB296A6BFC5}" name="Kolonna914"/>
    <tableColumn id="1253" xr3:uid="{6050265D-2ABD-4C18-898F-EC51AF70608C}" name="Kolonna915"/>
    <tableColumn id="1254" xr3:uid="{B10A0BC1-F59B-49AC-AA97-9D70C421AB75}" name="Kolonna916"/>
    <tableColumn id="1255" xr3:uid="{F5ACED23-0A50-429F-B088-A0655D87B25D}" name="Kolonna917"/>
    <tableColumn id="1256" xr3:uid="{80C46734-7BEB-47B8-9916-5F808E041B83}" name="Kolonna918"/>
    <tableColumn id="1257" xr3:uid="{857F80B5-0FC1-4F38-B285-4836EA22F303}" name="Kolonna919"/>
    <tableColumn id="1258" xr3:uid="{DEAA8677-A2A7-4222-9C37-2FD61238100F}" name="Kolonna920"/>
    <tableColumn id="1259" xr3:uid="{1F4170D2-86E6-49EB-AB84-661D5C872D13}" name="Kolonna921"/>
    <tableColumn id="1260" xr3:uid="{24D8F267-6370-4160-8FD1-B64A625BC987}" name="Kolonna922"/>
    <tableColumn id="1261" xr3:uid="{E4E74276-C8F9-415D-B016-41E739DAA55F}" name="Kolonna923"/>
    <tableColumn id="1262" xr3:uid="{05EBE768-3B81-4D78-9E27-FA86820DDD0D}" name="Kolonna924"/>
    <tableColumn id="1263" xr3:uid="{4CA67BB7-6F5B-4A8E-A52B-D60CF19B40A3}" name="Kolonna925"/>
    <tableColumn id="1264" xr3:uid="{1E9E28E5-FC46-4EE8-B21E-AA788410F39F}" name="Kolonna926"/>
    <tableColumn id="1265" xr3:uid="{FD6F29FB-456E-4624-99CA-AA93306C741F}" name="Kolonna927"/>
    <tableColumn id="1266" xr3:uid="{523BCCD7-9534-4BF9-99DD-F8C5B2391902}" name="Kolonna928"/>
    <tableColumn id="1267" xr3:uid="{BA963F36-6E82-4DF4-86D3-BAE83F16A865}" name="Kolonna929"/>
    <tableColumn id="1268" xr3:uid="{590F8B31-94E0-47AB-A817-58C95E68D954}" name="Kolonna930"/>
    <tableColumn id="1269" xr3:uid="{46EC2978-807B-4E60-AF51-131169728AA4}" name="Kolonna931"/>
    <tableColumn id="1270" xr3:uid="{C2CDD94F-F1A7-4D26-AE67-539AB2DBEF37}" name="Kolonna932"/>
    <tableColumn id="1271" xr3:uid="{5EE66070-8D18-4571-9F6D-08AE871952DA}" name="Kolonna933"/>
    <tableColumn id="1272" xr3:uid="{4BD3E6B6-2D62-4B76-B346-C8B6F15288AC}" name="Kolonna934"/>
    <tableColumn id="1273" xr3:uid="{03AEF492-9CBC-457D-8EE4-5C7C70C2CD63}" name="Kolonna935"/>
    <tableColumn id="1274" xr3:uid="{0BF85B9F-0610-4753-B62D-263C7DF9A1DA}" name="Kolonna936"/>
    <tableColumn id="1275" xr3:uid="{44C11DDA-2AF1-4F6E-AF7E-39796A927230}" name="Kolonna937"/>
    <tableColumn id="1276" xr3:uid="{27204E86-9137-40C2-8E39-96C8104C5F47}" name="Kolonna938"/>
    <tableColumn id="1277" xr3:uid="{815F1F3A-CB93-474D-8237-B533712C2B20}" name="Kolonna939"/>
    <tableColumn id="1278" xr3:uid="{D5CB444A-7078-44A0-A0E2-EB33649B0270}" name="Kolonna940"/>
    <tableColumn id="1279" xr3:uid="{17DD6BAA-4578-4AD1-BC0A-25B410D272DE}" name="Kolonna941"/>
    <tableColumn id="1280" xr3:uid="{2CFA25B6-AC06-4346-A192-1D3536869697}" name="Kolonna942"/>
    <tableColumn id="1281" xr3:uid="{C964FA5E-2D5B-4E5C-9CE0-3E7ACA8AFAE8}" name="Kolonna943"/>
    <tableColumn id="1282" xr3:uid="{C91B0404-2C72-4044-8007-C4366D3F98EB}" name="Kolonna944"/>
    <tableColumn id="1283" xr3:uid="{8A7A907C-6FA4-4B6A-9020-B832D860E7EA}" name="Kolonna945"/>
    <tableColumn id="1284" xr3:uid="{7C8A5856-FB3D-4C29-BAE7-98A19B8435E3}" name="Kolonna946"/>
    <tableColumn id="1285" xr3:uid="{66E5F6E2-B816-4404-93BF-A7F96C548160}" name="Kolonna947"/>
    <tableColumn id="1286" xr3:uid="{DA27A59D-1B6E-40DD-B697-5957400B9B12}" name="Kolonna948"/>
    <tableColumn id="1287" xr3:uid="{EF4DC603-6FD5-4A32-8B8F-55E025103AD0}" name="Kolonna949"/>
    <tableColumn id="1288" xr3:uid="{59DAE78E-1121-4E21-B99F-0414CC1B30C0}" name="Kolonna950"/>
    <tableColumn id="1289" xr3:uid="{31C808D5-F3A0-4FD1-9AC7-59A658EC20EE}" name="Kolonna951"/>
    <tableColumn id="1290" xr3:uid="{3E359513-E608-4222-AA35-B09EA5E466E0}" name="Kolonna952"/>
    <tableColumn id="1291" xr3:uid="{EE2AFAB9-E462-4B74-9BF2-ED41C9B63EBF}" name="Kolonna953"/>
    <tableColumn id="1292" xr3:uid="{0F5C599A-828F-4145-90B4-C62217606A92}" name="Kolonna954"/>
    <tableColumn id="1293" xr3:uid="{A4F7478A-884E-4B4D-B25C-5803415B54F0}" name="Kolonna955"/>
    <tableColumn id="1294" xr3:uid="{E294B758-50BF-4494-B0A5-42692F9D8549}" name="Kolonna956"/>
    <tableColumn id="1295" xr3:uid="{4EA95BAC-24AA-4BEA-86A5-6C026502886F}" name="Kolonna957"/>
    <tableColumn id="1296" xr3:uid="{20C3A9D2-D351-4967-9A6F-24E033EC7B1E}" name="Kolonna958"/>
    <tableColumn id="1297" xr3:uid="{73D5BA4F-25C5-4D9D-9237-C77F36071284}" name="Kolonna959"/>
    <tableColumn id="1298" xr3:uid="{65382A1D-A577-4F50-98E5-6D170701A47C}" name="Kolonna960"/>
    <tableColumn id="1299" xr3:uid="{B5C51EBC-580F-4930-88C9-2B35E887C9E0}" name="Kolonna961"/>
    <tableColumn id="1300" xr3:uid="{AD331576-4FDC-4120-BC40-6D053A2DF43D}" name="Kolonna962"/>
    <tableColumn id="1301" xr3:uid="{59EDD328-27CD-4F17-955E-202B2F63B2C7}" name="Kolonna963"/>
    <tableColumn id="1302" xr3:uid="{6F51EFFC-AA91-46D6-B90B-626CCB539B16}" name="Kolonna964"/>
    <tableColumn id="1303" xr3:uid="{B4F4DCF5-93A8-4370-A2B5-EAAE16F8C252}" name="Kolonna965"/>
    <tableColumn id="1304" xr3:uid="{CBC3055F-51B3-4679-8C4D-79310F65BCA4}" name="Kolonna966"/>
    <tableColumn id="1305" xr3:uid="{0FCD0FFB-0572-401F-A795-7696DB345CE3}" name="Kolonna967"/>
    <tableColumn id="1306" xr3:uid="{D3200EB3-405D-4763-9A4D-E0B05EF0631A}" name="Kolonna968"/>
    <tableColumn id="1307" xr3:uid="{7066E3B7-9C38-4208-8F12-9EEF02F48E37}" name="Kolonna969"/>
    <tableColumn id="1308" xr3:uid="{9BA55116-869A-4223-9A2A-2C5A83813F2F}" name="Kolonna970"/>
    <tableColumn id="1309" xr3:uid="{6ABA8507-8508-40D9-B2B3-9E01A46F4754}" name="Kolonna971"/>
    <tableColumn id="1310" xr3:uid="{6B8370CD-51F1-4731-B523-B73811D780F0}" name="Kolonna972"/>
    <tableColumn id="1311" xr3:uid="{06A27A65-C6BA-4CA4-9B95-60A23CD634E3}" name="Kolonna973"/>
    <tableColumn id="1312" xr3:uid="{0398BD8D-CD15-4990-A86C-0E9667873BEF}" name="Kolonna974"/>
    <tableColumn id="1313" xr3:uid="{8769FF6E-2707-49E5-9980-DAA883843DCF}" name="Kolonna975"/>
    <tableColumn id="1314" xr3:uid="{6DDC1440-808F-4EDE-9E98-EF46B9D849BA}" name="Kolonna976"/>
    <tableColumn id="1315" xr3:uid="{3EAC934D-C390-46E2-A02F-8DD33A2BC212}" name="Kolonna977"/>
    <tableColumn id="1316" xr3:uid="{C47E5524-B8C5-4C04-AD2C-EB7FF9975E6B}" name="Kolonna978"/>
    <tableColumn id="1317" xr3:uid="{3266B7A2-6C87-4AE6-A4F6-867F831F8288}" name="Kolonna979"/>
    <tableColumn id="1318" xr3:uid="{583ADF7C-3A6D-4654-94E5-088ACB7CD0F2}" name="Kolonna980"/>
    <tableColumn id="1319" xr3:uid="{8CD386EF-222D-432B-9673-D0FA12EC4093}" name="Kolonna981"/>
    <tableColumn id="1320" xr3:uid="{FD4A7CFC-F76F-4FB9-A456-B869090BB09F}" name="Kolonna982"/>
    <tableColumn id="1321" xr3:uid="{78E52C80-5413-46D3-9074-6C255C31AB30}" name="Kolonna983"/>
    <tableColumn id="1322" xr3:uid="{D4DC05F9-A69C-4BC8-AC9E-707AAD562734}" name="Kolonna984"/>
    <tableColumn id="1323" xr3:uid="{39ABF1E8-E9C5-46C6-9678-C5715B78A42F}" name="Kolonna985"/>
    <tableColumn id="1324" xr3:uid="{672022FA-9753-49A9-B993-FD5C195B3DA6}" name="Kolonna986"/>
    <tableColumn id="1325" xr3:uid="{D6E9BF04-E1E6-4632-B462-823F6647ACBF}" name="Kolonna987"/>
    <tableColumn id="1326" xr3:uid="{29126A62-CBF0-45B3-B6AB-6F8E7BD76CF5}" name="Kolonna988"/>
    <tableColumn id="1327" xr3:uid="{EEABE1B4-732D-48F0-A5BF-E8254A86850E}" name="Kolonna989"/>
    <tableColumn id="1328" xr3:uid="{C031B4F7-8330-42F7-8F48-2A66E9D760A8}" name="Kolonna990"/>
    <tableColumn id="1329" xr3:uid="{A3B54235-3E02-4002-AFC4-15D3209211A7}" name="Kolonna991"/>
    <tableColumn id="1330" xr3:uid="{284CB5E8-E5A6-4E0B-A183-1BE0BB088009}" name="Kolonna992"/>
    <tableColumn id="1331" xr3:uid="{9E78EB7D-EF93-4C51-A8E1-F05A90B4E571}" name="Kolonna993"/>
    <tableColumn id="1332" xr3:uid="{51192F28-FCE0-41C0-A70A-8C32F5510ECF}" name="Kolonna994"/>
    <tableColumn id="1333" xr3:uid="{8DDC2701-E6A4-48D6-B1ED-17A5740C5ABF}" name="Kolonna995"/>
    <tableColumn id="1334" xr3:uid="{0096DA6C-6E8B-47FB-8CA7-79F3516A2722}" name="Kolonna996"/>
    <tableColumn id="1335" xr3:uid="{B1FEA343-C43A-4566-9411-E7EEF5002C16}" name="Kolonna997"/>
    <tableColumn id="1336" xr3:uid="{6105B893-9A5B-4931-A9D5-2E40B4A2A184}" name="Kolonna998"/>
    <tableColumn id="1337" xr3:uid="{0AC4F5E5-EF10-4AF2-AE81-30DC6355680F}" name="Kolonna999"/>
    <tableColumn id="1338" xr3:uid="{471CD823-EC48-41AB-9948-8C3A5BE4800F}" name="Kolonna1000"/>
    <tableColumn id="1339" xr3:uid="{92937F9F-8776-44BB-B323-296CB7DA79F7}" name="Kolonna1001"/>
    <tableColumn id="1340" xr3:uid="{D030EA32-7311-48E9-98AE-8A8D32B52F96}" name="Kolonna1002"/>
    <tableColumn id="1341" xr3:uid="{15C8DEDB-06A0-46B7-9A4E-3DCFDB8F942B}" name="Kolonna1003"/>
    <tableColumn id="1342" xr3:uid="{A935D945-5EA0-4EE9-8EE9-5512A1F039B2}" name="Kolonna1004"/>
    <tableColumn id="1343" xr3:uid="{512941C9-765E-4948-A971-7730243FCCF0}" name="Kolonna1005"/>
    <tableColumn id="1344" xr3:uid="{395E854E-3061-4F58-8422-C7DBD53FDC07}" name="Kolonna1006"/>
    <tableColumn id="1345" xr3:uid="{AB177428-407D-4BA7-95BB-0A7C7CEF6EF1}" name="Kolonna1007"/>
    <tableColumn id="1346" xr3:uid="{3EE0F224-50D5-466E-9D60-334F3F6BD9A2}" name="Kolonna1008"/>
    <tableColumn id="1347" xr3:uid="{3DD2BC7C-5468-46BF-AFDC-83A2BEEC42CF}" name="Kolonna1009"/>
    <tableColumn id="1348" xr3:uid="{924BE746-1BF0-4B0C-BDC5-1CBABA5D1DC9}" name="Kolonna1010"/>
    <tableColumn id="1349" xr3:uid="{FA9F2F7C-5D6A-4E5B-8C5E-9AF07239E86C}" name="Kolonna1011"/>
    <tableColumn id="1350" xr3:uid="{BB70A096-0BD0-4580-A744-E65B12795903}" name="Kolonna1012"/>
    <tableColumn id="1351" xr3:uid="{3BC0713C-EE62-41BF-8789-E0E2743315EF}" name="Kolonna1013"/>
    <tableColumn id="1352" xr3:uid="{23FC9A3C-A219-4C8E-B51F-EB9CB78D818A}" name="Kolonna1014"/>
    <tableColumn id="1353" xr3:uid="{EF288D97-6D68-4BC6-87EF-E0CA714DE985}" name="Kolonna1015"/>
    <tableColumn id="1354" xr3:uid="{3D7F223A-FF6D-42EC-98A8-2CCF8AEBC31D}" name="Kolonna1016"/>
    <tableColumn id="1355" xr3:uid="{8450996C-A0DC-4A4D-A2DC-A03537C93B3E}" name="Kolonna1017"/>
    <tableColumn id="1356" xr3:uid="{60934A16-42EE-4350-891B-0234E6BBC138}" name="Kolonna1018"/>
    <tableColumn id="1357" xr3:uid="{C36CC786-1C34-42B7-ADA3-050AB43B5584}" name="Kolonna1019"/>
    <tableColumn id="1358" xr3:uid="{771DD618-5A9A-481F-BCE1-AE0D03AA7F0E}" name="Kolonna1020"/>
    <tableColumn id="1359" xr3:uid="{6FD0B570-04AD-4946-9D35-316AA45DDD59}" name="Kolonna1021"/>
    <tableColumn id="1360" xr3:uid="{9AE7382E-1A26-4318-933C-10968E7D75E7}" name="Kolonna1022"/>
    <tableColumn id="1361" xr3:uid="{150CAD0B-903F-460E-AB4C-05BBBD63DEC0}" name="Kolonna1023"/>
    <tableColumn id="1362" xr3:uid="{77C1429A-F835-4928-8685-C40D36C6A125}" name="Kolonna1024"/>
    <tableColumn id="1363" xr3:uid="{F4FD7F30-E7D1-4DA4-95BB-24139573DE8E}" name="Kolonna1025"/>
    <tableColumn id="1364" xr3:uid="{98664FE5-574F-4911-93F5-FBC00E239CC5}" name="Kolonna1026"/>
    <tableColumn id="1365" xr3:uid="{6D6AA568-5C28-4BC1-8479-04A18EF6F80F}" name="Kolonna1027"/>
    <tableColumn id="1366" xr3:uid="{D1270C02-207D-48B5-8974-6E9662FF3F6A}" name="Kolonna1028"/>
    <tableColumn id="1367" xr3:uid="{90F9ED6A-5799-4183-8E0B-340336104D4D}" name="Kolonna1029"/>
    <tableColumn id="1368" xr3:uid="{61EAF4F4-9F06-4AC7-8350-39B3F5FAF84B}" name="Kolonna1030"/>
    <tableColumn id="1369" xr3:uid="{09C45A64-FF90-41F8-B91A-6DC7607C8EA2}" name="Kolonna1031"/>
    <tableColumn id="1370" xr3:uid="{72617077-4816-4B47-9A21-21C205540D04}" name="Kolonna1032"/>
    <tableColumn id="1371" xr3:uid="{90A41D2B-18E5-4A7C-934A-A51F5F909BBF}" name="Kolonna1033"/>
    <tableColumn id="1372" xr3:uid="{3FFBBD57-18FE-4A26-9FB7-338E19175ED7}" name="Kolonna1034"/>
    <tableColumn id="1373" xr3:uid="{3D00F43B-B6AC-43D9-A13B-6D53BFE94DAB}" name="Kolonna1035"/>
    <tableColumn id="1374" xr3:uid="{1F7BC4A4-48D7-4416-AD81-BDC55FC63BEA}" name="Kolonna1036"/>
    <tableColumn id="1375" xr3:uid="{2EC5941B-EBE8-4AAD-9246-9FD1178CB507}" name="Kolonna1037"/>
    <tableColumn id="1376" xr3:uid="{DFF2C352-AB73-490E-9AA7-9F5E80ADED4E}" name="Kolonna1038"/>
    <tableColumn id="1377" xr3:uid="{6E769917-0613-4F08-974F-DB037AB9258A}" name="Kolonna1039"/>
    <tableColumn id="1378" xr3:uid="{153DE649-E15F-490C-972C-C2FC54913858}" name="Kolonna1040"/>
    <tableColumn id="1379" xr3:uid="{03610625-A3DA-4F13-8261-55CD1554F821}" name="Kolonna1041"/>
    <tableColumn id="1380" xr3:uid="{3FEE2908-A368-4B76-B4C5-0AE81E2E170A}" name="Kolonna1042"/>
    <tableColumn id="1381" xr3:uid="{2FD1B7BA-A180-44DE-BCC5-291FFEE209A3}" name="Kolonna1043"/>
    <tableColumn id="1382" xr3:uid="{A4EC3670-ACC6-4090-BEBA-27C4785AACE5}" name="Kolonna1044"/>
    <tableColumn id="1383" xr3:uid="{9628C028-BB99-4A1A-924B-9895122E811A}" name="Kolonna1045"/>
    <tableColumn id="1384" xr3:uid="{6777F0DC-D61B-43BC-A369-3C384286CFA3}" name="Kolonna1046"/>
    <tableColumn id="1385" xr3:uid="{5A7407E4-5DD4-4D19-9ED3-4CADF3D8B92C}" name="Kolonna1047"/>
    <tableColumn id="1386" xr3:uid="{284F2431-A34B-40B1-AE6D-59230A18FD02}" name="Kolonna1048"/>
    <tableColumn id="1387" xr3:uid="{EDF3C142-9B48-4E4B-9F15-740157D8503D}" name="Kolonna1049"/>
    <tableColumn id="1388" xr3:uid="{6DD05A85-CA7A-46C7-92FE-9BC9AC98B514}" name="Kolonna1050"/>
    <tableColumn id="1389" xr3:uid="{6D13B8E8-B668-43EC-9A4F-151F2F8AB133}" name="Kolonna1051"/>
    <tableColumn id="1390" xr3:uid="{D68D331E-5A6B-4DAB-9BC5-63BFFB48C6F4}" name="Kolonna1052"/>
    <tableColumn id="1391" xr3:uid="{D1BC76BD-3EB6-4969-AD95-BA85D9ACE1B5}" name="Kolonna1053"/>
    <tableColumn id="1392" xr3:uid="{D66D9E25-9A6B-4A4F-8E39-09CAB5ACC09C}" name="Kolonna1054"/>
    <tableColumn id="1393" xr3:uid="{75FB4505-63AC-43EA-A1D0-F259C4345E65}" name="Kolonna1055"/>
    <tableColumn id="1394" xr3:uid="{57D7338A-CF65-4BD2-B063-9C400FA246C4}" name="Kolonna1056"/>
    <tableColumn id="1395" xr3:uid="{E427A1E1-6AF9-4783-91BC-BB6B0B8B8701}" name="Kolonna1057"/>
    <tableColumn id="1396" xr3:uid="{13FB2CFB-9BCB-4305-B0F6-844D6509C731}" name="Kolonna1058"/>
    <tableColumn id="1397" xr3:uid="{9BD84A6F-A1CA-42D0-8A4D-3F59788B85FA}" name="Kolonna1059"/>
    <tableColumn id="1398" xr3:uid="{B097A127-E663-49B2-B645-D33B7891B8E8}" name="Kolonna1060"/>
    <tableColumn id="1399" xr3:uid="{875FF81D-9C73-47E7-89C9-EECB7FAADFA7}" name="Kolonna1061"/>
    <tableColumn id="1400" xr3:uid="{1A901449-07C1-4983-BEF1-B041C5FCB888}" name="Kolonna1062"/>
    <tableColumn id="1401" xr3:uid="{76A22FA7-4C8B-4B9E-8D19-75B614A6EC2B}" name="Kolonna1063"/>
    <tableColumn id="1402" xr3:uid="{6ECC9EE3-0AD3-46A9-BFDA-ED814DB65D30}" name="Kolonna1064"/>
    <tableColumn id="1403" xr3:uid="{1C3E1ACA-99BC-41F2-BA5A-9A1B35394531}" name="Kolonna1065"/>
    <tableColumn id="1404" xr3:uid="{6A532BBF-E073-4BEA-BB57-FDFC24030308}" name="Kolonna1066"/>
    <tableColumn id="1405" xr3:uid="{32B85E8D-3EB6-4EF1-853F-3C77FF2008BD}" name="Kolonna1067"/>
    <tableColumn id="1406" xr3:uid="{4DA8BE01-20D0-49F4-9628-740E78FBE468}" name="Kolonna1068"/>
    <tableColumn id="1407" xr3:uid="{32267436-07E6-4BF4-A7B5-35E8FAD2866E}" name="Kolonna1069"/>
    <tableColumn id="1408" xr3:uid="{6FEA518A-03A4-462D-A340-66E147618A42}" name="Kolonna1070"/>
    <tableColumn id="1409" xr3:uid="{219906D8-3A6B-4902-B04E-C900712520FF}" name="Kolonna1071"/>
    <tableColumn id="1410" xr3:uid="{14F2E640-25CD-4280-8875-C0A687A231FD}" name="Kolonna1072"/>
    <tableColumn id="1411" xr3:uid="{530AC82D-3845-4772-86DB-481C4CB5BE7D}" name="Kolonna1073"/>
    <tableColumn id="1412" xr3:uid="{9A915B82-35D8-4660-90FF-A2597B4D32BC}" name="Kolonna1074"/>
    <tableColumn id="1413" xr3:uid="{A7077A25-0C64-4324-B601-8936910A5A3F}" name="Kolonna1075"/>
    <tableColumn id="1414" xr3:uid="{BC0D5254-375D-40AA-9E60-C4105DDEB62E}" name="Kolonna1076"/>
    <tableColumn id="1415" xr3:uid="{164E968C-7C01-47F9-9355-447BB56BD13B}" name="Kolonna1077"/>
    <tableColumn id="1416" xr3:uid="{241F10FF-F71D-4536-979C-D92BDB2BDF30}" name="Kolonna1078"/>
    <tableColumn id="1417" xr3:uid="{E43FB1D6-5C90-44D9-AD9D-FF45283B8A99}" name="Kolonna1079"/>
    <tableColumn id="1418" xr3:uid="{F6B1A455-77CE-46A5-8666-776F16A170B4}" name="Kolonna1080"/>
    <tableColumn id="1419" xr3:uid="{015F17C1-8BD7-4D98-BC8C-1A90682D4863}" name="Kolonna1081"/>
    <tableColumn id="1420" xr3:uid="{F60FBECB-9D06-4A7F-9CFB-37B132262027}" name="Kolonna1082"/>
    <tableColumn id="1421" xr3:uid="{CF09D2AA-8282-4A1F-A906-54946341F24A}" name="Kolonna1083"/>
    <tableColumn id="1422" xr3:uid="{F5DB0CAA-ECED-4EB5-8F22-A96074FF2A4A}" name="Kolonna1084"/>
    <tableColumn id="1423" xr3:uid="{49BB214F-9342-4257-8263-C75BF2B50292}" name="Kolonna1085"/>
    <tableColumn id="1424" xr3:uid="{B076B878-AD26-4CE2-A4AB-5B130B91D341}" name="Kolonna1086"/>
    <tableColumn id="1425" xr3:uid="{5F2FA984-5C3D-431B-946A-38F6A2BE0296}" name="Kolonna1087"/>
    <tableColumn id="1426" xr3:uid="{AE1FE2D6-4AEA-46A2-8F5F-E903A3B8294D}" name="Kolonna1088"/>
    <tableColumn id="1427" xr3:uid="{1EBC5E76-106E-4A7A-950A-42D01588557E}" name="Kolonna1089"/>
    <tableColumn id="1428" xr3:uid="{CB2CF30A-4F3E-45C6-9DF6-4BE80BBC9ED8}" name="Kolonna1090"/>
    <tableColumn id="1429" xr3:uid="{A279F3D2-8E6A-43F6-A862-7C533C112A96}" name="Kolonna1091"/>
    <tableColumn id="1430" xr3:uid="{DF5A5FD8-7069-4DBB-ABC7-E1F19F9CD1B1}" name="Kolonna1092"/>
    <tableColumn id="1431" xr3:uid="{59E3A846-7045-4181-9404-FEB08A96789B}" name="Kolonna1093"/>
    <tableColumn id="1432" xr3:uid="{EEEDA242-97BF-4CF2-BA50-6AA92C25BC9B}" name="Kolonna1094"/>
    <tableColumn id="1433" xr3:uid="{54AFBB7B-A0F1-4AE7-9BCD-9DDA19952D51}" name="Kolonna1095"/>
    <tableColumn id="1434" xr3:uid="{7F0E4848-2E8F-4AF0-BD38-8E3E06C2688A}" name="Kolonna1096"/>
    <tableColumn id="1435" xr3:uid="{66EA1236-8601-46A2-B179-5BB08C34A4F3}" name="Kolonna1097"/>
    <tableColumn id="1436" xr3:uid="{4266600D-5933-4B7D-AA82-724442891F31}" name="Kolonna1098"/>
    <tableColumn id="1437" xr3:uid="{048258F0-72DF-4654-89B3-4802D30E2312}" name="Kolonna1099"/>
    <tableColumn id="1438" xr3:uid="{47E09469-729B-4E16-B9EA-6A4A2C65FEDE}" name="Kolonna1100"/>
    <tableColumn id="1439" xr3:uid="{56FDEF35-3BBC-4BEE-A227-1B41CE8D9AA5}" name="Kolonna1101"/>
    <tableColumn id="1440" xr3:uid="{B16CC6CF-9C1D-48D0-B0C8-B65508A8720C}" name="Kolonna1102"/>
    <tableColumn id="1441" xr3:uid="{2BD2F08B-D774-4A57-B166-EF16FA84C4FE}" name="Kolonna1103"/>
    <tableColumn id="1442" xr3:uid="{5CFE9AB4-2334-40A0-9456-79D9F972EBD4}" name="Kolonna1104"/>
    <tableColumn id="1443" xr3:uid="{C9A35A8E-F99A-471D-ADCB-8AF525EF8506}" name="Kolonna1105"/>
    <tableColumn id="1444" xr3:uid="{E3699764-5761-4078-B092-D8E11C097925}" name="Kolonna1106"/>
    <tableColumn id="1445" xr3:uid="{B9F5605F-977B-47D3-9A86-95018E068324}" name="Kolonna1107"/>
    <tableColumn id="1446" xr3:uid="{F35C90FE-DCBA-4569-9C35-9301A6E30224}" name="Kolonna1108"/>
    <tableColumn id="1447" xr3:uid="{CAF97F9A-8A82-4249-AE65-A6A87713C85A}" name="Kolonna1109"/>
    <tableColumn id="1448" xr3:uid="{ECAE5515-503B-46FE-99C4-6AF106F6C47F}" name="Kolonna1110"/>
    <tableColumn id="1449" xr3:uid="{5FF7F444-B08E-4FB3-A4B7-6BDACA35BBAF}" name="Kolonna1111"/>
    <tableColumn id="1450" xr3:uid="{567712B7-A2AA-4D83-B8E6-3AAC477656DD}" name="Kolonna1112"/>
    <tableColumn id="1451" xr3:uid="{E7BEA81D-4529-4CA8-9FC3-4E6539FA405E}" name="Kolonna1113"/>
    <tableColumn id="1452" xr3:uid="{7522E723-FD76-42C6-800D-9A0D5351748E}" name="Kolonna1114"/>
    <tableColumn id="1453" xr3:uid="{2BC7EA25-3C3A-49DD-AE83-0FF5A9DDED02}" name="Kolonna1115"/>
    <tableColumn id="1454" xr3:uid="{26089E2A-2A83-4139-A3B6-0354E2BF0D0C}" name="Kolonna1116"/>
    <tableColumn id="1455" xr3:uid="{29102D80-1FC4-4848-A7F7-7C3FF944F6E0}" name="Kolonna1117"/>
    <tableColumn id="1456" xr3:uid="{2A86E847-8A4A-4B3B-BF62-175CC78C4FA0}" name="Kolonna1118"/>
    <tableColumn id="1457" xr3:uid="{C67776F2-E96A-4A04-8F6A-225D893C7D83}" name="Kolonna1119"/>
    <tableColumn id="1458" xr3:uid="{946EAABB-5618-40F7-9DD5-E4D1B3331FD0}" name="Kolonna1120"/>
    <tableColumn id="1459" xr3:uid="{651B35ED-A28E-400D-A5B3-E610B4F98687}" name="Kolonna1121"/>
    <tableColumn id="1460" xr3:uid="{8F85E146-4C21-41C8-AC60-80E23B4E3A16}" name="Kolonna1122"/>
    <tableColumn id="1461" xr3:uid="{5D91A96A-C42E-4293-975A-9EB79028881C}" name="Kolonna1123"/>
    <tableColumn id="1462" xr3:uid="{E0AEF7DE-6EFD-4345-8874-3337EB36240B}" name="Kolonna1124"/>
    <tableColumn id="1463" xr3:uid="{6CF3F305-35DA-4E86-ABA3-00FFFE64A547}" name="Kolonna1125"/>
    <tableColumn id="1464" xr3:uid="{39FC3336-44B3-4D7E-B085-71644F8A9E16}" name="Kolonna1126"/>
    <tableColumn id="1465" xr3:uid="{95213430-942D-409F-B659-B4FEFA49A2CD}" name="Kolonna1127"/>
    <tableColumn id="1466" xr3:uid="{3EE9D738-E6A8-4129-A0DF-DC8C5D87AAAE}" name="Kolonna1128"/>
    <tableColumn id="1467" xr3:uid="{2205857D-5E3C-417E-8AF3-6E5C9D7EBECF}" name="Kolonna1129"/>
    <tableColumn id="1468" xr3:uid="{7D78F58F-D360-4788-9589-1DE0BF857CD2}" name="Kolonna1130"/>
    <tableColumn id="1469" xr3:uid="{E9450E8B-176D-469C-82F9-76949DC693EB}" name="Kolonna1131"/>
    <tableColumn id="1470" xr3:uid="{D126E284-A135-48A5-980D-41D5AEF0DB64}" name="Kolonna1132"/>
    <tableColumn id="1471" xr3:uid="{F6CA48CC-3F62-4706-B253-AA553DF54695}" name="Kolonna1133"/>
    <tableColumn id="1472" xr3:uid="{99EE7AE7-AFD1-48BC-9305-DBD7F886E725}" name="Kolonna1134"/>
    <tableColumn id="1473" xr3:uid="{8554B0A6-3EEB-46E4-AC49-800E273A65FD}" name="Kolonna1135"/>
    <tableColumn id="1474" xr3:uid="{9F2D5D77-9A0E-4975-848D-F3F297B07184}" name="Kolonna1136"/>
    <tableColumn id="1475" xr3:uid="{2CB02FB7-D40F-4D01-8F6E-84CE00C93EF7}" name="Kolonna1137"/>
    <tableColumn id="1476" xr3:uid="{52D7BB45-B09C-411C-B73C-F99BC608C515}" name="Kolonna1138"/>
    <tableColumn id="1477" xr3:uid="{A7610283-97A1-41A4-9648-221E1CAB2599}" name="Kolonna1139"/>
    <tableColumn id="1478" xr3:uid="{5A8B9977-E15A-4220-B966-9042566882C0}" name="Kolonna1140"/>
    <tableColumn id="1479" xr3:uid="{54B70DD4-CB8D-4C74-866E-93388CB1A073}" name="Kolonna1141"/>
    <tableColumn id="1480" xr3:uid="{ADA7A552-64E9-4CD8-9584-9B9ECEADF1C9}" name="Kolonna1142"/>
    <tableColumn id="1481" xr3:uid="{7113CB5C-2CDD-4157-B81F-BB3FD2BF4DF9}" name="Kolonna1143"/>
    <tableColumn id="1482" xr3:uid="{AFF950E1-29EB-435C-B2F1-ECF53A25263E}" name="Kolonna1144"/>
    <tableColumn id="1483" xr3:uid="{1A1DAB31-29FD-46E0-9AF0-2829BF1B82AF}" name="Kolonna1145"/>
    <tableColumn id="1484" xr3:uid="{63612179-0EB9-474F-8D64-A9E4B9BB7665}" name="Kolonna1146"/>
    <tableColumn id="1485" xr3:uid="{A186AF7D-E5BC-4F2A-ABCC-A9FC88CF6925}" name="Kolonna1147"/>
    <tableColumn id="1486" xr3:uid="{B1294FE0-6651-4BE3-B54B-D8F759B28FB6}" name="Kolonna1148"/>
    <tableColumn id="1487" xr3:uid="{4481895B-1AF9-4873-99F5-9EA831543987}" name="Kolonna1149"/>
    <tableColumn id="1488" xr3:uid="{5764FD0C-D2CC-49BE-9754-7B388E99B131}" name="Kolonna1150"/>
    <tableColumn id="1489" xr3:uid="{5F4B7D6D-9999-4EAC-A3B5-9B8AD3FEA1D9}" name="Kolonna1151"/>
    <tableColumn id="1490" xr3:uid="{A0E57622-1E5F-4116-ABF1-3E122A5410A9}" name="Kolonna1152"/>
    <tableColumn id="1491" xr3:uid="{8C6EF058-9263-4158-87CD-EFADA960E014}" name="Kolonna1153"/>
    <tableColumn id="1492" xr3:uid="{862B14C3-4413-45C2-9E1B-389FD49AFF94}" name="Kolonna1154"/>
    <tableColumn id="1493" xr3:uid="{F3C67AAA-87AE-4B54-A333-B416A098EBCF}" name="Kolonna1155"/>
    <tableColumn id="1494" xr3:uid="{E49CBC67-99F8-404A-8238-B00950442572}" name="Kolonna1156"/>
    <tableColumn id="1495" xr3:uid="{CEDA1B47-11A6-4AFE-9B5D-C6F6348C8C77}" name="Kolonna1157"/>
    <tableColumn id="1496" xr3:uid="{F523BCC0-CF6E-4FA8-844E-4ACE4184EBFA}" name="Kolonna1158"/>
    <tableColumn id="1497" xr3:uid="{647C15F9-4675-4C48-A853-BEC7A683B14D}" name="Kolonna1159"/>
    <tableColumn id="1498" xr3:uid="{1900751D-23F5-47D8-A04B-A182F0E3A0BC}" name="Kolonna1160"/>
    <tableColumn id="1499" xr3:uid="{DA6542CE-EB5C-463A-9437-288CF23F488D}" name="Kolonna1161"/>
    <tableColumn id="1500" xr3:uid="{AB5BFDE6-F04C-401B-8777-1152EF4F0306}" name="Kolonna1162"/>
    <tableColumn id="1501" xr3:uid="{28F6CF5E-AF96-48A6-98D3-BFCE9BB83D4A}" name="Kolonna1163"/>
    <tableColumn id="1502" xr3:uid="{B4B421D2-6CF5-49FE-BB28-67B420F10112}" name="Kolonna1164"/>
    <tableColumn id="1503" xr3:uid="{6979840F-D6CC-4AD3-8B3A-4AB056E7BDAE}" name="Kolonna1165"/>
    <tableColumn id="1504" xr3:uid="{F3011242-0DDC-4414-B482-C9F8D5C6345F}" name="Kolonna1166"/>
    <tableColumn id="1505" xr3:uid="{C76800DF-29A4-4294-8976-FB01E20731E6}" name="Kolonna1167"/>
    <tableColumn id="1506" xr3:uid="{79066DC9-3443-414B-8AB3-E30328A43F32}" name="Kolonna1168"/>
    <tableColumn id="1507" xr3:uid="{628F14B9-535A-4964-A27C-F6ABA415A755}" name="Kolonna1169"/>
    <tableColumn id="1508" xr3:uid="{369DC623-9B95-4E6D-B329-711EDAC59597}" name="Kolonna1170"/>
    <tableColumn id="1509" xr3:uid="{4C28E2FB-E183-46D4-BB7F-A75BE9D56E22}" name="Kolonna1171"/>
    <tableColumn id="1510" xr3:uid="{FE8E7210-B97B-4417-AEC8-2BCEC690A2A2}" name="Kolonna1172"/>
    <tableColumn id="1511" xr3:uid="{153E9B09-0454-4621-8E71-B8CD13568146}" name="Kolonna1173"/>
    <tableColumn id="1512" xr3:uid="{AFC14B13-27D5-49BD-9525-D99BD377508D}" name="Kolonna1174"/>
    <tableColumn id="1513" xr3:uid="{C725478B-689C-4EC1-8692-116339A26285}" name="Kolonna1175"/>
    <tableColumn id="1514" xr3:uid="{A91222B7-4891-499E-9923-EE487DA2B97A}" name="Kolonna1176"/>
    <tableColumn id="1515" xr3:uid="{2205D815-689F-4ED2-B23A-5579F1F8F8AD}" name="Kolonna1177"/>
    <tableColumn id="1516" xr3:uid="{29E4D3B9-64D0-482A-BDFC-61ABBB87F389}" name="Kolonna1178"/>
    <tableColumn id="1517" xr3:uid="{016F5F57-58CF-4601-B114-E8BD53410F0A}" name="Kolonna1179"/>
    <tableColumn id="1518" xr3:uid="{7991D4B7-9346-4B34-861E-10D47BC02EBF}" name="Kolonna1180"/>
    <tableColumn id="1519" xr3:uid="{DD2BE244-980C-4BC6-90DC-427B70EE9D9B}" name="Kolonna1181"/>
    <tableColumn id="1520" xr3:uid="{D7877A3B-6A0A-48D3-9D67-9143F5AD8330}" name="Kolonna1182"/>
    <tableColumn id="1521" xr3:uid="{69B1AD34-54F6-41EE-BC2B-EFBB7E060CC7}" name="Kolonna1183"/>
    <tableColumn id="1522" xr3:uid="{453CFBF5-C27F-41DF-B6DE-2D075B558BE0}" name="Kolonna1184"/>
    <tableColumn id="1523" xr3:uid="{FD85FDF9-89FE-4AF9-9718-5E2368AAE362}" name="Kolonna1185"/>
    <tableColumn id="1524" xr3:uid="{276B2819-CFD9-4E94-8956-3E45F52DF99F}" name="Kolonna1186"/>
    <tableColumn id="1525" xr3:uid="{62F85F2A-2DC2-4D00-9454-BAC5AF37BD47}" name="Kolonna1187"/>
    <tableColumn id="1526" xr3:uid="{823F8A58-4A3D-406A-9F6C-D5A276190195}" name="Kolonna1188"/>
    <tableColumn id="1527" xr3:uid="{9E475487-1949-423A-8E37-BC6C35FC6AA7}" name="Kolonna1189"/>
    <tableColumn id="1528" xr3:uid="{4DB869D0-2BDD-4061-A0AA-46D9C7644CF7}" name="Kolonna1190"/>
    <tableColumn id="1529" xr3:uid="{8B8BAC66-D9B3-4F81-A5DF-EB612639DFDE}" name="Kolonna1191"/>
    <tableColumn id="1530" xr3:uid="{849940E1-410F-48B6-A79F-7BF20E4079AF}" name="Kolonna1192"/>
    <tableColumn id="1531" xr3:uid="{9EEEF4A7-AE58-43C4-A6CB-02C12F945851}" name="Kolonna1193"/>
    <tableColumn id="1532" xr3:uid="{A4313C61-6D18-4328-9F12-8827403DB992}" name="Kolonna1194"/>
    <tableColumn id="1533" xr3:uid="{A7F96D33-01E1-42AB-875C-6354BF05E587}" name="Kolonna1195"/>
    <tableColumn id="1534" xr3:uid="{A2C82674-1E61-47F6-8AAC-73E710EB813F}" name="Kolonna1196"/>
    <tableColumn id="1535" xr3:uid="{03C268D1-BED6-45FB-801B-74762D735CD8}" name="Kolonna1197"/>
    <tableColumn id="1536" xr3:uid="{B0270AC9-ADE1-47C7-AF96-F8A3FCDAC0FA}" name="Kolonna1198"/>
    <tableColumn id="1537" xr3:uid="{998131B9-513B-4D7D-A54A-F4C63774B489}" name="Kolonna1199"/>
    <tableColumn id="1538" xr3:uid="{CCEB9E02-9D48-4744-A713-095A7B1D9C08}" name="Kolonna1200"/>
    <tableColumn id="1539" xr3:uid="{DEA054B7-33E6-40D4-8365-8F3F3311BFE5}" name="Kolonna1201"/>
    <tableColumn id="1540" xr3:uid="{F61C0CB9-D75D-4F61-B65D-F6BFCF6F6A0E}" name="Kolonna1202"/>
    <tableColumn id="1541" xr3:uid="{9DA23DE9-C052-4344-A907-F5288A36B1CB}" name="Kolonna1203"/>
    <tableColumn id="1542" xr3:uid="{6F8EBAE5-32A9-4137-BEF3-09A0A842914E}" name="Kolonna1204"/>
    <tableColumn id="1543" xr3:uid="{CEBA7B6A-9D8B-43C6-82A7-A89672401033}" name="Kolonna1205"/>
    <tableColumn id="1544" xr3:uid="{FCCF0253-2440-4B2F-93FD-84E76C368CD6}" name="Kolonna1206"/>
    <tableColumn id="1545" xr3:uid="{9A8C54F0-1BCB-4A8E-BC4F-C26F62109B7C}" name="Kolonna1207"/>
    <tableColumn id="1546" xr3:uid="{E4C2755A-097C-48C8-8EEB-8F748FE86D7B}" name="Kolonna1208"/>
    <tableColumn id="1547" xr3:uid="{28238D77-3537-486D-B761-79CF9A128DAF}" name="Kolonna1209"/>
    <tableColumn id="1548" xr3:uid="{8F718665-BF33-44AF-9034-007A128C4323}" name="Kolonna1210"/>
    <tableColumn id="1549" xr3:uid="{0E5D1AA5-8E28-49FB-9C31-1127D186FF87}" name="Kolonna1211"/>
    <tableColumn id="1550" xr3:uid="{879A4838-BC6A-4617-8C4E-9F9A0D5A1FA4}" name="Kolonna1212"/>
    <tableColumn id="1551" xr3:uid="{08D3BF94-16BB-45BC-BC56-21901C9B602C}" name="Kolonna1213"/>
    <tableColumn id="1552" xr3:uid="{8D0A8CF1-DA47-4FB8-AB34-EA786B73B841}" name="Kolonna1214"/>
    <tableColumn id="1553" xr3:uid="{CF3810DD-3111-450A-BC9A-C84108801101}" name="Kolonna1215"/>
    <tableColumn id="1554" xr3:uid="{F301E502-EEBB-4D5C-A99C-745B1E7FDBCF}" name="Kolonna1216"/>
    <tableColumn id="1555" xr3:uid="{5A1F6908-2B4F-4468-95B9-2F005DC13E9D}" name="Kolonna1217"/>
    <tableColumn id="1556" xr3:uid="{22561D36-5A54-4A33-8941-5A9B3A75DA1E}" name="Kolonna1218"/>
    <tableColumn id="1557" xr3:uid="{BF2B61DC-CC03-49A2-8C13-9FAE15A8E673}" name="Kolonna1219"/>
    <tableColumn id="1558" xr3:uid="{4A42F919-431D-4377-8F1C-D6CDE128D64D}" name="Kolonna1220"/>
    <tableColumn id="1559" xr3:uid="{30343200-40BA-4742-B325-61EFC71EC219}" name="Kolonna1221"/>
    <tableColumn id="1560" xr3:uid="{A89591A1-0F21-403D-AF28-8824E127537E}" name="Kolonna1222"/>
    <tableColumn id="1561" xr3:uid="{A8E3B2F8-5CB0-4F2F-A634-31FA84A86542}" name="Kolonna1223"/>
    <tableColumn id="1562" xr3:uid="{5306F66C-518B-4784-A223-1DA37E499F72}" name="Kolonna1224"/>
    <tableColumn id="1563" xr3:uid="{0473128D-F30F-41DB-90C6-E83646B7E916}" name="Kolonna1225"/>
    <tableColumn id="1564" xr3:uid="{499552C6-8817-443E-ACAB-46693EE43E79}" name="Kolonna1226"/>
    <tableColumn id="1565" xr3:uid="{D200E3A1-EC23-410D-9333-CECDEF79B76C}" name="Kolonna1227"/>
    <tableColumn id="1566" xr3:uid="{CA62EAF1-C64E-410C-A7A8-3C605CDD58A6}" name="Kolonna1228"/>
    <tableColumn id="1567" xr3:uid="{2F0C6C3A-B3C2-4237-B5C6-DD392DDEDC06}" name="Kolonna1229"/>
    <tableColumn id="1568" xr3:uid="{04AC5009-C468-4EE0-85FD-F7E10BB9E570}" name="Kolonna1230"/>
    <tableColumn id="1569" xr3:uid="{CEA3581E-28D5-4585-BECE-3C86F389EAAB}" name="Kolonna1231"/>
    <tableColumn id="1570" xr3:uid="{BB8ECE35-952E-46F4-A3D2-DE922F0CA61B}" name="Kolonna1232"/>
    <tableColumn id="1571" xr3:uid="{DC836346-B6CA-4696-8CB6-5DAF04D9E443}" name="Kolonna1233"/>
    <tableColumn id="1572" xr3:uid="{247BFD53-D04D-46D1-BDA7-A9EA3E90944E}" name="Kolonna1234"/>
    <tableColumn id="1573" xr3:uid="{4306BF63-82AE-4BA7-A724-16DFC1E3B526}" name="Kolonna1235"/>
    <tableColumn id="1574" xr3:uid="{6813956D-5476-4BCD-83BA-6937E8342319}" name="Kolonna1236"/>
    <tableColumn id="1575" xr3:uid="{47F0188C-0CB6-4459-A147-0CB321F3A11C}" name="Kolonna1237"/>
    <tableColumn id="1576" xr3:uid="{FFB5E1D4-2376-4936-9734-DB91C6BE549E}" name="Kolonna1238"/>
    <tableColumn id="1577" xr3:uid="{1CC6982F-3257-4C19-BDB6-29A01367A11D}" name="Kolonna1239"/>
    <tableColumn id="1578" xr3:uid="{0C4EB3C1-FA13-496F-B68A-879AA69EB113}" name="Kolonna1240"/>
    <tableColumn id="1579" xr3:uid="{8A97F634-273C-462F-8FE2-303373C9541B}" name="Kolonna1241"/>
    <tableColumn id="1580" xr3:uid="{632F1187-DB61-4FD7-BC42-B97592CA12FE}" name="Kolonna1242"/>
    <tableColumn id="1581" xr3:uid="{2DDA9D96-B059-484A-BE72-F246E8F36103}" name="Kolonna1243"/>
    <tableColumn id="1582" xr3:uid="{7D375BE5-4912-42A1-927A-582B91EB3FD0}" name="Kolonna1244"/>
    <tableColumn id="1583" xr3:uid="{280FA816-3FB4-4083-A5C1-BD62EBBE6501}" name="Kolonna1245"/>
    <tableColumn id="1584" xr3:uid="{71149C35-05BC-4241-9C62-67474C9739A9}" name="Kolonna1246"/>
    <tableColumn id="1585" xr3:uid="{82EF7033-B562-40DC-AD0E-4316504C4650}" name="Kolonna1247"/>
    <tableColumn id="1586" xr3:uid="{C72631A0-53A5-4C26-A097-91719E66CF66}" name="Kolonna1248"/>
    <tableColumn id="1587" xr3:uid="{DCC030ED-815F-45E9-AD10-B1A4E12E4473}" name="Kolonna1249"/>
    <tableColumn id="1588" xr3:uid="{551D98B7-963A-4EDE-9FD1-249F8EC394FF}" name="Kolonna1250"/>
    <tableColumn id="1589" xr3:uid="{021DB1F4-BF8B-4AD2-975F-0F012306EAD8}" name="Kolonna1251"/>
    <tableColumn id="1590" xr3:uid="{768F05B5-5D20-4149-A311-A1D1CDFD5489}" name="Kolonna1252"/>
    <tableColumn id="1591" xr3:uid="{A3490C47-3003-432E-B3BD-8462C451D524}" name="Kolonna1253"/>
    <tableColumn id="1592" xr3:uid="{4E2243EC-5DCF-459B-AE6F-4DA4898E914D}" name="Kolonna1254"/>
    <tableColumn id="1593" xr3:uid="{5DCE57EA-9C14-45EC-AD7F-C472A0E389CB}" name="Kolonna1255"/>
    <tableColumn id="1594" xr3:uid="{7DE5CDDE-D3BA-4C46-B56A-A973D3C9F20F}" name="Kolonna1256"/>
    <tableColumn id="1595" xr3:uid="{DFC6DB6C-C256-4676-986E-C3F85E2618A5}" name="Kolonna1257"/>
    <tableColumn id="1596" xr3:uid="{8E80F2E7-1BE3-428D-A476-318C51168F90}" name="Kolonna1258"/>
    <tableColumn id="1597" xr3:uid="{C98737EF-C472-44E6-8F29-12C07545A004}" name="Kolonna1259"/>
    <tableColumn id="1598" xr3:uid="{852D1A0E-282F-4093-BF4A-4B7C27B2520B}" name="Kolonna1260"/>
    <tableColumn id="1599" xr3:uid="{82EB72CD-71B5-4980-95FA-A3D9ABB13CAF}" name="Kolonna1261"/>
    <tableColumn id="1600" xr3:uid="{E4B14002-6B72-4098-A7BA-6033EFEBE92B}" name="Kolonna1262"/>
    <tableColumn id="1601" xr3:uid="{E4E2E9CA-BEE3-4CD4-893F-1F797F80813F}" name="Kolonna1263"/>
    <tableColumn id="1602" xr3:uid="{B9285CF7-945E-4E3E-B4B3-AD83EE64794A}" name="Kolonna1264"/>
    <tableColumn id="1603" xr3:uid="{7F0FC21E-C3FD-4B2C-A7C0-23C1BFABB034}" name="Kolonna1265"/>
    <tableColumn id="1604" xr3:uid="{86925035-6376-4494-A067-0DFCA60C7734}" name="Kolonna1266"/>
    <tableColumn id="1605" xr3:uid="{112A02F4-13EC-45F7-B5B3-68F0E4987297}" name="Kolonna1267"/>
    <tableColumn id="1606" xr3:uid="{F9FA53C8-ED29-4F3A-9C11-4800A150CCE8}" name="Kolonna1268"/>
    <tableColumn id="1607" xr3:uid="{CC5F3D74-7416-4F7A-AC28-6E3B12C03F64}" name="Kolonna1269"/>
    <tableColumn id="1608" xr3:uid="{B58B06D8-CD93-4E6B-8192-9A5E73D337AA}" name="Kolonna1270"/>
    <tableColumn id="1609" xr3:uid="{A7190073-D8DD-49BB-874D-BEBB8203195E}" name="Kolonna1271"/>
    <tableColumn id="1610" xr3:uid="{588E4443-F98C-4010-9D8A-2A8ADAF83EFD}" name="Kolonna1272"/>
    <tableColumn id="1611" xr3:uid="{59FF6A7D-C9FB-4ED7-872A-83D2E28C7839}" name="Kolonna1273"/>
    <tableColumn id="1612" xr3:uid="{5DE86265-C7C3-4110-8ED0-0941970F6B99}" name="Kolonna1274"/>
    <tableColumn id="1613" xr3:uid="{11D69EDB-7FD1-4578-A49B-0E501ABD55AA}" name="Kolonna1275"/>
    <tableColumn id="1614" xr3:uid="{B41D3C12-C480-45B8-B859-2242AAF5C66E}" name="Kolonna1276"/>
    <tableColumn id="1615" xr3:uid="{2906E4F6-DC47-46D8-BE30-06CD44AE9369}" name="Kolonna1277"/>
    <tableColumn id="1616" xr3:uid="{E46D8C0A-707B-4E06-8DBC-5D8E9E061D57}" name="Kolonna1278"/>
    <tableColumn id="1617" xr3:uid="{2723F17A-A789-4361-B208-4A2F9C7CBE19}" name="Kolonna1279"/>
    <tableColumn id="1618" xr3:uid="{FDCC9786-70E8-44AE-A6E8-A22F526EE501}" name="Kolonna1280"/>
    <tableColumn id="1619" xr3:uid="{15915E90-438F-49D4-B245-CC99B603AC50}" name="Kolonna1281"/>
    <tableColumn id="1620" xr3:uid="{757C4547-A9E9-4D0B-A1E2-CD409BF6158B}" name="Kolonna1282"/>
    <tableColumn id="1621" xr3:uid="{DAF1A887-5ADB-4BED-8D38-C6654A9B255A}" name="Kolonna1283"/>
    <tableColumn id="1622" xr3:uid="{D9B9BD8B-2524-4C48-B78E-FBCD7958A573}" name="Kolonna1284"/>
    <tableColumn id="1623" xr3:uid="{0942AC86-A109-4B4E-A6CC-131063AD7DF5}" name="Kolonna1285"/>
    <tableColumn id="1624" xr3:uid="{C449BC7B-9806-4A3C-8518-28DA90DCAFED}" name="Kolonna1286"/>
    <tableColumn id="1625" xr3:uid="{8BE58D9D-925C-431E-B44F-4ADBA737419E}" name="Kolonna1287"/>
    <tableColumn id="1626" xr3:uid="{F25DD919-F231-4784-8152-816BA6B0F846}" name="Kolonna1288"/>
    <tableColumn id="1627" xr3:uid="{9CCB843F-ADD6-4573-9B11-EC315313A665}" name="Kolonna1289"/>
    <tableColumn id="1628" xr3:uid="{F891D5C6-4D72-486E-A0DF-24E05A921ABC}" name="Kolonna1290"/>
    <tableColumn id="1629" xr3:uid="{585CDD76-E545-4F4C-958A-DDE502DD96D4}" name="Kolonna1291"/>
    <tableColumn id="1630" xr3:uid="{57521A97-E0B2-4CB0-A046-38F758F4F3B4}" name="Kolonna1292"/>
    <tableColumn id="1631" xr3:uid="{A605F521-5F51-468E-ACCD-143A0E8E02B6}" name="Kolonna1293"/>
    <tableColumn id="1632" xr3:uid="{46E582E2-B286-483F-B5DA-73DA6F353EE0}" name="Kolonna1294"/>
    <tableColumn id="1633" xr3:uid="{C310A27F-8D3F-448F-8E2D-126DED32874B}" name="Kolonna1295"/>
    <tableColumn id="1634" xr3:uid="{39E57AC9-DA82-462D-9944-A2EA080165C2}" name="Kolonna1296"/>
    <tableColumn id="1635" xr3:uid="{F1FBEE57-BB8C-4993-8783-128B02A817BA}" name="Kolonna1297"/>
    <tableColumn id="1636" xr3:uid="{D5F54CF6-4104-4B30-873F-BA7AD8C0A5FB}" name="Kolonna1298"/>
    <tableColumn id="1637" xr3:uid="{F4E20A65-3078-4FD9-825D-119C97E08563}" name="Kolonna1299"/>
    <tableColumn id="1638" xr3:uid="{3C12E926-41C2-440A-9551-64408B1B615C}" name="Kolonna1300"/>
    <tableColumn id="1639" xr3:uid="{B70B72C6-E9C4-4AE6-9892-78FFE46A098F}" name="Kolonna1301"/>
    <tableColumn id="1640" xr3:uid="{A652DA68-CD9B-4633-9018-51A2B1AD6005}" name="Kolonna1302"/>
    <tableColumn id="1641" xr3:uid="{C202C12D-FABE-4E87-945D-EE54701E8E85}" name="Kolonna1303"/>
    <tableColumn id="1642" xr3:uid="{62981FAE-8E6E-40B8-A9E9-F14CEA1A1DAF}" name="Kolonna1304"/>
    <tableColumn id="1643" xr3:uid="{153FB1D9-8C9C-4E44-9B85-076F86D63FF7}" name="Kolonna1305"/>
    <tableColumn id="1644" xr3:uid="{BD8C7769-9A7A-4E47-A717-98CD553FD135}" name="Kolonna1306"/>
    <tableColumn id="1645" xr3:uid="{753333B7-8511-4F1B-A87F-C9A5371897D3}" name="Kolonna1307"/>
    <tableColumn id="1646" xr3:uid="{CFF353A5-CF0D-492E-80EE-CCFEB82B6623}" name="Kolonna1308"/>
    <tableColumn id="1647" xr3:uid="{E54E59F7-4FDC-4D66-A860-B2A5712AD2D6}" name="Kolonna1309"/>
    <tableColumn id="1648" xr3:uid="{2BAEC5A5-C6EE-44B2-A6B8-D3D6E5A32201}" name="Kolonna1310"/>
    <tableColumn id="1649" xr3:uid="{D460EA97-D642-4971-B47A-A978AB72F32F}" name="Kolonna1311"/>
    <tableColumn id="1650" xr3:uid="{0E379048-FFD2-4C69-AA93-59891FA0998F}" name="Kolonna1312"/>
    <tableColumn id="1651" xr3:uid="{CB16501C-7BDF-40B7-8110-99380C18EFCD}" name="Kolonna1313"/>
    <tableColumn id="1652" xr3:uid="{748148FA-7023-42FF-B0BC-24A48C6F9F2D}" name="Kolonna1314"/>
    <tableColumn id="1653" xr3:uid="{3B25CDDD-A082-4F26-92E1-3C358D968AEE}" name="Kolonna1315"/>
    <tableColumn id="1654" xr3:uid="{D6A5548D-105F-4198-865D-A0CD4746E661}" name="Kolonna1316"/>
    <tableColumn id="1655" xr3:uid="{342F09DE-7659-49E6-B415-A9696A21A652}" name="Kolonna1317"/>
    <tableColumn id="1656" xr3:uid="{05862CA4-7D31-4A5D-8BE4-1349622ACCF3}" name="Kolonna1318"/>
    <tableColumn id="1657" xr3:uid="{9BC96871-F8C6-4A3F-BF94-DECEDF46D29F}" name="Kolonna1319"/>
    <tableColumn id="1658" xr3:uid="{02CA9995-EC14-4B5C-AB25-12D437C72B59}" name="Kolonna1320"/>
    <tableColumn id="1659" xr3:uid="{3B81BCE4-543E-4140-A220-938362311ADE}" name="Kolonna1321"/>
    <tableColumn id="1660" xr3:uid="{12ADFB0B-FD63-4EF5-AA12-BFFEA68EF8ED}" name="Kolonna1322"/>
    <tableColumn id="1661" xr3:uid="{FDCED45F-18E6-4D70-917A-393A0DEA619F}" name="Kolonna1323"/>
    <tableColumn id="1662" xr3:uid="{2D1CF78D-5E3B-401D-9CDD-63E47EC22609}" name="Kolonna1324"/>
    <tableColumn id="1663" xr3:uid="{0B3F17CC-64C1-47DB-B88A-2D8E66D120E4}" name="Kolonna1325"/>
    <tableColumn id="1664" xr3:uid="{A5B58E5B-309B-4952-B401-BCC9BDC58788}" name="Kolonna1326"/>
    <tableColumn id="1665" xr3:uid="{E47D0600-3E5E-404A-AF9D-7318A760351A}" name="Kolonna1327"/>
    <tableColumn id="1666" xr3:uid="{D6F7FDAB-B2BF-4D13-8308-D0CFD6B35595}" name="Kolonna1328"/>
    <tableColumn id="1667" xr3:uid="{A7047CC0-A4B8-4538-88E8-01090BDE035D}" name="Kolonna1329"/>
    <tableColumn id="1668" xr3:uid="{DA257109-4943-43D8-955B-B6C2E9FBC0A8}" name="Kolonna1330"/>
    <tableColumn id="1669" xr3:uid="{A1F80620-7ADA-4E02-A9E6-A2E3B205DBDD}" name="Kolonna1331"/>
    <tableColumn id="1670" xr3:uid="{1EBD908E-1758-4085-8F74-17545C6F50AE}" name="Kolonna1332"/>
    <tableColumn id="1671" xr3:uid="{CB407E5B-ED74-4BE7-BC4B-3C757CDF2D73}" name="Kolonna1333"/>
    <tableColumn id="1672" xr3:uid="{A7BEF40D-7221-47E5-8698-149A704EEF00}" name="Kolonna1334"/>
    <tableColumn id="1673" xr3:uid="{1299C07A-977F-45A5-BF03-963ED2900B3E}" name="Kolonna1335"/>
    <tableColumn id="1674" xr3:uid="{78CEBE74-372C-4A5F-8AEC-473FD592A39E}" name="Kolonna1336"/>
    <tableColumn id="1675" xr3:uid="{47D20BE1-0B2F-4642-8C15-46BCFC30406E}" name="Kolonna1337"/>
    <tableColumn id="1676" xr3:uid="{19CE3EA1-347B-4F32-A2E3-9AAD972FF4A1}" name="Kolonna1338"/>
    <tableColumn id="1677" xr3:uid="{743F8898-DF01-4ADB-80BD-BE8970E5EC43}" name="Kolonna1339"/>
    <tableColumn id="1678" xr3:uid="{4BDFD3F6-488F-46D3-A68B-592317F6EE9F}" name="Kolonna1340"/>
    <tableColumn id="1679" xr3:uid="{843A1148-555B-416B-A473-33B249B89781}" name="Kolonna1341"/>
    <tableColumn id="1680" xr3:uid="{F348D7BE-B7FD-454B-B202-8D28136FEB8C}" name="Kolonna1342"/>
    <tableColumn id="1681" xr3:uid="{BB70FE38-BFA9-4A7C-8100-6FD1B2F0FA2A}" name="Kolonna1343"/>
    <tableColumn id="1682" xr3:uid="{0C31FC30-0BA6-44D0-A257-098E0C5248AD}" name="Kolonna1344"/>
    <tableColumn id="1683" xr3:uid="{D255FB2B-041D-4C78-90AE-47E02E45AD0C}" name="Kolonna1345"/>
    <tableColumn id="1684" xr3:uid="{6706BAAD-3973-4070-AE26-83F79793DB4F}" name="Kolonna1346"/>
    <tableColumn id="1685" xr3:uid="{82B01463-5752-4614-8F41-521B1967FAB9}" name="Kolonna1347"/>
    <tableColumn id="1686" xr3:uid="{FE633633-1501-4D5D-8FE1-15EA67A4609F}" name="Kolonna1348"/>
    <tableColumn id="1687" xr3:uid="{02D1BB6F-5606-4740-80BA-6EA5B70D4CD9}" name="Kolonna1349"/>
    <tableColumn id="1688" xr3:uid="{99CE45AA-EB78-4CE8-852F-DC9905F4B961}" name="Kolonna1350"/>
    <tableColumn id="1689" xr3:uid="{323BAB86-697C-4AD7-94C7-076D1602A580}" name="Kolonna1351"/>
    <tableColumn id="1690" xr3:uid="{E72FC734-8FB3-48C9-BE68-0F17F34DB8A3}" name="Kolonna1352"/>
    <tableColumn id="1691" xr3:uid="{D2212868-05BB-4DA3-8976-260B7037D969}" name="Kolonna1353"/>
    <tableColumn id="1692" xr3:uid="{23E1867B-7419-46E8-8D90-D723DE52C27F}" name="Kolonna1354"/>
    <tableColumn id="1693" xr3:uid="{9BA13935-C555-4447-8CD3-5AE85000CDEE}" name="Kolonna1355"/>
    <tableColumn id="1694" xr3:uid="{61FF3FC1-84A2-45B7-9BAF-F6E2CAD03FF5}" name="Kolonna1356"/>
    <tableColumn id="1695" xr3:uid="{48609B4A-A454-4708-A8D5-7609194BAD2E}" name="Kolonna1357"/>
    <tableColumn id="1696" xr3:uid="{24146BC5-DD9B-479D-AE2F-685923B44711}" name="Kolonna1358"/>
    <tableColumn id="1697" xr3:uid="{7ED86849-387E-4529-A656-A38D8B948D2F}" name="Kolonna1359"/>
    <tableColumn id="1698" xr3:uid="{D2746C2A-48AB-4DCF-8C43-2D2595D11BE7}" name="Kolonna1360"/>
    <tableColumn id="1699" xr3:uid="{D8EF2168-AFFA-4244-8458-21B3A290F3ED}" name="Kolonna1361"/>
    <tableColumn id="1700" xr3:uid="{6198BCBB-05CA-492B-9E7A-09E49B0A94BD}" name="Kolonna1362"/>
    <tableColumn id="1701" xr3:uid="{4EDCFCF2-89C5-4656-B72C-D7A522E73623}" name="Kolonna1363"/>
    <tableColumn id="1702" xr3:uid="{3EB7C761-CAC5-4C98-AC3B-E70CEC3289CF}" name="Kolonna1364"/>
    <tableColumn id="1703" xr3:uid="{8765C386-B81C-4ACF-A178-EB64B413BF76}" name="Kolonna1365"/>
    <tableColumn id="1704" xr3:uid="{2894428C-1034-4354-83CC-E895ADB81B98}" name="Kolonna1366"/>
    <tableColumn id="1705" xr3:uid="{3C07AF9A-775F-4F5C-93C1-14545A1D84F1}" name="Kolonna1367"/>
    <tableColumn id="1706" xr3:uid="{06172D36-9069-4FBA-845D-10BFD97A4E5E}" name="Kolonna1368"/>
    <tableColumn id="1707" xr3:uid="{3D07ABB4-74D0-45CB-8891-F116EC6AD40B}" name="Kolonna1369"/>
    <tableColumn id="1708" xr3:uid="{27667EFA-64E0-48E0-ADE9-23542E5A31C5}" name="Kolonna1370"/>
    <tableColumn id="1709" xr3:uid="{008B917D-5E13-4C6F-BD7E-0118A82B18AA}" name="Kolonna1371"/>
    <tableColumn id="1710" xr3:uid="{5E8364C0-FFDD-4E93-97BE-24844628CFDE}" name="Kolonna1372"/>
    <tableColumn id="1711" xr3:uid="{875CF508-2DF1-4261-8AAE-FD081D5FE1A8}" name="Kolonna1373"/>
    <tableColumn id="1712" xr3:uid="{4FE17205-D990-4C03-AB27-0C4A65632AF9}" name="Kolonna1374"/>
    <tableColumn id="1713" xr3:uid="{1D12133D-ACBD-415D-AB22-DE0F7759DCAD}" name="Kolonna1375"/>
    <tableColumn id="1714" xr3:uid="{31145C18-E1C3-4C2B-AA01-919A50EB78FF}" name="Kolonna1376"/>
    <tableColumn id="1715" xr3:uid="{9AD8EF6E-69BD-4D10-B2B7-F032AFD8AF8A}" name="Kolonna1377"/>
    <tableColumn id="1716" xr3:uid="{AD4E520A-9FC5-4D32-BF32-096269460B13}" name="Kolonna1378"/>
    <tableColumn id="1717" xr3:uid="{DFD294E9-F1CC-4658-B8E8-7017CCD95489}" name="Kolonna1379"/>
    <tableColumn id="1718" xr3:uid="{DBA4447B-9FFB-4379-9592-5CC1452D0510}" name="Kolonna1380"/>
    <tableColumn id="1719" xr3:uid="{F6A51EFB-0322-4954-9006-8527EB32E200}" name="Kolonna1381"/>
    <tableColumn id="1720" xr3:uid="{3D84A41C-118B-4E74-A034-361C63D5C3C7}" name="Kolonna1382"/>
    <tableColumn id="1721" xr3:uid="{28C3F821-B859-4989-AA7B-727B5F703C97}" name="Kolonna1383"/>
    <tableColumn id="1722" xr3:uid="{D519ECFE-026D-462A-9BE1-4CBCFB9F0C40}" name="Kolonna1384"/>
    <tableColumn id="1723" xr3:uid="{CFB7ECCA-ADE4-45BE-9951-65AD7883CB4C}" name="Kolonna1385"/>
    <tableColumn id="1724" xr3:uid="{0B382B18-BA59-40D5-99E8-D2140BEC7B2E}" name="Kolonna1386"/>
    <tableColumn id="1725" xr3:uid="{007B0705-A83A-4A34-BDB1-1D931E3C99D8}" name="Kolonna1387"/>
    <tableColumn id="1726" xr3:uid="{C1195325-6154-4B41-8F80-C6A046B379AD}" name="Kolonna1388"/>
    <tableColumn id="1727" xr3:uid="{46157BF9-A52F-4677-B92A-F93B620CC26B}" name="Kolonna1389"/>
    <tableColumn id="1728" xr3:uid="{D2D8479F-7FC7-41C0-9D01-AF97E1DBDC61}" name="Kolonna1390"/>
    <tableColumn id="1729" xr3:uid="{55D9DF60-F714-4E11-B7A6-371223CCD240}" name="Kolonna1391"/>
    <tableColumn id="1730" xr3:uid="{92379EDB-59C2-4C71-A8BB-0B59093B144D}" name="Kolonna1392"/>
    <tableColumn id="1731" xr3:uid="{E6034584-4129-46F7-9FB6-E1288C9D7752}" name="Kolonna1393"/>
    <tableColumn id="1732" xr3:uid="{3864E82E-5123-43D7-9368-44C97EB2E770}" name="Kolonna1394"/>
    <tableColumn id="1733" xr3:uid="{9D6D755F-F6DC-471A-8E6D-15EBA04DBC82}" name="Kolonna1395"/>
    <tableColumn id="1734" xr3:uid="{61866664-F768-4949-819F-2E4E02BEC42E}" name="Kolonna1396"/>
    <tableColumn id="1735" xr3:uid="{95404D5A-DF78-487D-88B1-1EB5B95F5064}" name="Kolonna1397"/>
    <tableColumn id="1736" xr3:uid="{1BB7AFCC-88DA-4E05-BFE7-88610B176DB8}" name="Kolonna1398"/>
    <tableColumn id="1737" xr3:uid="{1A1F86B4-C8F0-4545-B4B6-656B845BC098}" name="Kolonna1399"/>
    <tableColumn id="1738" xr3:uid="{FDBCA959-0811-4B31-A9CF-B2DE81516266}" name="Kolonna1400"/>
    <tableColumn id="1739" xr3:uid="{87016DF1-1D71-4449-98B0-286329A741EA}" name="Kolonna1401"/>
    <tableColumn id="1740" xr3:uid="{AB4931B4-6E0D-4E15-873B-3A20B7D551E7}" name="Kolonna1402"/>
    <tableColumn id="1741" xr3:uid="{6A764A31-2F13-457E-A35A-BB40389A7FC8}" name="Kolonna1403"/>
    <tableColumn id="1742" xr3:uid="{BBD77FCF-F22B-4252-ACB2-FBE6BE639037}" name="Kolonna1404"/>
    <tableColumn id="1743" xr3:uid="{AAE6282A-6BF8-4779-BAC0-37ED3F19838C}" name="Kolonna1405"/>
    <tableColumn id="1744" xr3:uid="{D3997866-2644-4309-A43E-19EBBD82DFE6}" name="Kolonna1406"/>
    <tableColumn id="1745" xr3:uid="{90D354F3-B99A-4173-A0AF-1BDE7881B2FB}" name="Kolonna1407"/>
    <tableColumn id="1746" xr3:uid="{58AC2387-1392-48D3-8306-CB8400490459}" name="Kolonna1408"/>
    <tableColumn id="1747" xr3:uid="{A787D63B-A51A-4CE1-B7FE-1929DAFBB16E}" name="Kolonna1409"/>
    <tableColumn id="1748" xr3:uid="{6DFD7562-1DF6-4F69-957C-10EB8A3701DD}" name="Kolonna1410"/>
    <tableColumn id="1749" xr3:uid="{5AB125EA-B5A5-4D55-B1D5-8C8D4AD804CB}" name="Kolonna1411"/>
    <tableColumn id="1750" xr3:uid="{DCB3B425-D877-4C94-A0AD-3642FBC51935}" name="Kolonna1412"/>
    <tableColumn id="1751" xr3:uid="{13CDE02A-8E2C-4C7A-9772-254E828198FC}" name="Kolonna1413"/>
    <tableColumn id="1752" xr3:uid="{1A11C90A-F7B4-4487-911F-1E7C18DAC579}" name="Kolonna1414"/>
    <tableColumn id="1753" xr3:uid="{27242457-BEEB-4279-8C2C-0A47416E7334}" name="Kolonna1415"/>
    <tableColumn id="1754" xr3:uid="{8899D1B6-34CE-4E50-8B8F-DEE4743F58B8}" name="Kolonna1416"/>
    <tableColumn id="1755" xr3:uid="{816D18C6-BE8F-4CCC-BA7B-D0E2988824CA}" name="Kolonna1417"/>
    <tableColumn id="1756" xr3:uid="{3943C69E-514B-479A-B188-39EADE502C76}" name="Kolonna1418"/>
    <tableColumn id="1757" xr3:uid="{22C45012-7CEC-4509-BC9F-A22E02383998}" name="Kolonna1419"/>
    <tableColumn id="1758" xr3:uid="{38FE48F5-F398-4356-8C5C-3EB3EAF959D4}" name="Kolonna1420"/>
    <tableColumn id="1759" xr3:uid="{DC6517DA-CB6C-4F6D-85C3-2ADDAED4236C}" name="Kolonna1421"/>
    <tableColumn id="1760" xr3:uid="{D6CAE60C-B22E-486D-9F97-8E2BDB947CB1}" name="Kolonna1422"/>
    <tableColumn id="1761" xr3:uid="{3E758827-FCF3-4AAF-8952-36B839E80E58}" name="Kolonna1423"/>
    <tableColumn id="1762" xr3:uid="{7431EB3C-1DDA-4DE2-B69A-A007E382E6E5}" name="Kolonna1424"/>
    <tableColumn id="1763" xr3:uid="{719558E4-459A-4262-ABEE-3709FEACEF06}" name="Kolonna1425"/>
    <tableColumn id="1764" xr3:uid="{CBFF2922-F476-4DF2-A816-FC06ED44461A}" name="Kolonna1426"/>
    <tableColumn id="1765" xr3:uid="{BADEF318-8F98-4D9F-A5FD-257A336366C0}" name="Kolonna1427"/>
    <tableColumn id="1766" xr3:uid="{9B722C1E-A2F9-41FF-A24D-8A650C837698}" name="Kolonna1428"/>
    <tableColumn id="1767" xr3:uid="{E3FF18E4-09E5-4E67-B208-AF42B8C177BC}" name="Kolonna1429"/>
    <tableColumn id="1768" xr3:uid="{D21A4169-322A-4BC1-B85D-9BE5137488BF}" name="Kolonna1430"/>
    <tableColumn id="1769" xr3:uid="{92F48260-B2A1-454D-99B3-603603F64826}" name="Kolonna1431"/>
    <tableColumn id="1770" xr3:uid="{F9CBA061-D6EE-4002-843F-81F4461727D7}" name="Kolonna1432"/>
    <tableColumn id="1771" xr3:uid="{CA494DBE-4C89-45EC-BB0F-6BE549EC3B44}" name="Kolonna1433"/>
    <tableColumn id="1772" xr3:uid="{EE2BED9D-1405-4090-99C4-E37D86A0AFA0}" name="Kolonna1434"/>
    <tableColumn id="1773" xr3:uid="{8E6E5F18-CF70-4BD0-B132-BAD0749C1EE6}" name="Kolonna1435"/>
    <tableColumn id="1774" xr3:uid="{4E66A17D-A3BD-48A8-945F-B2D2744479A8}" name="Kolonna1436"/>
    <tableColumn id="1775" xr3:uid="{A29B4ED9-859B-4BB1-98E5-76ABCD9B64BA}" name="Kolonna1437"/>
    <tableColumn id="1776" xr3:uid="{9B172E2E-EF9E-4E40-BAD5-6E3DBDFF03C7}" name="Kolonna1438"/>
    <tableColumn id="1777" xr3:uid="{1760B134-07C8-4FDE-97B1-42F5DE3136A5}" name="Kolonna1439"/>
    <tableColumn id="1778" xr3:uid="{D4955BF5-D275-4189-A639-4B689533C686}" name="Kolonna1440"/>
    <tableColumn id="1779" xr3:uid="{75B256AE-A01B-4709-ABDA-64F7BD8DD0EF}" name="Kolonna1441"/>
    <tableColumn id="1780" xr3:uid="{7BBBF3D2-E041-4756-A11E-FB98EA3B663C}" name="Kolonna1442"/>
    <tableColumn id="1781" xr3:uid="{A947C2F1-E3DE-4ABC-9454-5E6D009A2DC0}" name="Kolonna1443"/>
    <tableColumn id="1782" xr3:uid="{4536CD35-77CB-4AA9-BEEE-F9FCD1950511}" name="Kolonna1444"/>
    <tableColumn id="1783" xr3:uid="{8A2ACC5F-C168-4CC5-B449-43589D77DEE6}" name="Kolonna1445"/>
    <tableColumn id="1784" xr3:uid="{2D9CBAAC-B65A-4FED-96E1-4FFB5344C630}" name="Kolonna1446"/>
    <tableColumn id="1785" xr3:uid="{61005F5C-A4DD-4A8E-AD49-89DF0534BAD4}" name="Kolonna1447"/>
    <tableColumn id="1786" xr3:uid="{BD3345E8-D496-442D-A315-9F6EE057E028}" name="Kolonna1448"/>
    <tableColumn id="1787" xr3:uid="{D916C9D8-518D-427B-8D43-11FC8BEDCEA0}" name="Kolonna1449"/>
    <tableColumn id="1788" xr3:uid="{8F10A647-EFF4-4F0F-B8FE-FE95CC8613C7}" name="Kolonna1450"/>
    <tableColumn id="1789" xr3:uid="{EDCAAC81-6498-404B-969F-129E3E9BB760}" name="Kolonna1451"/>
    <tableColumn id="1790" xr3:uid="{C9D423B4-D16F-49F6-9FEA-44B58D31318B}" name="Kolonna1452"/>
    <tableColumn id="1791" xr3:uid="{86B24744-668A-4434-895D-0095B000E236}" name="Kolonna1453"/>
    <tableColumn id="1792" xr3:uid="{A83EBF00-B151-4C00-9EBE-D0EE6DB6015C}" name="Kolonna1454"/>
    <tableColumn id="1793" xr3:uid="{2C771406-D19F-4AEA-A75C-D101D9767AB9}" name="Kolonna1455"/>
    <tableColumn id="1794" xr3:uid="{70C5E496-DDF6-403F-AF36-42EE7BC22195}" name="Kolonna1456"/>
    <tableColumn id="1795" xr3:uid="{86C07A9B-4DE1-4C73-B7B7-6E0A7A87C0D6}" name="Kolonna1457"/>
    <tableColumn id="1796" xr3:uid="{7A748372-BC67-4F56-B2D8-3381BF2FAC37}" name="Kolonna1458"/>
    <tableColumn id="1797" xr3:uid="{7FA508E6-394D-49E4-801A-3D0989063D60}" name="Kolonna1459"/>
    <tableColumn id="1798" xr3:uid="{FD619ED3-6701-4267-AFF2-C8E8C055F1D7}" name="Kolonna1460"/>
    <tableColumn id="1799" xr3:uid="{561D249D-1C36-479D-8196-77BA3E62E059}" name="Kolonna1461"/>
    <tableColumn id="1800" xr3:uid="{1CFBDA3B-0746-4B3C-AB59-43A4F219D645}" name="Kolonna1462"/>
    <tableColumn id="1801" xr3:uid="{BCCA11C1-2E67-4789-91B4-C4F8936644A3}" name="Kolonna1463"/>
    <tableColumn id="1802" xr3:uid="{0B7FB2D4-0D7E-4794-9040-E105DCA81792}" name="Kolonna1464"/>
    <tableColumn id="1803" xr3:uid="{7B16FCF7-0D33-4FE1-A52E-6639F5111524}" name="Kolonna1465"/>
    <tableColumn id="1804" xr3:uid="{39F85171-0885-4F9C-B4B8-364F7EE692A8}" name="Kolonna1466"/>
    <tableColumn id="1805" xr3:uid="{A4998CB6-8DE0-47FF-8B29-15BC595A74C3}" name="Kolonna1467"/>
    <tableColumn id="1806" xr3:uid="{E56D4162-ADE2-42D1-AF67-C5A6D0667134}" name="Kolonna1468"/>
    <tableColumn id="1807" xr3:uid="{FB18588F-4666-48C1-A3A3-EE1B7E9A6059}" name="Kolonna1469"/>
    <tableColumn id="1808" xr3:uid="{DBCABE50-6DC2-4056-B53F-B8E186CC11CD}" name="Kolonna1470"/>
    <tableColumn id="1809" xr3:uid="{A1E7BA02-437A-4491-ACC2-4E678E74BA1B}" name="Kolonna1471"/>
    <tableColumn id="1810" xr3:uid="{1F14C748-4611-46A6-9469-ED25D02A8925}" name="Kolonna1472"/>
    <tableColumn id="1811" xr3:uid="{7731DE09-7C46-4ED2-8B36-CFCF171A2933}" name="Kolonna1473"/>
    <tableColumn id="1812" xr3:uid="{B4674F35-0801-4055-90E2-90A7E28771FE}" name="Kolonna1474"/>
    <tableColumn id="1813" xr3:uid="{B22CF710-A34B-4606-8BFF-403377ACCB0C}" name="Kolonna1475"/>
    <tableColumn id="1814" xr3:uid="{179AD7C8-BBB6-4DB9-AB54-058E04F5CF39}" name="Kolonna1476"/>
    <tableColumn id="1815" xr3:uid="{D2CA4917-1481-43F5-80A1-A2CF428558C9}" name="Kolonna1477"/>
    <tableColumn id="1816" xr3:uid="{990DBD20-2F66-497F-A65A-31F498BD48CB}" name="Kolonna1478"/>
    <tableColumn id="1817" xr3:uid="{0996E7E9-FE24-4AE0-840F-9343D271DDB7}" name="Kolonna1479"/>
    <tableColumn id="1818" xr3:uid="{5489D289-E78E-40CE-9FC8-40551BEAB952}" name="Kolonna1480"/>
    <tableColumn id="1819" xr3:uid="{A67703A0-89C6-44C2-9B67-1A30EC6EEC97}" name="Kolonna1481"/>
    <tableColumn id="1820" xr3:uid="{7D691230-4626-49A2-BE2A-2FADA25ED594}" name="Kolonna1482"/>
    <tableColumn id="1821" xr3:uid="{EEDBA8EA-B9B9-4D9C-9B3E-CB3FD1D54C0D}" name="Kolonna1483"/>
    <tableColumn id="1822" xr3:uid="{B6D6CAF2-CDA8-4CAD-8520-AB547871B43E}" name="Kolonna1484"/>
    <tableColumn id="1823" xr3:uid="{282E82C0-15F8-48B6-B7AF-29B7EA3699B7}" name="Kolonna1485"/>
    <tableColumn id="1824" xr3:uid="{B69DD318-D733-4431-AED9-74E365F590B0}" name="Kolonna1486"/>
    <tableColumn id="1825" xr3:uid="{E602A3EE-140D-4C4C-80BE-00A25FBD3429}" name="Kolonna1487"/>
    <tableColumn id="1826" xr3:uid="{9E7DB991-E3A5-4AC6-BF90-269FB6065BB7}" name="Kolonna1488"/>
    <tableColumn id="1827" xr3:uid="{4DDFDB8D-3ADC-4068-BA6E-C9E91115E7CD}" name="Kolonna1489"/>
    <tableColumn id="1828" xr3:uid="{6262BE4E-77DF-442B-BE42-5F0238400D87}" name="Kolonna1490"/>
    <tableColumn id="1829" xr3:uid="{4EA6E87D-F712-4A8D-8C7E-B5974EB955F7}" name="Kolonna1491"/>
    <tableColumn id="1830" xr3:uid="{6C1F4014-F5C5-45E5-A8C4-3CC93F70507F}" name="Kolonna1492"/>
    <tableColumn id="1831" xr3:uid="{68BC00F1-7218-4A13-A201-80F222342065}" name="Kolonna1493"/>
    <tableColumn id="1832" xr3:uid="{DBCE7417-6FEC-4CFF-BCB5-91C1A126A401}" name="Kolonna1494"/>
    <tableColumn id="1833" xr3:uid="{577A7A62-B35F-47F7-9FDB-6921A2242ADA}" name="Kolonna1495"/>
    <tableColumn id="1834" xr3:uid="{CD8F75F4-4A91-4125-8532-97BDA5C30271}" name="Kolonna1496"/>
    <tableColumn id="1835" xr3:uid="{E42702A2-9949-40E9-B844-94EC7DB65692}" name="Kolonna1497"/>
    <tableColumn id="1836" xr3:uid="{BD2023A1-F0DC-42FD-AB10-2AC948890751}" name="Kolonna1498"/>
    <tableColumn id="1837" xr3:uid="{72295E8D-E47A-40E2-927B-640E67A4C22A}" name="Kolonna1499"/>
    <tableColumn id="1838" xr3:uid="{2D3BEB05-0E6C-4917-B9C2-9FBFECF1E9C2}" name="Kolonna1500"/>
    <tableColumn id="1839" xr3:uid="{9FC6C4F5-9999-4D2E-9561-0D16938A96BA}" name="Kolonna1501"/>
    <tableColumn id="1840" xr3:uid="{219AE77B-28D8-47EA-B3B4-271CD83A463C}" name="Kolonna1502"/>
    <tableColumn id="1841" xr3:uid="{CFAC478A-8FE8-418D-B168-A3A44DF66EA0}" name="Kolonna1503"/>
    <tableColumn id="1842" xr3:uid="{8106D1AA-8CC1-4F4E-A670-F9B1AF3809A4}" name="Kolonna1504"/>
    <tableColumn id="1843" xr3:uid="{38E73100-4B86-48D6-888F-10E93ACA631D}" name="Kolonna1505"/>
    <tableColumn id="1844" xr3:uid="{9D1C011D-984F-430A-9392-EF59081A319A}" name="Kolonna1506"/>
    <tableColumn id="1845" xr3:uid="{210FF597-6F07-4A93-8D77-D880F8B761F3}" name="Kolonna1507"/>
    <tableColumn id="1846" xr3:uid="{8D05A749-C197-4B39-B812-A2F019E86ABC}" name="Kolonna1508"/>
    <tableColumn id="1847" xr3:uid="{B2A932C7-E12B-4801-956A-8C15587A277D}" name="Kolonna1509"/>
    <tableColumn id="1848" xr3:uid="{8FC84FE3-FBEE-4C15-B051-8EAF060CF73F}" name="Kolonna1510"/>
    <tableColumn id="1849" xr3:uid="{03196FFD-F648-494F-B839-40D1818383E3}" name="Kolonna1511"/>
    <tableColumn id="1850" xr3:uid="{C5A70976-1AE4-4821-9DD3-D77F79B48C82}" name="Kolonna1512"/>
    <tableColumn id="1851" xr3:uid="{16F274B0-8493-4784-9939-C660530A4939}" name="Kolonna1513"/>
    <tableColumn id="1852" xr3:uid="{189B089F-30A2-466F-9FAE-4402BE23B08C}" name="Kolonna1514"/>
    <tableColumn id="1853" xr3:uid="{933E683A-57E3-4220-90C9-1656EE68F286}" name="Kolonna1515"/>
    <tableColumn id="1854" xr3:uid="{042B2CCC-2B9A-40D5-B5E1-BBC94781AEFD}" name="Kolonna1516"/>
    <tableColumn id="1855" xr3:uid="{C047F3AB-47E9-4C73-89A1-145E08C163CB}" name="Kolonna1517"/>
    <tableColumn id="1856" xr3:uid="{8B094CEC-B830-4144-AC04-798891D7A740}" name="Kolonna1518"/>
    <tableColumn id="1857" xr3:uid="{E619AC06-BFA7-4B9D-85F6-02DB3FBCF940}" name="Kolonna1519"/>
    <tableColumn id="1858" xr3:uid="{A42BAD8A-1D80-4C60-89E8-981BC7C6B7CF}" name="Kolonna1520"/>
    <tableColumn id="1859" xr3:uid="{507856E2-E9A6-4C28-81C2-49C5F98D2BAE}" name="Kolonna1521"/>
    <tableColumn id="1860" xr3:uid="{3D70B951-DED8-4A5F-849A-A60FD0113A0B}" name="Kolonna1522"/>
    <tableColumn id="1861" xr3:uid="{9D161D8E-D7A4-4A1D-8767-D49D437F2F27}" name="Kolonna1523"/>
    <tableColumn id="1862" xr3:uid="{F99DEB09-6325-4C73-923E-65DABEE0B0C4}" name="Kolonna1524"/>
    <tableColumn id="1863" xr3:uid="{DF2C52CD-6D3A-46C5-86D4-E6293787DAEC}" name="Kolonna1525"/>
    <tableColumn id="1864" xr3:uid="{9F1D594B-902F-4E5E-BDDA-F8AAC36A15AD}" name="Kolonna1526"/>
    <tableColumn id="1865" xr3:uid="{2CBC92FD-E94A-47C2-97AD-F2A910F6ED3B}" name="Kolonna1527"/>
    <tableColumn id="1866" xr3:uid="{F9110F95-BEDE-4858-818E-24927AA27E67}" name="Kolonna1528"/>
    <tableColumn id="1867" xr3:uid="{F6E025EE-EFCC-4EF1-8255-C264065C01FD}" name="Kolonna1529"/>
    <tableColumn id="1868" xr3:uid="{FCF3A5D8-F0FE-4370-B397-06A7F6934D74}" name="Kolonna1530"/>
    <tableColumn id="1869" xr3:uid="{B1F5025E-02FD-433B-9709-3F63CCBEB8A7}" name="Kolonna1531"/>
    <tableColumn id="1870" xr3:uid="{194B6D41-D919-49BA-B711-82C65E1D5BF2}" name="Kolonna1532"/>
    <tableColumn id="1871" xr3:uid="{08EA4403-B21D-4E33-B088-7C0FC062E515}" name="Kolonna1533"/>
    <tableColumn id="1872" xr3:uid="{14F1D143-7927-447B-A3B2-CEBA1F621F6D}" name="Kolonna1534"/>
    <tableColumn id="1873" xr3:uid="{A51E3900-0F9B-452A-B673-C0F1A8139B15}" name="Kolonna1535"/>
    <tableColumn id="1874" xr3:uid="{EADF1F4F-8385-4B80-AAFF-84B29296A3A5}" name="Kolonna1536"/>
    <tableColumn id="1875" xr3:uid="{4E17E6BF-6279-42F2-A513-603F3D22C460}" name="Kolonna1537"/>
    <tableColumn id="1876" xr3:uid="{A691C33F-3F51-404E-8808-BC481FB37664}" name="Kolonna1538"/>
    <tableColumn id="1877" xr3:uid="{A1764EF1-2145-4992-9B82-F9BB5402673B}" name="Kolonna1539"/>
    <tableColumn id="1878" xr3:uid="{8A4AA17F-0BC5-47EE-BFBA-884235313A3C}" name="Kolonna1540"/>
    <tableColumn id="1879" xr3:uid="{D8A244D3-93C5-4F1A-8FED-C4C6A300CD9D}" name="Kolonna1541"/>
    <tableColumn id="1880" xr3:uid="{CBD77ABF-2491-4296-A8D6-7EB5BF3B3478}" name="Kolonna1542"/>
    <tableColumn id="1881" xr3:uid="{D8EB1401-A73E-46F7-A29C-E36726C72310}" name="Kolonna1543"/>
    <tableColumn id="1882" xr3:uid="{3BBF197C-CFDD-4554-B3CC-A354F73F5247}" name="Kolonna1544"/>
    <tableColumn id="1883" xr3:uid="{1581140C-4BEB-441D-A4BE-5453C531401E}" name="Kolonna1545"/>
    <tableColumn id="1884" xr3:uid="{73988D6E-5A46-4C42-8DD8-81B06A48B7CF}" name="Kolonna1546"/>
    <tableColumn id="1885" xr3:uid="{42DDDD16-2606-485A-9F93-559D5D916CE4}" name="Kolonna1547"/>
    <tableColumn id="1886" xr3:uid="{3799C352-31BD-4EC2-A12D-B63E6C8D0E34}" name="Kolonna1548"/>
    <tableColumn id="1887" xr3:uid="{FBD68F8D-4B94-4744-9B9D-390ACBB39454}" name="Kolonna1549"/>
    <tableColumn id="1888" xr3:uid="{2CF38CB5-60FD-4200-992F-091FE9993B2F}" name="Kolonna1550"/>
    <tableColumn id="1889" xr3:uid="{D50D999F-FB23-436D-A0C0-125EA28069B1}" name="Kolonna1551"/>
    <tableColumn id="1890" xr3:uid="{8ACA50B3-9AB4-4DA3-A48C-6D68EDF464FE}" name="Kolonna1552"/>
    <tableColumn id="1891" xr3:uid="{3E677984-3BC3-4056-BCEC-D2C7B4AE1E59}" name="Kolonna1553"/>
    <tableColumn id="1892" xr3:uid="{4C3EB8B1-BCE6-4DB8-9DDA-C11B1C1095BE}" name="Kolonna1554"/>
    <tableColumn id="1893" xr3:uid="{B8CA1B70-0720-4EA8-A611-C283ABE0AD6B}" name="Kolonna1555"/>
    <tableColumn id="1894" xr3:uid="{F61A675E-BEA5-423D-B798-5084EFFA22BC}" name="Kolonna1556"/>
    <tableColumn id="1895" xr3:uid="{B874BD92-D30E-40F1-8F42-45A6BBED9A2C}" name="Kolonna1557"/>
    <tableColumn id="1896" xr3:uid="{1374E8B6-F469-46E3-888C-FC8C7B65FB00}" name="Kolonna1558"/>
    <tableColumn id="1897" xr3:uid="{CA61307C-5A7D-4499-A4F3-EFB09C4B0C91}" name="Kolonna1559"/>
    <tableColumn id="1898" xr3:uid="{4546432B-0B49-4CB4-893F-E5E7F14664D0}" name="Kolonna1560"/>
    <tableColumn id="1899" xr3:uid="{0CFAC81C-7140-4770-8B46-CB263CE35E8A}" name="Kolonna1561"/>
    <tableColumn id="1900" xr3:uid="{3F34CE96-E40A-4F38-80CC-8EE7029B1055}" name="Kolonna1562"/>
    <tableColumn id="1901" xr3:uid="{322CD37C-3E97-4607-A12E-1F8CD3EE82E3}" name="Kolonna1563"/>
    <tableColumn id="1902" xr3:uid="{B9D53780-4B32-4B39-A59F-E19C8EA92BEC}" name="Kolonna1564"/>
    <tableColumn id="1903" xr3:uid="{9BD4856C-1F6B-49FE-8E12-99BCBDD7F3F4}" name="Kolonna1565"/>
    <tableColumn id="1904" xr3:uid="{A6642BB5-0E8B-4641-BAC9-4CD80DAA47DF}" name="Kolonna1566"/>
    <tableColumn id="1905" xr3:uid="{39C601B6-EEB1-44D1-B703-A4D007A999CD}" name="Kolonna1567"/>
    <tableColumn id="1906" xr3:uid="{75E3F994-FC2A-4B0C-A6E0-86341277DA80}" name="Kolonna1568"/>
    <tableColumn id="1907" xr3:uid="{0618E515-9E9B-4DBC-8F78-5AE82C9BDA53}" name="Kolonna1569"/>
    <tableColumn id="1908" xr3:uid="{DC05862D-8336-4F3E-839F-B744B6F62EF7}" name="Kolonna1570"/>
    <tableColumn id="1909" xr3:uid="{359FFA79-9958-444E-82CA-AF7BFC3952B5}" name="Kolonna1571"/>
    <tableColumn id="1910" xr3:uid="{56675EDE-4D68-45AF-B217-C4DDDCF4D093}" name="Kolonna1572"/>
    <tableColumn id="1911" xr3:uid="{229CAB66-A767-4990-AE5E-3A94550DCE2D}" name="Kolonna1573"/>
    <tableColumn id="1912" xr3:uid="{37015E4E-D51C-4BDE-BA20-607DE08B8376}" name="Kolonna1574"/>
    <tableColumn id="1913" xr3:uid="{39041D8D-B100-4631-8EB1-AA3312A0C1AD}" name="Kolonna1575"/>
    <tableColumn id="1914" xr3:uid="{8382B208-8FF8-4689-998C-C08FCB86B5DF}" name="Kolonna1576"/>
    <tableColumn id="1915" xr3:uid="{A79DC561-1A74-4D34-85F1-BB0168B8336C}" name="Kolonna1577"/>
    <tableColumn id="1916" xr3:uid="{05453A30-9285-406E-AB0C-59402E7C758A}" name="Kolonna1578"/>
    <tableColumn id="1917" xr3:uid="{04ECCF16-EB57-460C-8115-279CEC6B0DC0}" name="Kolonna1579"/>
    <tableColumn id="1918" xr3:uid="{CC84FA90-D4D8-410E-8C6D-6E1DACE18709}" name="Kolonna1580"/>
    <tableColumn id="1919" xr3:uid="{62AA9528-3A1A-40F4-A3E3-40CCC12704EE}" name="Kolonna1581"/>
    <tableColumn id="1920" xr3:uid="{B52F4F43-CF36-4352-B8CF-E66C78C545C1}" name="Kolonna1582"/>
    <tableColumn id="1921" xr3:uid="{6CFFDCB6-7B84-4E4A-9874-40C0533EF8A3}" name="Kolonna1583"/>
    <tableColumn id="1922" xr3:uid="{747871DC-F1C1-4A2C-A722-6A8C809EAEB4}" name="Kolonna1584"/>
    <tableColumn id="1923" xr3:uid="{B14AFD40-4AE4-46C0-9564-0BCA00AC81B6}" name="Kolonna1585"/>
    <tableColumn id="1924" xr3:uid="{1C0E9247-838E-4BD9-8E06-746CFEDD44C2}" name="Kolonna1586"/>
    <tableColumn id="1925" xr3:uid="{281A2DDA-B9E6-4BCF-B86F-EB3C96B96D15}" name="Kolonna1587"/>
    <tableColumn id="1926" xr3:uid="{BC9B9FF0-2528-4AE5-AE96-457C17904F33}" name="Kolonna1588"/>
    <tableColumn id="1927" xr3:uid="{13105322-1BE2-4248-88DA-71B7D77700ED}" name="Kolonna1589"/>
    <tableColumn id="1928" xr3:uid="{21B9F8E0-C247-4190-91E3-52CDA5A5ABFA}" name="Kolonna1590"/>
    <tableColumn id="1929" xr3:uid="{BEEA7B84-C92A-4E64-B67E-30BB61B04E8D}" name="Kolonna1591"/>
    <tableColumn id="1930" xr3:uid="{3AB577F9-E03B-42A9-944D-C1D8A00A5BBD}" name="Kolonna1592"/>
    <tableColumn id="1931" xr3:uid="{AB650D07-72D5-4A48-AFA3-14A542382116}" name="Kolonna1593"/>
    <tableColumn id="1932" xr3:uid="{DEDFD3C5-7158-4DA3-902E-EAB43603F8BC}" name="Kolonna1594"/>
    <tableColumn id="1933" xr3:uid="{98890B87-639C-4BCA-8BB9-E7A7C007CF2D}" name="Kolonna1595"/>
    <tableColumn id="1934" xr3:uid="{DCDC4452-E101-4861-BC5E-9782CB05F082}" name="Kolonna1596"/>
    <tableColumn id="1935" xr3:uid="{BAF4A272-952F-4243-8645-86C6734CA090}" name="Kolonna1597"/>
    <tableColumn id="1936" xr3:uid="{1F6C37DF-C18D-44AD-8459-C6E90987A371}" name="Kolonna1598"/>
    <tableColumn id="1937" xr3:uid="{39E61FBE-1B9A-438C-AE6E-161A543AC444}" name="Kolonna1599"/>
    <tableColumn id="1938" xr3:uid="{96D82281-3400-4501-B2F9-C95330F1F933}" name="Kolonna1600"/>
    <tableColumn id="1939" xr3:uid="{21A5D1C6-FD8C-421C-A79F-D8C3A551AA05}" name="Kolonna1601"/>
    <tableColumn id="1940" xr3:uid="{0FA683E2-A894-4A81-9198-DDA2C0E6595B}" name="Kolonna1602"/>
    <tableColumn id="1941" xr3:uid="{B68F4339-3C24-4B51-A8B9-32CFDDC28FE2}" name="Kolonna1603"/>
    <tableColumn id="1942" xr3:uid="{9593DD5B-2451-4000-AF56-6B64C90B714A}" name="Kolonna1604"/>
    <tableColumn id="1943" xr3:uid="{C4F2CA23-AAB3-4282-9D4F-544A8629F718}" name="Kolonna1605"/>
    <tableColumn id="1944" xr3:uid="{79E78111-ED87-4BE2-B2B3-82AA5851A533}" name="Kolonna1606"/>
    <tableColumn id="1945" xr3:uid="{3C2AB3BF-B7A2-4631-BF10-A6853BC74846}" name="Kolonna1607"/>
    <tableColumn id="1946" xr3:uid="{3A4FCCE6-BA38-49FC-A7D1-ED20C008A5D4}" name="Kolonna1608"/>
    <tableColumn id="1947" xr3:uid="{CF55A06F-B5FD-4A2C-9005-6CE95BDFAC6C}" name="Kolonna1609"/>
    <tableColumn id="1948" xr3:uid="{465B74C0-9F6E-4D3E-9132-B07489EAF847}" name="Kolonna1610"/>
    <tableColumn id="1949" xr3:uid="{D8D2BAAA-1E46-439E-A63E-6266B3BFAAF3}" name="Kolonna1611"/>
    <tableColumn id="1950" xr3:uid="{0412E5E0-2EE3-42C3-8B9B-FF9089EBB3C0}" name="Kolonna1612"/>
    <tableColumn id="1951" xr3:uid="{7F0DBD74-4A9A-4BC8-824A-A1261BABA326}" name="Kolonna1613"/>
    <tableColumn id="1952" xr3:uid="{29C6868C-978F-499B-A01E-5AB771A2A940}" name="Kolonna1614"/>
    <tableColumn id="1953" xr3:uid="{FDB51F44-D6AA-4F6A-8E45-B1BE29E6CA21}" name="Kolonna1615"/>
    <tableColumn id="1954" xr3:uid="{5EAE8568-013D-4B3D-A1DF-431A43BCCCB8}" name="Kolonna1616"/>
    <tableColumn id="1955" xr3:uid="{9C82C7B0-5061-4793-BC36-6D04F32FD462}" name="Kolonna1617"/>
    <tableColumn id="1956" xr3:uid="{48EE59B4-8324-4E18-855E-0CCD5DCF8EC6}" name="Kolonna1618"/>
    <tableColumn id="1957" xr3:uid="{3B0006FA-DEA9-4D70-AB0B-A58EECE415E1}" name="Kolonna1619"/>
    <tableColumn id="1958" xr3:uid="{2243E1FB-3642-4C01-9B38-32900A532951}" name="Kolonna1620"/>
    <tableColumn id="1959" xr3:uid="{B77853CD-4948-4888-AB4A-8E8E3DA1709E}" name="Kolonna1621"/>
    <tableColumn id="1960" xr3:uid="{8D596E96-74B2-4FB3-BC2C-E31E325E6255}" name="Kolonna1622"/>
    <tableColumn id="1961" xr3:uid="{9CDF1E53-A22A-4D15-AFFA-6403D0831432}" name="Kolonna1623"/>
    <tableColumn id="1962" xr3:uid="{51C4CCA7-CB21-49BE-BDDB-6B56DBB05471}" name="Kolonna1624"/>
    <tableColumn id="1963" xr3:uid="{BA860653-C724-47B1-A3A4-E83CC61543CF}" name="Kolonna1625"/>
    <tableColumn id="1964" xr3:uid="{CDDFE8AF-CB32-4FC4-9CDB-C38C88A0B4B8}" name="Kolonna1626"/>
    <tableColumn id="1965" xr3:uid="{FF8FC5ED-53A3-4231-A82C-07486FDC94D2}" name="Kolonna1627"/>
    <tableColumn id="1966" xr3:uid="{0F5E1016-F24E-4F3F-8B3D-D6FD264533DB}" name="Kolonna1628"/>
    <tableColumn id="1967" xr3:uid="{AADFF35B-341D-4856-98E7-D4C12D7FCD1C}" name="Kolonna1629"/>
    <tableColumn id="1968" xr3:uid="{77A4D294-1637-45FA-AFC0-408722580E28}" name="Kolonna1630"/>
    <tableColumn id="1969" xr3:uid="{CAB85D9B-A6EC-4194-AC13-AAEE6121AA67}" name="Kolonna1631"/>
    <tableColumn id="1970" xr3:uid="{3DAAC4AD-55C0-4079-A976-D099C1FAD406}" name="Kolonna1632"/>
    <tableColumn id="1971" xr3:uid="{F7151AD2-5C1D-4AC9-878D-3A8EEDC62AFC}" name="Kolonna1633"/>
    <tableColumn id="1972" xr3:uid="{7B70FA4D-DB61-4C79-AEE6-01B9B5D2A18B}" name="Kolonna1634"/>
    <tableColumn id="1973" xr3:uid="{0F9D2224-F046-4B9E-A235-C5D2C03D0162}" name="Kolonna1635"/>
    <tableColumn id="1974" xr3:uid="{87E3D7FF-5EDC-482F-97F3-378722B5C8CD}" name="Kolonna1636"/>
    <tableColumn id="1975" xr3:uid="{7EA2AD93-489C-42A4-BBF8-EA4999D80994}" name="Kolonna1637"/>
    <tableColumn id="1976" xr3:uid="{9EC663DF-B06D-4951-A2D9-39F7069ECAAA}" name="Kolonna1638"/>
    <tableColumn id="1977" xr3:uid="{39CE1B5A-4D79-443E-B7D6-7E7CBC4DA701}" name="Kolonna1639"/>
    <tableColumn id="1978" xr3:uid="{64F5BFC4-EFCB-4182-8B0C-03578D22330F}" name="Kolonna1640"/>
    <tableColumn id="1979" xr3:uid="{EF2E6E5C-A561-403C-AA35-886A64B98437}" name="Kolonna1641"/>
    <tableColumn id="1980" xr3:uid="{2A416D74-C17A-448A-9E00-E5CE6D556423}" name="Kolonna1642"/>
    <tableColumn id="1981" xr3:uid="{6246D9FD-0C3E-4F75-903F-E61F5B7A03FD}" name="Kolonna1643"/>
    <tableColumn id="1982" xr3:uid="{E1D3F337-C655-4E90-A993-D5F5EC8E9DE1}" name="Kolonna1644"/>
    <tableColumn id="1983" xr3:uid="{18413465-F592-49ED-BFA9-29D545A9C39D}" name="Kolonna1645"/>
    <tableColumn id="1984" xr3:uid="{1F728EBE-3E7D-4D88-9DB4-7534803407E0}" name="Kolonna1646"/>
    <tableColumn id="1985" xr3:uid="{9BE7D6FF-A8AD-4087-B107-B93CB337FFB6}" name="Kolonna1647"/>
    <tableColumn id="1986" xr3:uid="{9C2FD443-EB34-4ED1-A9D7-43058F4F0C9A}" name="Kolonna1648"/>
    <tableColumn id="1987" xr3:uid="{2889C2AA-DB8B-4527-A02F-1F48F43CEDCD}" name="Kolonna1649"/>
    <tableColumn id="1988" xr3:uid="{7BF17EB5-1F96-4484-AB80-91D4B91D26AC}" name="Kolonna1650"/>
    <tableColumn id="1989" xr3:uid="{2878E8AD-41A1-4329-BE84-DE7ED19133D5}" name="Kolonna1651"/>
    <tableColumn id="1990" xr3:uid="{D150AFC8-B525-44DD-93B7-414A2F2F98A1}" name="Kolonna1652"/>
    <tableColumn id="1991" xr3:uid="{425523D8-7F33-43CF-AB38-24F96761D31F}" name="Kolonna1653"/>
    <tableColumn id="1992" xr3:uid="{0308A60A-B9AF-427C-A305-CC0109CE0871}" name="Kolonna1654"/>
    <tableColumn id="1993" xr3:uid="{5CCD91F4-FA96-4C04-B742-59E8ACA6D880}" name="Kolonna1655"/>
    <tableColumn id="1994" xr3:uid="{DD018D23-1648-4D7C-8550-E659C28111B1}" name="Kolonna1656"/>
    <tableColumn id="1995" xr3:uid="{E3E880B0-619C-4303-A164-D1553B399E77}" name="Kolonna1657"/>
    <tableColumn id="1996" xr3:uid="{7F5AD668-3399-4603-9EF1-BAE0454E21FE}" name="Kolonna1658"/>
    <tableColumn id="1997" xr3:uid="{1D65187B-8F2E-4AA0-9006-4496E9C4B2E6}" name="Kolonna1659"/>
    <tableColumn id="1998" xr3:uid="{1AD4CC7E-71B2-4142-A13B-57603B7B61EB}" name="Kolonna1660"/>
    <tableColumn id="1999" xr3:uid="{4AA83FAC-6C37-420D-AE58-6796E05EA67C}" name="Kolonna1661"/>
    <tableColumn id="2000" xr3:uid="{0060B47E-1AF8-4C2D-9A1B-EE88C890D1AB}" name="Kolonna1662"/>
    <tableColumn id="2001" xr3:uid="{4289BEAB-B269-472C-A165-4E416F82906A}" name="Kolonna1663"/>
    <tableColumn id="2002" xr3:uid="{D276DCEB-FB3D-4E4A-86EE-86144F9A8BDD}" name="Kolonna1664"/>
    <tableColumn id="2003" xr3:uid="{71431D41-4307-4F96-A76F-2109E5C90D32}" name="Kolonna1665"/>
    <tableColumn id="2004" xr3:uid="{2A0476C2-8E73-4780-BD39-8987BAB1D23A}" name="Kolonna1666"/>
    <tableColumn id="2005" xr3:uid="{9C617169-7D63-4E73-A0AE-0F011E8A0CED}" name="Kolonna1667"/>
    <tableColumn id="2006" xr3:uid="{8A63FB8C-3C7E-480C-B174-81E135B7CAD1}" name="Kolonna1668"/>
    <tableColumn id="2007" xr3:uid="{ED984E8B-0807-47F7-80D1-EDDE734A5C8C}" name="Kolonna1669"/>
    <tableColumn id="2008" xr3:uid="{CBE9231C-0F8D-499C-8EE0-7A6C103BCE99}" name="Kolonna1670"/>
    <tableColumn id="2009" xr3:uid="{04E8DCAE-8657-4AD6-A047-D711B5A6AE2C}" name="Kolonna1671"/>
    <tableColumn id="2010" xr3:uid="{E3143349-8C6B-4ADB-A483-23DB698986E8}" name="Kolonna1672"/>
    <tableColumn id="2011" xr3:uid="{EC7EEDAB-78B5-4A0F-85CB-829AC5A56960}" name="Kolonna1673"/>
    <tableColumn id="2012" xr3:uid="{E98E6483-7ADD-4BF8-B0FA-481776427C04}" name="Kolonna1674"/>
    <tableColumn id="2013" xr3:uid="{D5BA5D2F-7852-4C08-A6C2-F97D3260EA9D}" name="Kolonna1675"/>
    <tableColumn id="2014" xr3:uid="{669908E4-83B1-4C2F-A874-37E6EB9EB61A}" name="Kolonna1676"/>
    <tableColumn id="2015" xr3:uid="{448BFDF7-FFDC-472F-B7A6-3AAB4D9CB153}" name="Kolonna1677"/>
    <tableColumn id="2016" xr3:uid="{1CF37A30-48C0-4D2F-9DF5-A8956D649565}" name="Kolonna1678"/>
    <tableColumn id="2017" xr3:uid="{74772A87-377A-41EF-A06D-6C845461896F}" name="Kolonna1679"/>
    <tableColumn id="2018" xr3:uid="{C18EEC61-49D4-421A-B1CB-728B4FE45308}" name="Kolonna1680"/>
    <tableColumn id="2019" xr3:uid="{AA196880-98CF-4FC7-AB3F-4064B6FF6157}" name="Kolonna1681"/>
    <tableColumn id="2020" xr3:uid="{877801D1-59CA-4E4B-A940-D5A152FD1E2F}" name="Kolonna1682"/>
    <tableColumn id="2021" xr3:uid="{70B0883F-2B25-494B-87E2-BB82EE3C4B3B}" name="Kolonna1683"/>
    <tableColumn id="2022" xr3:uid="{4DC5CC06-B2E8-422E-AB32-0944E5191813}" name="Kolonna1684"/>
    <tableColumn id="2023" xr3:uid="{0435E1CB-23A5-4833-A163-4C5A3E134D51}" name="Kolonna1685"/>
    <tableColumn id="2024" xr3:uid="{A58A3058-5F4F-4E67-80BB-74ADCC9D55F6}" name="Kolonna1686"/>
    <tableColumn id="2025" xr3:uid="{5E870878-318F-4E10-9406-3EB4B44E31D6}" name="Kolonna1687"/>
    <tableColumn id="2026" xr3:uid="{24915727-C87F-48FB-9A47-8E18F6115038}" name="Kolonna1688"/>
    <tableColumn id="2027" xr3:uid="{ED0754AF-461A-486F-B804-F08B016ED8F0}" name="Kolonna1689"/>
    <tableColumn id="2028" xr3:uid="{EEFB36E0-88FB-4F09-83BD-A9B5FD250588}" name="Kolonna1690"/>
    <tableColumn id="2029" xr3:uid="{1422B0E6-EA6A-4E68-AB30-946210F17E05}" name="Kolonna1691"/>
    <tableColumn id="2030" xr3:uid="{A6AE1C24-AD19-4770-B0F1-57E9B0F6CE70}" name="Kolonna1692"/>
    <tableColumn id="2031" xr3:uid="{35C29A2B-7847-42ED-8AD5-843765D7B9C1}" name="Kolonna1693"/>
    <tableColumn id="2032" xr3:uid="{13DCECA3-2DA7-4F8D-9D90-BF09E665ACA7}" name="Kolonna1694"/>
    <tableColumn id="2033" xr3:uid="{DF35509E-C1CD-4C05-8215-4B135374A5AA}" name="Kolonna1695"/>
    <tableColumn id="2034" xr3:uid="{21229DCB-E052-40F1-840A-D2B637A3AE0E}" name="Kolonna1696"/>
    <tableColumn id="2035" xr3:uid="{CD779FCC-9490-48AE-A851-25A186834435}" name="Kolonna1697"/>
    <tableColumn id="2036" xr3:uid="{FAEB0862-4CE8-471D-8B05-5AA9F0E02383}" name="Kolonna1698"/>
    <tableColumn id="2037" xr3:uid="{F766B27C-EF2A-4EA7-A4C0-AC24CBFF2B51}" name="Kolonna1699"/>
    <tableColumn id="2038" xr3:uid="{BDE56213-F5D5-4203-A0A0-A687392C27EB}" name="Kolonna1700"/>
    <tableColumn id="2039" xr3:uid="{2EF2E852-71F1-41B1-94ED-82AC2CB6C9AA}" name="Kolonna1701"/>
    <tableColumn id="2040" xr3:uid="{DA39848B-36D4-4C0A-A27B-C3D5E41A823B}" name="Kolonna1702"/>
    <tableColumn id="2041" xr3:uid="{BADC714D-8824-4977-B529-1F1E5D34C496}" name="Kolonna1703"/>
    <tableColumn id="2042" xr3:uid="{0B606A68-0220-4086-8C36-09B5A8A3A430}" name="Kolonna1704"/>
    <tableColumn id="2043" xr3:uid="{D277CC2B-AF6F-441F-BF8A-F46001497783}" name="Kolonna1705"/>
    <tableColumn id="2044" xr3:uid="{296AABBA-5E91-44EC-B7C7-39CB58505CFE}" name="Kolonna1706"/>
    <tableColumn id="2045" xr3:uid="{919D3907-4E0D-4008-BCA9-C1176FB54D89}" name="Kolonna1707"/>
    <tableColumn id="2046" xr3:uid="{E9D4B938-E2BF-4F08-BEFB-29F708CE005D}" name="Kolonna1708"/>
    <tableColumn id="2047" xr3:uid="{5B12D726-FF6B-4F72-A8E4-05F8A19BE782}" name="Kolonna1709"/>
    <tableColumn id="2048" xr3:uid="{41C08A2F-5BA4-4550-ADF8-E750A70C65A3}" name="Kolonna1710"/>
    <tableColumn id="2049" xr3:uid="{5999A7CC-6549-46B8-914D-02211390A418}" name="Kolonna1711"/>
    <tableColumn id="2050" xr3:uid="{CF862754-955E-433B-8DD9-11FE41102A37}" name="Kolonna1712"/>
    <tableColumn id="2051" xr3:uid="{3BEAB35B-FCA8-4BC9-A253-47594C511BD7}" name="Kolonna1713"/>
    <tableColumn id="2052" xr3:uid="{009430BE-71C6-4F5E-9C22-22D69F4CB8FC}" name="Kolonna1714"/>
    <tableColumn id="2053" xr3:uid="{A888B111-6057-480B-9E4A-43ED583F09E2}" name="Kolonna1715"/>
    <tableColumn id="2054" xr3:uid="{DC329050-1CFE-4376-94E8-511B1B70429B}" name="Kolonna1716"/>
    <tableColumn id="2055" xr3:uid="{BF61BDD0-1D12-4293-B480-E6207E773AC7}" name="Kolonna1717"/>
    <tableColumn id="2056" xr3:uid="{C1C7E6D7-BA8B-42F9-8A48-3A950F1DC405}" name="Kolonna1718"/>
    <tableColumn id="2057" xr3:uid="{A266842D-921A-47FB-A3C1-6F3696DAEA73}" name="Kolonna1719"/>
    <tableColumn id="2058" xr3:uid="{EB035E43-024C-44AC-9430-06EA179B6C5B}" name="Kolonna1720"/>
    <tableColumn id="2059" xr3:uid="{5B6780F1-F0DD-4AB4-8D8D-1B202DF593A5}" name="Kolonna1721"/>
    <tableColumn id="2060" xr3:uid="{F3029C21-282B-45CE-9D2D-95EF99588227}" name="Kolonna1722"/>
    <tableColumn id="2061" xr3:uid="{97B0BB51-138E-42F3-B450-6D5AB4015189}" name="Kolonna1723"/>
    <tableColumn id="2062" xr3:uid="{88A37AEC-44A4-4991-89B6-41BE721F2721}" name="Kolonna1724"/>
    <tableColumn id="2063" xr3:uid="{812AD070-0FDF-463D-9B25-987A5B3B7A06}" name="Kolonna1725"/>
    <tableColumn id="2064" xr3:uid="{64E4036D-B390-4F69-8EC2-5E70080C69BF}" name="Kolonna1726"/>
    <tableColumn id="2065" xr3:uid="{5A5E8C3D-07B7-405B-940B-FAA73EB68E96}" name="Kolonna1727"/>
    <tableColumn id="2066" xr3:uid="{4767F3A3-E38C-4AD1-9C7C-6F435F9089BE}" name="Kolonna1728"/>
    <tableColumn id="2067" xr3:uid="{CB2452CF-5EC9-48F4-8C23-A8A605E2CC1E}" name="Kolonna1729"/>
    <tableColumn id="2068" xr3:uid="{F03BAD5A-037E-46C1-BD5F-2F0FEE26B867}" name="Kolonna1730"/>
    <tableColumn id="2069" xr3:uid="{020AE187-5607-48BF-932C-8E05BAD0D248}" name="Kolonna1731"/>
    <tableColumn id="2070" xr3:uid="{AB6F2C86-F877-42F1-81F7-E7D57B870A5F}" name="Kolonna1732"/>
    <tableColumn id="2071" xr3:uid="{AE6CA373-0441-44E7-B228-E082E7613B23}" name="Kolonna1733"/>
    <tableColumn id="2072" xr3:uid="{67FC46B3-2EA1-4FCD-8E42-13C74F04A2C3}" name="Kolonna1734"/>
    <tableColumn id="2073" xr3:uid="{CE9623A6-C77C-430A-B6A1-B9BA63DF9FC0}" name="Kolonna1735"/>
    <tableColumn id="2074" xr3:uid="{E062A343-D695-4381-BFC2-DDFC2C716037}" name="Kolonna1736"/>
    <tableColumn id="2075" xr3:uid="{3C1D5830-043B-4BB7-9182-A83EBF44668E}" name="Kolonna1737"/>
    <tableColumn id="2076" xr3:uid="{64DB6830-8E8D-4100-8DBC-D8AE02915941}" name="Kolonna1738"/>
    <tableColumn id="2077" xr3:uid="{A58E8D14-4306-4028-A0C5-5FD79BE13BF5}" name="Kolonna1739"/>
    <tableColumn id="2078" xr3:uid="{27B6C083-46A7-4737-BEA6-5ADAF3851F3D}" name="Kolonna1740"/>
    <tableColumn id="2079" xr3:uid="{ACD678C0-25E8-421B-B6D7-189F32E979C6}" name="Kolonna1741"/>
    <tableColumn id="2080" xr3:uid="{115339FD-BD86-40BF-A610-69120F687EEE}" name="Kolonna1742"/>
    <tableColumn id="2081" xr3:uid="{C1BE2E78-2CC6-49D3-822E-B7358CBA3968}" name="Kolonna1743"/>
    <tableColumn id="2082" xr3:uid="{2566DCFF-D3EB-4162-B987-E96C92CFB9D8}" name="Kolonna1744"/>
    <tableColumn id="2083" xr3:uid="{0123E7B4-BD1E-4830-865A-AFE369E71692}" name="Kolonna1745"/>
    <tableColumn id="2084" xr3:uid="{DB72DD90-0064-412E-81AE-565B16BEA46D}" name="Kolonna1746"/>
    <tableColumn id="2085" xr3:uid="{18264076-16C4-45BE-825C-A3CDA52AF705}" name="Kolonna1747"/>
    <tableColumn id="2086" xr3:uid="{322816C2-E00B-4209-AE55-F63D42FB9298}" name="Kolonna1748"/>
    <tableColumn id="2087" xr3:uid="{963A8AD2-35A6-4A95-99AB-F11190BD0386}" name="Kolonna1749"/>
    <tableColumn id="2088" xr3:uid="{9AC8ED3F-49F9-42D5-88D2-96B119A5F7B8}" name="Kolonna1750"/>
    <tableColumn id="2089" xr3:uid="{9E1FA1B7-D584-438A-A884-E6C09253EBF8}" name="Kolonna1751"/>
    <tableColumn id="2090" xr3:uid="{D3EC1EB9-A2FA-4F12-B8E3-F3C873E1092C}" name="Kolonna1752"/>
    <tableColumn id="2091" xr3:uid="{ACDD0854-26DC-4518-BD4C-BF661046FF09}" name="Kolonna1753"/>
    <tableColumn id="2092" xr3:uid="{7396F9BF-ADCB-4F43-8AF8-63CF23455318}" name="Kolonna1754"/>
    <tableColumn id="2093" xr3:uid="{62CBD548-87C7-4266-8154-0C8DCF495106}" name="Kolonna1755"/>
    <tableColumn id="2094" xr3:uid="{659E0BE5-AE45-4F78-9DDA-5D7DD2E7907E}" name="Kolonna1756"/>
    <tableColumn id="2095" xr3:uid="{2C133826-2A90-4ABC-ADC8-287AC403D500}" name="Kolonna1757"/>
    <tableColumn id="2096" xr3:uid="{768F1070-953A-4DB9-BF17-3AB0EB3C48D1}" name="Kolonna1758"/>
    <tableColumn id="2097" xr3:uid="{E333F6F6-CB39-4905-BB2D-5C8819B2EE5E}" name="Kolonna1759"/>
    <tableColumn id="2098" xr3:uid="{5B2EF740-8EEA-44A9-8097-D614A7F89D9F}" name="Kolonna1760"/>
    <tableColumn id="2099" xr3:uid="{C1C693B3-D783-4DB0-B3C4-F211D50C81AC}" name="Kolonna1761"/>
    <tableColumn id="2100" xr3:uid="{0EC5863D-D3C5-4B00-AC51-020DC93EF957}" name="Kolonna1762"/>
    <tableColumn id="2101" xr3:uid="{8EC87769-893C-40DE-941C-D8BF8FD71824}" name="Kolonna1763"/>
    <tableColumn id="2102" xr3:uid="{3B9DC838-72CA-4893-8D6C-D1C93C46748E}" name="Kolonna1764"/>
    <tableColumn id="2103" xr3:uid="{5A068A17-0AEA-49B3-A492-76F6ABE933FF}" name="Kolonna1765"/>
    <tableColumn id="2104" xr3:uid="{22259EAB-916D-40DA-8C6D-F6355CFB17FC}" name="Kolonna1766"/>
    <tableColumn id="2105" xr3:uid="{E361A8BF-5520-4D3E-82DC-15CC003F977F}" name="Kolonna1767"/>
    <tableColumn id="2106" xr3:uid="{68107E1B-0F45-47B3-A599-0941819AC8E7}" name="Kolonna1768"/>
    <tableColumn id="2107" xr3:uid="{0E25231E-C862-4EB1-A653-E846F1FBC263}" name="Kolonna1769"/>
    <tableColumn id="2108" xr3:uid="{6D2EF229-7B1A-40EA-9321-A449617C759C}" name="Kolonna1770"/>
    <tableColumn id="2109" xr3:uid="{A9A1764D-363C-412C-9FDD-3EDDA5B3F82E}" name="Kolonna1771"/>
    <tableColumn id="2110" xr3:uid="{2845FE70-15A5-4969-BD9F-44544DF99877}" name="Kolonna1772"/>
    <tableColumn id="2111" xr3:uid="{969F7129-3581-4E3E-87A4-5EEE9169477B}" name="Kolonna1773"/>
    <tableColumn id="2112" xr3:uid="{38895C7B-E799-4653-8536-B55F18C7BAF4}" name="Kolonna1774"/>
    <tableColumn id="2113" xr3:uid="{5B54F8CE-860C-4B9D-9E75-23F3DA5E36CA}" name="Kolonna1775"/>
    <tableColumn id="2114" xr3:uid="{253793FD-8968-4773-A16E-5210B1D9AA36}" name="Kolonna1776"/>
    <tableColumn id="2115" xr3:uid="{BD9C5906-0109-4D7A-9D87-5A8EF4283F7D}" name="Kolonna1777"/>
    <tableColumn id="2116" xr3:uid="{406E49AB-05C8-4218-A3C8-5B3E40716008}" name="Kolonna1778"/>
    <tableColumn id="2117" xr3:uid="{64BE6749-4CC6-4169-AFEA-B1C3179ABADC}" name="Kolonna1779"/>
    <tableColumn id="2118" xr3:uid="{13262004-CE79-486C-A555-E11DA2068D68}" name="Kolonna1780"/>
    <tableColumn id="2119" xr3:uid="{65D75CB5-681B-453F-B378-7D4AC69E56F2}" name="Kolonna1781"/>
    <tableColumn id="2120" xr3:uid="{342AE65E-38BA-46EB-85FA-F15C0B352D3A}" name="Kolonna1782"/>
    <tableColumn id="2121" xr3:uid="{06B820B4-97D5-479C-8AB9-BA71B79053B1}" name="Kolonna1783"/>
    <tableColumn id="2122" xr3:uid="{B4ED2111-80A9-4CE3-B8AC-72083AD5470E}" name="Kolonna1784"/>
    <tableColumn id="2123" xr3:uid="{E147A20F-3C71-47D8-A1AC-D622865E87A4}" name="Kolonna1785"/>
    <tableColumn id="2124" xr3:uid="{D30EC49F-E001-4C70-881E-E1B22B86E2B8}" name="Kolonna1786"/>
    <tableColumn id="2125" xr3:uid="{B3973D81-B01E-463D-B0E8-31DF0D152EF2}" name="Kolonna1787"/>
    <tableColumn id="2126" xr3:uid="{249F8777-E3C2-49BA-A597-7F789A69C3FD}" name="Kolonna1788"/>
    <tableColumn id="2127" xr3:uid="{ECAA6093-C9C2-4D8A-887A-408D93BE2663}" name="Kolonna1789"/>
    <tableColumn id="2128" xr3:uid="{E4D5A417-14A0-4ADC-A4B3-236D8EABD1D4}" name="Kolonna1790"/>
    <tableColumn id="2129" xr3:uid="{521FF2BE-A44D-4DDE-82E8-2B3AE138028B}" name="Kolonna1791"/>
    <tableColumn id="2130" xr3:uid="{BA620BE9-E60D-49EA-8B23-B172F8DCBF89}" name="Kolonna1792"/>
    <tableColumn id="2131" xr3:uid="{63C0F72C-2CD9-455D-9A66-A767D4F69C6C}" name="Kolonna1793"/>
    <tableColumn id="2132" xr3:uid="{8DD074FC-7D5A-47B3-A676-66D1E240A947}" name="Kolonna1794"/>
    <tableColumn id="2133" xr3:uid="{5BFF53D2-EBAB-4C47-B2F3-F4E41B1C1837}" name="Kolonna1795"/>
    <tableColumn id="2134" xr3:uid="{B3E60F04-C0A5-4DAF-BA67-8B23DC0A4F90}" name="Kolonna1796"/>
    <tableColumn id="2135" xr3:uid="{1AF5E325-E5EB-4806-B60F-7F02B7BA05A2}" name="Kolonna1797"/>
    <tableColumn id="2136" xr3:uid="{EA57393B-68A1-461E-8ACD-8CC5A4079408}" name="Kolonna1798"/>
    <tableColumn id="2137" xr3:uid="{79624676-396E-458F-8AC0-8ED06BF0C401}" name="Kolonna1799"/>
    <tableColumn id="2138" xr3:uid="{F5222720-86A3-437D-BF25-495ADA4921C2}" name="Kolonna1800"/>
    <tableColumn id="2139" xr3:uid="{08255F18-0890-4350-B82B-96DFABEE35C9}" name="Kolonna1801"/>
    <tableColumn id="2140" xr3:uid="{D3E4B8A4-A869-4626-8677-A5070AB9EF44}" name="Kolonna1802"/>
    <tableColumn id="2141" xr3:uid="{620E411A-69F4-4131-8F6B-C73BF4D71649}" name="Kolonna1803"/>
    <tableColumn id="2142" xr3:uid="{B728CEAB-BFE6-417E-8245-76B83ACF68F7}" name="Kolonna1804"/>
    <tableColumn id="2143" xr3:uid="{B4B974C1-46B1-4213-8E78-DA24464DDF16}" name="Kolonna1805"/>
    <tableColumn id="2144" xr3:uid="{4BA380BA-FECF-4954-AECC-FB6534A38C44}" name="Kolonna1806"/>
    <tableColumn id="2145" xr3:uid="{21317206-31E0-42B7-92C9-31F03400EDD4}" name="Kolonna1807"/>
    <tableColumn id="2146" xr3:uid="{007BF722-3B1D-4924-9CE0-BAD2F964C900}" name="Kolonna1808"/>
    <tableColumn id="2147" xr3:uid="{0108018B-6778-4776-BE89-D3882B7A3652}" name="Kolonna1809"/>
    <tableColumn id="2148" xr3:uid="{D8C0458C-2322-48E7-844B-76A087F8876D}" name="Kolonna1810"/>
    <tableColumn id="2149" xr3:uid="{0FC9CFC4-4E01-41D8-9ED7-23AD43880505}" name="Kolonna1811"/>
    <tableColumn id="2150" xr3:uid="{B56988C0-3BD9-4938-8F27-CF125B7CF8C0}" name="Kolonna1812"/>
    <tableColumn id="2151" xr3:uid="{8614EB55-FC8A-451E-9AD1-B7F10A24BEE3}" name="Kolonna1813"/>
    <tableColumn id="2152" xr3:uid="{71FAAF31-25C2-4762-B4DB-7B7F6C1E0EFD}" name="Kolonna1814"/>
    <tableColumn id="2153" xr3:uid="{FD17272C-0E5F-47ED-A01A-4A1BD21B6A91}" name="Kolonna1815"/>
    <tableColumn id="2154" xr3:uid="{41BFE66A-9199-4918-8647-21EC19FB4F63}" name="Kolonna1816"/>
    <tableColumn id="2155" xr3:uid="{CE00418D-C09F-4034-8F76-89489286D50F}" name="Kolonna1817"/>
    <tableColumn id="2156" xr3:uid="{19748D28-8992-4F02-8C46-27A53780D26B}" name="Kolonna1818"/>
    <tableColumn id="2157" xr3:uid="{7C75E03A-A8ED-49E5-9BBD-A313AE0DBB33}" name="Kolonna1819"/>
    <tableColumn id="2158" xr3:uid="{712163D9-FFCD-41E3-B7E6-4A0EBCDF3905}" name="Kolonna1820"/>
    <tableColumn id="2159" xr3:uid="{4026A453-2250-40E7-BBBE-A1ABE22673B3}" name="Kolonna1821"/>
    <tableColumn id="2160" xr3:uid="{9CBAC53E-6885-4DE0-8FDB-821CFE4310AD}" name="Kolonna1822"/>
    <tableColumn id="2161" xr3:uid="{B031FB3C-9D4D-4E65-9B63-45346F96044C}" name="Kolonna1823"/>
    <tableColumn id="2162" xr3:uid="{8E36EEEC-96CB-4BFC-BBDB-13A1AEFB05BB}" name="Kolonna1824"/>
    <tableColumn id="2163" xr3:uid="{21AA24F3-357D-4411-AF40-A0993741EFFC}" name="Kolonna1825"/>
    <tableColumn id="2164" xr3:uid="{FF29A572-4239-4BC0-AA3D-C60A811908C4}" name="Kolonna1826"/>
    <tableColumn id="2165" xr3:uid="{2B378E32-BD71-437D-928D-28EED248CD64}" name="Kolonna1827"/>
    <tableColumn id="2166" xr3:uid="{C606D608-252C-42C7-967B-474A465A20C9}" name="Kolonna1828"/>
    <tableColumn id="2167" xr3:uid="{604AD374-5E27-4557-9C8A-110954E00258}" name="Kolonna1829"/>
    <tableColumn id="2168" xr3:uid="{C5C41FFB-1A4F-472C-9BC6-B1E1500FBA5C}" name="Kolonna1830"/>
    <tableColumn id="2169" xr3:uid="{3936781C-5106-41C3-B9E5-C886F4003989}" name="Kolonna1831"/>
    <tableColumn id="2170" xr3:uid="{D2DD3A6D-E96A-426D-8738-C57BE840352D}" name="Kolonna1832"/>
    <tableColumn id="2171" xr3:uid="{5605998E-21CC-4652-9048-7E7890321C38}" name="Kolonna1833"/>
    <tableColumn id="2172" xr3:uid="{90C2DE0C-44C3-4559-B338-59219505812A}" name="Kolonna1834"/>
    <tableColumn id="2173" xr3:uid="{A612B055-3602-433C-BB0F-04C4050AC49C}" name="Kolonna1835"/>
    <tableColumn id="2174" xr3:uid="{ED3CDE87-2E70-4090-B53B-7590E754378C}" name="Kolonna1836"/>
    <tableColumn id="2175" xr3:uid="{393D8A32-A089-4721-B6F7-BA881F838A2B}" name="Kolonna1837"/>
    <tableColumn id="2176" xr3:uid="{F217C7B0-D4E7-4852-852E-2D4926DAB46A}" name="Kolonna1838"/>
    <tableColumn id="2177" xr3:uid="{A475CED3-DF24-4BFD-9984-4232EA5B7923}" name="Kolonna1839"/>
    <tableColumn id="2178" xr3:uid="{1E37E75B-1CE4-4F10-85BB-D24090DB7FC2}" name="Kolonna1840"/>
    <tableColumn id="2179" xr3:uid="{F2A43328-5895-42E6-A427-12B373C7AB0B}" name="Kolonna1841"/>
    <tableColumn id="2180" xr3:uid="{56782F91-0674-4B16-8B42-FC6D07D4BAAF}" name="Kolonna1842"/>
    <tableColumn id="2181" xr3:uid="{D5C0C493-0CB1-4E93-9DDA-BFD8797CB107}" name="Kolonna1843"/>
    <tableColumn id="2182" xr3:uid="{65EB8C2D-A64E-43E9-B489-1DDDF87F589F}" name="Kolonna1844"/>
    <tableColumn id="2183" xr3:uid="{1741CC54-2C37-4FF2-9E77-41007D6186E9}" name="Kolonna1845"/>
    <tableColumn id="2184" xr3:uid="{338005D6-496B-41D6-9611-C8A185910B55}" name="Kolonna1846"/>
    <tableColumn id="2185" xr3:uid="{9C183109-8566-4326-BA4A-4115A6F4D92F}" name="Kolonna1847"/>
    <tableColumn id="2186" xr3:uid="{19F8A659-8EDC-447E-819C-B6F7060B8CFF}" name="Kolonna1848"/>
    <tableColumn id="2187" xr3:uid="{444D1933-6113-454E-A021-FFBD3110C41E}" name="Kolonna1849"/>
    <tableColumn id="2188" xr3:uid="{F99B6EAB-2533-4F11-AEC2-0A9310D5B107}" name="Kolonna1850"/>
    <tableColumn id="2189" xr3:uid="{110DA10E-2DA7-45DF-85A5-B7DCA955F83B}" name="Kolonna1851"/>
    <tableColumn id="2190" xr3:uid="{8840B5B3-87DB-4039-95DA-B66A0E3FBACA}" name="Kolonna1852"/>
    <tableColumn id="2191" xr3:uid="{0BA619E5-1274-49AC-A5C9-400C626F0629}" name="Kolonna1853"/>
    <tableColumn id="2192" xr3:uid="{C8315835-37C9-4892-ADBD-7262DD2D972F}" name="Kolonna1854"/>
    <tableColumn id="2193" xr3:uid="{7106DFE1-7894-443D-A088-E0CF9CB8666B}" name="Kolonna1855"/>
    <tableColumn id="2194" xr3:uid="{CC5CEAB1-1B87-4C64-B0BE-7AA3B81CDA68}" name="Kolonna1856"/>
    <tableColumn id="2195" xr3:uid="{7EDB6A89-F72F-482D-8A82-5981E10F270E}" name="Kolonna1857"/>
    <tableColumn id="2196" xr3:uid="{98620A73-E239-4F5E-876E-C9C522325442}" name="Kolonna1858"/>
    <tableColumn id="2197" xr3:uid="{CE754BA4-28D0-4BC3-BD7D-6502DCFE68AB}" name="Kolonna1859"/>
    <tableColumn id="2198" xr3:uid="{13CC65C7-F41C-4FD9-91C1-0F314B1F0843}" name="Kolonna1860"/>
    <tableColumn id="2199" xr3:uid="{495AD449-D544-4CF9-B662-F5DA97C343E8}" name="Kolonna1861"/>
    <tableColumn id="2200" xr3:uid="{BE7B2871-3CCD-4102-B72F-935316BB9E7A}" name="Kolonna1862"/>
    <tableColumn id="2201" xr3:uid="{98B923BD-BC85-4A17-BCB0-406A7485A00E}" name="Kolonna1863"/>
    <tableColumn id="2202" xr3:uid="{0237C305-E40A-4040-BBAD-DA884B603796}" name="Kolonna1864"/>
    <tableColumn id="2203" xr3:uid="{8B7B3654-A3E9-4615-B700-BD2048A32381}" name="Kolonna1865"/>
    <tableColumn id="2204" xr3:uid="{A66812D8-BD55-4E39-A192-AD7C5D1D0276}" name="Kolonna1866"/>
    <tableColumn id="2205" xr3:uid="{6390DCE7-F188-4C84-8421-F2A24DCEDC43}" name="Kolonna1867"/>
    <tableColumn id="2206" xr3:uid="{51DA107D-AFCF-4186-85F3-77115DEA6182}" name="Kolonna1868"/>
    <tableColumn id="2207" xr3:uid="{6B3DD162-91C6-4A5A-A3DF-CFC6954071D8}" name="Kolonna1869"/>
    <tableColumn id="2208" xr3:uid="{D39E616D-21CF-456C-A6CF-937842807399}" name="Kolonna1870"/>
    <tableColumn id="2209" xr3:uid="{47D078D4-EDA1-476D-8A36-C0338D2D340C}" name="Kolonna1871"/>
    <tableColumn id="2210" xr3:uid="{9FEEAFCA-1C85-46B2-B7F4-0E3FDA902E13}" name="Kolonna1872"/>
    <tableColumn id="2211" xr3:uid="{3654DFD0-0725-4C94-A31E-C4C66A1B9EB1}" name="Kolonna1873"/>
    <tableColumn id="2212" xr3:uid="{6FA3BF8C-247C-4468-A134-D05335684C5D}" name="Kolonna1874"/>
    <tableColumn id="2213" xr3:uid="{E9992786-53BD-4414-9C78-409DBB270FC6}" name="Kolonna1875"/>
    <tableColumn id="2214" xr3:uid="{14093491-61BC-41D3-8BE8-67DAE848CABA}" name="Kolonna1876"/>
    <tableColumn id="2215" xr3:uid="{414E2CE6-6739-4C0A-943F-6FEA3F4DF996}" name="Kolonna1877"/>
    <tableColumn id="2216" xr3:uid="{1A78F97F-A997-43D6-BADF-2D129889DE40}" name="Kolonna1878"/>
    <tableColumn id="2217" xr3:uid="{F4C4660B-CA82-4ACD-BB9A-15424C96F6CA}" name="Kolonna1879"/>
    <tableColumn id="2218" xr3:uid="{E321C104-4682-4678-8853-64D382E0C2E3}" name="Kolonna1880"/>
    <tableColumn id="2219" xr3:uid="{1C346A08-DF46-4314-A047-6D2AF8AE067B}" name="Kolonna1881"/>
    <tableColumn id="2220" xr3:uid="{C1BCB410-7F2D-4AB7-B397-2BF57552C341}" name="Kolonna1882"/>
    <tableColumn id="2221" xr3:uid="{108B1BA3-85F4-407B-AA7A-F937E3285FE1}" name="Kolonna1883"/>
    <tableColumn id="2222" xr3:uid="{7C3AA7CA-CD37-4AF4-BA02-A7A3109DDAB4}" name="Kolonna1884"/>
    <tableColumn id="2223" xr3:uid="{7058286C-EE23-46E3-AF1B-78C1758F10DC}" name="Kolonna1885"/>
    <tableColumn id="2224" xr3:uid="{5513D632-904C-4C88-98C7-CFE4DF6DD5B8}" name="Kolonna1886"/>
    <tableColumn id="2225" xr3:uid="{7F35014A-D18D-48F0-A9AD-83A11998FE8A}" name="Kolonna1887"/>
    <tableColumn id="2226" xr3:uid="{941B796F-6ECD-48D5-A890-5526046F7C14}" name="Kolonna1888"/>
    <tableColumn id="2227" xr3:uid="{61997F1E-3594-49AF-8206-15FC35FE2539}" name="Kolonna1889"/>
    <tableColumn id="2228" xr3:uid="{53C7F78E-79C6-402E-AD0A-4F122E8B412E}" name="Kolonna1890"/>
    <tableColumn id="2229" xr3:uid="{F2A3002A-F5A9-4410-8A3C-E2A7AC2A83BA}" name="Kolonna1891"/>
    <tableColumn id="2230" xr3:uid="{23D5E2C2-78F6-4EAC-8133-F111CEE600BA}" name="Kolonna1892"/>
    <tableColumn id="2231" xr3:uid="{0405F98D-82B3-4553-AEEE-3D9FE9D5FB99}" name="Kolonna1893"/>
    <tableColumn id="2232" xr3:uid="{1C9A9A38-3341-4837-A9B7-2A709E6870C3}" name="Kolonna1894"/>
    <tableColumn id="2233" xr3:uid="{A0B85336-C4F8-41C2-B72D-C4D269C6DBB2}" name="Kolonna1895"/>
    <tableColumn id="2234" xr3:uid="{9870B306-BF08-4BB0-88BF-7CEBC6FE140B}" name="Kolonna1896"/>
    <tableColumn id="2235" xr3:uid="{488EF240-F3E8-410B-827D-0FB4BC1C1ED7}" name="Kolonna1897"/>
    <tableColumn id="2236" xr3:uid="{4E125496-213B-4B73-9E75-7D8B0F5C0BF6}" name="Kolonna1898"/>
    <tableColumn id="2237" xr3:uid="{BC6CEC95-DF45-498D-8FB3-20A812C0B4E9}" name="Kolonna1899"/>
    <tableColumn id="2238" xr3:uid="{ACF79C70-CAEA-4943-86EC-BEC727E6A4EB}" name="Kolonna1900"/>
    <tableColumn id="2239" xr3:uid="{8FC88571-B7C9-4BFB-B42D-DE2191C8BD3A}" name="Kolonna1901"/>
    <tableColumn id="2240" xr3:uid="{BC579565-0DE5-439A-8BEB-60CAF00115CC}" name="Kolonna1902"/>
    <tableColumn id="2241" xr3:uid="{EEE288F3-A9AF-4087-8DCD-94DC97275493}" name="Kolonna1903"/>
    <tableColumn id="2242" xr3:uid="{8E29F86C-5F8C-44BD-AA3F-3429198EE4A0}" name="Kolonna1904"/>
    <tableColumn id="2243" xr3:uid="{8B98C67C-E134-4205-B4A2-7BC09964BB8B}" name="Kolonna1905"/>
    <tableColumn id="2244" xr3:uid="{A695F0A3-FA59-4F31-8374-C047A099CA0D}" name="Kolonna1906"/>
    <tableColumn id="2245" xr3:uid="{D013DED1-6138-4668-A992-7B692E6D278B}" name="Kolonna1907"/>
    <tableColumn id="2246" xr3:uid="{00056E1E-1735-45C6-88D5-751B05719830}" name="Kolonna1908"/>
    <tableColumn id="2247" xr3:uid="{1C9CDA11-1788-493A-B659-82B875C67306}" name="Kolonna1909"/>
    <tableColumn id="2248" xr3:uid="{D20768AD-F898-4744-90B9-78D1A4571E65}" name="Kolonna1910"/>
    <tableColumn id="2249" xr3:uid="{C6502E34-E56E-4886-B29E-302446DC2728}" name="Kolonna1911"/>
    <tableColumn id="2250" xr3:uid="{2128C273-9A27-41A7-B419-192444C77547}" name="Kolonna1912"/>
    <tableColumn id="2251" xr3:uid="{D2529A0C-FB8E-4942-98F1-E69502A911B9}" name="Kolonna1913"/>
    <tableColumn id="2252" xr3:uid="{0B78734A-0F18-44B9-9EA6-6314C8247A0A}" name="Kolonna1914"/>
    <tableColumn id="2253" xr3:uid="{0FA20716-FA98-4538-A1C8-E771A6B21113}" name="Kolonna1915"/>
    <tableColumn id="2254" xr3:uid="{533AA646-8905-4783-87B2-FDA677741D7D}" name="Kolonna1916"/>
    <tableColumn id="2255" xr3:uid="{BB0DC3BF-2E29-4A69-AA7B-B8C9CF6EB2B5}" name="Kolonna1917"/>
    <tableColumn id="2256" xr3:uid="{2210483E-0ACB-4EAC-B3B1-6ACFD6E7842C}" name="Kolonna1918"/>
    <tableColumn id="2257" xr3:uid="{374C2DEA-5819-4E4D-B80D-15E51C812D60}" name="Kolonna1919"/>
    <tableColumn id="2258" xr3:uid="{8E392B0C-844A-40D1-AA08-2F45133C070B}" name="Kolonna1920"/>
    <tableColumn id="2259" xr3:uid="{39DF5FE8-8A20-4A3B-B2BD-A08692B84A8B}" name="Kolonna1921"/>
    <tableColumn id="2260" xr3:uid="{DA395D3C-E617-46D7-9A91-50F3A722D33C}" name="Kolonna1922"/>
    <tableColumn id="2261" xr3:uid="{867FD11C-CC25-4778-B5E8-98D6E4D20051}" name="Kolonna1923"/>
    <tableColumn id="2262" xr3:uid="{DAF14E2C-0804-473F-9246-888C98AD1EE9}" name="Kolonna1924"/>
    <tableColumn id="2263" xr3:uid="{90247726-D4DD-498F-988D-7AAD17EAEC12}" name="Kolonna1925"/>
    <tableColumn id="2264" xr3:uid="{6EAAA6A9-259F-48BD-B10B-DF201712557A}" name="Kolonna1926"/>
    <tableColumn id="2265" xr3:uid="{46602F6D-588D-47C8-BF17-14CBAFC7193B}" name="Kolonna1927"/>
    <tableColumn id="2266" xr3:uid="{F4362D31-08A2-49B7-BC90-BD59137384F1}" name="Kolonna1928"/>
    <tableColumn id="2267" xr3:uid="{2B89DFEB-6C57-497F-BFF6-8AA3F64A99CE}" name="Kolonna1929"/>
    <tableColumn id="2268" xr3:uid="{2B7586E4-21A5-4C16-A26F-BF5CAD36447F}" name="Kolonna1930"/>
    <tableColumn id="2269" xr3:uid="{7CEF9430-8D78-4A52-8668-59EB7AA3733E}" name="Kolonna1931"/>
    <tableColumn id="2270" xr3:uid="{07FD2611-F5F8-4595-A0D7-5C1860D4B2D9}" name="Kolonna1932"/>
    <tableColumn id="2271" xr3:uid="{8025F5AF-FCFC-4441-93E6-E2C8A9793166}" name="Kolonna1933"/>
    <tableColumn id="2272" xr3:uid="{8D896BDF-BDA0-46B1-8782-5577398AEE53}" name="Kolonna1934"/>
    <tableColumn id="2273" xr3:uid="{DF61AD90-EE9C-4729-B78E-1189ACB82345}" name="Kolonna1935"/>
    <tableColumn id="2274" xr3:uid="{F48D7D82-2753-409D-BA34-766B03707A95}" name="Kolonna1936"/>
    <tableColumn id="2275" xr3:uid="{0B6BDCC5-5E3D-42B0-8C07-B4FD0C2F9FD5}" name="Kolonna1937"/>
    <tableColumn id="2276" xr3:uid="{9BC4841A-485E-48C4-B99C-124E21DA6DDE}" name="Kolonna1938"/>
    <tableColumn id="2277" xr3:uid="{725AAF70-C06C-456D-8A3D-2759D66D980F}" name="Kolonna1939"/>
    <tableColumn id="2278" xr3:uid="{DAEF4A53-5DD0-423E-99C0-B975AA42181C}" name="Kolonna1940"/>
    <tableColumn id="2279" xr3:uid="{C212101A-6F74-4F31-B842-1536B2EAD159}" name="Kolonna1941"/>
    <tableColumn id="2280" xr3:uid="{9023FD4B-4466-4FAA-AEEF-368B4C7636FC}" name="Kolonna1942"/>
    <tableColumn id="2281" xr3:uid="{08A3EE91-7D47-450E-B8E7-F2AFF5D06CF0}" name="Kolonna1943"/>
    <tableColumn id="2282" xr3:uid="{A27AE58A-277E-4EA3-8BEE-2440C65ABCB8}" name="Kolonna1944"/>
    <tableColumn id="2283" xr3:uid="{2E64B1D4-CEB3-4A62-A1FA-3675EB646BDD}" name="Kolonna1945"/>
    <tableColumn id="2284" xr3:uid="{F280DAE6-CE91-4022-BE8A-978510E2125E}" name="Kolonna1946"/>
    <tableColumn id="2285" xr3:uid="{77A30543-721D-462C-B929-11B21E607C8E}" name="Kolonna1947"/>
    <tableColumn id="2286" xr3:uid="{6A9CE16E-B37E-44DB-9E9D-319694B3E3C0}" name="Kolonna1948"/>
    <tableColumn id="2287" xr3:uid="{562D858C-E2D9-4052-840D-577C854BAC45}" name="Kolonna1949"/>
    <tableColumn id="2288" xr3:uid="{D401642B-AD19-48BA-B7E9-CCADF624A7DB}" name="Kolonna1950"/>
    <tableColumn id="2289" xr3:uid="{FACCE63E-EEEF-4A37-B1C1-D4AA3F12C7F3}" name="Kolonna1951"/>
    <tableColumn id="2290" xr3:uid="{4868DD9C-8ECD-4358-8DC5-894DDE285BA2}" name="Kolonna1952"/>
    <tableColumn id="2291" xr3:uid="{731D7D65-A3A5-4A0F-AF78-E145C7FD2A4B}" name="Kolonna1953"/>
    <tableColumn id="2292" xr3:uid="{F390F5EA-F8BF-4D92-9016-F0803899FFEC}" name="Kolonna1954"/>
    <tableColumn id="2293" xr3:uid="{91CD49FA-28DB-4197-8A01-A98C898D66A8}" name="Kolonna1955"/>
    <tableColumn id="2294" xr3:uid="{71A6E4A5-EBF2-4B2D-A13D-8D290EBCB7F6}" name="Kolonna1956"/>
    <tableColumn id="2295" xr3:uid="{02441850-982F-4129-A606-42E8C36A14CF}" name="Kolonna1957"/>
    <tableColumn id="2296" xr3:uid="{C02D9367-C998-4D38-A54C-3414476EE653}" name="Kolonna1958"/>
    <tableColumn id="2297" xr3:uid="{94FD0E5B-E7F8-41B1-8DAE-9B3D66311255}" name="Kolonna1959"/>
    <tableColumn id="2298" xr3:uid="{01756CA6-C3A8-4A1F-BEE0-9FCC07A963CD}" name="Kolonna1960"/>
    <tableColumn id="2299" xr3:uid="{63056CA1-072D-4A29-AD9A-827407E8DFEF}" name="Kolonna1961"/>
    <tableColumn id="2300" xr3:uid="{2760D857-DC48-4E05-B897-513886EEF264}" name="Kolonna1962"/>
    <tableColumn id="2301" xr3:uid="{7A35D751-345A-4E36-B4C4-FCC659ADD853}" name="Kolonna1963"/>
    <tableColumn id="2302" xr3:uid="{3A4D918B-6920-4C2B-9E25-AAF7AC7620FA}" name="Kolonna1964"/>
    <tableColumn id="2303" xr3:uid="{B57E5ACF-4CC0-4CCB-AEEB-DB55A9F39730}" name="Kolonna1965"/>
    <tableColumn id="2304" xr3:uid="{97828B8B-2937-41C8-9D6F-4C4F7F163AFD}" name="Kolonna1966"/>
    <tableColumn id="2305" xr3:uid="{B17CD124-9DCD-4D0B-9057-8CF699DC0D99}" name="Kolonna1967"/>
    <tableColumn id="2306" xr3:uid="{1B627705-C7B7-46E6-A934-63BE075C1DFF}" name="Kolonna1968"/>
    <tableColumn id="2307" xr3:uid="{AC002F3F-A290-431F-9B11-259EB2AEBBA9}" name="Kolonna1969"/>
    <tableColumn id="2308" xr3:uid="{A3783D5C-B074-4BE3-84CA-4126C5A5B22F}" name="Kolonna1970"/>
    <tableColumn id="2309" xr3:uid="{498E97D1-D0C6-4A8C-A1D3-6C1AD5593A5E}" name="Kolonna1971"/>
    <tableColumn id="2310" xr3:uid="{6884C67B-7AE1-45CA-9511-43357AD55657}" name="Kolonna1972"/>
    <tableColumn id="2311" xr3:uid="{5F51527C-963E-4F30-9777-03301D208DFD}" name="Kolonna1973"/>
    <tableColumn id="2312" xr3:uid="{7F98EB2B-D3FA-4C9C-90AA-0440D530909E}" name="Kolonna1974"/>
    <tableColumn id="2313" xr3:uid="{A6EF46D8-58E7-4E96-A657-F40C9EA37367}" name="Kolonna1975"/>
    <tableColumn id="2314" xr3:uid="{85314E27-AAC6-4825-BDE4-DAB08F45D301}" name="Kolonna1976"/>
    <tableColumn id="2315" xr3:uid="{F4BA090E-0C6C-421D-ADC4-213C5CC61AD2}" name="Kolonna1977"/>
    <tableColumn id="2316" xr3:uid="{1329ACFE-3466-432C-8F2A-C5D753CF3CF1}" name="Kolonna1978"/>
    <tableColumn id="2317" xr3:uid="{C6BE60C6-9B91-42BF-B5A7-2FDB18A2CC1D}" name="Kolonna1979"/>
    <tableColumn id="2318" xr3:uid="{91368F5B-231A-469B-B9A2-82523FF3A417}" name="Kolonna1980"/>
    <tableColumn id="2319" xr3:uid="{99585652-8105-4907-BA88-6D906041F2D6}" name="Kolonna1981"/>
    <tableColumn id="2320" xr3:uid="{F5FB6510-66B5-4F44-B63A-605717113C1C}" name="Kolonna1982"/>
    <tableColumn id="2321" xr3:uid="{7A8267AC-E6C4-4162-BFE9-BEF395A94B35}" name="Kolonna1983"/>
    <tableColumn id="2322" xr3:uid="{62AA61AA-C934-4F71-ACD8-9927BC70B5F9}" name="Kolonna1984"/>
    <tableColumn id="2323" xr3:uid="{3A38CFA1-DAC6-4432-8593-CA9C2306E657}" name="Kolonna1985"/>
    <tableColumn id="2324" xr3:uid="{F1B5A5C1-E433-49F3-A892-41CD73A755D5}" name="Kolonna1986"/>
    <tableColumn id="2325" xr3:uid="{4ABDAB2D-768A-4ADF-97ED-E293E5DE10FC}" name="Kolonna1987"/>
    <tableColumn id="2326" xr3:uid="{703F0F7E-E582-4925-83C3-B1F29A213616}" name="Kolonna1988"/>
    <tableColumn id="2327" xr3:uid="{727745F7-1964-4527-8F4A-B373A8BC9CEE}" name="Kolonna1989"/>
    <tableColumn id="2328" xr3:uid="{2A8B421C-8962-4C0B-9737-FF0DB1853B1E}" name="Kolonna1990"/>
    <tableColumn id="2329" xr3:uid="{7E65A879-0691-4CEB-B59E-47E339B14F02}" name="Kolonna1991"/>
    <tableColumn id="2330" xr3:uid="{F418D111-809D-4311-AD28-13A0691B781E}" name="Kolonna1992"/>
    <tableColumn id="2331" xr3:uid="{F74EA24F-3935-4D3D-B19F-9FE333655ED4}" name="Kolonna1993"/>
    <tableColumn id="2332" xr3:uid="{400259F2-B43F-4355-A5FD-31F4B4B2BEFD}" name="Kolonna1994"/>
    <tableColumn id="2333" xr3:uid="{3564CD70-02A8-4E61-93ED-29B218297018}" name="Kolonna1995"/>
    <tableColumn id="2334" xr3:uid="{5F640C84-7768-4AED-A42D-F9229BD4B200}" name="Kolonna1996"/>
    <tableColumn id="2335" xr3:uid="{EDB229D3-F090-4BA5-801C-B798843E77D8}" name="Kolonna1997"/>
    <tableColumn id="2336" xr3:uid="{EC00116D-78F1-40FE-B31B-C76938E2711D}" name="Kolonna1998"/>
    <tableColumn id="2337" xr3:uid="{A8FDF072-0831-4213-BC43-106634AC8C1C}" name="Kolonna1999"/>
    <tableColumn id="2338" xr3:uid="{3907F608-5C11-4816-82A5-D1D1A0A16F9E}" name="Kolonna2000"/>
    <tableColumn id="2339" xr3:uid="{54F88612-72B9-4A02-B323-487A8AE34D00}" name="Kolonna2001"/>
    <tableColumn id="2340" xr3:uid="{A3A26B74-CEF7-449C-AA4E-A43A7C968FD8}" name="Kolonna2002"/>
    <tableColumn id="2341" xr3:uid="{2B75C52F-CA96-4A3A-9974-27892A875449}" name="Kolonna2003"/>
    <tableColumn id="2342" xr3:uid="{C46A3EFC-7430-41C2-8440-A7B3749C9435}" name="Kolonna2004"/>
    <tableColumn id="2343" xr3:uid="{443C2481-589A-4A90-8F3D-292200A22A5E}" name="Kolonna2005"/>
    <tableColumn id="2344" xr3:uid="{9AB39971-4CD2-41D2-B0D0-7CC1DBC85EA1}" name="Kolonna2006"/>
    <tableColumn id="2345" xr3:uid="{3ACD8E19-6579-4AD3-9122-266F548D987F}" name="Kolonna2007"/>
    <tableColumn id="2346" xr3:uid="{29904868-81CE-4C72-B4B6-AF51F5CAEAFF}" name="Kolonna2008"/>
    <tableColumn id="2347" xr3:uid="{B8783FDF-D96B-4DFE-B372-C2D57CCD5520}" name="Kolonna2009"/>
    <tableColumn id="2348" xr3:uid="{871BBC3E-3883-49DF-B958-EA106F33FA8E}" name="Kolonna2010"/>
    <tableColumn id="2349" xr3:uid="{28B28453-88AA-4EF6-97DC-2EFFFFF40F62}" name="Kolonna2011"/>
    <tableColumn id="2350" xr3:uid="{81CD0DAA-6D2C-4A8A-956E-873958A63712}" name="Kolonna2012"/>
    <tableColumn id="2351" xr3:uid="{6B9C5A0E-AC00-4976-BF1A-217FC1530F1E}" name="Kolonna2013"/>
    <tableColumn id="2352" xr3:uid="{EF1EE5A0-D856-4022-940A-DAB867AAFE4E}" name="Kolonna2014"/>
    <tableColumn id="2353" xr3:uid="{CCA1F65B-41FE-4243-B078-735A730783FC}" name="Kolonna2015"/>
    <tableColumn id="2354" xr3:uid="{BE7A1359-56E8-43EC-8BAE-D6F2B723328D}" name="Kolonna2016"/>
    <tableColumn id="2355" xr3:uid="{A2AEF45D-0342-4758-AF5B-39BEBA016A1B}" name="Kolonna2017"/>
    <tableColumn id="2356" xr3:uid="{4EE4B563-B8CF-46AC-92AC-89298FF550F9}" name="Kolonna2018"/>
    <tableColumn id="2357" xr3:uid="{816159DE-E95A-459F-8302-76D323A9ABF2}" name="Kolonna2019"/>
    <tableColumn id="2358" xr3:uid="{48041D43-254F-43B9-B220-F8CAD54D60CC}" name="Kolonna2020"/>
    <tableColumn id="2359" xr3:uid="{AB47E7BD-A3FF-49C0-A84E-5D72B8CDE3E9}" name="Kolonna2021"/>
    <tableColumn id="2360" xr3:uid="{1A06E058-EECE-4833-A54B-744844FE31E4}" name="Kolonna2022"/>
    <tableColumn id="2361" xr3:uid="{8DEE4FB4-6D82-41B7-9538-BF929E44C850}" name="Kolonna2023"/>
    <tableColumn id="2362" xr3:uid="{B30AC79B-0CF3-4797-B2C0-5053412D4558}" name="Kolonna2024"/>
    <tableColumn id="2363" xr3:uid="{E8E40C27-543F-4491-9E2B-0832D6528E55}" name="Kolonna2025"/>
    <tableColumn id="2364" xr3:uid="{53537552-A6EC-4505-A1F2-3D1C91FF2F84}" name="Kolonna2026"/>
    <tableColumn id="2365" xr3:uid="{330244FF-132E-4CD8-AA40-644AB38827D3}" name="Kolonna2027"/>
    <tableColumn id="2366" xr3:uid="{4B6C3CCE-24CC-443C-840C-0564BF1C5E96}" name="Kolonna2028"/>
    <tableColumn id="2367" xr3:uid="{AC84AE39-D0E2-4347-B407-3D0D3BACEEBB}" name="Kolonna2029"/>
    <tableColumn id="2368" xr3:uid="{6486DA5F-785B-452E-BB7E-C16AAB65B237}" name="Kolonna2030"/>
    <tableColumn id="2369" xr3:uid="{3D57152D-430C-408A-9803-3CE97AB6E56A}" name="Kolonna2031"/>
    <tableColumn id="2370" xr3:uid="{C9B59123-91DC-4DD5-B301-5E75536E0C13}" name="Kolonna2032"/>
    <tableColumn id="2371" xr3:uid="{AD19C011-68F2-4DA7-84D2-B803A001E4E9}" name="Kolonna2033"/>
    <tableColumn id="2372" xr3:uid="{01352BB2-09F1-491B-B7F4-5A052A482466}" name="Kolonna2034"/>
    <tableColumn id="2373" xr3:uid="{284EB7A1-DACE-4F1F-A40D-85B27424C3BD}" name="Kolonna2035"/>
    <tableColumn id="2374" xr3:uid="{04F20990-C8E2-4D47-BDC2-F60DDA0C45A2}" name="Kolonna2036"/>
    <tableColumn id="2375" xr3:uid="{BECA37B0-C7E0-45FB-A07C-1E46D1987405}" name="Kolonna2037"/>
    <tableColumn id="2376" xr3:uid="{6EB3FC2B-A48D-4ACF-96C9-BC49D9302E1D}" name="Kolonna2038"/>
    <tableColumn id="2377" xr3:uid="{54914833-D316-4421-B9A3-1C686C95D801}" name="Kolonna2039"/>
    <tableColumn id="2378" xr3:uid="{3CEBAB20-C5C5-40A2-8E22-AEB1F49F1322}" name="Kolonna2040"/>
    <tableColumn id="2379" xr3:uid="{982F9C02-D479-4F13-AEC4-60522FEC1A49}" name="Kolonna2041"/>
    <tableColumn id="2380" xr3:uid="{83ACFE9E-ABCD-4BF7-9941-62B34E985700}" name="Kolonna2042"/>
    <tableColumn id="2381" xr3:uid="{FCCE73E1-854E-4D51-BA20-3042C8DE16D1}" name="Kolonna2043"/>
    <tableColumn id="2382" xr3:uid="{26076704-9992-42DA-8CA2-54621103FEC0}" name="Kolonna2044"/>
    <tableColumn id="2383" xr3:uid="{0379D48E-3362-45F4-8771-0C04D2B6DB2A}" name="Kolonna2045"/>
    <tableColumn id="2384" xr3:uid="{54F49233-1C6E-434F-8105-74D36625BB07}" name="Kolonna2046"/>
    <tableColumn id="2385" xr3:uid="{083CA81C-323B-41EC-944A-1562E2AA97F0}" name="Kolonna2047"/>
    <tableColumn id="2386" xr3:uid="{4C077674-15D5-41B8-94DA-A174098C017B}" name="Kolonna2048"/>
    <tableColumn id="2387" xr3:uid="{EEE01385-9CB9-4B97-B070-DC72F304DD9E}" name="Kolonna2049"/>
    <tableColumn id="2388" xr3:uid="{47E5D041-A351-4439-A1E2-9E80E0D5AE55}" name="Kolonna2050"/>
    <tableColumn id="2389" xr3:uid="{EF29B062-682A-4121-8848-6312D0712D5C}" name="Kolonna2051"/>
    <tableColumn id="2390" xr3:uid="{66017FC3-803E-49E3-9423-2149A5850E7D}" name="Kolonna2052"/>
    <tableColumn id="2391" xr3:uid="{E14F1821-6EED-4679-8120-78ECA42C2A0F}" name="Kolonna2053"/>
    <tableColumn id="2392" xr3:uid="{BE98C6A9-E0C3-47F1-A767-03EF88399421}" name="Kolonna2054"/>
    <tableColumn id="2393" xr3:uid="{E6ED4747-4F24-40F6-8853-9C88B5E811D0}" name="Kolonna2055"/>
    <tableColumn id="2394" xr3:uid="{73734AA2-0299-4E88-AA68-BD9EE4877F90}" name="Kolonna2056"/>
    <tableColumn id="2395" xr3:uid="{CFD664D6-3BF5-4293-9493-FAEFBB11A040}" name="Kolonna2057"/>
    <tableColumn id="2396" xr3:uid="{8CA88B15-32AF-4210-A601-E0488BAD9DC7}" name="Kolonna2058"/>
    <tableColumn id="2397" xr3:uid="{0B75CD92-134F-4338-88EF-A0025A50AD20}" name="Kolonna2059"/>
    <tableColumn id="2398" xr3:uid="{D8A26C0C-7C3B-49F2-B91A-0CFEFFE3AD10}" name="Kolonna2060"/>
    <tableColumn id="2399" xr3:uid="{E4A0293F-FBE5-4872-9B7D-A6F7011B0B4F}" name="Kolonna2061"/>
    <tableColumn id="2400" xr3:uid="{EF397ED6-3D6D-4E67-A707-505E0AAF80BE}" name="Kolonna2062"/>
    <tableColumn id="2401" xr3:uid="{4F668FDB-9E1E-4CE2-BF61-B7CB67C38503}" name="Kolonna2063"/>
    <tableColumn id="2402" xr3:uid="{69A55F63-F710-4A5D-A902-77CDD90C04A5}" name="Kolonna2064"/>
    <tableColumn id="2403" xr3:uid="{658578BC-A32B-4694-9DAF-B78D5F454585}" name="Kolonna2065"/>
    <tableColumn id="2404" xr3:uid="{7C59FC69-579F-4452-8501-FFDD5D97C25E}" name="Kolonna2066"/>
    <tableColumn id="2405" xr3:uid="{C2484FA1-5918-464E-860F-3D8D10327E2D}" name="Kolonna2067"/>
    <tableColumn id="2406" xr3:uid="{B6F19050-322F-4737-AFDB-528EBEDA5CBA}" name="Kolonna2068"/>
    <tableColumn id="2407" xr3:uid="{2E93D9FE-D93E-4C9E-9143-F069CF476F1C}" name="Kolonna2069"/>
    <tableColumn id="2408" xr3:uid="{28B29A43-C864-4267-9F03-DD84268F43B8}" name="Kolonna2070"/>
    <tableColumn id="2409" xr3:uid="{BFA9A249-2FE4-43F4-AF4F-51AB65870910}" name="Kolonna2071"/>
    <tableColumn id="2410" xr3:uid="{C3E20B26-5A2C-43E3-A9A8-83CFDC22D94A}" name="Kolonna2072"/>
    <tableColumn id="2411" xr3:uid="{3F226BCA-9548-4F6D-8863-730EB0841039}" name="Kolonna2073"/>
    <tableColumn id="2412" xr3:uid="{0C99AAAC-9B40-48C5-A3B2-F8F2382F9610}" name="Kolonna2074"/>
    <tableColumn id="2413" xr3:uid="{7AE1A457-ADEF-4C4B-94DD-8588E2449BCF}" name="Kolonna2075"/>
    <tableColumn id="2414" xr3:uid="{1684C9D4-DCDC-46DE-AF31-6A767106F6F7}" name="Kolonna2076"/>
    <tableColumn id="2415" xr3:uid="{556E44F6-6E60-4200-82AA-1EA9C2540D84}" name="Kolonna2077"/>
    <tableColumn id="2416" xr3:uid="{517E8411-50BC-47F2-8984-7675C5A90D21}" name="Kolonna2078"/>
    <tableColumn id="2417" xr3:uid="{75B1958B-B7E1-4F28-B8A4-6B849C31FC81}" name="Kolonna2079"/>
    <tableColumn id="2418" xr3:uid="{80028A29-9524-45E4-9140-777251B7C507}" name="Kolonna2080"/>
    <tableColumn id="2419" xr3:uid="{5B418325-E4A0-4CF4-8321-DA7985F9D5D2}" name="Kolonna2081"/>
    <tableColumn id="2420" xr3:uid="{8A11FDB3-CDFF-4ADB-8697-D0944AF5D261}" name="Kolonna2082"/>
    <tableColumn id="2421" xr3:uid="{B4FFCF5F-0507-4802-BC73-5FA6EF40E936}" name="Kolonna2083"/>
    <tableColumn id="2422" xr3:uid="{B4D84C23-A87C-4914-B67D-0E5937DBB7A6}" name="Kolonna2084"/>
    <tableColumn id="2423" xr3:uid="{BDF7103F-FB52-4BE9-BCAA-3A2BD46B004D}" name="Kolonna2085"/>
    <tableColumn id="2424" xr3:uid="{5ED30C31-F8F2-4BBA-80E6-CB4DC1CF0633}" name="Kolonna2086"/>
    <tableColumn id="2425" xr3:uid="{B67613FD-64AA-4174-9650-FD29F666D710}" name="Kolonna2087"/>
    <tableColumn id="2426" xr3:uid="{EE5F683B-835D-48EA-9252-BF34CAD41D20}" name="Kolonna2088"/>
    <tableColumn id="2427" xr3:uid="{1B006E0C-DE3C-4FB6-8D78-67F966C75778}" name="Kolonna2089"/>
    <tableColumn id="2428" xr3:uid="{34F3CC44-072F-465D-914A-7C941E345D24}" name="Kolonna2090"/>
    <tableColumn id="2429" xr3:uid="{F6A2ACE0-D400-489A-BEFC-CA395A05A84D}" name="Kolonna2091"/>
    <tableColumn id="2430" xr3:uid="{A1666C13-D6C1-4087-B574-44E086262F5B}" name="Kolonna2092"/>
    <tableColumn id="2431" xr3:uid="{7CCA811C-A7D9-48B3-A975-CFC46C46FAFB}" name="Kolonna2093"/>
    <tableColumn id="2432" xr3:uid="{7F48952D-64D7-41D0-A777-B320BF2096AA}" name="Kolonna2094"/>
    <tableColumn id="2433" xr3:uid="{AC04D541-74A1-424B-877E-CF820EBC6677}" name="Kolonna2095"/>
    <tableColumn id="2434" xr3:uid="{11D22E41-0EC2-4724-B00E-4D10C74BF1CE}" name="Kolonna2096"/>
    <tableColumn id="2435" xr3:uid="{822E3D39-D4B0-4F57-AAC4-AC11F69AC800}" name="Kolonna2097"/>
    <tableColumn id="2436" xr3:uid="{B81EDD2E-22C2-433C-B44B-B1B6B2F7F4AD}" name="Kolonna2098"/>
    <tableColumn id="2437" xr3:uid="{62A62987-F53D-455F-9B2E-85B7E543D272}" name="Kolonna2099"/>
    <tableColumn id="2438" xr3:uid="{EE2C65E8-2051-43A0-874D-4283D8F0986E}" name="Kolonna2100"/>
    <tableColumn id="2439" xr3:uid="{59E62A02-76D3-4D85-A5FC-F0BC2D5851BC}" name="Kolonna2101"/>
    <tableColumn id="2440" xr3:uid="{13E55ED3-A9B9-4B76-A37F-A67E4FC0B050}" name="Kolonna2102"/>
    <tableColumn id="2441" xr3:uid="{8F29DFEB-906D-4C49-9143-37BBF2B41CAC}" name="Kolonna2103"/>
    <tableColumn id="2442" xr3:uid="{48E854B6-9A3A-48F7-AA59-02DC0647BA32}" name="Kolonna2104"/>
    <tableColumn id="2443" xr3:uid="{1B04E556-9EAC-44E8-9A06-D1EC8E458F40}" name="Kolonna2105"/>
    <tableColumn id="2444" xr3:uid="{E3AB61F9-8424-4937-A275-909FF51E728C}" name="Kolonna2106"/>
    <tableColumn id="2445" xr3:uid="{81A30104-40A3-4E5A-B392-5A628D68B9C8}" name="Kolonna2107"/>
    <tableColumn id="2446" xr3:uid="{A47B6569-2EBC-4A1C-98D6-A997C9AF18C0}" name="Kolonna2108"/>
    <tableColumn id="2447" xr3:uid="{3535F4A3-84B1-410A-BFF1-40677F9054FC}" name="Kolonna2109"/>
    <tableColumn id="2448" xr3:uid="{A1BD0DBD-1F6B-4500-A62D-2B4B4FAB6CE9}" name="Kolonna2110"/>
    <tableColumn id="2449" xr3:uid="{640F94CC-9ED6-45D6-9036-3D0400547E5B}" name="Kolonna2111"/>
    <tableColumn id="2450" xr3:uid="{B881574B-B8D4-4C53-B2C0-EE8D40CA5B3F}" name="Kolonna2112"/>
    <tableColumn id="2451" xr3:uid="{BE82969F-F778-4C75-9BA6-4E6C13D3BE35}" name="Kolonna2113"/>
    <tableColumn id="2452" xr3:uid="{FCFDFE33-6CBE-4378-89F5-F9F497815B6C}" name="Kolonna2114"/>
    <tableColumn id="2453" xr3:uid="{DF07C1E8-3C04-496B-B25E-B32C87E5BBAF}" name="Kolonna2115"/>
    <tableColumn id="2454" xr3:uid="{BC674ECB-8755-4329-889C-98763D315C32}" name="Kolonna2116"/>
    <tableColumn id="2455" xr3:uid="{3E673844-FBAD-4F88-A043-D567C1E1F1DF}" name="Kolonna2117"/>
    <tableColumn id="2456" xr3:uid="{59905411-ECC4-4455-ACC8-A351C8F02DD7}" name="Kolonna2118"/>
    <tableColumn id="2457" xr3:uid="{2DFAE5CE-72AB-4B08-8503-79372958AFC8}" name="Kolonna2119"/>
    <tableColumn id="2458" xr3:uid="{7984A180-DFA3-4AF2-86B3-3DC0AA377E9A}" name="Kolonna2120"/>
    <tableColumn id="2459" xr3:uid="{32DBE866-CCC7-4A51-8250-262F23AF9ACB}" name="Kolonna2121"/>
    <tableColumn id="2460" xr3:uid="{5F7DB5C7-1AD7-4254-8034-D0D02EB8D1E6}" name="Kolonna2122"/>
    <tableColumn id="2461" xr3:uid="{2EA3B2E9-7BB4-49EA-8C75-D480E684FBE9}" name="Kolonna2123"/>
    <tableColumn id="2462" xr3:uid="{D165E890-47E0-4CD3-B3FB-F98F4B79E169}" name="Kolonna2124"/>
    <tableColumn id="2463" xr3:uid="{A2FD780B-19FD-4E56-8D47-A377EEE3B66C}" name="Kolonna2125"/>
    <tableColumn id="2464" xr3:uid="{1B8B2B03-02F6-446E-88F7-5F88EC16397F}" name="Kolonna2126"/>
    <tableColumn id="2465" xr3:uid="{DCB973EA-1B3A-46C7-A8C3-F512F3110F28}" name="Kolonna2127"/>
    <tableColumn id="2466" xr3:uid="{DC576DFB-0349-42E6-BED4-16877F5CDBCD}" name="Kolonna2128"/>
    <tableColumn id="2467" xr3:uid="{87A36E44-B763-4E38-A753-A2D3FDB967D2}" name="Kolonna2129"/>
    <tableColumn id="2468" xr3:uid="{A8732C7B-B2EA-42B7-A38C-E9B4EC649C7F}" name="Kolonna2130"/>
    <tableColumn id="2469" xr3:uid="{7D7EA80C-9F32-4954-B65C-EDAC5612D6BE}" name="Kolonna2131"/>
    <tableColumn id="2470" xr3:uid="{30E64966-9413-4F96-A1F2-D0295D7E13A3}" name="Kolonna2132"/>
    <tableColumn id="2471" xr3:uid="{308A24EF-E64E-487F-9AA7-7A897520971E}" name="Kolonna2133"/>
    <tableColumn id="2472" xr3:uid="{E0209D43-2C97-4B64-9E50-52A8FB3D76B1}" name="Kolonna2134"/>
    <tableColumn id="2473" xr3:uid="{F3D15B75-F293-4B38-A253-1A389B3FB5D2}" name="Kolonna2135"/>
    <tableColumn id="2474" xr3:uid="{8A8B4993-0CBB-4499-8F90-2E8DA4BEB4B9}" name="Kolonna2136"/>
    <tableColumn id="2475" xr3:uid="{40FE6FB9-28E6-4A83-AE9E-29D8762051FE}" name="Kolonna2137"/>
    <tableColumn id="2476" xr3:uid="{E62D7530-DEED-4236-9C76-D326314D2535}" name="Kolonna2138"/>
    <tableColumn id="2477" xr3:uid="{355C4F55-180D-4C47-AD60-9A8A4B3BB456}" name="Kolonna2139"/>
    <tableColumn id="2478" xr3:uid="{A5D04114-217C-4FAB-AB37-2AAADE57520E}" name="Kolonna2140"/>
    <tableColumn id="2479" xr3:uid="{BBDC46DA-B835-4A82-84C0-0E11DC753510}" name="Kolonna2141"/>
    <tableColumn id="2480" xr3:uid="{3F91E02A-DEFE-4FDF-8ADD-0F6EE4CC2938}" name="Kolonna2142"/>
    <tableColumn id="2481" xr3:uid="{FE10A73A-BFEA-472B-A5B0-CC51F03CC8DD}" name="Kolonna2143"/>
    <tableColumn id="2482" xr3:uid="{E2AE60E4-E550-4DB4-A38A-E78C71713917}" name="Kolonna2144"/>
    <tableColumn id="2483" xr3:uid="{5117BDD2-8848-42B6-BA30-6BE81F28F3AB}" name="Kolonna2145"/>
    <tableColumn id="2484" xr3:uid="{B056D864-EFDD-44E5-BEC5-1D41A40CF1F1}" name="Kolonna2146"/>
    <tableColumn id="2485" xr3:uid="{B7B704C6-1213-4B6C-A4AA-A687A32A7663}" name="Kolonna2147"/>
    <tableColumn id="2486" xr3:uid="{A1763921-41F2-47F8-9E97-6FB4A86749EC}" name="Kolonna2148"/>
    <tableColumn id="2487" xr3:uid="{E6053AAF-E5C5-4146-A845-D1C65029B06E}" name="Kolonna2149"/>
    <tableColumn id="2488" xr3:uid="{522473C2-60DC-4C78-B746-DB591CA6C5E5}" name="Kolonna2150"/>
    <tableColumn id="2489" xr3:uid="{16DA3F1C-284D-444F-A978-47C9C8837EC0}" name="Kolonna2151"/>
    <tableColumn id="2490" xr3:uid="{08694750-497F-42A2-94FF-036A8EC35F9E}" name="Kolonna2152"/>
    <tableColumn id="2491" xr3:uid="{4F5006A7-853E-4182-AC43-3BF0A9D958FE}" name="Kolonna2153"/>
    <tableColumn id="2492" xr3:uid="{16E66576-A91B-4B4B-87C5-C7CE9FC8059E}" name="Kolonna2154"/>
    <tableColumn id="2493" xr3:uid="{BF566BD9-34A7-4022-9894-DDE31411202D}" name="Kolonna2155"/>
    <tableColumn id="2494" xr3:uid="{5CD2705C-A9E9-4A1D-93D3-855E8CFF532F}" name="Kolonna2156"/>
    <tableColumn id="2495" xr3:uid="{B28199A4-11C4-4D3D-9C19-522446760689}" name="Kolonna2157"/>
    <tableColumn id="2496" xr3:uid="{07350760-89A8-4C63-977F-F8688BF1E76A}" name="Kolonna2158"/>
    <tableColumn id="2497" xr3:uid="{30DD9026-CA50-4D37-AB71-F2CC65511165}" name="Kolonna2159"/>
    <tableColumn id="2498" xr3:uid="{2E92F827-9DE7-4C26-B783-34EE4FA34A2C}" name="Kolonna2160"/>
    <tableColumn id="2499" xr3:uid="{8F7A9935-C96D-4687-99CF-9F478C798EC2}" name="Kolonna2161"/>
    <tableColumn id="2500" xr3:uid="{26EE2473-9BAE-43EE-889D-7F7890D360C2}" name="Kolonna2162"/>
    <tableColumn id="2501" xr3:uid="{8C2A8899-DED7-4989-AA87-587028038A21}" name="Kolonna2163"/>
    <tableColumn id="2502" xr3:uid="{5EA97EFF-F7FA-4C73-BB32-F3D02B634DB2}" name="Kolonna2164"/>
    <tableColumn id="2503" xr3:uid="{50E62CA4-EF9B-41C9-B6DC-E0D6EF34A57A}" name="Kolonna2165"/>
    <tableColumn id="2504" xr3:uid="{38B149DA-C71E-4C08-8A63-BE54E78B34E9}" name="Kolonna2166"/>
    <tableColumn id="2505" xr3:uid="{744E8720-62FB-4306-BE32-D6939EDC4524}" name="Kolonna2167"/>
    <tableColumn id="2506" xr3:uid="{1F838A8B-343E-403E-8440-CED34E6A1CA5}" name="Kolonna2168"/>
    <tableColumn id="2507" xr3:uid="{8DC505E0-8E91-4384-A3B4-2587511D85A6}" name="Kolonna2169"/>
    <tableColumn id="2508" xr3:uid="{8FDA348D-E863-4112-8ADC-D4D1ED138DDF}" name="Kolonna2170"/>
    <tableColumn id="2509" xr3:uid="{C1DE9CEE-BF93-40DB-9138-979934995417}" name="Kolonna2171"/>
    <tableColumn id="2510" xr3:uid="{A3818065-0B56-49FC-95A6-60C4936D78BD}" name="Kolonna2172"/>
    <tableColumn id="2511" xr3:uid="{BFD4CFEF-723A-4886-84CC-769DD00EED83}" name="Kolonna2173"/>
    <tableColumn id="2512" xr3:uid="{79760359-EE95-42D2-83B2-82CACF8F1703}" name="Kolonna2174"/>
    <tableColumn id="2513" xr3:uid="{F322362C-C0D9-4B37-B3F2-216CF1F2C5D5}" name="Kolonna2175"/>
    <tableColumn id="2514" xr3:uid="{A66238DF-BEFB-4D19-B76E-C04D583658F7}" name="Kolonna2176"/>
    <tableColumn id="2515" xr3:uid="{8B07096E-3D3E-49F1-B33F-8C7A346532D3}" name="Kolonna2177"/>
    <tableColumn id="2516" xr3:uid="{3733A4CD-AAF2-45E6-B329-FC1B59A2CB52}" name="Kolonna2178"/>
    <tableColumn id="2517" xr3:uid="{9FF7962E-BDFB-45F5-957A-DF6AFD8C0220}" name="Kolonna2179"/>
    <tableColumn id="2518" xr3:uid="{9911784A-EB34-4594-96A1-6DBF2BA9997F}" name="Kolonna2180"/>
    <tableColumn id="2519" xr3:uid="{8B69DCDA-1C19-4F9B-BBE0-C75662709FAC}" name="Kolonna2181"/>
    <tableColumn id="2520" xr3:uid="{0F5DDD97-2F19-402C-B7E5-87D218735037}" name="Kolonna2182"/>
    <tableColumn id="2521" xr3:uid="{14149C75-16CE-4819-9E93-CB61099047DF}" name="Kolonna2183"/>
    <tableColumn id="2522" xr3:uid="{51978D63-11C2-4B3D-92C7-BD80E7B48DC7}" name="Kolonna2184"/>
    <tableColumn id="2523" xr3:uid="{CD0FAF48-EF11-4DF6-98C0-5432F5354E8F}" name="Kolonna2185"/>
    <tableColumn id="2524" xr3:uid="{7B4ACFF9-0E0B-41DD-BC90-F84C10966397}" name="Kolonna2186"/>
    <tableColumn id="2525" xr3:uid="{BFEF3D91-0F4A-47D3-9D1F-F684C3A8D8C8}" name="Kolonna2187"/>
    <tableColumn id="2526" xr3:uid="{77E74BCB-5211-42B8-86F4-6CE0943A7949}" name="Kolonna2188"/>
    <tableColumn id="2527" xr3:uid="{BCA4EEBA-5BBF-497E-A5A9-AA08F4BE68EF}" name="Kolonna2189"/>
    <tableColumn id="2528" xr3:uid="{10DF5E29-3CBA-4C7D-AD45-122D530F407A}" name="Kolonna2190"/>
    <tableColumn id="2529" xr3:uid="{392816DA-6043-41F3-9F52-69BCDD748452}" name="Kolonna2191"/>
    <tableColumn id="2530" xr3:uid="{63565121-5698-430A-A35D-033F0D3F800F}" name="Kolonna2192"/>
    <tableColumn id="2531" xr3:uid="{610C07B3-C814-4CCD-A56F-26B40D84733B}" name="Kolonna2193"/>
    <tableColumn id="2532" xr3:uid="{73C481A4-60B0-4487-98EB-BC1FF0E15E34}" name="Kolonna2194"/>
    <tableColumn id="2533" xr3:uid="{B70E458E-9740-484C-9918-85987627AD85}" name="Kolonna2195"/>
    <tableColumn id="2534" xr3:uid="{6F7D0111-06C6-41FB-B314-62DF1B3F9437}" name="Kolonna2196"/>
    <tableColumn id="2535" xr3:uid="{3AA77D36-EDE1-46A7-9F4B-884F61A9137E}" name="Kolonna2197"/>
    <tableColumn id="2536" xr3:uid="{A449A260-18E6-4771-BFFE-06F14FB44414}" name="Kolonna2198"/>
    <tableColumn id="2537" xr3:uid="{55CF1A57-BAD2-43CD-94E1-676B741C3524}" name="Kolonna2199"/>
    <tableColumn id="2538" xr3:uid="{A8292E53-9A88-4162-B2FE-F1A08C4A7976}" name="Kolonna2200"/>
    <tableColumn id="2539" xr3:uid="{F8E6DC38-1ECC-40AD-B6A5-D1AAD5E0B389}" name="Kolonna2201"/>
    <tableColumn id="2540" xr3:uid="{B1E22EAF-5C61-46B1-9AC5-7726940BACFC}" name="Kolonna2202"/>
    <tableColumn id="2541" xr3:uid="{03E5A85D-6D12-4FE6-B3F2-18D7E0972B13}" name="Kolonna2203"/>
    <tableColumn id="2542" xr3:uid="{19756BAE-6B73-4AD8-A100-8813CFDCBCC3}" name="Kolonna2204"/>
    <tableColumn id="2543" xr3:uid="{191BEED5-2856-4C25-AE47-F51D261C4C36}" name="Kolonna2205"/>
    <tableColumn id="2544" xr3:uid="{975CDA50-0C49-4096-8523-F4B635E6A243}" name="Kolonna2206"/>
    <tableColumn id="2545" xr3:uid="{93575A3E-E6C6-4B82-B377-9CACF0014054}" name="Kolonna2207"/>
    <tableColumn id="2546" xr3:uid="{69C8032B-9FBD-49A9-988C-D29178CB5885}" name="Kolonna2208"/>
    <tableColumn id="2547" xr3:uid="{EC3A7380-471E-48DB-B514-A8C988C49B5E}" name="Kolonna2209"/>
    <tableColumn id="2548" xr3:uid="{0B0CADD2-AB13-4B41-816B-DF7F7D004396}" name="Kolonna2210"/>
    <tableColumn id="2549" xr3:uid="{29A1FFE8-0C76-4289-8930-3AA76A772E7E}" name="Kolonna2211"/>
    <tableColumn id="2550" xr3:uid="{5164A317-F1CE-42E2-B7BD-A3BA82E990F9}" name="Kolonna2212"/>
    <tableColumn id="2551" xr3:uid="{01A3F975-069B-4BE7-8D3D-D48FC91C1423}" name="Kolonna2213"/>
    <tableColumn id="2552" xr3:uid="{A3C4C3F2-FF1B-4F38-8AD2-4B8734557D5D}" name="Kolonna2214"/>
    <tableColumn id="2553" xr3:uid="{47F9C729-9650-435E-B0CE-97D0FE9528A1}" name="Kolonna2215"/>
    <tableColumn id="2554" xr3:uid="{BDF29A03-6759-4AA3-BF54-C16218649224}" name="Kolonna2216"/>
    <tableColumn id="2555" xr3:uid="{8F6F9E27-3E25-41D5-A450-24BD68A74D83}" name="Kolonna2217"/>
    <tableColumn id="2556" xr3:uid="{967605CB-7F1A-45FB-85C3-0CE3B8F1356F}" name="Kolonna2218"/>
    <tableColumn id="2557" xr3:uid="{6C88E154-0271-4914-8879-972A6D223303}" name="Kolonna2219"/>
    <tableColumn id="2558" xr3:uid="{7378A36A-E189-408E-B717-C03BF3010C0C}" name="Kolonna2220"/>
    <tableColumn id="2559" xr3:uid="{305B1C91-5066-4706-8FAA-3B80F499F282}" name="Kolonna2221"/>
    <tableColumn id="2560" xr3:uid="{F71077AE-C559-4292-A950-E992E82F091A}" name="Kolonna2222"/>
    <tableColumn id="2561" xr3:uid="{DE5B8B43-0080-40DD-96C9-285EB3D9D1DF}" name="Kolonna2223"/>
    <tableColumn id="2562" xr3:uid="{F1C4A5E9-9B18-47B3-A536-8655C064F135}" name="Kolonna2224"/>
    <tableColumn id="2563" xr3:uid="{52EFF2D5-F725-4389-94B4-C0C48AC64959}" name="Kolonna2225"/>
    <tableColumn id="2564" xr3:uid="{7D9F02E9-4A1B-45CA-8606-B1694768BE70}" name="Kolonna2226"/>
    <tableColumn id="2565" xr3:uid="{9BC8A050-9494-4473-8F12-78F4E9797B4F}" name="Kolonna2227"/>
    <tableColumn id="2566" xr3:uid="{CB7F9533-38BE-416F-86D5-4E421599D4AF}" name="Kolonna2228"/>
    <tableColumn id="2567" xr3:uid="{E96B0308-8401-4921-8925-3086662676CE}" name="Kolonna2229"/>
    <tableColumn id="2568" xr3:uid="{9A532527-FED8-4B57-8436-A3CD9308CCB8}" name="Kolonna2230"/>
    <tableColumn id="2569" xr3:uid="{4A561980-F4F4-460E-9364-CDE42D9069B0}" name="Kolonna2231"/>
    <tableColumn id="2570" xr3:uid="{69B1F347-7241-4CE5-8D0A-64151E635529}" name="Kolonna2232"/>
    <tableColumn id="2571" xr3:uid="{CBF802F3-E7B6-4CBB-8AEC-FD6D2482D068}" name="Kolonna2233"/>
    <tableColumn id="2572" xr3:uid="{2480F6E8-4F2A-4B08-8799-27F4727A5001}" name="Kolonna2234"/>
    <tableColumn id="2573" xr3:uid="{2EE1BC55-0CBF-4426-BB8D-7ABBCDC9C483}" name="Kolonna2235"/>
    <tableColumn id="2574" xr3:uid="{57006257-CE66-4F00-806F-C404AED4B22A}" name="Kolonna2236"/>
    <tableColumn id="2575" xr3:uid="{B0C2759E-0218-43FA-8A82-92D872D2466A}" name="Kolonna2237"/>
    <tableColumn id="2576" xr3:uid="{DB7BF296-CA85-42BD-92CA-24D4DEC2B63C}" name="Kolonna2238"/>
    <tableColumn id="2577" xr3:uid="{EDD47964-7101-465F-87C1-96AC9B51CA53}" name="Kolonna2239"/>
    <tableColumn id="2578" xr3:uid="{310B035E-3FB9-4B11-8FA0-2D6E810D44A8}" name="Kolonna2240"/>
    <tableColumn id="2579" xr3:uid="{E891E204-15E1-4ADE-ACD9-D54B64AE6CC2}" name="Kolonna2241"/>
    <tableColumn id="2580" xr3:uid="{F82658C1-0788-4375-B005-BB45FE314291}" name="Kolonna2242"/>
    <tableColumn id="2581" xr3:uid="{246B0269-738C-454B-A08D-5C1538F301B2}" name="Kolonna2243"/>
    <tableColumn id="2582" xr3:uid="{BA854567-872E-4BD4-8F23-230E0A553942}" name="Kolonna2244"/>
    <tableColumn id="2583" xr3:uid="{D52E4BED-ABC0-4AD0-9C64-590C809F36EC}" name="Kolonna2245"/>
    <tableColumn id="2584" xr3:uid="{53C47A2D-1061-41F5-9D69-5C120C51DD95}" name="Kolonna2246"/>
    <tableColumn id="2585" xr3:uid="{5D14DEED-6ACA-4D7F-8AC9-3AD61AB05D91}" name="Kolonna2247"/>
    <tableColumn id="2586" xr3:uid="{473CBA11-FE76-4D23-9ABA-F9973BC6D344}" name="Kolonna2248"/>
    <tableColumn id="2587" xr3:uid="{DAA52E0C-84A3-4A28-8DB0-5A67BEDB3CBE}" name="Kolonna2249"/>
    <tableColumn id="2588" xr3:uid="{E64031FF-BDF1-456B-8CDC-6B61F78183E2}" name="Kolonna2250"/>
    <tableColumn id="2589" xr3:uid="{866A0CF5-4F18-499F-8BC5-7BC1268E1EA3}" name="Kolonna2251"/>
    <tableColumn id="2590" xr3:uid="{323CAC02-F25B-4B21-BF27-56BC56A5D700}" name="Kolonna2252"/>
    <tableColumn id="2591" xr3:uid="{731102AD-4075-4D08-B7AB-5A2975E02402}" name="Kolonna2253"/>
    <tableColumn id="2592" xr3:uid="{0E7ACD50-FD24-44E5-B940-DF604FD3B334}" name="Kolonna2254"/>
    <tableColumn id="2593" xr3:uid="{BCDDFC2B-CE40-45F4-9553-5EF249D47F90}" name="Kolonna2255"/>
    <tableColumn id="2594" xr3:uid="{BB9992BD-93EA-43E2-8D02-C85D55135F8D}" name="Kolonna2256"/>
    <tableColumn id="2595" xr3:uid="{4D69A7BA-7EE5-404B-88E9-21860F9A449F}" name="Kolonna2257"/>
    <tableColumn id="2596" xr3:uid="{31B47393-E489-4965-A6B3-32186BE4AF58}" name="Kolonna2258"/>
    <tableColumn id="2597" xr3:uid="{DD8034DE-0494-4834-8D69-35A2647EBA03}" name="Kolonna2259"/>
    <tableColumn id="2598" xr3:uid="{355D8301-2EF6-4E11-A1C1-0F69834D99CE}" name="Kolonna2260"/>
    <tableColumn id="2599" xr3:uid="{CF07FC7D-A660-40B5-8F95-57B7DD9B6F6C}" name="Kolonna2261"/>
    <tableColumn id="2600" xr3:uid="{7E245D11-C102-4203-BB24-3C7044E3104F}" name="Kolonna2262"/>
    <tableColumn id="2601" xr3:uid="{6AF611E8-69F4-42C8-8499-AF00F02EF568}" name="Kolonna2263"/>
    <tableColumn id="2602" xr3:uid="{46EEF124-4450-4C9D-8F8A-3F3F0871A211}" name="Kolonna2264"/>
    <tableColumn id="2603" xr3:uid="{044474A0-08AB-46F8-BB0C-EEB6440DF268}" name="Kolonna2265"/>
    <tableColumn id="2604" xr3:uid="{31B15BF7-179C-491B-BAB2-D50078B57CC9}" name="Kolonna2266"/>
    <tableColumn id="2605" xr3:uid="{92DA26E0-4BD9-4351-ACD7-BCF2B9C4D4F7}" name="Kolonna2267"/>
    <tableColumn id="2606" xr3:uid="{C8D230D8-1A36-4A63-AA62-080D5D8CADCB}" name="Kolonna2268"/>
    <tableColumn id="2607" xr3:uid="{C1D608B4-9E6A-4C57-ABD5-DA22704F2453}" name="Kolonna2269"/>
    <tableColumn id="2608" xr3:uid="{FCEE2E6E-F524-4725-A34C-8F01F0B5443A}" name="Kolonna2270"/>
    <tableColumn id="2609" xr3:uid="{301C23AA-54C1-457F-B2F0-411FC72FA827}" name="Kolonna2271"/>
    <tableColumn id="2610" xr3:uid="{63D8E8B3-B909-4CD2-85FA-12876F9801A2}" name="Kolonna2272"/>
    <tableColumn id="2611" xr3:uid="{B057932F-E177-46A3-9D15-7DA96EC9B2CF}" name="Kolonna2273"/>
    <tableColumn id="2612" xr3:uid="{05B22AF6-C0CB-4656-B2C3-E507DC439597}" name="Kolonna2274"/>
    <tableColumn id="2613" xr3:uid="{AE749583-9460-435D-880E-EE0785B3F9BB}" name="Kolonna2275"/>
    <tableColumn id="2614" xr3:uid="{FA3C2105-3F70-44FB-B18D-C59DFBB79952}" name="Kolonna2276"/>
    <tableColumn id="2615" xr3:uid="{ACE54FD4-3E55-4598-81A0-7ADA915CD14F}" name="Kolonna2277"/>
    <tableColumn id="2616" xr3:uid="{CEC0D6E2-3515-4906-9A6B-426FCAA5EE07}" name="Kolonna2278"/>
    <tableColumn id="2617" xr3:uid="{09204F08-FA70-4A06-ABA0-87B6CF598C80}" name="Kolonna2279"/>
    <tableColumn id="2618" xr3:uid="{CBA44169-E3BD-4D8E-A7AA-64F2BAA7B2FE}" name="Kolonna2280"/>
    <tableColumn id="2619" xr3:uid="{FAC12359-2713-4991-A067-1E28D3353717}" name="Kolonna2281"/>
    <tableColumn id="2620" xr3:uid="{3E58BD8A-3CB7-4040-AF2D-A92398871689}" name="Kolonna2282"/>
    <tableColumn id="2621" xr3:uid="{8A4827E0-161E-47F3-9611-E704522F4911}" name="Kolonna2283"/>
    <tableColumn id="2622" xr3:uid="{C0F60EAE-5757-4166-B256-2287FCD2D9C4}" name="Kolonna2284"/>
    <tableColumn id="2623" xr3:uid="{564D2E59-3730-410B-BA35-93EF85D3F042}" name="Kolonna2285"/>
    <tableColumn id="2624" xr3:uid="{4C6C746F-F111-48E3-8E67-79CD3D2A8DE4}" name="Kolonna2286"/>
    <tableColumn id="2625" xr3:uid="{AB8440CA-B41E-44DD-B620-CB0552283454}" name="Kolonna2287"/>
    <tableColumn id="2626" xr3:uid="{815BB061-0EF7-4FC0-B3E7-4635D51C8563}" name="Kolonna2288"/>
    <tableColumn id="2627" xr3:uid="{506B4C72-98DD-41AF-BC31-B6BAEB0F768E}" name="Kolonna2289"/>
    <tableColumn id="2628" xr3:uid="{F0A2EF70-B436-4BD9-A19F-28C766E9179F}" name="Kolonna2290"/>
    <tableColumn id="2629" xr3:uid="{8A249424-5830-4271-A6FD-FB73E3E691CA}" name="Kolonna2291"/>
    <tableColumn id="2630" xr3:uid="{E41EFF95-21D5-4D3A-83F4-B555A273040E}" name="Kolonna2292"/>
    <tableColumn id="2631" xr3:uid="{A4A4C913-CED9-4CD8-B37D-654AF14D7F39}" name="Kolonna2293"/>
    <tableColumn id="2632" xr3:uid="{275C65ED-1DE8-464E-9A0D-CD870EE854D3}" name="Kolonna2294"/>
    <tableColumn id="2633" xr3:uid="{F4374060-3EC5-476D-A0E4-018F9D24BE45}" name="Kolonna2295"/>
    <tableColumn id="2634" xr3:uid="{FAD7F0BF-913A-4723-84AD-E6090D83A7E0}" name="Kolonna2296"/>
    <tableColumn id="2635" xr3:uid="{282C3B1F-24B0-41B7-94DC-24ACEAFAAA01}" name="Kolonna2297"/>
    <tableColumn id="2636" xr3:uid="{23CC08F5-5243-4771-BA32-9A8BBA47BD4E}" name="Kolonna2298"/>
    <tableColumn id="2637" xr3:uid="{36CCD782-8CFE-4845-81ED-5F3B2C13FE1B}" name="Kolonna2299"/>
    <tableColumn id="2638" xr3:uid="{2C6207B1-6C2B-4B79-A698-0A7BACF4F036}" name="Kolonna2300"/>
    <tableColumn id="2639" xr3:uid="{164FEBAA-89E5-4329-9FA9-BB70635293E7}" name="Kolonna2301"/>
    <tableColumn id="2640" xr3:uid="{71A07EE2-17BB-4007-896F-9834D620B5EB}" name="Kolonna2302"/>
    <tableColumn id="2641" xr3:uid="{4B301328-AED3-481D-A021-9AF191774AA1}" name="Kolonna2303"/>
    <tableColumn id="2642" xr3:uid="{07CF78BA-50FD-4B81-A0DB-0FC287660CF2}" name="Kolonna2304"/>
    <tableColumn id="2643" xr3:uid="{CDF3A242-C4A7-4D6E-ACB1-388D9A911A93}" name="Kolonna2305"/>
    <tableColumn id="2644" xr3:uid="{01364903-7AC4-41D2-98AC-5F72B2348D89}" name="Kolonna2306"/>
    <tableColumn id="2645" xr3:uid="{BB90C29D-6DAD-4198-B556-51D4A9656993}" name="Kolonna2307"/>
    <tableColumn id="2646" xr3:uid="{F9CA1211-4053-4A9B-9CC4-37632182FBB5}" name="Kolonna2308"/>
    <tableColumn id="2647" xr3:uid="{45A28021-49D5-4CBE-B54D-1414757B10EB}" name="Kolonna2309"/>
    <tableColumn id="2648" xr3:uid="{30EC8963-339C-4113-A0D4-88F4ADF1134C}" name="Kolonna2310"/>
    <tableColumn id="2649" xr3:uid="{147A9890-F131-4E14-BF2F-8EA30B8BAAC5}" name="Kolonna2311"/>
    <tableColumn id="2650" xr3:uid="{34A61069-2D61-4612-B387-FDD684E5D450}" name="Kolonna2312"/>
    <tableColumn id="2651" xr3:uid="{82670CEC-04CA-46C6-A747-7CEBFF3C1B84}" name="Kolonna2313"/>
    <tableColumn id="2652" xr3:uid="{3902EC8C-88ED-4031-9749-7240CAEBCC57}" name="Kolonna2314"/>
    <tableColumn id="2653" xr3:uid="{23825C6D-1720-4860-A01C-6E64E6BA72F8}" name="Kolonna2315"/>
    <tableColumn id="2654" xr3:uid="{56A70412-CC33-4542-9C7B-B05A185E3B2B}" name="Kolonna2316"/>
    <tableColumn id="2655" xr3:uid="{E9ABBC6A-6B2A-4D90-A22D-EDE06C8A9F56}" name="Kolonna2317"/>
    <tableColumn id="2656" xr3:uid="{44B5FB60-8C3A-498F-87BE-3E351982842F}" name="Kolonna2318"/>
    <tableColumn id="2657" xr3:uid="{25A08A9B-B53D-41C1-9471-E882F81C4253}" name="Kolonna2319"/>
    <tableColumn id="2658" xr3:uid="{A6EFBC1A-B012-4F6A-B273-C56FDF463028}" name="Kolonna2320"/>
    <tableColumn id="2659" xr3:uid="{82DE42B4-73DF-48C8-A7F7-6A75A8195CB8}" name="Kolonna2321"/>
    <tableColumn id="2660" xr3:uid="{FC6E1907-7E18-487A-9213-B3E1905BE931}" name="Kolonna2322"/>
    <tableColumn id="2661" xr3:uid="{672419C8-E6C8-4D4F-9C63-71DBA8FBA799}" name="Kolonna2323"/>
    <tableColumn id="2662" xr3:uid="{5886CD84-7872-407F-AF10-9BB6E10E1AEE}" name="Kolonna2324"/>
    <tableColumn id="2663" xr3:uid="{B172E9B2-974F-44E4-B3FB-0F99EF69E057}" name="Kolonna2325"/>
    <tableColumn id="2664" xr3:uid="{6D5C0DE9-84BA-435E-8403-BC24565DDC18}" name="Kolonna2326"/>
    <tableColumn id="2665" xr3:uid="{85B8A633-7DEA-4546-8342-56750725CB97}" name="Kolonna2327"/>
    <tableColumn id="2666" xr3:uid="{E58580D6-1D63-4A9E-9C6A-75F5F62B30A6}" name="Kolonna2328"/>
    <tableColumn id="2667" xr3:uid="{21A81342-89AF-4ED6-BA11-7E04E7D07CE0}" name="Kolonna2329"/>
    <tableColumn id="2668" xr3:uid="{8CBA22F4-3C14-4F65-82FB-88A5256784A3}" name="Kolonna2330"/>
    <tableColumn id="2669" xr3:uid="{66138339-1D3E-40E9-85CE-7E7344B9F75C}" name="Kolonna2331"/>
    <tableColumn id="2670" xr3:uid="{D596D3AF-06D1-45EC-8732-BCBC42F6FB06}" name="Kolonna2332"/>
    <tableColumn id="2671" xr3:uid="{41C618D1-6A47-460A-810B-AFF44E347083}" name="Kolonna2333"/>
    <tableColumn id="2672" xr3:uid="{3272020E-B8EC-4E87-BE6A-F92FBABB9A72}" name="Kolonna2334"/>
    <tableColumn id="2673" xr3:uid="{8F2A107F-589A-45BA-B78A-C8067581013B}" name="Kolonna2335"/>
    <tableColumn id="2674" xr3:uid="{EC81EEA9-32B4-406E-A1BC-CF260432C1D2}" name="Kolonna2336"/>
    <tableColumn id="2675" xr3:uid="{680280C6-2EAE-44F3-9393-FDD301B3B936}" name="Kolonna2337"/>
    <tableColumn id="2676" xr3:uid="{BD555570-4CB4-4DDD-B3EA-BE6F29A3AE36}" name="Kolonna2338"/>
    <tableColumn id="2677" xr3:uid="{5E4D8445-9E13-4C5F-9657-9DEDE7F80625}" name="Kolonna2339"/>
    <tableColumn id="2678" xr3:uid="{4687541E-628B-4236-8048-18912A6CAE35}" name="Kolonna2340"/>
    <tableColumn id="2679" xr3:uid="{A10E9C63-36EB-4EC2-94A6-73DFD679E5B1}" name="Kolonna2341"/>
    <tableColumn id="2680" xr3:uid="{7EAF4068-8AFE-484F-B391-D07DB67FEA24}" name="Kolonna2342"/>
    <tableColumn id="2681" xr3:uid="{32208FDE-34B0-4F76-8AB6-6B37C8CDCF0C}" name="Kolonna2343"/>
    <tableColumn id="2682" xr3:uid="{2CB8F92D-DF6D-4592-AB8B-CB57F701638F}" name="Kolonna2344"/>
    <tableColumn id="2683" xr3:uid="{9341BC56-7B8D-4A2A-AB19-1ED4D345A393}" name="Kolonna2345"/>
    <tableColumn id="2684" xr3:uid="{25C8AC47-0FA1-43D6-9878-7033EF672E62}" name="Kolonna2346"/>
    <tableColumn id="2685" xr3:uid="{539B2F0A-19EF-45C1-9041-230D89FAF632}" name="Kolonna2347"/>
    <tableColumn id="2686" xr3:uid="{F7920863-54FF-4F53-BAF2-84EF1CA1A891}" name="Kolonna2348"/>
    <tableColumn id="2687" xr3:uid="{67C552F0-DB39-42F7-9C66-C92C95A3B16C}" name="Kolonna2349"/>
    <tableColumn id="2688" xr3:uid="{18089671-7788-4364-98EC-7DE8D73121F2}" name="Kolonna2350"/>
    <tableColumn id="2689" xr3:uid="{2F104E74-ABB0-4D93-B8F9-56E74D1866E4}" name="Kolonna2351"/>
    <tableColumn id="2690" xr3:uid="{9174B625-C5E4-4A8F-A9C9-4C31E551EAEA}" name="Kolonna2352"/>
    <tableColumn id="2691" xr3:uid="{76126C96-9D3A-4A7E-A6D8-0123FE84C3A7}" name="Kolonna2353"/>
    <tableColumn id="2692" xr3:uid="{15E58294-9A06-4EBF-AC88-A41B3866FAE1}" name="Kolonna2354"/>
    <tableColumn id="2693" xr3:uid="{FB1633F2-1698-49B3-925A-0BEEB43D52D1}" name="Kolonna2355"/>
    <tableColumn id="2694" xr3:uid="{91273A7C-A323-4323-9574-80541A97E29A}" name="Kolonna2356"/>
    <tableColumn id="2695" xr3:uid="{9555C836-886F-4428-A786-ED34D4CF45B2}" name="Kolonna2357"/>
    <tableColumn id="2696" xr3:uid="{757169DD-D973-4D14-BDC6-4503C8B9F437}" name="Kolonna2358"/>
    <tableColumn id="2697" xr3:uid="{A34DB068-2369-4093-9AE0-B4D669E6E369}" name="Kolonna2359"/>
    <tableColumn id="2698" xr3:uid="{7F26E981-2C32-4196-ADFB-42282AA98D4D}" name="Kolonna2360"/>
    <tableColumn id="2699" xr3:uid="{924C6E11-6390-414B-815B-F5220FE3EBD0}" name="Kolonna2361"/>
    <tableColumn id="2700" xr3:uid="{6C7EB765-6ED9-4B1B-8667-2ED2BA6A54C7}" name="Kolonna2362"/>
    <tableColumn id="2701" xr3:uid="{6975174F-4CC1-4215-8AC9-8C7C5ACE3569}" name="Kolonna2363"/>
    <tableColumn id="2702" xr3:uid="{F9E98BCB-11A8-4663-A58B-CA748D65A9A4}" name="Kolonna2364"/>
    <tableColumn id="2703" xr3:uid="{92CB7064-ED93-41F3-8D75-91A6D3FF09A1}" name="Kolonna2365"/>
    <tableColumn id="2704" xr3:uid="{A64D9E43-45AC-43D7-AF90-F6995E1F8804}" name="Kolonna2366"/>
    <tableColumn id="2705" xr3:uid="{158750F2-748A-442B-AAF8-B3525ABE43B6}" name="Kolonna2367"/>
    <tableColumn id="2706" xr3:uid="{5780B837-0A25-431D-A354-612970E57E59}" name="Kolonna2368"/>
    <tableColumn id="2707" xr3:uid="{3F7E9ABE-AD34-459C-AE19-42851E9DC967}" name="Kolonna2369"/>
    <tableColumn id="2708" xr3:uid="{185FE97E-7C8D-41F1-ABF5-D6975A22B025}" name="Kolonna2370"/>
    <tableColumn id="2709" xr3:uid="{BC195EB9-0D58-45B1-9B13-8332E726501B}" name="Kolonna2371"/>
    <tableColumn id="2710" xr3:uid="{115DE027-3904-4D53-81AC-28A84C2A33FE}" name="Kolonna2372"/>
    <tableColumn id="2711" xr3:uid="{6D2ECB0A-D4C2-472A-853D-218AB5470433}" name="Kolonna2373"/>
    <tableColumn id="2712" xr3:uid="{327E15D4-CB18-4BE7-803C-05C7F09EBA45}" name="Kolonna2374"/>
    <tableColumn id="2713" xr3:uid="{873C4DC2-D171-4EC0-984D-1AF7809846C3}" name="Kolonna2375"/>
    <tableColumn id="2714" xr3:uid="{4F63ECAC-76BC-4BD6-8C61-F546F923673A}" name="Kolonna2376"/>
    <tableColumn id="2715" xr3:uid="{BBA06CE3-C9E3-4403-B5DC-1B523BE3C387}" name="Kolonna2377"/>
    <tableColumn id="2716" xr3:uid="{E650C817-82A2-4398-89E5-204E25B98560}" name="Kolonna2378"/>
    <tableColumn id="2717" xr3:uid="{AE378113-291D-4C36-8009-3738DED147DE}" name="Kolonna2379"/>
    <tableColumn id="2718" xr3:uid="{9FF7DC38-FC96-424D-959E-4ECB1309B5A6}" name="Kolonna2380"/>
    <tableColumn id="2719" xr3:uid="{00CF9EC2-5026-4F6B-ADD5-113CE1B5C8AD}" name="Kolonna2381"/>
    <tableColumn id="2720" xr3:uid="{5DF6A4B0-531A-4395-A48A-0804367BFA77}" name="Kolonna2382"/>
    <tableColumn id="2721" xr3:uid="{B34B0CA3-6183-466F-9214-2D524DBB457A}" name="Kolonna2383"/>
    <tableColumn id="2722" xr3:uid="{45FA31D9-515C-4FA0-8058-50DDF9F59ACF}" name="Kolonna2384"/>
    <tableColumn id="2723" xr3:uid="{E6C3033F-1169-4250-82D6-3D96D1A2CD65}" name="Kolonna2385"/>
    <tableColumn id="2724" xr3:uid="{D082A58C-718B-45AA-BD62-2C6614EDA45A}" name="Kolonna2386"/>
    <tableColumn id="2725" xr3:uid="{3501AA34-B15F-429B-84D8-482F0AE9873E}" name="Kolonna2387"/>
    <tableColumn id="2726" xr3:uid="{2CDEB198-41D5-4A6F-94CE-71DD3E4225AA}" name="Kolonna2388"/>
    <tableColumn id="2727" xr3:uid="{A5DFD49F-C572-4111-A473-C17C6AF3D7C5}" name="Kolonna2389"/>
    <tableColumn id="2728" xr3:uid="{28EB3F7B-C7FD-440C-B871-BC07A6DF4DA2}" name="Kolonna2390"/>
    <tableColumn id="2729" xr3:uid="{031D9BDF-A746-48AF-B65B-0887DE648A2B}" name="Kolonna2391"/>
    <tableColumn id="2730" xr3:uid="{FC392914-8189-44EB-8C39-F9AF8FCF23A2}" name="Kolonna2392"/>
    <tableColumn id="2731" xr3:uid="{95DE6DF4-D971-4ADF-BD7E-B9235C72B448}" name="Kolonna2393"/>
    <tableColumn id="2732" xr3:uid="{CB8ABBCA-045F-483B-8A55-7C3B023E6DB8}" name="Kolonna2394"/>
    <tableColumn id="2733" xr3:uid="{ED08CBAD-C1C9-421D-B303-48F3F80A4466}" name="Kolonna2395"/>
    <tableColumn id="2734" xr3:uid="{29CB793F-11F7-4A88-8290-B20600383EEF}" name="Kolonna2396"/>
    <tableColumn id="2735" xr3:uid="{60CED388-287C-4D60-A845-22E795029AA1}" name="Kolonna2397"/>
    <tableColumn id="2736" xr3:uid="{B2DA001D-C02C-46A6-A8CB-D34AEB10A6BC}" name="Kolonna2398"/>
    <tableColumn id="2737" xr3:uid="{E2B4FB20-D3DD-42AD-A976-2D269E7924B8}" name="Kolonna2399"/>
    <tableColumn id="2738" xr3:uid="{1ADF9F0F-9346-4E18-A84E-3C8915F5BAC6}" name="Kolonna2400"/>
    <tableColumn id="2739" xr3:uid="{7AE745AF-432D-45AF-9753-5F5DE4FA8009}" name="Kolonna2401"/>
    <tableColumn id="2740" xr3:uid="{733BB152-B910-48EF-B31F-2F547187E3C9}" name="Kolonna2402"/>
    <tableColumn id="2741" xr3:uid="{028C8711-C855-42D8-BC51-89C0AAAA2BD4}" name="Kolonna2403"/>
    <tableColumn id="2742" xr3:uid="{C9F22BB5-648A-4E68-9797-356A336E9A4A}" name="Kolonna2404"/>
    <tableColumn id="2743" xr3:uid="{3E38A53B-9EE8-442C-90EA-6F650EDC4FA9}" name="Kolonna2405"/>
    <tableColumn id="2744" xr3:uid="{7B6F297D-081B-42A7-9727-48014F3F950A}" name="Kolonna2406"/>
    <tableColumn id="2745" xr3:uid="{787AE3D3-34C1-4CEF-B1BE-5154384D24C3}" name="Kolonna2407"/>
    <tableColumn id="2746" xr3:uid="{486BA34B-5C3A-43E8-8BA3-ADE91CAD9F05}" name="Kolonna2408"/>
    <tableColumn id="2747" xr3:uid="{E01F51DB-E77B-4867-A274-F06DBE471716}" name="Kolonna2409"/>
    <tableColumn id="2748" xr3:uid="{C4EB0F6D-9E82-4A6F-882A-A5576121B69C}" name="Kolonna2410"/>
    <tableColumn id="2749" xr3:uid="{BBAE8B4A-D6EA-46A6-A02F-AACFCDB2DE48}" name="Kolonna2411"/>
    <tableColumn id="2750" xr3:uid="{E1354879-8302-4FE5-A8F8-9AB0035B3384}" name="Kolonna2412"/>
    <tableColumn id="2751" xr3:uid="{785E68BA-569C-4677-AFC5-97CE9DEFC76F}" name="Kolonna2413"/>
    <tableColumn id="2752" xr3:uid="{14D33CD6-65E2-4575-AFFD-93C7F5DFE9D7}" name="Kolonna2414"/>
    <tableColumn id="2753" xr3:uid="{501164AE-FB5D-4BA1-8D2A-B55610B66B55}" name="Kolonna2415"/>
    <tableColumn id="2754" xr3:uid="{B300F9A7-B7CB-4B1F-B923-C97C691AF301}" name="Kolonna2416"/>
    <tableColumn id="2755" xr3:uid="{4DF2654B-81EC-45ED-9E0D-FF94933B226C}" name="Kolonna2417"/>
    <tableColumn id="2756" xr3:uid="{4286929F-326F-4B19-8E7D-6F4BD699DEBC}" name="Kolonna2418"/>
    <tableColumn id="2757" xr3:uid="{31BB1386-E3F9-41C6-9C3B-B2E5EDC81BC5}" name="Kolonna2419"/>
    <tableColumn id="2758" xr3:uid="{87442A55-11A3-47F6-A500-25AC636E04BE}" name="Kolonna2420"/>
    <tableColumn id="2759" xr3:uid="{C7E144DB-6DD2-487C-B7CF-32812F0182BA}" name="Kolonna2421"/>
    <tableColumn id="2760" xr3:uid="{CA73AB70-6F0F-4EDB-ABBF-92AEE41F1B9E}" name="Kolonna2422"/>
    <tableColumn id="2761" xr3:uid="{6707C41B-4EED-476B-AA34-A2485ABBE194}" name="Kolonna2423"/>
    <tableColumn id="2762" xr3:uid="{341E7E3F-52EF-4097-94CA-D5D543F73448}" name="Kolonna2424"/>
    <tableColumn id="2763" xr3:uid="{5E2F960C-1DCF-4E7B-B350-D493BB5BAC2C}" name="Kolonna2425"/>
    <tableColumn id="2764" xr3:uid="{A6522ADE-82B1-4A30-94A6-26CD17227744}" name="Kolonna2426"/>
    <tableColumn id="2765" xr3:uid="{8FF36873-9CA0-4DCC-9DB2-2CA2DC6436C3}" name="Kolonna2427"/>
    <tableColumn id="2766" xr3:uid="{5B4886DA-599E-4041-AD5D-2A2863BB9165}" name="Kolonna2428"/>
    <tableColumn id="2767" xr3:uid="{44BCCC30-2ED8-4D73-B11C-42CF0FB6357B}" name="Kolonna2429"/>
    <tableColumn id="2768" xr3:uid="{D6F627BC-108D-405D-9B36-AD3FC676CF1E}" name="Kolonna2430"/>
    <tableColumn id="2769" xr3:uid="{D88F0052-8D39-43A8-A176-F65039F56BAE}" name="Kolonna2431"/>
    <tableColumn id="2770" xr3:uid="{1DA9C0A4-D17E-4532-9879-1C04F29C0C3D}" name="Kolonna2432"/>
    <tableColumn id="2771" xr3:uid="{F341E81B-9BB4-4994-BDCE-63C7F4416E93}" name="Kolonna2433"/>
    <tableColumn id="2772" xr3:uid="{F4418BA6-AA97-441C-9ECE-0EA146B27C59}" name="Kolonna2434"/>
    <tableColumn id="2773" xr3:uid="{2D81B5FF-56FB-48FF-91AB-9B038775D767}" name="Kolonna2435"/>
    <tableColumn id="2774" xr3:uid="{BBCDD72F-D745-4D39-B3AE-9BAC25C1D479}" name="Kolonna2436"/>
    <tableColumn id="2775" xr3:uid="{1EE15BEB-12EC-4C7E-85D5-2AFD5F93AC8E}" name="Kolonna2437"/>
    <tableColumn id="2776" xr3:uid="{AADE91AC-BFEF-4A1D-A231-6D42ED2F9B29}" name="Kolonna2438"/>
    <tableColumn id="2777" xr3:uid="{BFA42EEC-B3A4-4F34-B51F-E3879613C92E}" name="Kolonna2439"/>
    <tableColumn id="2778" xr3:uid="{E4983B76-3B90-4CDF-89DF-CBBEB66BCF50}" name="Kolonna2440"/>
    <tableColumn id="2779" xr3:uid="{E2B5A4BA-8A75-42CB-99E6-AFB6D4759B92}" name="Kolonna2441"/>
    <tableColumn id="2780" xr3:uid="{C7D062BE-DD1D-443C-B103-487F8901790E}" name="Kolonna2442"/>
    <tableColumn id="2781" xr3:uid="{D58B8F82-93E1-44B3-B77D-DAF7293F854F}" name="Kolonna2443"/>
    <tableColumn id="2782" xr3:uid="{45E57241-C656-4835-9103-B2A91466DF2B}" name="Kolonna2444"/>
    <tableColumn id="2783" xr3:uid="{0D7A1790-D104-4147-A72F-09E624068D06}" name="Kolonna2445"/>
    <tableColumn id="2784" xr3:uid="{7C5B74AD-B88D-4272-9EF2-7125C8C50610}" name="Kolonna2446"/>
    <tableColumn id="2785" xr3:uid="{D253D9A1-A2D1-4CD4-8898-0A1EF293C404}" name="Kolonna2447"/>
    <tableColumn id="2786" xr3:uid="{1D7DBCE0-EC65-45A0-B2D5-407BBCEC1857}" name="Kolonna2448"/>
    <tableColumn id="2787" xr3:uid="{D27533AF-7A01-4752-849E-F9AD40F80268}" name="Kolonna2449"/>
    <tableColumn id="2788" xr3:uid="{937FFC22-C25A-492F-9CDC-A683075D5533}" name="Kolonna2450"/>
    <tableColumn id="2789" xr3:uid="{32B7C424-DE06-4411-8DB8-750B9825B6ED}" name="Kolonna2451"/>
    <tableColumn id="2790" xr3:uid="{CB77AF5E-D748-404B-8995-9AC3CDF5D596}" name="Kolonna2452"/>
    <tableColumn id="2791" xr3:uid="{9B8D110A-65D1-4ADE-8FD4-61B539045365}" name="Kolonna2453"/>
    <tableColumn id="2792" xr3:uid="{42F8512E-5A54-46BB-8AB1-6CA44A25512D}" name="Kolonna2454"/>
    <tableColumn id="2793" xr3:uid="{C9C0CEA8-A99B-4AFD-B8A3-B413B50C83C2}" name="Kolonna2455"/>
    <tableColumn id="2794" xr3:uid="{F8666D02-FCC8-4BA6-BB80-901E3E00BEAF}" name="Kolonna2456"/>
    <tableColumn id="2795" xr3:uid="{2ABB662B-9DF1-475C-815C-F1300AF2EA56}" name="Kolonna2457"/>
    <tableColumn id="2796" xr3:uid="{3E7B3FAB-5D5F-46AC-9D6E-CA00413160F5}" name="Kolonna2458"/>
    <tableColumn id="2797" xr3:uid="{BD9FE460-01D4-4C2D-B21B-4CE4FF2870D5}" name="Kolonna2459"/>
    <tableColumn id="2798" xr3:uid="{626DA0C3-30A8-4220-B732-5DC8390A728A}" name="Kolonna2460"/>
    <tableColumn id="2799" xr3:uid="{D40DD508-C2B5-47B3-ABC3-EA0A6BAAD9D1}" name="Kolonna2461"/>
    <tableColumn id="2800" xr3:uid="{7C6BC031-395B-46C0-ADE7-2F3B19634EC0}" name="Kolonna2462"/>
    <tableColumn id="2801" xr3:uid="{1D5E575D-9B7F-4218-9507-7DB6D4F0113B}" name="Kolonna2463"/>
    <tableColumn id="2802" xr3:uid="{C348C11C-004F-4DED-AAE6-710ED1E6603E}" name="Kolonna2464"/>
    <tableColumn id="2803" xr3:uid="{0EE22FF3-6D67-4912-92EC-CCAE90E1CFBC}" name="Kolonna2465"/>
    <tableColumn id="2804" xr3:uid="{C561990B-65E2-46FC-8604-6D6254C47417}" name="Kolonna2466"/>
    <tableColumn id="2805" xr3:uid="{E1682EC2-2859-4D85-9AE9-CF007E23EE2F}" name="Kolonna2467"/>
    <tableColumn id="2806" xr3:uid="{CC0DA918-A236-4E4D-A762-4BD9B3D0016B}" name="Kolonna2468"/>
    <tableColumn id="2807" xr3:uid="{E3CE76A2-123A-4096-9EAF-77D7D0C09AF2}" name="Kolonna2469"/>
    <tableColumn id="2808" xr3:uid="{963AC3B6-B023-47FA-810C-9C631CCDA1BA}" name="Kolonna2470"/>
    <tableColumn id="2809" xr3:uid="{44EED592-0267-445A-AA4C-5870D3C67F03}" name="Kolonna2471"/>
    <tableColumn id="2810" xr3:uid="{A983E553-74D2-4F4B-A25A-5CEE022F395F}" name="Kolonna2472"/>
    <tableColumn id="2811" xr3:uid="{4C8B2DE0-5195-4214-AF92-3CEC92331792}" name="Kolonna2473"/>
    <tableColumn id="2812" xr3:uid="{7AD64B18-351E-40B3-88B7-78073E5657B4}" name="Kolonna2474"/>
    <tableColumn id="2813" xr3:uid="{23797389-7E30-4F56-9D59-C3D83E399EB3}" name="Kolonna2475"/>
    <tableColumn id="2814" xr3:uid="{DDF0C262-8ABF-466F-A459-753F2CEEB4A4}" name="Kolonna2476"/>
    <tableColumn id="2815" xr3:uid="{B3ED5E0C-BAF4-419D-976D-D89D5CB99D14}" name="Kolonna2477"/>
    <tableColumn id="2816" xr3:uid="{E988BF54-03EE-4A39-8711-AC03F5D1C582}" name="Kolonna2478"/>
    <tableColumn id="2817" xr3:uid="{F979DCDF-9E62-42C2-B758-9606716DE9FA}" name="Kolonna2479"/>
    <tableColumn id="2818" xr3:uid="{7BAEE913-FB9B-4A7F-AC7B-67FDF406FDCE}" name="Kolonna2480"/>
    <tableColumn id="2819" xr3:uid="{FAB67650-7AA0-4A0C-B7D5-A2F1B852A0F7}" name="Kolonna2481"/>
    <tableColumn id="2820" xr3:uid="{64F4AF29-F5DF-479C-ACA8-3BF3EA67A266}" name="Kolonna2482"/>
    <tableColumn id="2821" xr3:uid="{97316D27-29EA-4C03-BF6E-6532C57C2AF2}" name="Kolonna2483"/>
    <tableColumn id="2822" xr3:uid="{F6C2FA7A-CA81-45E9-8AF9-81FF6D7C5A83}" name="Kolonna2484"/>
    <tableColumn id="2823" xr3:uid="{E2FC7D15-6EE6-4A2C-909A-F9EF2F20611A}" name="Kolonna2485"/>
    <tableColumn id="2824" xr3:uid="{3BD8012C-C681-4641-8BB4-DEAD610F54A2}" name="Kolonna2486"/>
    <tableColumn id="2825" xr3:uid="{6D158A11-57E0-4B34-830E-7D2F1F6BB35B}" name="Kolonna2487"/>
    <tableColumn id="2826" xr3:uid="{496EAA0C-9923-4DFB-9D71-4D60BB95018C}" name="Kolonna2488"/>
    <tableColumn id="2827" xr3:uid="{4C5EA5EF-1BD9-4BAA-B9DC-EEDA6D011A43}" name="Kolonna2489"/>
    <tableColumn id="2828" xr3:uid="{3D14B283-3CEF-4C23-8301-AFD2B7CEB049}" name="Kolonna2490"/>
    <tableColumn id="2829" xr3:uid="{9959D383-3843-4C13-9C2B-00132B024EEB}" name="Kolonna2491"/>
    <tableColumn id="2830" xr3:uid="{5CCF199E-2256-41B9-9CA5-B4A13D003969}" name="Kolonna2492"/>
    <tableColumn id="2831" xr3:uid="{B5366667-EAE9-473C-8992-39E5AC33A53B}" name="Kolonna2493"/>
    <tableColumn id="2832" xr3:uid="{561BFDD2-7019-415E-9A69-ECB805C09A1B}" name="Kolonna2494"/>
    <tableColumn id="2833" xr3:uid="{C7432CFA-A5E7-42C7-94E7-26F1D6FEDEC9}" name="Kolonna2495"/>
    <tableColumn id="2834" xr3:uid="{2C3AB5AA-D9DF-44C2-96D6-032BE75EFCAA}" name="Kolonna2496"/>
    <tableColumn id="2835" xr3:uid="{7E8F820A-C7A5-485E-959C-C928937578C6}" name="Kolonna2497"/>
    <tableColumn id="2836" xr3:uid="{DB084429-9B7E-445F-AE94-98474E200198}" name="Kolonna2498"/>
    <tableColumn id="2837" xr3:uid="{BC80C053-16DB-4D09-81A2-673A161EE1F2}" name="Kolonna2499"/>
    <tableColumn id="2838" xr3:uid="{E57405AC-D117-4C98-8E7F-6D30D70802C4}" name="Kolonna2500"/>
    <tableColumn id="2839" xr3:uid="{4A97BBC3-C08A-4CB3-BE60-00869855A708}" name="Kolonna2501"/>
    <tableColumn id="2840" xr3:uid="{6EEC8164-ED12-4C35-9F6E-1A7C9371B5FE}" name="Kolonna2502"/>
    <tableColumn id="2841" xr3:uid="{33E3B997-3EE2-411C-A213-F7D9D282B80A}" name="Kolonna2503"/>
    <tableColumn id="2842" xr3:uid="{DBC7C490-5728-493E-B307-99F43788F279}" name="Kolonna2504"/>
    <tableColumn id="2843" xr3:uid="{72A3FF94-3AAE-4A20-853A-E7EE96006E01}" name="Kolonna2505"/>
    <tableColumn id="2844" xr3:uid="{B0993D3F-9D4C-4B6D-9D1C-107823E80DC4}" name="Kolonna2506"/>
    <tableColumn id="2845" xr3:uid="{00AAAF5B-B75E-49CE-925B-1C8A04C5900A}" name="Kolonna2507"/>
    <tableColumn id="2846" xr3:uid="{22589569-41F0-4E53-AE77-3FF9D6D39BFF}" name="Kolonna2508"/>
    <tableColumn id="2847" xr3:uid="{0F2BF8A8-3B47-4B77-A261-8E057B844C2C}" name="Kolonna2509"/>
    <tableColumn id="2848" xr3:uid="{25D2E393-6B40-4184-B6B9-45608F19EA1F}" name="Kolonna2510"/>
    <tableColumn id="2849" xr3:uid="{6565C45E-9CCC-4365-AA63-79B63045532A}" name="Kolonna2511"/>
    <tableColumn id="2850" xr3:uid="{FD9A9D37-8B96-4DD3-8984-6A9D8C38C59D}" name="Kolonna2512"/>
    <tableColumn id="2851" xr3:uid="{6EB08CB6-D1E9-45D8-BF6A-C5CD53CADE0B}" name="Kolonna2513"/>
    <tableColumn id="2852" xr3:uid="{9A4F12D1-18AB-4224-A657-C31B0037BA41}" name="Kolonna2514"/>
    <tableColumn id="2853" xr3:uid="{8ED166DA-6EA0-4FA1-BDA3-3B21CA629A23}" name="Kolonna2515"/>
    <tableColumn id="2854" xr3:uid="{DDB3D63A-2AFB-4875-96D5-C907CE48B284}" name="Kolonna2516"/>
    <tableColumn id="2855" xr3:uid="{566B1962-B2C9-4338-B759-33491EDB7CD7}" name="Kolonna2517"/>
    <tableColumn id="2856" xr3:uid="{1AF7E475-79DF-49C8-9771-71D068C5135B}" name="Kolonna2518"/>
    <tableColumn id="2857" xr3:uid="{F93697FF-536E-433E-9999-E8837D2DBE87}" name="Kolonna2519"/>
    <tableColumn id="2858" xr3:uid="{4D4AC730-2EE9-4049-955B-DD051178C0EF}" name="Kolonna2520"/>
    <tableColumn id="2859" xr3:uid="{3F8FD947-BB6E-48C1-9081-4709785E9EB7}" name="Kolonna2521"/>
    <tableColumn id="2860" xr3:uid="{074CFE23-3C4D-47E6-B8E7-383C4C317AFC}" name="Kolonna2522"/>
    <tableColumn id="2861" xr3:uid="{B586CB98-7DB4-478C-8EC7-F69E19A50182}" name="Kolonna2523"/>
    <tableColumn id="2862" xr3:uid="{B5AC4501-9820-40A4-8501-1F762371DF37}" name="Kolonna2524"/>
    <tableColumn id="2863" xr3:uid="{A064B309-3869-4D75-95B2-3A6B764EAF14}" name="Kolonna2525"/>
    <tableColumn id="2864" xr3:uid="{326367B2-2663-48F7-A1AC-DEFAEE818883}" name="Kolonna2526"/>
    <tableColumn id="2865" xr3:uid="{ECF68594-A63D-4396-A32E-B2713396D466}" name="Kolonna2527"/>
    <tableColumn id="2866" xr3:uid="{F42B437E-E1BF-4500-9F6C-5BBFEE2F3C2C}" name="Kolonna2528"/>
    <tableColumn id="2867" xr3:uid="{96AE5E74-7D88-465C-8B67-5959D3DABF19}" name="Kolonna2529"/>
    <tableColumn id="2868" xr3:uid="{0358969D-8605-4875-B0A3-4A299BC2E4A1}" name="Kolonna2530"/>
    <tableColumn id="2869" xr3:uid="{BF256F11-8B75-46F8-B852-B1BC7AF83473}" name="Kolonna2531"/>
    <tableColumn id="2870" xr3:uid="{2753B71A-4D84-413C-8BED-B7FEBBEC6BA2}" name="Kolonna2532"/>
    <tableColumn id="2871" xr3:uid="{542CC134-1189-4C09-B9E5-38749BEA3FB5}" name="Kolonna2533"/>
    <tableColumn id="2872" xr3:uid="{ABD834EE-8CB9-4D86-B83A-85154FA209C2}" name="Kolonna2534"/>
    <tableColumn id="2873" xr3:uid="{71E26AFA-8242-47DD-8445-1D0E097A224C}" name="Kolonna2535"/>
    <tableColumn id="2874" xr3:uid="{35CA7995-6A35-4943-BEC2-F870F6338927}" name="Kolonna2536"/>
    <tableColumn id="2875" xr3:uid="{A28F18F5-0A90-4E8C-A484-EF04DD7AEE8E}" name="Kolonna2537"/>
    <tableColumn id="2876" xr3:uid="{F3480A65-BF86-4BC4-9853-8ACCBD054036}" name="Kolonna2538"/>
    <tableColumn id="2877" xr3:uid="{07FA286B-3C53-490F-AD0B-1D2755B0335C}" name="Kolonna2539"/>
    <tableColumn id="2878" xr3:uid="{E201596D-8636-408D-8F9A-4B3D3DE71C87}" name="Kolonna2540"/>
    <tableColumn id="2879" xr3:uid="{05E5920C-D9B1-464B-89C3-3652A34CA651}" name="Kolonna2541"/>
    <tableColumn id="2880" xr3:uid="{8C7FA23D-4E32-4D38-AAD1-F170087B6D2D}" name="Kolonna2542"/>
    <tableColumn id="2881" xr3:uid="{ADF83ABA-C3E4-4A3D-96E1-32989B8016D3}" name="Kolonna2543"/>
    <tableColumn id="2882" xr3:uid="{1AE71990-78DD-4499-9B47-3CA1A067FE05}" name="Kolonna2544"/>
    <tableColumn id="2883" xr3:uid="{90E13C52-29C5-4F81-92C1-E4ACDC549FDC}" name="Kolonna2545"/>
    <tableColumn id="2884" xr3:uid="{8E78A6BF-0CF1-4DCD-8AA5-54D5D8FEC4A3}" name="Kolonna2546"/>
    <tableColumn id="2885" xr3:uid="{1EB0EBFC-E23F-440D-B2CE-26B5997D9162}" name="Kolonna2547"/>
    <tableColumn id="2886" xr3:uid="{A5CB28F7-CD8A-4071-9242-0769E6D51859}" name="Kolonna2548"/>
    <tableColumn id="2887" xr3:uid="{CECE902A-DB58-4991-B30E-717A48B42033}" name="Kolonna2549"/>
    <tableColumn id="2888" xr3:uid="{2857C4DE-B599-4CD4-B632-B2B119FDD30C}" name="Kolonna2550"/>
    <tableColumn id="2889" xr3:uid="{FC3C5EFD-7D9B-4D3D-B31D-097C390DE773}" name="Kolonna2551"/>
    <tableColumn id="2890" xr3:uid="{ACD82091-499C-4798-BAB0-E21EEFBB563C}" name="Kolonna2552"/>
    <tableColumn id="2891" xr3:uid="{31BFD21B-4F90-4FFF-9976-F6A1D3AEF5FD}" name="Kolonna2553"/>
    <tableColumn id="2892" xr3:uid="{8B5B0D7A-F831-49D2-804F-403667A73BD3}" name="Kolonna2554"/>
    <tableColumn id="2893" xr3:uid="{CFFFBBEE-35A7-4EF6-9AFB-96C12D015F60}" name="Kolonna2555"/>
    <tableColumn id="2894" xr3:uid="{250312E0-8BD9-4066-94E9-D947634E5226}" name="Kolonna2556"/>
    <tableColumn id="2895" xr3:uid="{8FBE61DB-38A9-4E14-9CC9-99EBE14C62DC}" name="Kolonna2557"/>
    <tableColumn id="2896" xr3:uid="{2CBE51E7-576F-448B-BD72-38069BA6B5D2}" name="Kolonna2558"/>
    <tableColumn id="2897" xr3:uid="{DBD1A07A-93A0-4F67-ACA8-3B410D543379}" name="Kolonna2559"/>
    <tableColumn id="2898" xr3:uid="{047A3E5F-9974-490F-96E3-2C87DCF1F45B}" name="Kolonna2560"/>
    <tableColumn id="2899" xr3:uid="{37067034-0BB4-477C-A580-700DC767C2F0}" name="Kolonna2561"/>
    <tableColumn id="2900" xr3:uid="{44C1C432-08DA-49B7-AA21-1CBF796EEDBD}" name="Kolonna2562"/>
    <tableColumn id="2901" xr3:uid="{3CA58A3D-9739-4FA7-A919-074B44D862AD}" name="Kolonna2563"/>
    <tableColumn id="2902" xr3:uid="{24E6C2D3-5150-4249-ABCA-185E0C6E860C}" name="Kolonna2564"/>
    <tableColumn id="2903" xr3:uid="{E99F734A-0EB2-45E1-B7D6-552C9BF3E590}" name="Kolonna2565"/>
    <tableColumn id="2904" xr3:uid="{FB67C217-C186-44D2-9883-5E25B9FAA577}" name="Kolonna2566"/>
    <tableColumn id="2905" xr3:uid="{21F520C2-C573-48D3-9E73-65096F8562A0}" name="Kolonna2567"/>
    <tableColumn id="2906" xr3:uid="{6DF296E5-9B64-4EAE-BBDD-93519F76BE44}" name="Kolonna2568"/>
    <tableColumn id="2907" xr3:uid="{4F02AC8E-6F0F-4CA1-9CA7-CABB74F6BC33}" name="Kolonna2569"/>
    <tableColumn id="2908" xr3:uid="{BC9DBC6F-1D34-41C3-BDCA-D3159F3AD498}" name="Kolonna2570"/>
    <tableColumn id="2909" xr3:uid="{6718F238-FEF9-484C-AE8D-961560C76A52}" name="Kolonna2571"/>
    <tableColumn id="2910" xr3:uid="{0C066E4D-695E-4E0E-9B64-F3EAF0A9EECF}" name="Kolonna2572"/>
    <tableColumn id="2911" xr3:uid="{E489A6A9-0100-488C-B017-7ECB25A7C8C7}" name="Kolonna2573"/>
    <tableColumn id="2912" xr3:uid="{528A7999-5257-4ADD-B721-1ADDAC5767C0}" name="Kolonna2574"/>
    <tableColumn id="2913" xr3:uid="{D72E6CE4-E8C5-4665-AE81-6087F6E7228C}" name="Kolonna2575"/>
    <tableColumn id="2914" xr3:uid="{0E6EF7F2-3D02-4D10-AA40-121F1DE16D9F}" name="Kolonna2576"/>
    <tableColumn id="2915" xr3:uid="{B4D86E20-455E-4B4E-86F6-73538EDAB168}" name="Kolonna2577"/>
    <tableColumn id="2916" xr3:uid="{4179B9BB-6C04-419A-9CBF-CCEA8CE9B664}" name="Kolonna2578"/>
    <tableColumn id="2917" xr3:uid="{08DE4F46-33BB-4475-ACBE-336DB87177C7}" name="Kolonna2579"/>
    <tableColumn id="2918" xr3:uid="{388AB0AB-5285-4814-960A-248EE33ED893}" name="Kolonna2580"/>
    <tableColumn id="2919" xr3:uid="{4A8C36BC-EB1F-4962-82A6-61114D00A352}" name="Kolonna2581"/>
    <tableColumn id="2920" xr3:uid="{74A89579-0A40-4090-8895-10AC2B143CED}" name="Kolonna2582"/>
    <tableColumn id="2921" xr3:uid="{AE04126D-4275-415F-A59C-7A5E0F541A99}" name="Kolonna2583"/>
    <tableColumn id="2922" xr3:uid="{5EC522A2-FC3B-4460-B625-92718800C413}" name="Kolonna2584"/>
    <tableColumn id="2923" xr3:uid="{E81A943F-DD2C-4310-8788-2BB1EE6452CD}" name="Kolonna2585"/>
    <tableColumn id="2924" xr3:uid="{F3DC965D-4BA8-4DC5-9F16-F8880F3B5650}" name="Kolonna2586"/>
    <tableColumn id="2925" xr3:uid="{AAA59082-F30A-464C-A63B-5659712A3414}" name="Kolonna2587"/>
    <tableColumn id="2926" xr3:uid="{C30D08A0-259C-44D9-8B52-E7D21D09B05B}" name="Kolonna2588"/>
    <tableColumn id="2927" xr3:uid="{8314CB99-D646-4D0E-BD3B-14E6846E2733}" name="Kolonna2589"/>
    <tableColumn id="2928" xr3:uid="{6EED2530-5BD5-4B15-A3A5-1E88A587FE18}" name="Kolonna2590"/>
    <tableColumn id="2929" xr3:uid="{EEA4DFD9-26D9-4A3B-9C0D-BA6AD5BF2D9A}" name="Kolonna2591"/>
    <tableColumn id="2930" xr3:uid="{F0C91316-5D0A-4D33-9902-918069AF87DD}" name="Kolonna2592"/>
    <tableColumn id="2931" xr3:uid="{4F6D2E79-DFD6-4D7E-87A4-ED8AF1E8588D}" name="Kolonna2593"/>
    <tableColumn id="2932" xr3:uid="{D9CEA548-7A4C-40AA-9452-CE3BDBBB4E16}" name="Kolonna2594"/>
    <tableColumn id="2933" xr3:uid="{8F51BFE0-0923-489E-BDBB-EC1826B44C72}" name="Kolonna2595"/>
    <tableColumn id="2934" xr3:uid="{F609F53E-489B-41B3-97D5-6C543D2BF6EB}" name="Kolonna2596"/>
    <tableColumn id="2935" xr3:uid="{C042E188-C5C2-4F19-A2AA-AD1EDC8A0DC1}" name="Kolonna2597"/>
    <tableColumn id="2936" xr3:uid="{941888B5-53CB-43CE-88F6-DB57E8325983}" name="Kolonna2598"/>
    <tableColumn id="2937" xr3:uid="{6F66D703-72FC-4BC3-BE8A-2BAE574B66BF}" name="Kolonna2599"/>
    <tableColumn id="2938" xr3:uid="{956DE553-20DE-48D0-BEF2-B572B1D83F68}" name="Kolonna2600"/>
    <tableColumn id="2939" xr3:uid="{F646810F-B049-437A-81B2-05147270E077}" name="Kolonna2601"/>
    <tableColumn id="2940" xr3:uid="{5D53DDF0-3E08-4FDF-8A36-C33BFA733363}" name="Kolonna2602"/>
    <tableColumn id="2941" xr3:uid="{A5C5D9F0-79BB-4D10-B907-32AC7CA80A1E}" name="Kolonna2603"/>
    <tableColumn id="2942" xr3:uid="{A11D0B8F-95E5-4B43-B0DB-2B9098EE43CB}" name="Kolonna2604"/>
    <tableColumn id="2943" xr3:uid="{6A0B92DB-C2A7-4182-9995-755CF13D680C}" name="Kolonna2605"/>
    <tableColumn id="2944" xr3:uid="{21FC74FF-1809-4EB5-BA79-758C313EFD8C}" name="Kolonna2606"/>
    <tableColumn id="2945" xr3:uid="{5E7BF264-A851-4497-BBF4-8C4CFC081053}" name="Kolonna2607"/>
    <tableColumn id="2946" xr3:uid="{A35A5F6F-E411-4B0C-9C5E-B196C1EDF099}" name="Kolonna2608"/>
    <tableColumn id="2947" xr3:uid="{BEED17B4-8B33-4AB5-852E-04C978233F35}" name="Kolonna2609"/>
    <tableColumn id="2948" xr3:uid="{67B7A560-0CD7-4B2D-997B-040BB7A9CD1F}" name="Kolonna2610"/>
    <tableColumn id="2949" xr3:uid="{4550F968-B4BF-4C21-81D4-6A975150468C}" name="Kolonna2611"/>
    <tableColumn id="2950" xr3:uid="{8E30DEEB-3FA1-4AC2-9491-DAB07BBDBC95}" name="Kolonna2612"/>
    <tableColumn id="2951" xr3:uid="{5D2A1AC2-42B0-432B-B296-78B583615D58}" name="Kolonna2613"/>
    <tableColumn id="2952" xr3:uid="{3D52B205-871D-4623-8E3C-78DA57D0A946}" name="Kolonna2614"/>
    <tableColumn id="2953" xr3:uid="{ECBE2F35-C1CE-42FF-838A-818ABA806F21}" name="Kolonna2615"/>
    <tableColumn id="2954" xr3:uid="{29BFC4F1-F35E-46B9-9CC6-B0A0874C70A1}" name="Kolonna2616"/>
    <tableColumn id="2955" xr3:uid="{14F70AC5-7CC9-4D47-919D-FF7D5A93F9BA}" name="Kolonna2617"/>
    <tableColumn id="2956" xr3:uid="{8BEDD5E8-92AE-41C2-9A4E-C4C9624C8E6E}" name="Kolonna2618"/>
    <tableColumn id="2957" xr3:uid="{FC806688-E379-4428-AB41-C9A0528F2CE4}" name="Kolonna2619"/>
    <tableColumn id="2958" xr3:uid="{E4436262-BC70-4849-84B9-A5DBB7A38B18}" name="Kolonna2620"/>
    <tableColumn id="2959" xr3:uid="{BEB957E9-B19A-40A5-AA8C-E0800AB2FD75}" name="Kolonna2621"/>
    <tableColumn id="2960" xr3:uid="{FA8BB5AA-6955-4076-8631-C588193ED558}" name="Kolonna2622"/>
    <tableColumn id="2961" xr3:uid="{E16EFDDA-F172-4D9E-9111-7E66ACE776DB}" name="Kolonna2623"/>
    <tableColumn id="2962" xr3:uid="{ADB26E32-3E27-418C-8456-247528989A9C}" name="Kolonna2624"/>
    <tableColumn id="2963" xr3:uid="{8F714FA2-FA6D-40AD-AA14-E45DB508C39D}" name="Kolonna2625"/>
    <tableColumn id="2964" xr3:uid="{0F399943-0907-44A0-B4F5-8167A2801683}" name="Kolonna2626"/>
    <tableColumn id="2965" xr3:uid="{294E0FCB-7C9D-4B67-9480-25FB175ED62A}" name="Kolonna2627"/>
    <tableColumn id="2966" xr3:uid="{53E1B3D6-BF0D-4A5F-BA1D-83100A921902}" name="Kolonna2628"/>
    <tableColumn id="2967" xr3:uid="{1958AA51-E574-4082-9FB7-64FE9340E1CA}" name="Kolonna2629"/>
    <tableColumn id="2968" xr3:uid="{ECBC4148-5AFE-48E8-8ED2-C6B667236539}" name="Kolonna2630"/>
    <tableColumn id="2969" xr3:uid="{7851C6A1-7A50-4512-B719-3864FA505853}" name="Kolonna2631"/>
    <tableColumn id="2970" xr3:uid="{7F16C67D-0991-40EF-9185-94D06821062B}" name="Kolonna2632"/>
    <tableColumn id="2971" xr3:uid="{9F27DCCA-31C4-47D8-9E94-7F0B1434D88D}" name="Kolonna2633"/>
    <tableColumn id="2972" xr3:uid="{63D85AFC-5619-4F18-9093-A5173FFCDD1A}" name="Kolonna2634"/>
    <tableColumn id="2973" xr3:uid="{004F7F67-C758-4ABC-8BA9-AE915E6BB57B}" name="Kolonna2635"/>
    <tableColumn id="2974" xr3:uid="{2925B3F1-842A-4808-9AC4-E68E9E9C07B8}" name="Kolonna2636"/>
    <tableColumn id="2975" xr3:uid="{FFC3BDF6-03E8-4896-BD97-7D589497AB29}" name="Kolonna2637"/>
    <tableColumn id="2976" xr3:uid="{3F3A532A-B891-41E9-AF1A-D0D3C187BDF3}" name="Kolonna2638"/>
    <tableColumn id="2977" xr3:uid="{2A8AD3A6-1CEA-4B2B-91C1-30BEB70258EA}" name="Kolonna2639"/>
    <tableColumn id="2978" xr3:uid="{BD618056-7F65-4134-8E81-12C20AB42B15}" name="Kolonna2640"/>
    <tableColumn id="2979" xr3:uid="{8BEA6B38-6D45-406C-BB20-23C14D64B08C}" name="Kolonna2641"/>
    <tableColumn id="2980" xr3:uid="{D7499FAE-0888-402D-AA6C-C7AB49A80891}" name="Kolonna2642"/>
    <tableColumn id="2981" xr3:uid="{A4311451-D7F0-442A-89C8-D21BBAF4F419}" name="Kolonna2643"/>
    <tableColumn id="2982" xr3:uid="{C14EDFA4-9F94-4A35-888C-BC94ED363ED2}" name="Kolonna2644"/>
    <tableColumn id="2983" xr3:uid="{E7D72AD4-170F-414D-AC64-2791B65AEC0D}" name="Kolonna2645"/>
    <tableColumn id="2984" xr3:uid="{17ABBE26-50AE-419C-8F7D-EE3DDD4684B9}" name="Kolonna2646"/>
    <tableColumn id="2985" xr3:uid="{8C45ED3C-7E2B-4858-BADD-0F2F5DC267EE}" name="Kolonna2647"/>
    <tableColumn id="2986" xr3:uid="{8DE752A0-00C7-4EF3-86D6-A99AFD9C02A6}" name="Kolonna2648"/>
    <tableColumn id="2987" xr3:uid="{860244E0-DF62-4C3B-86BD-6DC96902F54F}" name="Kolonna2649"/>
    <tableColumn id="2988" xr3:uid="{EFDB9DD0-77F2-4619-9E77-392F0DD8CC7B}" name="Kolonna2650"/>
    <tableColumn id="2989" xr3:uid="{0F9BD77A-BF22-4453-B206-8FACAD4C1FEC}" name="Kolonna2651"/>
    <tableColumn id="2990" xr3:uid="{13AB8D2C-6343-4853-9CBC-728857EDA8CB}" name="Kolonna2652"/>
    <tableColumn id="2991" xr3:uid="{5300427B-9C88-4E76-8CB6-A8792DFE3694}" name="Kolonna2653"/>
    <tableColumn id="2992" xr3:uid="{A6C9A5CF-39FD-45AC-A406-7C4794FC29AC}" name="Kolonna2654"/>
    <tableColumn id="2993" xr3:uid="{C3510ED3-2A87-4AAE-9C3C-7907373270C5}" name="Kolonna2655"/>
    <tableColumn id="2994" xr3:uid="{7AE42163-F154-4D5C-B911-7FB106700F3E}" name="Kolonna2656"/>
    <tableColumn id="2995" xr3:uid="{43CCA7DC-042F-4539-89AC-3AC3E9A1EFA1}" name="Kolonna2657"/>
    <tableColumn id="2996" xr3:uid="{66351FD5-D5DD-4086-AD9A-B12FBEC91C3A}" name="Kolonna2658"/>
    <tableColumn id="2997" xr3:uid="{28D85664-5576-44E3-928D-D0ED2C87EEF7}" name="Kolonna2659"/>
    <tableColumn id="2998" xr3:uid="{125C9B1F-6900-4BDD-B1CD-B2F782F0F612}" name="Kolonna2660"/>
    <tableColumn id="2999" xr3:uid="{46FC84E6-0910-4DA1-ADB3-FCE6C2896685}" name="Kolonna2661"/>
    <tableColumn id="3000" xr3:uid="{9EBA2798-8751-4B1D-BDE0-CC6F215C968C}" name="Kolonna2662"/>
    <tableColumn id="3001" xr3:uid="{A2B491F8-E5B9-4ACE-8CA7-AB7AA8916CE0}" name="Kolonna2663"/>
    <tableColumn id="3002" xr3:uid="{CE056C3C-D5E5-4132-9B0F-ADE30BEE2E2F}" name="Kolonna2664"/>
    <tableColumn id="3003" xr3:uid="{FCE2354D-6E58-4678-8868-66A071EF0682}" name="Kolonna2665"/>
    <tableColumn id="3004" xr3:uid="{A1101245-986F-4928-BA2A-98E6B702BFF7}" name="Kolonna2666"/>
    <tableColumn id="3005" xr3:uid="{D4ECD4AD-6BE2-4080-AFFA-DFD04B6BB3D1}" name="Kolonna2667"/>
    <tableColumn id="3006" xr3:uid="{4B32EC3A-C25F-4ACE-985F-8E1DC75486E7}" name="Kolonna2668"/>
    <tableColumn id="3007" xr3:uid="{C12034A7-432E-4A66-8295-00DE3F140695}" name="Kolonna2669"/>
    <tableColumn id="3008" xr3:uid="{3B52DB73-6822-49D7-8368-FE2CAF450F93}" name="Kolonna2670"/>
    <tableColumn id="3009" xr3:uid="{293309CB-4A48-4B56-AA44-BB65F0BB5D1D}" name="Kolonna2671"/>
    <tableColumn id="3010" xr3:uid="{FCB51364-0315-4E6B-892B-A4AC62A3AEC0}" name="Kolonna2672"/>
    <tableColumn id="3011" xr3:uid="{11CDEFD0-A75A-4E70-8283-32679DD8C6F3}" name="Kolonna2673"/>
    <tableColumn id="3012" xr3:uid="{72C92D38-F568-4F63-BACF-AFB97C9ACFA2}" name="Kolonna2674"/>
    <tableColumn id="3013" xr3:uid="{1A2DCDDA-B0C5-4AE1-9F84-592B3C884E27}" name="Kolonna2675"/>
    <tableColumn id="3014" xr3:uid="{4A1848DF-21C2-4DCD-8F13-D5296D78D204}" name="Kolonna2676"/>
    <tableColumn id="3015" xr3:uid="{9AFCCE45-7B03-439B-82F5-5AB90602B41B}" name="Kolonna2677"/>
    <tableColumn id="3016" xr3:uid="{45031152-6BC0-4D00-B9BF-3E861D6708D8}" name="Kolonna2678"/>
    <tableColumn id="3017" xr3:uid="{72DBB814-CCF1-4C03-968E-03F5702C915B}" name="Kolonna2679"/>
    <tableColumn id="3018" xr3:uid="{4F0EE8A8-2768-43A1-83A4-15279D6325C9}" name="Kolonna2680"/>
    <tableColumn id="3019" xr3:uid="{43534060-3270-4234-B6A2-27C45BE95398}" name="Kolonna2681"/>
    <tableColumn id="3020" xr3:uid="{9A1F4252-9E53-4EF0-9CFB-E74AE17BA548}" name="Kolonna2682"/>
    <tableColumn id="3021" xr3:uid="{C8800821-8F71-4D53-9D85-EC173A05EABA}" name="Kolonna2683"/>
    <tableColumn id="3022" xr3:uid="{9BC1C367-D24F-491F-B8A8-6A4F5B5B7160}" name="Kolonna2684"/>
    <tableColumn id="3023" xr3:uid="{5402802B-3AC4-40A1-9B93-CF4AF81662C3}" name="Kolonna2685"/>
    <tableColumn id="3024" xr3:uid="{1FA8C663-62BD-4502-A7A9-CBFC8318C69E}" name="Kolonna2686"/>
    <tableColumn id="3025" xr3:uid="{84F1BB04-A832-4B1C-9947-1DED535B0DA6}" name="Kolonna2687"/>
    <tableColumn id="3026" xr3:uid="{16AF42AD-D025-4C49-A0A8-59A5CB9AC4B7}" name="Kolonna2688"/>
    <tableColumn id="3027" xr3:uid="{AF847BBF-941E-4A21-8C46-A0454F468246}" name="Kolonna2689"/>
    <tableColumn id="3028" xr3:uid="{E4A41A42-D88F-4CDC-B0BF-D9DAD16788B0}" name="Kolonna2690"/>
    <tableColumn id="3029" xr3:uid="{195F3315-127E-4BCC-A689-4CC8528F4734}" name="Kolonna2691"/>
    <tableColumn id="3030" xr3:uid="{8297E3D8-14F9-4170-A8FA-8DE3A52162DE}" name="Kolonna2692"/>
    <tableColumn id="3031" xr3:uid="{B7DE7BDF-E786-4D52-AF51-8D19FD765457}" name="Kolonna2693"/>
    <tableColumn id="3032" xr3:uid="{71C34683-2E77-4310-B1D3-73FC64E609E4}" name="Kolonna2694"/>
    <tableColumn id="3033" xr3:uid="{F036725B-823C-4800-B3DF-AADEECB339BA}" name="Kolonna2695"/>
    <tableColumn id="3034" xr3:uid="{F527D1E7-45C7-4E13-9FD8-EC7957F9D005}" name="Kolonna2696"/>
    <tableColumn id="3035" xr3:uid="{BD40193B-8C44-4255-8324-DD91168C31F0}" name="Kolonna2697"/>
    <tableColumn id="3036" xr3:uid="{6806B443-7A4F-4E31-895F-3265AFD9928C}" name="Kolonna2698"/>
    <tableColumn id="3037" xr3:uid="{A48625DC-2B57-43C5-B547-8B860E14935A}" name="Kolonna2699"/>
    <tableColumn id="3038" xr3:uid="{C6BFA374-9663-4C5C-B9E5-0DFB85306A06}" name="Kolonna2700"/>
    <tableColumn id="3039" xr3:uid="{3C48302D-2993-4850-B53A-16D6972E395D}" name="Kolonna2701"/>
    <tableColumn id="3040" xr3:uid="{CC280376-9E15-4C0F-9DED-22075C1E89EA}" name="Kolonna2702"/>
    <tableColumn id="3041" xr3:uid="{2B834B3B-B481-401D-8A46-E84EFBF9EE5E}" name="Kolonna2703"/>
    <tableColumn id="3042" xr3:uid="{AF9876D5-4229-479F-B694-9129C0EA405A}" name="Kolonna2704"/>
    <tableColumn id="3043" xr3:uid="{9C17FEC7-026F-4610-BCB7-D05025DF8428}" name="Kolonna2705"/>
    <tableColumn id="3044" xr3:uid="{73351DF3-7252-4A1C-9869-2699035CEA9B}" name="Kolonna2706"/>
    <tableColumn id="3045" xr3:uid="{2480DB2A-E372-4180-A521-58A4CF51127A}" name="Kolonna2707"/>
    <tableColumn id="3046" xr3:uid="{8DF1401B-9BEB-4E7C-B76B-355E8895BF28}" name="Kolonna2708"/>
    <tableColumn id="3047" xr3:uid="{F3D2AA94-AECC-419F-8DC6-46A89ECE4016}" name="Kolonna2709"/>
    <tableColumn id="3048" xr3:uid="{DA92D799-B6A4-43B3-B236-DD0CC8F1E179}" name="Kolonna2710"/>
    <tableColumn id="3049" xr3:uid="{8F8BE548-CF32-43A5-B051-2F956005578A}" name="Kolonna2711"/>
    <tableColumn id="3050" xr3:uid="{1B923536-9A00-436B-8405-80C57ABA75DB}" name="Kolonna2712"/>
    <tableColumn id="3051" xr3:uid="{6A381548-4154-47EF-B0FA-49D3C4A8382B}" name="Kolonna2713"/>
    <tableColumn id="3052" xr3:uid="{7ABE2413-6C33-4FB8-A8CB-53DF88AE6209}" name="Kolonna2714"/>
    <tableColumn id="3053" xr3:uid="{B0BCD7B6-41A2-4E81-AFD2-B1F2AD2B72C5}" name="Kolonna2715"/>
    <tableColumn id="3054" xr3:uid="{140BB6E7-26A0-4741-A746-5BA1786E808E}" name="Kolonna2716"/>
    <tableColumn id="3055" xr3:uid="{51713F17-578B-45D1-8A87-0A41A7CE5640}" name="Kolonna2717"/>
    <tableColumn id="3056" xr3:uid="{9591CBB3-4FFB-4C0F-BEF8-3BD13F1879F8}" name="Kolonna2718"/>
    <tableColumn id="3057" xr3:uid="{CE851604-22CB-4009-ACAD-7C8DA9FFE943}" name="Kolonna2719"/>
    <tableColumn id="3058" xr3:uid="{E932BAA9-6109-4B90-BB39-7D95D2D06B6A}" name="Kolonna2720"/>
    <tableColumn id="3059" xr3:uid="{CA390044-2B70-44D7-8752-E23A1DB9FF4A}" name="Kolonna2721"/>
    <tableColumn id="3060" xr3:uid="{EC5197A4-7429-4F85-AB19-8467FC6228EB}" name="Kolonna2722"/>
    <tableColumn id="3061" xr3:uid="{E263FB5F-C2AA-4FE8-B96C-95EC9A8F7C58}" name="Kolonna2723"/>
    <tableColumn id="3062" xr3:uid="{C2C7B2F0-74EB-4648-93CF-7905FB0019F2}" name="Kolonna2724"/>
    <tableColumn id="3063" xr3:uid="{76116217-1B80-4C92-A104-0C62B6726D84}" name="Kolonna2725"/>
    <tableColumn id="3064" xr3:uid="{28811929-5260-4B94-AD08-687D1D85C157}" name="Kolonna2726"/>
    <tableColumn id="3065" xr3:uid="{4C54E2CF-7A7B-4EE7-ACCB-19AE2E0C58C8}" name="Kolonna2727"/>
    <tableColumn id="3066" xr3:uid="{C641F18F-E5A2-4DD9-8F54-A464D79E70B7}" name="Kolonna2728"/>
    <tableColumn id="3067" xr3:uid="{2489A2EE-B740-4FB3-B0DF-9038EA4432F5}" name="Kolonna2729"/>
    <tableColumn id="3068" xr3:uid="{E9FB20B6-4E11-43F6-A10C-F4582FA8EE36}" name="Kolonna2730"/>
    <tableColumn id="3069" xr3:uid="{A1ACE592-C33D-4EEF-AEA0-5BC7B232BA57}" name="Kolonna2731"/>
    <tableColumn id="3070" xr3:uid="{0411609A-26E4-4B6D-83F1-336ED05CFB98}" name="Kolonna2732"/>
    <tableColumn id="3071" xr3:uid="{033A9940-4397-4DA0-A767-183D2F7675D3}" name="Kolonna2733"/>
    <tableColumn id="3072" xr3:uid="{AA9F2E3D-67D4-459B-B842-B0C0B2E10E1B}" name="Kolonna2734"/>
    <tableColumn id="3073" xr3:uid="{D53B5660-F09B-41AA-910F-1F3A222F2CF8}" name="Kolonna2735"/>
    <tableColumn id="3074" xr3:uid="{A08E761C-FFAB-4E04-96AE-E6AB06C0F38E}" name="Kolonna2736"/>
    <tableColumn id="3075" xr3:uid="{987C355A-E401-4DF9-9ED0-9A1875E890CB}" name="Kolonna2737"/>
    <tableColumn id="3076" xr3:uid="{E266A64E-52FD-4E03-A23B-76283158BF28}" name="Kolonna2738"/>
    <tableColumn id="3077" xr3:uid="{A2086FA8-A17E-4EBE-B8BD-05E9EEBDC0AA}" name="Kolonna2739"/>
    <tableColumn id="3078" xr3:uid="{D0D1262E-B898-4158-A3F6-D722EFB7111F}" name="Kolonna2740"/>
    <tableColumn id="3079" xr3:uid="{162C5A1C-FEF4-4593-A54D-915FD6471F38}" name="Kolonna2741"/>
    <tableColumn id="3080" xr3:uid="{4278353F-F294-4E75-9193-98A792B815A6}" name="Kolonna2742"/>
    <tableColumn id="3081" xr3:uid="{CC2CD257-1A69-4E77-B71E-402FF9D2D775}" name="Kolonna2743"/>
    <tableColumn id="3082" xr3:uid="{F30D3B39-1219-4B11-ACD9-F2DE7E71546B}" name="Kolonna2744"/>
    <tableColumn id="3083" xr3:uid="{71368BBF-1F01-4C81-908E-36FD6CA6E7CC}" name="Kolonna2745"/>
    <tableColumn id="3084" xr3:uid="{136280AB-6EF7-44F9-AEFA-91481AD9E558}" name="Kolonna2746"/>
    <tableColumn id="3085" xr3:uid="{54DFF8B2-9E91-4170-B6DB-8B227E3567A0}" name="Kolonna2747"/>
    <tableColumn id="3086" xr3:uid="{C0DB91B8-0983-4899-9DD0-BD3B5A0E8408}" name="Kolonna2748"/>
    <tableColumn id="3087" xr3:uid="{1CD973E9-D6AD-45AB-A67E-C614EED22FF9}" name="Kolonna2749"/>
    <tableColumn id="3088" xr3:uid="{E40C9545-14EE-4842-B50F-968468F62FBB}" name="Kolonna2750"/>
    <tableColumn id="3089" xr3:uid="{A0541061-07BB-4495-ABCF-5EE20299F38D}" name="Kolonna2751"/>
    <tableColumn id="3090" xr3:uid="{DC1781E7-42B8-4EF6-8D17-9CE7CA3AF7DA}" name="Kolonna2752"/>
    <tableColumn id="3091" xr3:uid="{6A941DFB-FA34-4436-BA61-AE3872B3751B}" name="Kolonna2753"/>
    <tableColumn id="3092" xr3:uid="{5894BAD9-E217-41A3-A61E-3C1A2E630C3F}" name="Kolonna2754"/>
    <tableColumn id="3093" xr3:uid="{8C7270AE-8707-409D-9CB4-AD315C8B9860}" name="Kolonna2755"/>
    <tableColumn id="3094" xr3:uid="{185120CC-A038-4B36-B52F-B9D63BCD89CA}" name="Kolonna2756"/>
    <tableColumn id="3095" xr3:uid="{242345AC-DAF1-41F5-AD73-D2A5FACC6564}" name="Kolonna2757"/>
    <tableColumn id="3096" xr3:uid="{A74A7E34-55D1-4E8A-A789-C7380205B381}" name="Kolonna2758"/>
    <tableColumn id="3097" xr3:uid="{5FA8CA27-D3B0-4561-9659-DD2C976C0EA8}" name="Kolonna2759"/>
    <tableColumn id="3098" xr3:uid="{53594B87-71A1-424D-8B5B-65844C485EB1}" name="Kolonna2760"/>
    <tableColumn id="3099" xr3:uid="{385923CA-C4F1-4501-9E14-F9360DFF3693}" name="Kolonna2761"/>
    <tableColumn id="3100" xr3:uid="{98E84429-4684-4454-A52B-96FB6BAF520D}" name="Kolonna2762"/>
    <tableColumn id="3101" xr3:uid="{0C10D82A-CAEE-47E3-A2AE-144C8DE6AE2A}" name="Kolonna2763"/>
    <tableColumn id="3102" xr3:uid="{4983130B-4CE8-4863-81B1-FD49F8CFA069}" name="Kolonna2764"/>
    <tableColumn id="3103" xr3:uid="{7FAA9C44-3289-4B06-B0B5-5E4E14F75070}" name="Kolonna2765"/>
    <tableColumn id="3104" xr3:uid="{E44C90B2-D4CE-4BD4-85D5-FA1CC2FD3C87}" name="Kolonna2766"/>
    <tableColumn id="3105" xr3:uid="{A82D6BE2-D649-41F7-9C69-D0F8191B9D9B}" name="Kolonna2767"/>
    <tableColumn id="3106" xr3:uid="{21C2C5BF-165B-49D2-B30A-65B98207A264}" name="Kolonna2768"/>
    <tableColumn id="3107" xr3:uid="{410E967E-4944-4FD9-BE7C-572D160587C5}" name="Kolonna2769"/>
    <tableColumn id="3108" xr3:uid="{F5760005-40AC-48AD-98B4-21A1145B3CB0}" name="Kolonna2770"/>
    <tableColumn id="3109" xr3:uid="{A0AF2702-0434-424E-AA37-AE9345E9134B}" name="Kolonna2771"/>
    <tableColumn id="3110" xr3:uid="{319F3123-2411-47B8-8C55-CEC0239F6AA3}" name="Kolonna2772"/>
    <tableColumn id="3111" xr3:uid="{72D9E56A-0805-4A05-9525-87ABA10714B6}" name="Kolonna2773"/>
    <tableColumn id="3112" xr3:uid="{40DBC557-19DC-489B-8A99-938FBAB00C2C}" name="Kolonna2774"/>
    <tableColumn id="3113" xr3:uid="{7325443B-5736-4AE2-837F-3F629FA8FFD8}" name="Kolonna2775"/>
    <tableColumn id="3114" xr3:uid="{2751B28D-931A-4416-85C2-2DC21916F4C3}" name="Kolonna2776"/>
    <tableColumn id="3115" xr3:uid="{046F7E0E-92B4-4941-9536-E63CF1A87668}" name="Kolonna2777"/>
    <tableColumn id="3116" xr3:uid="{46E11C2E-2651-4146-A82A-BE570CAF7830}" name="Kolonna2778"/>
    <tableColumn id="3117" xr3:uid="{090AF9D3-394E-4E34-ADE5-35E25687491D}" name="Kolonna2779"/>
    <tableColumn id="3118" xr3:uid="{F7482C0D-325F-4B30-974F-B104980FC9E8}" name="Kolonna2780"/>
    <tableColumn id="3119" xr3:uid="{26A66464-1C2B-46AD-8E96-FCE606456007}" name="Kolonna2781"/>
    <tableColumn id="3120" xr3:uid="{88B79293-6156-4030-8B4D-089669C9DAE4}" name="Kolonna2782"/>
    <tableColumn id="3121" xr3:uid="{7A23C32A-528F-4516-934A-458A49821EB6}" name="Kolonna2783"/>
    <tableColumn id="3122" xr3:uid="{5CB302E8-376A-40EA-8EBE-109EE3168891}" name="Kolonna2784"/>
    <tableColumn id="3123" xr3:uid="{8F458FF0-A42A-425D-891F-B788C6916C57}" name="Kolonna2785"/>
    <tableColumn id="3124" xr3:uid="{8DE094AF-EA92-49DE-B9AF-1D3BF07C9668}" name="Kolonna2786"/>
    <tableColumn id="3125" xr3:uid="{D6E46B67-467B-40C3-AB2B-D0033797A507}" name="Kolonna2787"/>
    <tableColumn id="3126" xr3:uid="{77080A0C-3D2C-4F08-B203-2EEC32A6E2B2}" name="Kolonna2788"/>
    <tableColumn id="3127" xr3:uid="{5025BA84-7D6B-4497-8A8D-69C8006C715D}" name="Kolonna2789"/>
    <tableColumn id="3128" xr3:uid="{DCA8023B-BB77-4911-BA17-53555F7322EC}" name="Kolonna2790"/>
    <tableColumn id="3129" xr3:uid="{0F6AC3A2-0A2F-480D-822D-ACA5A63EFA99}" name="Kolonna2791"/>
    <tableColumn id="3130" xr3:uid="{BFB182C9-AC33-4B9C-952F-7E8C2149C316}" name="Kolonna2792"/>
    <tableColumn id="3131" xr3:uid="{2939AFAD-48D8-4B39-AC8C-2CB736B5E850}" name="Kolonna2793"/>
    <tableColumn id="3132" xr3:uid="{DD1B3577-B51A-4BAB-9458-563AFD5A2110}" name="Kolonna2794"/>
    <tableColumn id="3133" xr3:uid="{E9C3633C-2601-466D-8FC7-146F25647AFF}" name="Kolonna2795"/>
    <tableColumn id="3134" xr3:uid="{E23B48D1-BCBD-41DB-A1C7-102CF6EEA854}" name="Kolonna2796"/>
    <tableColumn id="3135" xr3:uid="{E00B33B1-AFEB-41CE-A196-404D33354DA0}" name="Kolonna2797"/>
    <tableColumn id="3136" xr3:uid="{66452039-D934-4B13-A3FE-1ED76AA47E7C}" name="Kolonna2798"/>
    <tableColumn id="3137" xr3:uid="{5669D1C6-4BFE-483E-BD00-6BD7682F1B3E}" name="Kolonna2799"/>
    <tableColumn id="3138" xr3:uid="{10E5B8E6-83BC-44FB-AEC9-4048F49DF242}" name="Kolonna2800"/>
    <tableColumn id="3139" xr3:uid="{3ACCB56F-7D2C-4CC1-A053-7CB142A7F6CA}" name="Kolonna2801"/>
    <tableColumn id="3140" xr3:uid="{E2750A71-9059-461E-852D-E8446F4005E7}" name="Kolonna2802"/>
    <tableColumn id="3141" xr3:uid="{073A1870-8B71-4D15-A323-CC996A20FB7B}" name="Kolonna2803"/>
    <tableColumn id="3142" xr3:uid="{441FE4C5-02E4-4EAF-80C0-04E609F28AEC}" name="Kolonna2804"/>
    <tableColumn id="3143" xr3:uid="{134CF911-D9F6-4612-A0A4-032B6EA92F02}" name="Kolonna2805"/>
    <tableColumn id="3144" xr3:uid="{BEE51D13-C7CD-4116-B90A-93889400B13C}" name="Kolonna2806"/>
    <tableColumn id="3145" xr3:uid="{BACE2049-A112-45CD-B616-70F3E3753656}" name="Kolonna2807"/>
    <tableColumn id="3146" xr3:uid="{904D1EC2-C2D6-42DA-B713-F026C9B70F15}" name="Kolonna2808"/>
    <tableColumn id="3147" xr3:uid="{CA8119D2-4C26-456E-8453-0BA4CB94039C}" name="Kolonna2809"/>
    <tableColumn id="3148" xr3:uid="{43A9F4BE-7E80-4A62-8832-AB355CB91F07}" name="Kolonna2810"/>
    <tableColumn id="3149" xr3:uid="{E95CE033-E476-4D2E-B678-FF6ED5E2FF8D}" name="Kolonna2811"/>
    <tableColumn id="3150" xr3:uid="{F1C60447-C6EE-42D4-ABAA-EC42B4C02490}" name="Kolonna2812"/>
    <tableColumn id="3151" xr3:uid="{072BAAE4-35F1-4A9A-B541-6FF113989DE6}" name="Kolonna2813"/>
    <tableColumn id="3152" xr3:uid="{075F1E8A-D2A6-46ED-93B3-E1AA43F96C00}" name="Kolonna2814"/>
    <tableColumn id="3153" xr3:uid="{39D99F6F-FDD5-447D-80E6-6FB69015D3D2}" name="Kolonna2815"/>
    <tableColumn id="3154" xr3:uid="{3338F599-27B5-41AD-9138-79F4AD094D9A}" name="Kolonna2816"/>
    <tableColumn id="3155" xr3:uid="{6930FB9B-13B3-4248-8DA7-FE5AFE531A11}" name="Kolonna2817"/>
    <tableColumn id="3156" xr3:uid="{2BB1360D-E95B-4852-804A-4EB76586B8A4}" name="Kolonna2818"/>
    <tableColumn id="3157" xr3:uid="{112A935E-0182-410B-B07C-D591F52FC901}" name="Kolonna2819"/>
    <tableColumn id="3158" xr3:uid="{F942F632-9715-4011-B132-AC103D63F9CF}" name="Kolonna2820"/>
    <tableColumn id="3159" xr3:uid="{2EE105F6-66BC-4FED-B518-A6F95D7288F7}" name="Kolonna2821"/>
    <tableColumn id="3160" xr3:uid="{3DA8459D-308B-4ED6-B137-33113DB02073}" name="Kolonna2822"/>
    <tableColumn id="3161" xr3:uid="{6E0ABF1D-E012-4ACC-869D-4EAFFDDDB904}" name="Kolonna2823"/>
    <tableColumn id="3162" xr3:uid="{C8A21A90-3484-49B3-8F49-7D333A516880}" name="Kolonna2824"/>
    <tableColumn id="3163" xr3:uid="{C0BA83EA-3686-4BF7-9BC7-EABD8FA469E2}" name="Kolonna2825"/>
    <tableColumn id="3164" xr3:uid="{A930BF92-10E2-48DA-B183-498FF801F86B}" name="Kolonna2826"/>
    <tableColumn id="3165" xr3:uid="{D173BAB6-AF38-4EDA-80AB-C990E5D92AD0}" name="Kolonna2827"/>
    <tableColumn id="3166" xr3:uid="{04B62A22-1AC3-4A7C-8F36-19E5A2A76CC9}" name="Kolonna2828"/>
    <tableColumn id="3167" xr3:uid="{CCC58335-3ED0-49AF-8BB3-0AF6C2F485B4}" name="Kolonna2829"/>
    <tableColumn id="3168" xr3:uid="{3A736BB9-BD5D-4EEA-8D47-4BA5FE18BCCD}" name="Kolonna2830"/>
    <tableColumn id="3169" xr3:uid="{9BC55936-AC21-4228-9E5B-0F4E9713B3E2}" name="Kolonna2831"/>
    <tableColumn id="3170" xr3:uid="{0EC7265E-4280-4DDB-865C-6250E0D21ED9}" name="Kolonna2832"/>
    <tableColumn id="3171" xr3:uid="{63D557E3-0A9C-4ED5-953E-BAD1414DAD6E}" name="Kolonna2833"/>
    <tableColumn id="3172" xr3:uid="{8B58E271-A660-4AFA-9DAE-7B36A863BAA5}" name="Kolonna2834"/>
    <tableColumn id="3173" xr3:uid="{64B0D461-CE4D-47C3-B41D-800AE384C73B}" name="Kolonna2835"/>
    <tableColumn id="3174" xr3:uid="{FD98E0C9-57DF-4ADE-B0A2-BCAE006891EB}" name="Kolonna2836"/>
    <tableColumn id="3175" xr3:uid="{18102E8A-5993-4AD9-8C0E-E51ECC2D4EBF}" name="Kolonna2837"/>
    <tableColumn id="3176" xr3:uid="{9C249F56-8A81-400E-8D06-26A6EF82EB57}" name="Kolonna2838"/>
    <tableColumn id="3177" xr3:uid="{F37C6C87-F577-4A1B-A952-6191BF6525A1}" name="Kolonna2839"/>
    <tableColumn id="3178" xr3:uid="{79B480D7-6BA0-4225-8033-A6B3979F2884}" name="Kolonna2840"/>
    <tableColumn id="3179" xr3:uid="{01F0386A-9B20-4189-AFB8-BA57E2CB3574}" name="Kolonna2841"/>
    <tableColumn id="3180" xr3:uid="{C13D749F-1E75-482B-B06A-74E5D5503077}" name="Kolonna2842"/>
    <tableColumn id="3181" xr3:uid="{B4B9B6A1-064B-4C89-8D1A-8CC420E9193E}" name="Kolonna2843"/>
    <tableColumn id="3182" xr3:uid="{DFAA1845-070F-416C-9DFC-97B7F60845CA}" name="Kolonna2844"/>
    <tableColumn id="3183" xr3:uid="{B9A1CEA8-DC6E-4D17-9A1E-6AFB12BF0FC8}" name="Kolonna2845"/>
    <tableColumn id="3184" xr3:uid="{F3251E52-9D88-478E-BCBC-E63FB4704E69}" name="Kolonna2846"/>
    <tableColumn id="3185" xr3:uid="{CA8F0E28-D124-4668-9165-5639F4290D29}" name="Kolonna2847"/>
    <tableColumn id="3186" xr3:uid="{2E592425-8554-485F-964E-8E558D0A3F75}" name="Kolonna2848"/>
    <tableColumn id="3187" xr3:uid="{3B48F8F0-1A54-44FE-8A95-6DBFA33D3CF1}" name="Kolonna2849"/>
    <tableColumn id="3188" xr3:uid="{FE69AA8D-FC52-40ED-B1C6-4D76B1BA094F}" name="Kolonna2850"/>
    <tableColumn id="3189" xr3:uid="{AC9C9703-A09C-4D87-94B7-310CDF980DF3}" name="Kolonna2851"/>
    <tableColumn id="3190" xr3:uid="{7C07DCCA-3746-4B96-8C4F-B05F944005E9}" name="Kolonna2852"/>
    <tableColumn id="3191" xr3:uid="{0C69019D-7D78-4CFB-A2F7-2047A3661283}" name="Kolonna2853"/>
    <tableColumn id="3192" xr3:uid="{55D99E86-EFD2-4E91-B470-082C6BF2C2D3}" name="Kolonna2854"/>
    <tableColumn id="3193" xr3:uid="{A7BC39EA-2A30-4F64-A69C-4228D0C334C9}" name="Kolonna2855"/>
    <tableColumn id="3194" xr3:uid="{0A1392C0-3802-412C-8905-126A4B20D38F}" name="Kolonna2856"/>
    <tableColumn id="3195" xr3:uid="{A6B1A2B1-3603-4A72-9CD5-11685A16EEE6}" name="Kolonna2857"/>
    <tableColumn id="3196" xr3:uid="{7C0D950E-7A64-4029-9E51-2143F94642C3}" name="Kolonna2858"/>
    <tableColumn id="3197" xr3:uid="{87495215-AB4A-499B-B0DC-79B974A289E4}" name="Kolonna2859"/>
    <tableColumn id="3198" xr3:uid="{A6BFA904-AF25-4C8C-8B3C-F29C88589C7B}" name="Kolonna2860"/>
    <tableColumn id="3199" xr3:uid="{62336783-F076-4BD5-AA85-7A0D15D75F49}" name="Kolonna2861"/>
    <tableColumn id="3200" xr3:uid="{00200283-7F6C-4480-9812-FB31A985E859}" name="Kolonna2862"/>
    <tableColumn id="3201" xr3:uid="{8D574602-2D67-474C-B172-8AEC3A38507F}" name="Kolonna2863"/>
    <tableColumn id="3202" xr3:uid="{517E32B2-DBC1-413E-8408-8ADF70020CBB}" name="Kolonna2864"/>
    <tableColumn id="3203" xr3:uid="{C98BE52C-9718-4D23-BFD0-9F2977261980}" name="Kolonna2865"/>
    <tableColumn id="3204" xr3:uid="{14806AE7-0D45-493E-A3AF-6FCDC44F793C}" name="Kolonna2866"/>
    <tableColumn id="3205" xr3:uid="{BDC5322B-6690-440A-8DF8-8D4D385754A5}" name="Kolonna2867"/>
    <tableColumn id="3206" xr3:uid="{9461B5CB-82A0-480F-9929-40F48CFBF052}" name="Kolonna2868"/>
    <tableColumn id="3207" xr3:uid="{2AF92C48-5CC8-4261-A996-0A36EAC0649A}" name="Kolonna2869"/>
    <tableColumn id="3208" xr3:uid="{2D4C14D1-45B0-4126-AC57-4C1EA97AD10E}" name="Kolonna2870"/>
    <tableColumn id="3209" xr3:uid="{CE77179A-BD15-4A93-BF65-82118E1A58AA}" name="Kolonna2871"/>
    <tableColumn id="3210" xr3:uid="{3E67ABF5-502E-4643-A572-0653760E9439}" name="Kolonna2872"/>
    <tableColumn id="3211" xr3:uid="{7846CE5B-4D82-444C-8BB0-846BA15B5F1E}" name="Kolonna2873"/>
    <tableColumn id="3212" xr3:uid="{59B3F8DF-76C3-483A-9206-13CBEA0E1C02}" name="Kolonna2874"/>
    <tableColumn id="3213" xr3:uid="{14D24570-45B7-402C-9F42-32C7A9ADFF01}" name="Kolonna2875"/>
    <tableColumn id="3214" xr3:uid="{2EC74F12-24E1-4737-A4D3-2E145BE772E7}" name="Kolonna2876"/>
    <tableColumn id="3215" xr3:uid="{C602FA8A-B89C-4415-983B-EF19FC9B4AAD}" name="Kolonna2877"/>
    <tableColumn id="3216" xr3:uid="{B7D4BADD-C4E7-4D3C-9280-F23EBB89C523}" name="Kolonna2878"/>
    <tableColumn id="3217" xr3:uid="{EE763392-220B-4A8F-A652-804E9D4A7EDA}" name="Kolonna2879"/>
    <tableColumn id="3218" xr3:uid="{BC1D688F-B417-4875-98EF-939C06DAA75F}" name="Kolonna2880"/>
    <tableColumn id="3219" xr3:uid="{BA04F1B4-41EF-4CF5-9488-7F176DFAFBE6}" name="Kolonna2881"/>
    <tableColumn id="3220" xr3:uid="{C99F4BEB-A037-4F39-96A0-0383AED7A011}" name="Kolonna2882"/>
    <tableColumn id="3221" xr3:uid="{B5AF4808-9F78-4297-9856-D602DF3FD0F5}" name="Kolonna2883"/>
    <tableColumn id="3222" xr3:uid="{33566F66-D0BB-453D-ACA3-C5F660C71D79}" name="Kolonna2884"/>
    <tableColumn id="3223" xr3:uid="{9C169709-0B6B-4B5D-B223-B1645CBD141B}" name="Kolonna2885"/>
    <tableColumn id="3224" xr3:uid="{72720437-C357-4AE3-AD14-7466F873F3D2}" name="Kolonna2886"/>
    <tableColumn id="3225" xr3:uid="{DE5F1216-49A1-4DC1-8627-5B41C248B101}" name="Kolonna2887"/>
    <tableColumn id="3226" xr3:uid="{833E7077-FDF2-413F-AA48-FB17BD9B25A4}" name="Kolonna2888"/>
    <tableColumn id="3227" xr3:uid="{678D30F9-8CBD-4B21-99BE-6433FF851AE8}" name="Kolonna2889"/>
    <tableColumn id="3228" xr3:uid="{A5C5E42B-924B-460C-ADA0-F4E65BF3BE75}" name="Kolonna2890"/>
    <tableColumn id="3229" xr3:uid="{34DCC515-92F1-4D18-B239-BA1E10EC7508}" name="Kolonna2891"/>
    <tableColumn id="3230" xr3:uid="{15FCF588-874C-48A9-882C-FDF29A0EE234}" name="Kolonna2892"/>
    <tableColumn id="3231" xr3:uid="{575464CB-CE9A-410D-9006-6E24C1F91BFE}" name="Kolonna2893"/>
    <tableColumn id="3232" xr3:uid="{EAC4AD5F-BA72-44B7-96CE-EEC8B046DA99}" name="Kolonna2894"/>
    <tableColumn id="3233" xr3:uid="{FF7E5BB6-51BF-4426-B912-9CA4848AF0F6}" name="Kolonna2895"/>
    <tableColumn id="3234" xr3:uid="{83A4155E-BCEB-4B17-AFBD-C55283DC711C}" name="Kolonna2896"/>
    <tableColumn id="3235" xr3:uid="{D7C83337-E821-4D94-9C96-DC1AFE9EBF3A}" name="Kolonna2897"/>
    <tableColumn id="3236" xr3:uid="{A088955E-5EB8-443B-8BD6-166A4B85A801}" name="Kolonna2898"/>
    <tableColumn id="3237" xr3:uid="{BB2C1482-14BF-4628-B972-706DBF43A6B9}" name="Kolonna2899"/>
    <tableColumn id="3238" xr3:uid="{3CFB6BFA-740C-4727-BDC3-A90E63B83A07}" name="Kolonna2900"/>
    <tableColumn id="3239" xr3:uid="{68BF30A1-2552-4307-A578-4A04C813859F}" name="Kolonna2901"/>
    <tableColumn id="3240" xr3:uid="{A24B1ACF-04A8-46BB-A492-B555C4E31F12}" name="Kolonna2902"/>
    <tableColumn id="3241" xr3:uid="{B3E80A52-6A1E-4E76-B197-B2D6DF940DA2}" name="Kolonna2903"/>
    <tableColumn id="3242" xr3:uid="{E7CE1D3B-4B48-4DE3-8A84-AD80D9858BBF}" name="Kolonna2904"/>
    <tableColumn id="3243" xr3:uid="{35D5207F-FFB2-4EB3-A5F8-5D970998D531}" name="Kolonna2905"/>
    <tableColumn id="3244" xr3:uid="{508FFB76-1679-49DC-A069-0020184E13FC}" name="Kolonna2906"/>
    <tableColumn id="3245" xr3:uid="{389A5A67-F5C8-4805-9828-B4DC928BCA3A}" name="Kolonna2907"/>
    <tableColumn id="3246" xr3:uid="{0D801F4B-016B-400F-8627-B3FA8B85B3CF}" name="Kolonna2908"/>
    <tableColumn id="3247" xr3:uid="{3580ECDB-9A37-46F7-8E9D-A397EB7155C0}" name="Kolonna2909"/>
    <tableColumn id="3248" xr3:uid="{990A6F39-F778-4460-9C82-D6C565790E69}" name="Kolonna2910"/>
    <tableColumn id="3249" xr3:uid="{EC2D8571-E02B-48C5-8F20-A3A0A91FBA88}" name="Kolonna2911"/>
    <tableColumn id="3250" xr3:uid="{CF2FF69B-C742-42B6-B4BA-D3959040C5CF}" name="Kolonna2912"/>
    <tableColumn id="3251" xr3:uid="{17181580-3000-4D11-BDE6-7024F9544B18}" name="Kolonna2913"/>
    <tableColumn id="3252" xr3:uid="{3EEF793E-C6F3-4F89-B6E6-0E6E8F26E169}" name="Kolonna2914"/>
    <tableColumn id="3253" xr3:uid="{7C330B8C-A8DB-4A7A-A61B-8EB03BE62DA9}" name="Kolonna2915"/>
    <tableColumn id="3254" xr3:uid="{92EC9F70-429E-4066-BCF1-4808D00595CE}" name="Kolonna2916"/>
    <tableColumn id="3255" xr3:uid="{5D05BF2F-A7E5-4642-A674-A2EB97E1ACBB}" name="Kolonna2917"/>
    <tableColumn id="3256" xr3:uid="{4D98C564-4927-4FB4-B484-432A5FF76138}" name="Kolonna2918"/>
    <tableColumn id="3257" xr3:uid="{CB97DB30-73D0-41F3-9EDC-2A632CFD4F46}" name="Kolonna2919"/>
    <tableColumn id="3258" xr3:uid="{8FFC12DC-8EF2-437D-BD70-C8C8BB6D47E5}" name="Kolonna2920"/>
    <tableColumn id="3259" xr3:uid="{ECA808B0-D001-4111-A678-CD97EBA576A9}" name="Kolonna2921"/>
    <tableColumn id="3260" xr3:uid="{D05A5615-D32B-4B43-BA17-1621CE4FE2BB}" name="Kolonna2922"/>
    <tableColumn id="3261" xr3:uid="{9C793D8E-B82E-4B9B-A88A-20EB9A0585B1}" name="Kolonna2923"/>
    <tableColumn id="3262" xr3:uid="{73F0C472-9059-4A16-8334-34554FC2DD81}" name="Kolonna2924"/>
    <tableColumn id="3263" xr3:uid="{C844BEEB-D745-42EC-AC23-4E656CD2911F}" name="Kolonna2925"/>
    <tableColumn id="3264" xr3:uid="{6BAD450D-E6E6-4C6C-8162-F69365BC07C8}" name="Kolonna2926"/>
    <tableColumn id="3265" xr3:uid="{CEB0AD2E-EEF5-4CE2-B640-2D34B6879EF7}" name="Kolonna2927"/>
    <tableColumn id="3266" xr3:uid="{4E28E574-1177-4756-8348-7408CE0E088E}" name="Kolonna2928"/>
    <tableColumn id="3267" xr3:uid="{B328865C-5324-49B9-B27F-67C26F5E7175}" name="Kolonna2929"/>
    <tableColumn id="3268" xr3:uid="{E34A2AA5-41E4-44A4-82E0-9AED5D9E735F}" name="Kolonna2930"/>
    <tableColumn id="3269" xr3:uid="{93394FF2-B80C-407E-8C46-39BA82432C6D}" name="Kolonna2931"/>
    <tableColumn id="3270" xr3:uid="{41F1F284-295D-4F04-8961-7CFE05DDC7D5}" name="Kolonna2932"/>
    <tableColumn id="3271" xr3:uid="{9F75FBCF-C9C0-4C84-B287-63EEA895D077}" name="Kolonna2933"/>
    <tableColumn id="3272" xr3:uid="{90859B8D-5B55-447E-8EBC-C18F2E9FB65B}" name="Kolonna2934"/>
    <tableColumn id="3273" xr3:uid="{2678ECD3-D721-4756-B997-C28F118E70BA}" name="Kolonna2935"/>
    <tableColumn id="3274" xr3:uid="{02AE99C7-5793-47BB-8CB3-297F7A27CEF8}" name="Kolonna2936"/>
    <tableColumn id="3275" xr3:uid="{4951A3A5-0F1C-4E67-B394-5455737D82EA}" name="Kolonna2937"/>
    <tableColumn id="3276" xr3:uid="{46B28DDB-0EA0-480F-A575-9BBAF9FE58DE}" name="Kolonna2938"/>
    <tableColumn id="3277" xr3:uid="{21FEF1C3-E693-4E22-9814-03B17CEDEDA3}" name="Kolonna2939"/>
    <tableColumn id="3278" xr3:uid="{5584218D-EA7A-468A-986D-939CCECBCBE3}" name="Kolonna2940"/>
    <tableColumn id="3279" xr3:uid="{81277A8E-289F-41EC-8CD6-02101FA01873}" name="Kolonna2941"/>
    <tableColumn id="3280" xr3:uid="{8412DF7E-A6F7-43F6-B608-59EF65650522}" name="Kolonna2942"/>
    <tableColumn id="3281" xr3:uid="{B480F451-A6C2-4C8A-8D58-F7DF54321AB2}" name="Kolonna2943"/>
    <tableColumn id="3282" xr3:uid="{7947154F-017F-4134-9544-E7E0638A32EC}" name="Kolonna2944"/>
    <tableColumn id="3283" xr3:uid="{3D702E5A-4C10-4C98-AFB6-9565DAC07B77}" name="Kolonna2945"/>
    <tableColumn id="3284" xr3:uid="{2760C1DC-CA90-463F-8530-2D400E1E5339}" name="Kolonna2946"/>
    <tableColumn id="3285" xr3:uid="{D5E74BBB-6704-49B7-B0B2-817098CA1C10}" name="Kolonna2947"/>
    <tableColumn id="3286" xr3:uid="{7226AEE3-9BB2-4233-84E3-48AE2470C7BE}" name="Kolonna2948"/>
    <tableColumn id="3287" xr3:uid="{EF20CEA3-0080-4DB1-9B36-BC5A06DD0B8D}" name="Kolonna2949"/>
    <tableColumn id="3288" xr3:uid="{8022F164-1111-473E-957B-76B4D3A01DAF}" name="Kolonna2950"/>
    <tableColumn id="3289" xr3:uid="{7EF62D47-C97B-4E1E-BCB9-01A1C477B81F}" name="Kolonna2951"/>
    <tableColumn id="3290" xr3:uid="{B3BF7D94-0CE3-4E70-A190-DE32D8C151E5}" name="Kolonna2952"/>
    <tableColumn id="3291" xr3:uid="{C76AB0E0-E4E8-40EF-9D5F-553DB4F7B54A}" name="Kolonna2953"/>
    <tableColumn id="3292" xr3:uid="{50EAB63C-2841-4B24-AC85-B03DED4DAA5C}" name="Kolonna2954"/>
    <tableColumn id="3293" xr3:uid="{91809034-F1A8-475F-9DE4-0251C138300D}" name="Kolonna2955"/>
    <tableColumn id="3294" xr3:uid="{BB7A1454-EFB5-4AA3-8066-BA2CC77E3FBA}" name="Kolonna2956"/>
    <tableColumn id="3295" xr3:uid="{687065D3-8630-4E64-98AF-2D2D4459A780}" name="Kolonna2957"/>
    <tableColumn id="3296" xr3:uid="{102B2245-E1A3-4D69-88FB-5EBAB90958B9}" name="Kolonna2958"/>
    <tableColumn id="3297" xr3:uid="{6A03965C-1469-4F55-BEDE-11E39A492F16}" name="Kolonna2959"/>
    <tableColumn id="3298" xr3:uid="{C0538A92-257E-4212-A76B-7533C566E574}" name="Kolonna2960"/>
    <tableColumn id="3299" xr3:uid="{C1CC0134-AD70-4569-8879-2205682E1630}" name="Kolonna2961"/>
    <tableColumn id="3300" xr3:uid="{0E59D7D2-51D4-48A2-9FD4-A776A253FEE4}" name="Kolonna2962"/>
    <tableColumn id="3301" xr3:uid="{A5B795F1-6122-46F4-BC55-60ADA7E70B17}" name="Kolonna2963"/>
    <tableColumn id="3302" xr3:uid="{5B87D237-C441-4CCD-88B0-6012DB09255C}" name="Kolonna2964"/>
    <tableColumn id="3303" xr3:uid="{396C8F0C-7334-4A90-843E-60D6FBCDFD58}" name="Kolonna2965"/>
    <tableColumn id="3304" xr3:uid="{B1459AC3-5948-423C-8024-9BEC0EEF9B83}" name="Kolonna2966"/>
    <tableColumn id="3305" xr3:uid="{2429A749-7894-413B-9E41-2AC1F1753177}" name="Kolonna2967"/>
    <tableColumn id="3306" xr3:uid="{53E7F4BD-C8CB-43A6-B624-84DC27F622EF}" name="Kolonna2968"/>
    <tableColumn id="3307" xr3:uid="{22986201-DF61-4ED7-9FDC-06108DF1A6AB}" name="Kolonna2969"/>
    <tableColumn id="3308" xr3:uid="{D305E7CC-6379-4E35-865B-99BBD96FFDA8}" name="Kolonna2970"/>
    <tableColumn id="3309" xr3:uid="{B4AF4C14-1877-4421-868F-679E606F1ECD}" name="Kolonna2971"/>
    <tableColumn id="3310" xr3:uid="{652CD03E-21EE-4BED-9ED1-9A6D60F77D36}" name="Kolonna2972"/>
    <tableColumn id="3311" xr3:uid="{2820055C-9B9C-4AD5-AD7B-AA8A31129116}" name="Kolonna2973"/>
    <tableColumn id="3312" xr3:uid="{2CC85252-3F95-40A9-98AE-FEACD1001901}" name="Kolonna2974"/>
    <tableColumn id="3313" xr3:uid="{A3F62ACA-1F53-41A1-B504-8377A1A920D5}" name="Kolonna2975"/>
    <tableColumn id="3314" xr3:uid="{55A796C4-0B1B-4303-B1A1-0DDCE434E70E}" name="Kolonna2976"/>
    <tableColumn id="3315" xr3:uid="{69853773-A7AC-4B79-87F3-BC86A8BA52A8}" name="Kolonna2977"/>
    <tableColumn id="3316" xr3:uid="{95870595-283C-48F6-AC10-8C89783EF21B}" name="Kolonna2978"/>
    <tableColumn id="3317" xr3:uid="{4AF9985A-E7CC-4191-BC97-7BFCCDAD7E8A}" name="Kolonna2979"/>
    <tableColumn id="3318" xr3:uid="{FD32202E-ED7E-44CC-9CFE-BCB14CA861E7}" name="Kolonna2980"/>
    <tableColumn id="3319" xr3:uid="{B4CD3AD9-08AA-4F75-BD05-B06C75E78A3D}" name="Kolonna2981"/>
    <tableColumn id="3320" xr3:uid="{130D8DDD-06CF-40E2-8CFC-5CB3CDD9F5AC}" name="Kolonna2982"/>
    <tableColumn id="3321" xr3:uid="{D9C0328D-96E7-407F-A463-FCC550CC5904}" name="Kolonna2983"/>
    <tableColumn id="3322" xr3:uid="{1E20EB36-B161-4B00-8B1B-6E828B46A300}" name="Kolonna2984"/>
    <tableColumn id="3323" xr3:uid="{3A7107F1-8C35-464D-94B2-DF868E0F0AC9}" name="Kolonna2985"/>
    <tableColumn id="3324" xr3:uid="{F212F91F-ED32-461C-A88A-C7C974BEF569}" name="Kolonna2986"/>
    <tableColumn id="3325" xr3:uid="{B4745142-499A-477B-A519-425A59946316}" name="Kolonna2987"/>
    <tableColumn id="3326" xr3:uid="{59EA5A1A-A4A0-437E-9FCF-0FC136C7766B}" name="Kolonna2988"/>
    <tableColumn id="3327" xr3:uid="{30B75FB2-1B5A-49FC-AF92-61A30B7DA89E}" name="Kolonna2989"/>
    <tableColumn id="3328" xr3:uid="{F9C59032-1C74-4287-B378-070F5533E2E5}" name="Kolonna2990"/>
    <tableColumn id="3329" xr3:uid="{9A8F59E9-76C8-45E3-BF8D-87EA12A6A71D}" name="Kolonna2991"/>
    <tableColumn id="3330" xr3:uid="{C6DC6863-C0E0-494F-9298-4304E8D47F48}" name="Kolonna2992"/>
    <tableColumn id="3331" xr3:uid="{D59E205A-7F78-4257-8EBB-6E9A20C9FC15}" name="Kolonna2993"/>
    <tableColumn id="3332" xr3:uid="{CA4CBC7F-8A2D-4FE4-A3D9-670B6F30CA53}" name="Kolonna2994"/>
    <tableColumn id="3333" xr3:uid="{B3EE13B0-E4C9-4771-8F18-9F91424D81F5}" name="Kolonna2995"/>
    <tableColumn id="3334" xr3:uid="{4CBDDDF0-E5C7-4987-9CAC-29B398C17A89}" name="Kolonna2996"/>
    <tableColumn id="3335" xr3:uid="{BEE2BA0A-D3A5-4A9D-A136-E06CCDA9EC6A}" name="Kolonna2997"/>
    <tableColumn id="3336" xr3:uid="{45AE2356-1B4D-4F94-8860-41EBF559F700}" name="Kolonna2998"/>
    <tableColumn id="3337" xr3:uid="{FE1FC26E-58BA-4D0F-8763-B81A286EDF9A}" name="Kolonna2999"/>
    <tableColumn id="3338" xr3:uid="{4964B399-373D-40A2-896F-49F684CE70B5}" name="Kolonna3000"/>
    <tableColumn id="3339" xr3:uid="{E15476B8-A002-47A8-A628-CDD259E9D4D3}" name="Kolonna3001"/>
    <tableColumn id="3340" xr3:uid="{77AC6FDA-654C-4160-BA97-434135E0A347}" name="Kolonna3002"/>
    <tableColumn id="3341" xr3:uid="{52BBEAB2-5474-450D-A463-04D9E134C5E6}" name="Kolonna3003"/>
    <tableColumn id="3342" xr3:uid="{C7B7A130-E8F5-4C1D-82A5-0C1DB0C520DF}" name="Kolonna3004"/>
    <tableColumn id="3343" xr3:uid="{06D1180D-A186-4250-B484-1619C69BE56D}" name="Kolonna3005"/>
    <tableColumn id="3344" xr3:uid="{03BC07C2-E338-4C1F-A61C-F636AB57A955}" name="Kolonna3006"/>
    <tableColumn id="3345" xr3:uid="{DE4CFEE8-FD03-4A8E-9EF6-8A7BC52341B2}" name="Kolonna3007"/>
    <tableColumn id="3346" xr3:uid="{09029BDF-F90C-4E8A-A8AE-74BCFF61D268}" name="Kolonna3008"/>
    <tableColumn id="3347" xr3:uid="{C16642F4-28D6-463B-A821-EF193251CFF9}" name="Kolonna3009"/>
    <tableColumn id="3348" xr3:uid="{AE937D0D-5B80-47AD-B942-AF43E9FA6653}" name="Kolonna3010"/>
    <tableColumn id="3349" xr3:uid="{C73B7051-D003-44B1-B333-89208E55C428}" name="Kolonna3011"/>
    <tableColumn id="3350" xr3:uid="{FEA03077-970E-48B8-9B74-34A90252ED97}" name="Kolonna3012"/>
    <tableColumn id="3351" xr3:uid="{B8C776E7-4C9B-4E40-A611-C423E1903049}" name="Kolonna3013"/>
    <tableColumn id="3352" xr3:uid="{99BA03B8-37A1-4403-B81A-1121751C05F4}" name="Kolonna3014"/>
    <tableColumn id="3353" xr3:uid="{B8C1EF23-04E8-4ABF-91D8-EBBCDF2D949F}" name="Kolonna3015"/>
    <tableColumn id="3354" xr3:uid="{4968FE50-73D1-4638-BEFE-BBDB8F2D12CB}" name="Kolonna3016"/>
    <tableColumn id="3355" xr3:uid="{20ED81FB-EB4E-4E0D-A458-29DAC6329AA8}" name="Kolonna3017"/>
    <tableColumn id="3356" xr3:uid="{FA7D151E-1FA9-4B4F-AB39-D2B3FBE63186}" name="Kolonna3018"/>
    <tableColumn id="3357" xr3:uid="{11300471-8A82-4D70-AC90-7C04F484A0D4}" name="Kolonna3019"/>
    <tableColumn id="3358" xr3:uid="{DE2CB6F9-ED47-48B8-A497-4EB9642F508C}" name="Kolonna3020"/>
    <tableColumn id="3359" xr3:uid="{FA0A5A98-E547-490B-A2B1-486931895F24}" name="Kolonna3021"/>
    <tableColumn id="3360" xr3:uid="{F48CA0ED-7204-4549-9102-984978BD4688}" name="Kolonna3022"/>
    <tableColumn id="3361" xr3:uid="{1AC670EF-F582-43EF-B669-9FB53511B4C1}" name="Kolonna3023"/>
    <tableColumn id="3362" xr3:uid="{AD6B0746-E986-4F17-B1EE-251920A2C05D}" name="Kolonna3024"/>
    <tableColumn id="3363" xr3:uid="{5607449B-1C2D-488F-82D9-47CF5E2E6BC3}" name="Kolonna3025"/>
    <tableColumn id="3364" xr3:uid="{FD8693E8-16C2-4B79-85A1-AA4729F512E5}" name="Kolonna3026"/>
    <tableColumn id="3365" xr3:uid="{62B5E03F-7391-4710-B996-67FF92D1C4B1}" name="Kolonna3027"/>
    <tableColumn id="3366" xr3:uid="{81D657B9-130B-4D83-A629-95942B04AFAF}" name="Kolonna3028"/>
    <tableColumn id="3367" xr3:uid="{710FCB43-8214-4B98-84A3-6648C54C637B}" name="Kolonna3029"/>
    <tableColumn id="3368" xr3:uid="{2FA01A09-9F9F-4FDE-9522-C21340CBE4CB}" name="Kolonna3030"/>
    <tableColumn id="3369" xr3:uid="{19ACAD37-D070-4698-A5FE-FD8E597B4E7C}" name="Kolonna3031"/>
    <tableColumn id="3370" xr3:uid="{6DB2BC90-F637-479A-B51B-C93183A83EC8}" name="Kolonna3032"/>
    <tableColumn id="3371" xr3:uid="{89C6E4A2-30E9-4362-82C4-BA08FD0D0BB5}" name="Kolonna3033"/>
    <tableColumn id="3372" xr3:uid="{3031DB61-DA20-4C64-990B-3DF6A94E54A7}" name="Kolonna3034"/>
    <tableColumn id="3373" xr3:uid="{4BE75404-EC78-4344-B379-604C0C6F8C48}" name="Kolonna3035"/>
    <tableColumn id="3374" xr3:uid="{E730282A-7B3D-43BE-BB90-337F1DAF3D08}" name="Kolonna3036"/>
    <tableColumn id="3375" xr3:uid="{667F0D17-8629-4050-A9D5-847580BA5473}" name="Kolonna3037"/>
    <tableColumn id="3376" xr3:uid="{0D0B9861-0A51-40D4-AEEF-C8D7B1C31FDC}" name="Kolonna3038"/>
    <tableColumn id="3377" xr3:uid="{6152A5B6-623B-4538-AB21-8794177D8410}" name="Kolonna3039"/>
    <tableColumn id="3378" xr3:uid="{4453B331-6C92-4FC6-9FFA-C010DF9FCF11}" name="Kolonna3040"/>
    <tableColumn id="3379" xr3:uid="{A52BC585-7E83-449A-9C20-68D0045DE798}" name="Kolonna3041"/>
    <tableColumn id="3380" xr3:uid="{E2EFB922-C2EA-4BF9-AE23-D44D346C05E4}" name="Kolonna3042"/>
    <tableColumn id="3381" xr3:uid="{EE7157DD-5E91-41E9-ABB8-10DF5AE6537E}" name="Kolonna3043"/>
    <tableColumn id="3382" xr3:uid="{6E6DE167-5BE8-4945-932F-9484A161D470}" name="Kolonna3044"/>
    <tableColumn id="3383" xr3:uid="{776DE3A6-EE0E-4E9D-8B6F-3E5F8A8C5F8D}" name="Kolonna3045"/>
    <tableColumn id="3384" xr3:uid="{5152AD90-81FD-4FDD-9748-C9415D684D88}" name="Kolonna3046"/>
    <tableColumn id="3385" xr3:uid="{D0AD4E64-8715-428A-A674-826836DF3A95}" name="Kolonna3047"/>
    <tableColumn id="3386" xr3:uid="{584E9468-3166-441D-AFBD-2F57F5742828}" name="Kolonna3048"/>
    <tableColumn id="3387" xr3:uid="{C5AC6A6E-C857-4B18-9B89-9DCD0A8879AF}" name="Kolonna3049"/>
    <tableColumn id="3388" xr3:uid="{30E7C89B-2E17-44B8-9D0C-25DAE51B46BF}" name="Kolonna3050"/>
    <tableColumn id="3389" xr3:uid="{36C49A11-A74F-4DBC-8213-CEDE46DEFCBD}" name="Kolonna3051"/>
    <tableColumn id="3390" xr3:uid="{7662FA52-252C-48AB-BA7B-730B51F4240A}" name="Kolonna3052"/>
    <tableColumn id="3391" xr3:uid="{904AE31F-09DF-45E9-93F5-9B18E093B415}" name="Kolonna3053"/>
    <tableColumn id="3392" xr3:uid="{F6F9E3D1-CA82-43AD-95F9-A0F430657C93}" name="Kolonna3054"/>
    <tableColumn id="3393" xr3:uid="{C4ED4932-F4A3-4F4D-BD22-F77202CE14AA}" name="Kolonna3055"/>
    <tableColumn id="3394" xr3:uid="{2DD06962-DEE0-40F3-A11D-14EFB5B86F91}" name="Kolonna3056"/>
    <tableColumn id="3395" xr3:uid="{35171ECF-2AE1-43E1-BEDD-BD473513D0B1}" name="Kolonna3057"/>
    <tableColumn id="3396" xr3:uid="{3DCD3116-AB36-43F4-B2D8-BE3C4ACE0614}" name="Kolonna3058"/>
    <tableColumn id="3397" xr3:uid="{3F1EC954-5DE3-4547-A48D-56D563CB76B0}" name="Kolonna3059"/>
    <tableColumn id="3398" xr3:uid="{BE0973DA-0379-4DB2-8BC1-1D1008E0E275}" name="Kolonna3060"/>
    <tableColumn id="3399" xr3:uid="{B35DDADB-8E29-4301-A45F-1AAF6BD0FEBF}" name="Kolonna3061"/>
    <tableColumn id="3400" xr3:uid="{9C9B40E9-FCCB-4B7C-B122-559ED0CEACAD}" name="Kolonna3062"/>
    <tableColumn id="3401" xr3:uid="{F204D373-DA69-448F-8012-86DBC2285D0A}" name="Kolonna3063"/>
    <tableColumn id="3402" xr3:uid="{1F7FFB03-33C2-4233-B5F7-1F3D91F82E6A}" name="Kolonna3064"/>
    <tableColumn id="3403" xr3:uid="{14B674FA-92FD-49ED-A4E6-AC8C7EFE40AA}" name="Kolonna3065"/>
    <tableColumn id="3404" xr3:uid="{D81E168B-D82D-4B26-B177-AAE19DBA3E83}" name="Kolonna3066"/>
    <tableColumn id="3405" xr3:uid="{84FAE47A-640C-4243-B4A6-6332C55D3C86}" name="Kolonna3067"/>
    <tableColumn id="3406" xr3:uid="{4D091B38-E8F5-477A-BF44-8562D9FBCEDE}" name="Kolonna3068"/>
    <tableColumn id="3407" xr3:uid="{47E90A85-A075-4189-B13E-55EA486799B9}" name="Kolonna3069"/>
    <tableColumn id="3408" xr3:uid="{F59FC4F6-C5BB-4F3F-8FF8-71A6C4429F65}" name="Kolonna3070"/>
    <tableColumn id="3409" xr3:uid="{B7F55761-542A-48AA-9F03-5C54FB236C55}" name="Kolonna3071"/>
    <tableColumn id="3410" xr3:uid="{29DA9B8D-6F88-479A-8027-9CEBD3291CC9}" name="Kolonna3072"/>
    <tableColumn id="3411" xr3:uid="{BA9A4E01-8435-41BD-A90E-60A4F6AF51FE}" name="Kolonna3073"/>
    <tableColumn id="3412" xr3:uid="{57390D43-822F-42B8-BCA4-5CB11CB28F35}" name="Kolonna3074"/>
    <tableColumn id="3413" xr3:uid="{CBA61A54-E54F-4A8B-884B-A62EB86CA6B9}" name="Kolonna3075"/>
    <tableColumn id="3414" xr3:uid="{C88F5C9F-E403-4729-A4A1-15FE4A4A335C}" name="Kolonna3076"/>
    <tableColumn id="3415" xr3:uid="{1EEE7D0F-B7FF-48B5-B683-3DD77EE0CA63}" name="Kolonna3077"/>
    <tableColumn id="3416" xr3:uid="{9EE71A7B-F4C9-4FCC-9827-F21EF4D7D845}" name="Kolonna3078"/>
    <tableColumn id="3417" xr3:uid="{CB4A7AEC-CB76-4D4C-9AC9-0009AC5589C3}" name="Kolonna3079"/>
    <tableColumn id="3418" xr3:uid="{6EC68A58-DD04-40CC-984F-8B99D56BD4DF}" name="Kolonna3080"/>
    <tableColumn id="3419" xr3:uid="{1268C70D-A4C6-456A-A4C7-13EC423F9CDD}" name="Kolonna3081"/>
    <tableColumn id="3420" xr3:uid="{9FCF108A-85D7-4818-BB08-97CFF6A60BD6}" name="Kolonna3082"/>
    <tableColumn id="3421" xr3:uid="{8DBE7E5E-0C9E-460A-8EF1-3BC07E7FC6A8}" name="Kolonna3083"/>
    <tableColumn id="3422" xr3:uid="{26CDF10E-1728-4DFE-91AC-F81674CC8370}" name="Kolonna3084"/>
    <tableColumn id="3423" xr3:uid="{0A7D4A38-C15E-4A0F-9E75-ECBD81B2F497}" name="Kolonna3085"/>
    <tableColumn id="3424" xr3:uid="{15F8D90E-0076-4334-BB55-A1628D0D9363}" name="Kolonna3086"/>
    <tableColumn id="3425" xr3:uid="{56132CF9-D4A8-4DAE-BD18-28C3E4BE1435}" name="Kolonna3087"/>
    <tableColumn id="3426" xr3:uid="{943A4C96-C2E1-45F5-80B0-157F5469DF89}" name="Kolonna3088"/>
    <tableColumn id="3427" xr3:uid="{59D39FE7-A806-46BE-B575-C44A6DBE05B5}" name="Kolonna3089"/>
    <tableColumn id="3428" xr3:uid="{E1B23C97-C316-4C48-BEA4-963D24BEED26}" name="Kolonna3090"/>
    <tableColumn id="3429" xr3:uid="{2B18762C-ECFD-4D1A-8738-4989CF13DFCD}" name="Kolonna3091"/>
    <tableColumn id="3430" xr3:uid="{B64473B7-3D2B-4132-90A8-D5B04B019865}" name="Kolonna3092"/>
    <tableColumn id="3431" xr3:uid="{9D6C0762-AC87-45FF-991E-22F09D198966}" name="Kolonna3093"/>
    <tableColumn id="3432" xr3:uid="{8615F69C-00B0-442B-8369-D25CA57A7F35}" name="Kolonna3094"/>
    <tableColumn id="3433" xr3:uid="{E24300C0-4F78-4500-9AAC-D24327269F10}" name="Kolonna3095"/>
    <tableColumn id="3434" xr3:uid="{D3C7BAA8-DA41-4E4E-A6A0-863B9A27776A}" name="Kolonna3096"/>
    <tableColumn id="3435" xr3:uid="{93B295FA-A2BE-44B7-A57E-9266EA93A93C}" name="Kolonna3097"/>
    <tableColumn id="3436" xr3:uid="{58FEDD29-4FB1-49FF-9E5D-4F2EC30B8ECB}" name="Kolonna3098"/>
    <tableColumn id="3437" xr3:uid="{34669318-D0C4-4FC7-9165-F18A5160BB42}" name="Kolonna3099"/>
    <tableColumn id="3438" xr3:uid="{AD9846FA-F65D-4B89-8542-2900EB9E052F}" name="Kolonna3100"/>
    <tableColumn id="3439" xr3:uid="{A5243DAE-1A74-4EB8-8B46-121E462C60EA}" name="Kolonna3101"/>
    <tableColumn id="3440" xr3:uid="{19D09BA3-0AB5-4EC9-886D-E0DFF8B483A6}" name="Kolonna3102"/>
    <tableColumn id="3441" xr3:uid="{6C1F9350-0D31-492E-B0C5-E103F2E29279}" name="Kolonna3103"/>
    <tableColumn id="3442" xr3:uid="{DBB40E4D-DA0F-400D-B54A-A1BF27D8A79F}" name="Kolonna3104"/>
    <tableColumn id="3443" xr3:uid="{BE76F714-0640-4CDD-8B4D-4DE5EC2A55DE}" name="Kolonna3105"/>
    <tableColumn id="3444" xr3:uid="{2BAE33F1-8DBE-4831-B72B-702A373C28BB}" name="Kolonna3106"/>
    <tableColumn id="3445" xr3:uid="{DFD2F944-5C1B-4B89-9717-63D232714A25}" name="Kolonna3107"/>
    <tableColumn id="3446" xr3:uid="{916BF1C1-CB0D-4087-BE73-74DFDB4F8981}" name="Kolonna3108"/>
    <tableColumn id="3447" xr3:uid="{8443BFAD-D203-46BC-A7A8-DCB3200E8256}" name="Kolonna3109"/>
    <tableColumn id="3448" xr3:uid="{C5E93074-C3D2-4DA9-A758-7193CBD6085A}" name="Kolonna3110"/>
    <tableColumn id="3449" xr3:uid="{38C4BD31-E61D-47B5-A006-01BEFBC9B50A}" name="Kolonna3111"/>
    <tableColumn id="3450" xr3:uid="{FECE21F6-6B8A-419E-B107-5C770B5C135F}" name="Kolonna3112"/>
    <tableColumn id="3451" xr3:uid="{3DE396E7-8537-4EC0-8DE4-C309E5A1E9B2}" name="Kolonna3113"/>
    <tableColumn id="3452" xr3:uid="{7B736F39-F6CF-4309-AF17-63C28161DA0A}" name="Kolonna3114"/>
    <tableColumn id="3453" xr3:uid="{617411AD-43B4-4401-A407-9D345D5CA12E}" name="Kolonna3115"/>
    <tableColumn id="3454" xr3:uid="{1DD1BE34-81BA-4A5D-B61D-C571F5EEDC3B}" name="Kolonna3116"/>
    <tableColumn id="3455" xr3:uid="{E9C3406C-4A06-4921-8CFA-D2D589DF57C5}" name="Kolonna3117"/>
    <tableColumn id="3456" xr3:uid="{6128FB71-7A19-41BA-8D8D-A2627FF61AB6}" name="Kolonna3118"/>
    <tableColumn id="3457" xr3:uid="{F2D9BE39-5A15-4DCA-B1F6-294635CD9A26}" name="Kolonna3119"/>
    <tableColumn id="3458" xr3:uid="{85E29379-C6D6-4805-BCD1-C819C6FB6248}" name="Kolonna3120"/>
    <tableColumn id="3459" xr3:uid="{2E15EF18-461E-49F4-9E53-FFC9CDC23D27}" name="Kolonna3121"/>
    <tableColumn id="3460" xr3:uid="{10C597D1-796D-4859-9EAA-547737789ACE}" name="Kolonna3122"/>
    <tableColumn id="3461" xr3:uid="{A7985896-824C-47E8-88ED-05BB0E8F5043}" name="Kolonna3123"/>
    <tableColumn id="3462" xr3:uid="{C2362315-6878-49D0-99F6-1E8DB5997772}" name="Kolonna3124"/>
    <tableColumn id="3463" xr3:uid="{9E5726E8-76ED-42EE-992B-D1F8AF1FB0A3}" name="Kolonna3125"/>
    <tableColumn id="3464" xr3:uid="{25BBACCA-14CB-4599-9B19-664C75D5165F}" name="Kolonna3126"/>
    <tableColumn id="3465" xr3:uid="{01FF399C-8B44-4437-BB88-7AF8414DD263}" name="Kolonna3127"/>
    <tableColumn id="3466" xr3:uid="{1BBCD243-7533-43BD-B09F-507528D792E7}" name="Kolonna3128"/>
    <tableColumn id="3467" xr3:uid="{EE47DBBC-A7F8-4930-8F6C-C952A4956A05}" name="Kolonna3129"/>
    <tableColumn id="3468" xr3:uid="{CA4102C2-3961-4F38-B1DA-E01842C740BD}" name="Kolonna3130"/>
    <tableColumn id="3469" xr3:uid="{F25156F2-CAD7-46E5-AEF5-826F0A589306}" name="Kolonna3131"/>
    <tableColumn id="3470" xr3:uid="{59DC7B5A-B303-4367-9974-35BE6AAFA727}" name="Kolonna3132"/>
    <tableColumn id="3471" xr3:uid="{DAB7960D-6370-4807-B2A2-910922F2564F}" name="Kolonna3133"/>
    <tableColumn id="3472" xr3:uid="{2ECC0B76-C642-4FAB-9E6B-160683BB2EF7}" name="Kolonna3134"/>
    <tableColumn id="3473" xr3:uid="{ECE1BC0D-A94B-486F-85AF-46E9A86A8740}" name="Kolonna3135"/>
    <tableColumn id="3474" xr3:uid="{28C778A9-D204-49A2-8D40-B89E32421D10}" name="Kolonna3136"/>
    <tableColumn id="3475" xr3:uid="{1A102680-4682-4253-9A6C-C6DC984DCA86}" name="Kolonna3137"/>
    <tableColumn id="3476" xr3:uid="{90C5788D-0D1E-495B-A917-CD40EC13EA5E}" name="Kolonna3138"/>
    <tableColumn id="3477" xr3:uid="{84D90F8D-D7CD-4AD1-8DD2-8BE4E8F8706F}" name="Kolonna3139"/>
    <tableColumn id="3478" xr3:uid="{7EDC299A-63BC-41BA-81E1-02B6E4E8DAEF}" name="Kolonna3140"/>
    <tableColumn id="3479" xr3:uid="{BF4AAAF5-C77A-4298-B15A-87CA8FC66B67}" name="Kolonna3141"/>
    <tableColumn id="3480" xr3:uid="{720CC4D1-DCD8-43D1-8739-6E1A4CE6ACE4}" name="Kolonna3142"/>
    <tableColumn id="3481" xr3:uid="{0D9C2C88-63F6-4466-8C73-0DA8F58E4C08}" name="Kolonna3143"/>
    <tableColumn id="3482" xr3:uid="{084F4CEB-7FB4-4BC8-B3D2-99E904DA1920}" name="Kolonna3144"/>
    <tableColumn id="3483" xr3:uid="{CE44C775-0C7B-4B48-812E-A4C2FF077B62}" name="Kolonna3145"/>
    <tableColumn id="3484" xr3:uid="{E9943258-71FD-4B95-9677-3D3C0C15F3C9}" name="Kolonna3146"/>
    <tableColumn id="3485" xr3:uid="{44E87ED3-465D-4CE4-8943-0BE219E54372}" name="Kolonna3147"/>
    <tableColumn id="3486" xr3:uid="{2D3B253D-083F-4DDE-B1A3-CDFC5829DDCB}" name="Kolonna3148"/>
    <tableColumn id="3487" xr3:uid="{6EEE9717-3AB8-4536-945D-DE521186CD2B}" name="Kolonna3149"/>
    <tableColumn id="3488" xr3:uid="{C9C8AE1B-8648-409A-A98E-75D4D79DD60D}" name="Kolonna3150"/>
    <tableColumn id="3489" xr3:uid="{013BDEE0-8F20-44B1-A415-1B391DE08E4D}" name="Kolonna3151"/>
    <tableColumn id="3490" xr3:uid="{A274CEB3-F4C8-46B5-AA33-B2073ABEB525}" name="Kolonna3152"/>
    <tableColumn id="3491" xr3:uid="{BB50B1E8-05E6-4550-BBBA-96A6343C6093}" name="Kolonna3153"/>
    <tableColumn id="3492" xr3:uid="{B35A32AA-9E5D-49B7-B190-B63C599DF617}" name="Kolonna3154"/>
    <tableColumn id="3493" xr3:uid="{9E037B4E-4DBE-46CB-B914-9F36475AC31E}" name="Kolonna3155"/>
    <tableColumn id="3494" xr3:uid="{81692B1E-AE89-4CE2-8551-F118E551C03A}" name="Kolonna3156"/>
    <tableColumn id="3495" xr3:uid="{60F835A5-2656-4963-8E77-EE8307EF9587}" name="Kolonna3157"/>
    <tableColumn id="3496" xr3:uid="{4D9F40FD-C641-412B-91EC-5DDF93319541}" name="Kolonna3158"/>
    <tableColumn id="3497" xr3:uid="{7E8291D1-441D-46F0-B7E7-765363F1BA71}" name="Kolonna3159"/>
    <tableColumn id="3498" xr3:uid="{522FE11E-BBAE-438E-9518-8BCF84AD6284}" name="Kolonna3160"/>
    <tableColumn id="3499" xr3:uid="{F894667F-2AA4-46CD-9CA2-C97370473122}" name="Kolonna3161"/>
    <tableColumn id="3500" xr3:uid="{7A00CF7B-2FC3-4CC3-9258-A46F797A66BD}" name="Kolonna3162"/>
    <tableColumn id="3501" xr3:uid="{1A196AF9-2981-4492-8EC5-D8A6E1C415FA}" name="Kolonna3163"/>
    <tableColumn id="3502" xr3:uid="{1C22F903-74CC-49E1-9F37-64E8D0190165}" name="Kolonna3164"/>
    <tableColumn id="3503" xr3:uid="{03D166EB-CA70-41AA-9593-6378D2A125DB}" name="Kolonna3165"/>
    <tableColumn id="3504" xr3:uid="{67F9D185-BB6F-4F22-92D1-22BAEDFD4A21}" name="Kolonna3166"/>
    <tableColumn id="3505" xr3:uid="{97C6D814-0093-4F19-BBCC-4E59BCFAF42C}" name="Kolonna3167"/>
    <tableColumn id="3506" xr3:uid="{4A02D2A2-03FA-404E-9804-D00F0EBD49F1}" name="Kolonna3168"/>
    <tableColumn id="3507" xr3:uid="{FA8BB686-F388-4169-B6E7-9B882213282D}" name="Kolonna3169"/>
    <tableColumn id="3508" xr3:uid="{3AF938AD-A73C-4322-8739-1B5B03CEF885}" name="Kolonna3170"/>
    <tableColumn id="3509" xr3:uid="{EE199EC5-959C-445D-AB4A-02FF364FAF2A}" name="Kolonna3171"/>
    <tableColumn id="3510" xr3:uid="{20747012-86C5-4BA8-A266-ECED7B2D81BB}" name="Kolonna3172"/>
    <tableColumn id="3511" xr3:uid="{EC418928-9408-4CEF-B04A-FEB6B5E2028E}" name="Kolonna3173"/>
    <tableColumn id="3512" xr3:uid="{9C38D06D-5F7D-4838-A514-32C8242D09D1}" name="Kolonna3174"/>
    <tableColumn id="3513" xr3:uid="{CDE8264C-C2BA-4B45-B273-61C2C9ACEC70}" name="Kolonna3175"/>
    <tableColumn id="3514" xr3:uid="{7C94EB97-D46E-46B9-971D-E787C6CB2CA4}" name="Kolonna3176"/>
    <tableColumn id="3515" xr3:uid="{C04CB215-D641-46AC-901A-4422EC33DE0A}" name="Kolonna3177"/>
    <tableColumn id="3516" xr3:uid="{7433ECB4-A5E0-4967-A895-2696FC586DD4}" name="Kolonna3178"/>
    <tableColumn id="3517" xr3:uid="{42DC5B79-8885-4A43-A8CA-F9A3C822718D}" name="Kolonna3179"/>
    <tableColumn id="3518" xr3:uid="{D5F707E4-A86A-428E-BF47-97887A716795}" name="Kolonna3180"/>
    <tableColumn id="3519" xr3:uid="{CB4E77CB-7FF3-4212-8D5C-BB19EC584BF6}" name="Kolonna3181"/>
    <tableColumn id="3520" xr3:uid="{6BB646C2-8D17-436F-A128-5CC1459D8065}" name="Kolonna3182"/>
    <tableColumn id="3521" xr3:uid="{DA59D905-2ECA-4F16-B9D8-346E3BABCB09}" name="Kolonna3183"/>
    <tableColumn id="3522" xr3:uid="{3A39FBC6-69DF-4A3A-92BA-76AB6EB3B7AF}" name="Kolonna3184"/>
    <tableColumn id="3523" xr3:uid="{D84FC1F3-9691-4201-8839-9D9C9F3C27D0}" name="Kolonna3185"/>
    <tableColumn id="3524" xr3:uid="{8AFD9A3F-8A81-4DB3-82D3-865EEF7DC428}" name="Kolonna3186"/>
    <tableColumn id="3525" xr3:uid="{0669B29B-4C54-4D0A-B64A-8FB181F6F24E}" name="Kolonna3187"/>
    <tableColumn id="3526" xr3:uid="{11602790-9B13-4CE5-BD00-FF789CC02607}" name="Kolonna3188"/>
    <tableColumn id="3527" xr3:uid="{3B4559EA-52C7-42BE-8439-3CA75ED116E9}" name="Kolonna3189"/>
    <tableColumn id="3528" xr3:uid="{7162B5DF-70E9-4555-86E5-BA628425FF4D}" name="Kolonna3190"/>
    <tableColumn id="3529" xr3:uid="{CE066BD1-90D4-4F1F-93DE-C4705C856FAB}" name="Kolonna3191"/>
    <tableColumn id="3530" xr3:uid="{5D9DA753-BD1A-412F-B906-118D214CDDA9}" name="Kolonna3192"/>
    <tableColumn id="3531" xr3:uid="{DEAF82D2-D2DB-4DAA-90CE-D232A183C450}" name="Kolonna3193"/>
    <tableColumn id="3532" xr3:uid="{D9430221-7732-4EF5-B3D8-8A1D31C1EC71}" name="Kolonna3194"/>
    <tableColumn id="3533" xr3:uid="{F0E8E4CC-1C3E-4AD8-8555-6DA209E0F56D}" name="Kolonna3195"/>
    <tableColumn id="3534" xr3:uid="{3DD0AA9A-CFB8-4AA7-97BA-AFB581B5AC2D}" name="Kolonna3196"/>
    <tableColumn id="3535" xr3:uid="{49198D7F-B14E-45F2-AD81-6A96856CAACE}" name="Kolonna3197"/>
    <tableColumn id="3536" xr3:uid="{D6A26B10-1965-461B-8DBB-9AA2EA639134}" name="Kolonna3198"/>
    <tableColumn id="3537" xr3:uid="{C6B6E50B-C2D8-4519-BD74-AF53015282CC}" name="Kolonna3199"/>
    <tableColumn id="3538" xr3:uid="{744D1134-B501-4415-89A3-1056DE83EF5F}" name="Kolonna3200"/>
    <tableColumn id="3539" xr3:uid="{700BCDED-0A95-4DE3-98CB-073412D47E40}" name="Kolonna3201"/>
    <tableColumn id="3540" xr3:uid="{F419B4CA-851E-45CE-8861-0AB078F382E9}" name="Kolonna3202"/>
    <tableColumn id="3541" xr3:uid="{0D5DFA5B-12A7-4515-BF25-FFD63F07CBDB}" name="Kolonna3203"/>
    <tableColumn id="3542" xr3:uid="{4D1BE855-3AE6-4F68-A91D-887598D6631C}" name="Kolonna3204"/>
    <tableColumn id="3543" xr3:uid="{DAEC536E-5757-47C5-8566-2D9AAA25F07A}" name="Kolonna3205"/>
    <tableColumn id="3544" xr3:uid="{10C6D819-D9C0-484A-BC19-B26CA7BAC8E2}" name="Kolonna3206"/>
    <tableColumn id="3545" xr3:uid="{4DD9E503-A55E-4F0B-899A-BD149AFA8614}" name="Kolonna3207"/>
    <tableColumn id="3546" xr3:uid="{3B9DA0BF-3C0E-4023-918A-E1279C5A16BA}" name="Kolonna3208"/>
    <tableColumn id="3547" xr3:uid="{1B5DAC7D-7BBF-42D9-8044-4CA3E27663CE}" name="Kolonna3209"/>
    <tableColumn id="3548" xr3:uid="{D7962152-0DCE-4459-B2AD-9E7E79933FAA}" name="Kolonna3210"/>
    <tableColumn id="3549" xr3:uid="{524CB5BD-4986-47CF-99C1-706C56645B17}" name="Kolonna3211"/>
    <tableColumn id="3550" xr3:uid="{62C0DBC7-18DE-4182-84F5-41D19CC6D5C8}" name="Kolonna3212"/>
    <tableColumn id="3551" xr3:uid="{D5ABAAAB-FFD7-4580-8D46-613BB12CEBB3}" name="Kolonna3213"/>
    <tableColumn id="3552" xr3:uid="{B355275F-BF7D-435A-8036-8C2603A11908}" name="Kolonna3214"/>
    <tableColumn id="3553" xr3:uid="{130548E7-E88D-419B-8CFE-906E6C17BB74}" name="Kolonna3215"/>
    <tableColumn id="3554" xr3:uid="{5CDE44FE-23C5-4C68-BE13-F32714E02A0B}" name="Kolonna3216"/>
    <tableColumn id="3555" xr3:uid="{14479CBD-6BAA-4F0F-96F5-0BA0841C5AA8}" name="Kolonna3217"/>
    <tableColumn id="3556" xr3:uid="{A736253D-2FE8-4A00-863F-DDA2F047BD87}" name="Kolonna3218"/>
    <tableColumn id="3557" xr3:uid="{D470EC75-15F3-4393-9FAD-A394273D108E}" name="Kolonna3219"/>
    <tableColumn id="3558" xr3:uid="{972DD5C1-0CF1-4104-B68A-244968A5F468}" name="Kolonna3220"/>
    <tableColumn id="3559" xr3:uid="{1E858989-09E7-4920-90C4-1BB29A48C976}" name="Kolonna3221"/>
    <tableColumn id="3560" xr3:uid="{10550990-4CDF-4643-A76B-E1FBA2F71438}" name="Kolonna3222"/>
    <tableColumn id="3561" xr3:uid="{AC89D1FE-EFAB-4AB0-8B53-21A91624F26E}" name="Kolonna3223"/>
    <tableColumn id="3562" xr3:uid="{7CB9650A-4A1F-48B6-B444-CB7703B03496}" name="Kolonna3224"/>
    <tableColumn id="3563" xr3:uid="{C31F844F-5060-4C69-A071-58BE39D2F584}" name="Kolonna3225"/>
    <tableColumn id="3564" xr3:uid="{CA2CC1AE-B273-4B5D-BE44-AB187193CA08}" name="Kolonna3226"/>
    <tableColumn id="3565" xr3:uid="{FC7E07F1-985A-4179-B6A0-7F774B6508B0}" name="Kolonna3227"/>
    <tableColumn id="3566" xr3:uid="{DC430471-2BAE-40C0-A5AB-036EA7B4F523}" name="Kolonna3228"/>
    <tableColumn id="3567" xr3:uid="{F4432CFE-10C2-4789-952F-047EDE073388}" name="Kolonna3229"/>
    <tableColumn id="3568" xr3:uid="{F13DE473-3C24-43DE-A2D8-FF52F2A0DD79}" name="Kolonna3230"/>
    <tableColumn id="3569" xr3:uid="{783A40E1-C1AA-457A-9DBC-26ABCD831655}" name="Kolonna3231"/>
    <tableColumn id="3570" xr3:uid="{9CBBE816-9CDB-48DC-81B1-83B579E814CA}" name="Kolonna3232"/>
    <tableColumn id="3571" xr3:uid="{92A3BFE6-FF75-4BC0-9B8F-D7E529799E32}" name="Kolonna3233"/>
    <tableColumn id="3572" xr3:uid="{EB39CC7F-D505-4B53-9F0F-F19E3069CDA0}" name="Kolonna3234"/>
    <tableColumn id="3573" xr3:uid="{A4755BA2-6F97-48E6-A9D2-BFA0ED37354D}" name="Kolonna3235"/>
    <tableColumn id="3574" xr3:uid="{B197A340-2F90-4E51-9CE2-105C70198972}" name="Kolonna3236"/>
    <tableColumn id="3575" xr3:uid="{50F33C45-E7A8-4F80-B4DB-22CB94A0CE12}" name="Kolonna3237"/>
    <tableColumn id="3576" xr3:uid="{E9926E31-F458-491A-97F4-1F25A2CADAE6}" name="Kolonna3238"/>
    <tableColumn id="3577" xr3:uid="{59004A25-9D49-4753-AF69-F5A44E1EA7EF}" name="Kolonna3239"/>
    <tableColumn id="3578" xr3:uid="{3FAE6F8B-9A0F-4517-918F-C1FFF6A9804B}" name="Kolonna3240"/>
    <tableColumn id="3579" xr3:uid="{E8AB8C2B-EF1B-45EB-9165-F81195AD7C13}" name="Kolonna3241"/>
    <tableColumn id="3580" xr3:uid="{0E8B7D58-DD58-4834-B337-F1A0111697E1}" name="Kolonna3242"/>
    <tableColumn id="3581" xr3:uid="{5B0B9190-65E5-4188-8C98-6DCF674B0EA7}" name="Kolonna3243"/>
    <tableColumn id="3582" xr3:uid="{660869D0-C7D6-4A7F-8078-ABBCA056450C}" name="Kolonna3244"/>
    <tableColumn id="3583" xr3:uid="{A06E3340-0308-4E35-B885-67B1C4B09D05}" name="Kolonna3245"/>
    <tableColumn id="3584" xr3:uid="{D9CEA46C-E69F-4AAF-9237-5B3C35421273}" name="Kolonna3246"/>
    <tableColumn id="3585" xr3:uid="{66C2D5A3-709A-45D3-A16E-1F4FA2A39849}" name="Kolonna3247"/>
    <tableColumn id="3586" xr3:uid="{79E2FDAD-A8A1-4473-9FD1-621D4A267B00}" name="Kolonna3248"/>
    <tableColumn id="3587" xr3:uid="{856CA5E7-DA67-476D-A569-54FF09B219C2}" name="Kolonna3249"/>
    <tableColumn id="3588" xr3:uid="{53ADA0D8-D96D-45DF-BC33-B7E1685AAE20}" name="Kolonna3250"/>
    <tableColumn id="3589" xr3:uid="{CAC30A4C-7140-4FFD-8EE5-C433F0C45610}" name="Kolonna3251"/>
    <tableColumn id="3590" xr3:uid="{C33AE6D1-B744-4F8E-8504-CD10B801C701}" name="Kolonna3252"/>
    <tableColumn id="3591" xr3:uid="{A5EE6B3F-AD35-40DA-8C7C-47933EAA1C3F}" name="Kolonna3253"/>
    <tableColumn id="3592" xr3:uid="{F1F3BE1B-4521-4EF2-BBF7-16D7D34CC2B1}" name="Kolonna3254"/>
    <tableColumn id="3593" xr3:uid="{25C0356F-57AC-49BD-8D76-046402A73177}" name="Kolonna3255"/>
    <tableColumn id="3594" xr3:uid="{82FCC90D-241D-411A-A0D5-AAEAEFF0E8D5}" name="Kolonna3256"/>
    <tableColumn id="3595" xr3:uid="{22832EAF-0AD0-41AF-AD52-189007564B86}" name="Kolonna3257"/>
    <tableColumn id="3596" xr3:uid="{244F8E1D-300C-4646-944E-C4E40F199A1F}" name="Kolonna3258"/>
    <tableColumn id="3597" xr3:uid="{A17DA50E-1726-4385-934D-7F74EFE356EC}" name="Kolonna3259"/>
    <tableColumn id="3598" xr3:uid="{2404FB59-C079-4059-87C9-8B4ED011B860}" name="Kolonna3260"/>
    <tableColumn id="3599" xr3:uid="{D9FFCEE3-556E-47F2-8811-9B6F27504756}" name="Kolonna3261"/>
    <tableColumn id="3600" xr3:uid="{586DA473-3768-4E76-8BEA-4C6FE2575D71}" name="Kolonna3262"/>
    <tableColumn id="3601" xr3:uid="{968AB6A1-4984-4C42-B9A5-E017806BBAD5}" name="Kolonna3263"/>
    <tableColumn id="3602" xr3:uid="{5B543A74-D3F9-4D8C-B9B8-49E4F6FF97BA}" name="Kolonna3264"/>
    <tableColumn id="3603" xr3:uid="{DF442088-9C48-4555-9F29-3144CD3586DF}" name="Kolonna3265"/>
    <tableColumn id="3604" xr3:uid="{29F7A2A2-D6E1-4871-9DB7-1D2903F9A7C4}" name="Kolonna3266"/>
    <tableColumn id="3605" xr3:uid="{6BC8F0C3-1C67-4A1C-8416-7E79DE73BAA8}" name="Kolonna3267"/>
    <tableColumn id="3606" xr3:uid="{3879A2BB-F5CC-4D96-9E9A-9F46702DDF73}" name="Kolonna3268"/>
    <tableColumn id="3607" xr3:uid="{99CA4755-7E5F-48FA-BA90-E1C59ABC70AA}" name="Kolonna3269"/>
    <tableColumn id="3608" xr3:uid="{8DFBD71F-48AC-4FAC-A7AE-85FD2330798A}" name="Kolonna3270"/>
    <tableColumn id="3609" xr3:uid="{8A6B4E6B-2C42-49CB-965F-D83344681840}" name="Kolonna3271"/>
    <tableColumn id="3610" xr3:uid="{EC650F3E-9951-4E25-9949-56148E8A705B}" name="Kolonna3272"/>
    <tableColumn id="3611" xr3:uid="{03783BAD-E0D9-4E9D-8F0A-34AA37BEFAEC}" name="Kolonna3273"/>
    <tableColumn id="3612" xr3:uid="{1C6EA935-D183-4489-89EF-899DD3A50D0F}" name="Kolonna3274"/>
    <tableColumn id="3613" xr3:uid="{11579BA0-1A50-45A7-8351-D9F132D2F131}" name="Kolonna3275"/>
    <tableColumn id="3614" xr3:uid="{C183C9C9-A027-4EC3-BD46-104A5F3688EC}" name="Kolonna3276"/>
    <tableColumn id="3615" xr3:uid="{EC36F453-7ECE-4063-A6E2-B6770B87B6A1}" name="Kolonna3277"/>
    <tableColumn id="3616" xr3:uid="{32C50D87-E7EB-442E-846D-6417F95EB3E2}" name="Kolonna3278"/>
    <tableColumn id="3617" xr3:uid="{C80389D1-C50C-4AEE-AF96-B805927ED900}" name="Kolonna3279"/>
    <tableColumn id="3618" xr3:uid="{36E2C15F-8C86-4044-BDE4-A6114C59D0A7}" name="Kolonna3280"/>
    <tableColumn id="3619" xr3:uid="{F6F95D9C-C926-4F74-9AB5-D7FE64306F03}" name="Kolonna3281"/>
    <tableColumn id="3620" xr3:uid="{D9DE0916-4211-4D89-97F8-1B980B63CD42}" name="Kolonna3282"/>
    <tableColumn id="3621" xr3:uid="{589005D1-A5F3-4AA9-8B13-54748931AA6E}" name="Kolonna3283"/>
    <tableColumn id="3622" xr3:uid="{9D0E2108-0F59-4135-A324-234EEE2C0E3C}" name="Kolonna3284"/>
    <tableColumn id="3623" xr3:uid="{904BC8C5-852A-4084-8124-4C6BCCD1654E}" name="Kolonna3285"/>
    <tableColumn id="3624" xr3:uid="{85405661-7BB2-4309-9541-2823325E9629}" name="Kolonna3286"/>
    <tableColumn id="3625" xr3:uid="{E80A744D-79A2-474D-88E3-26175929875F}" name="Kolonna3287"/>
    <tableColumn id="3626" xr3:uid="{28CA03D5-F65C-441D-AA1C-AF94B323C344}" name="Kolonna3288"/>
    <tableColumn id="3627" xr3:uid="{D88890A0-2FC7-4C6C-A039-9450B31A64C1}" name="Kolonna3289"/>
    <tableColumn id="3628" xr3:uid="{D5413BAB-2F5A-495C-8DEF-E87D2FB704A3}" name="Kolonna3290"/>
    <tableColumn id="3629" xr3:uid="{55B52F24-C053-4321-8FD6-2BAF9F4135BA}" name="Kolonna3291"/>
    <tableColumn id="3630" xr3:uid="{525225EF-928E-428F-B769-BC8DA5DC23FE}" name="Kolonna3292"/>
    <tableColumn id="3631" xr3:uid="{61FEDCDE-7877-454C-9436-C3C6251ABB9D}" name="Kolonna3293"/>
    <tableColumn id="3632" xr3:uid="{D46F841E-CABB-49DF-98E1-C3AA85D63FB3}" name="Kolonna3294"/>
    <tableColumn id="3633" xr3:uid="{12823274-AFE7-4268-ADC5-E24B68B5B8FE}" name="Kolonna3295"/>
    <tableColumn id="3634" xr3:uid="{0FAF377D-988B-4569-AA13-A557C4F9E4D1}" name="Kolonna3296"/>
    <tableColumn id="3635" xr3:uid="{66414E99-67BE-4A1A-A6ED-9E705EC5C552}" name="Kolonna3297"/>
    <tableColumn id="3636" xr3:uid="{8CF77ADB-CBB2-4D88-9C30-AE0DAA963E62}" name="Kolonna3298"/>
    <tableColumn id="3637" xr3:uid="{7A965AEB-051E-4AD4-AAA8-F7A962A38940}" name="Kolonna3299"/>
    <tableColumn id="3638" xr3:uid="{70BE761B-CCB5-455E-BCB9-031FB3C5BA8E}" name="Kolonna3300"/>
    <tableColumn id="3639" xr3:uid="{93959372-045A-490F-A99C-954EED0D6869}" name="Kolonna3301"/>
    <tableColumn id="3640" xr3:uid="{503EB95F-550E-4537-998E-EF2C29C52827}" name="Kolonna3302"/>
    <tableColumn id="3641" xr3:uid="{2BAA5C87-A6C1-4440-B77D-5DC37F423E00}" name="Kolonna3303"/>
    <tableColumn id="3642" xr3:uid="{CB4B4158-37A5-4A63-8157-DFFD6B4CCC45}" name="Kolonna3304"/>
    <tableColumn id="3643" xr3:uid="{99B79CC7-FFBF-49A6-A8DA-569825E5D0D6}" name="Kolonna3305"/>
    <tableColumn id="3644" xr3:uid="{B7E6458E-0E9E-4184-A020-5BBB270F3F51}" name="Kolonna3306"/>
    <tableColumn id="3645" xr3:uid="{F6B7BD50-5C49-40BF-8005-B9F3113E2B7B}" name="Kolonna3307"/>
    <tableColumn id="3646" xr3:uid="{1E3E0D30-F455-476A-9713-33B0527851EB}" name="Kolonna3308"/>
    <tableColumn id="3647" xr3:uid="{A8BE46DF-CCFE-4BA8-BD15-9A5D81957A90}" name="Kolonna3309"/>
    <tableColumn id="3648" xr3:uid="{C9FFA150-A597-453D-85DB-05D11A1086A6}" name="Kolonna3310"/>
    <tableColumn id="3649" xr3:uid="{3435DC41-8B80-4531-9079-B6CAB8FD8AE7}" name="Kolonna3311"/>
    <tableColumn id="3650" xr3:uid="{E76544E4-8186-4DA1-B8B4-CC51684319EC}" name="Kolonna3312"/>
    <tableColumn id="3651" xr3:uid="{EF9515F9-F5BC-48BC-8764-0D8B7AA7CC87}" name="Kolonna3313"/>
    <tableColumn id="3652" xr3:uid="{12FE7632-625E-4D15-A722-6BAFF95B8447}" name="Kolonna3314"/>
    <tableColumn id="3653" xr3:uid="{35D72D18-5879-4A89-9717-DD606B7AB773}" name="Kolonna3315"/>
    <tableColumn id="3654" xr3:uid="{FFE1AF92-E300-4360-9EA5-0D1C0425B42E}" name="Kolonna3316"/>
    <tableColumn id="3655" xr3:uid="{9AAA3B85-267E-4E13-8388-39990D20649C}" name="Kolonna3317"/>
    <tableColumn id="3656" xr3:uid="{52AABE8A-315D-4897-9132-FD1F589E2F55}" name="Kolonna3318"/>
    <tableColumn id="3657" xr3:uid="{5CCB0968-67D1-4DE3-B423-D05BC713C6BD}" name="Kolonna3319"/>
    <tableColumn id="3658" xr3:uid="{B9A2BD0F-C752-43A7-B7B9-9686C917A90B}" name="Kolonna3320"/>
    <tableColumn id="3659" xr3:uid="{C5A3345C-3655-4B73-8334-16A12FA48ABF}" name="Kolonna3321"/>
    <tableColumn id="3660" xr3:uid="{7226F538-4585-41DF-A4BB-F80DDA33E71A}" name="Kolonna3322"/>
    <tableColumn id="3661" xr3:uid="{521C2CC9-243D-4625-9C3A-43CF03610BDD}" name="Kolonna3323"/>
    <tableColumn id="3662" xr3:uid="{A49DCEC3-F4AF-45E7-83E9-AB7E4FF4DA21}" name="Kolonna3324"/>
    <tableColumn id="3663" xr3:uid="{C099D7FE-FD23-4A8D-81C7-AB164302B4A9}" name="Kolonna3325"/>
    <tableColumn id="3664" xr3:uid="{EF773A41-CC84-4878-A3BB-C185349CDB19}" name="Kolonna3326"/>
    <tableColumn id="3665" xr3:uid="{454D08C7-ABCB-4795-BA79-B05CF6B7B1B4}" name="Kolonna3327"/>
    <tableColumn id="3666" xr3:uid="{DE3E6388-F888-40C6-A8C3-7C55B655A8E5}" name="Kolonna3328"/>
    <tableColumn id="3667" xr3:uid="{505F9647-3186-46D7-8D18-DB2D847A7BD6}" name="Kolonna3329"/>
    <tableColumn id="3668" xr3:uid="{58B72CFE-8245-4B6B-868F-1D6D60F34A3A}" name="Kolonna3330"/>
    <tableColumn id="3669" xr3:uid="{61808D8D-7630-42CF-82AE-FC4B847B4E9B}" name="Kolonna3331"/>
    <tableColumn id="3670" xr3:uid="{B10D5814-B9E7-44DE-9696-F073EBDD9981}" name="Kolonna3332"/>
    <tableColumn id="3671" xr3:uid="{5B7B54E5-F4A4-44EC-87CC-03E66F17123D}" name="Kolonna3333"/>
    <tableColumn id="3672" xr3:uid="{7BD4BF24-7257-4753-807F-9C85F6E933F4}" name="Kolonna3334"/>
    <tableColumn id="3673" xr3:uid="{E5B9E43C-0B98-4478-A5D9-E02C20DF6CD9}" name="Kolonna3335"/>
    <tableColumn id="3674" xr3:uid="{DBF66C7C-F797-4D29-95D5-E5A431EB1271}" name="Kolonna3336"/>
    <tableColumn id="3675" xr3:uid="{8EAAFB3C-074B-46C8-AE19-77085FD24482}" name="Kolonna3337"/>
    <tableColumn id="3676" xr3:uid="{614FA7E4-0FF0-4B82-8634-21A085E93D89}" name="Kolonna3338"/>
    <tableColumn id="3677" xr3:uid="{CFF9FACF-FD83-4643-96A6-E5344CE4A487}" name="Kolonna3339"/>
    <tableColumn id="3678" xr3:uid="{5F380F09-786E-4035-8CA7-6D6B2D7B41C3}" name="Kolonna3340"/>
    <tableColumn id="3679" xr3:uid="{8DE14CEF-4413-4AF3-9C1F-D83D37BF8E3D}" name="Kolonna3341"/>
    <tableColumn id="3680" xr3:uid="{D25153E8-B080-4141-96B9-0B81B8B155C1}" name="Kolonna3342"/>
    <tableColumn id="3681" xr3:uid="{9A677898-1282-4F09-9F6A-1BA105C953CB}" name="Kolonna3343"/>
    <tableColumn id="3682" xr3:uid="{80624378-090D-49EC-BB0E-D50606E43186}" name="Kolonna3344"/>
    <tableColumn id="3683" xr3:uid="{EF582BAB-9915-42A0-80CF-3874D5F85C30}" name="Kolonna3345"/>
    <tableColumn id="3684" xr3:uid="{CC6CBF08-E3A5-4AD7-9C33-ECBBE9FC8BAD}" name="Kolonna3346"/>
    <tableColumn id="3685" xr3:uid="{FC5B8F57-28C6-45F3-B67C-4678A8B4C8B4}" name="Kolonna3347"/>
    <tableColumn id="3686" xr3:uid="{DD072473-0420-443A-9213-CA61BB7F88ED}" name="Kolonna3348"/>
    <tableColumn id="3687" xr3:uid="{64F39DB3-3C06-4EF5-93DE-18D59A99453A}" name="Kolonna3349"/>
    <tableColumn id="3688" xr3:uid="{1C74376C-8F30-4EA0-A36C-8F18CC26DA41}" name="Kolonna3350"/>
    <tableColumn id="3689" xr3:uid="{4FC7228F-C5AF-422F-AB9A-0E794FFCF361}" name="Kolonna3351"/>
    <tableColumn id="3690" xr3:uid="{2D40A7F3-A879-4CAA-8A0B-91DE865CE145}" name="Kolonna3352"/>
    <tableColumn id="3691" xr3:uid="{424A4459-1D50-4C62-9903-D6FC55D8DC4B}" name="Kolonna3353"/>
    <tableColumn id="3692" xr3:uid="{E48496B6-3C0F-4AC0-A28C-A63BAFA77F4A}" name="Kolonna3354"/>
    <tableColumn id="3693" xr3:uid="{26C25F26-639A-406E-9581-DE43522249E5}" name="Kolonna3355"/>
    <tableColumn id="3694" xr3:uid="{079267B7-7EA8-4DBD-AC7C-3A52192BD885}" name="Kolonna3356"/>
    <tableColumn id="3695" xr3:uid="{924D64DC-8D4F-4778-82EF-66352B0D4253}" name="Kolonna3357"/>
    <tableColumn id="3696" xr3:uid="{F4EC1DDB-04DF-4A53-A012-A6E994BCC7D8}" name="Kolonna3358"/>
    <tableColumn id="3697" xr3:uid="{E07EF492-6F20-47E6-A91E-333D2349ADBE}" name="Kolonna3359"/>
    <tableColumn id="3698" xr3:uid="{74074009-C3A4-4360-B408-35D1A7C5A987}" name="Kolonna3360"/>
    <tableColumn id="3699" xr3:uid="{55F2EFC1-654A-4D9C-B95C-78C453C8383B}" name="Kolonna3361"/>
    <tableColumn id="3700" xr3:uid="{AE492D2C-89FB-487C-AE04-002A77E78C3F}" name="Kolonna3362"/>
    <tableColumn id="3701" xr3:uid="{CA9A51C8-E94D-487F-BA4F-19A46E4383AF}" name="Kolonna3363"/>
    <tableColumn id="3702" xr3:uid="{574FCE6A-A512-488A-AB4A-FFC2F6D86DBF}" name="Kolonna3364"/>
    <tableColumn id="3703" xr3:uid="{21FC834D-0468-4BE9-8A09-38719BBC90A5}" name="Kolonna3365"/>
    <tableColumn id="3704" xr3:uid="{01E92613-D2F5-421B-A815-FCE065771C04}" name="Kolonna3366"/>
    <tableColumn id="3705" xr3:uid="{1338B437-90AC-47B3-99F6-A833606CC34E}" name="Kolonna3367"/>
    <tableColumn id="3706" xr3:uid="{2BDF0F81-2DC6-4DC4-B544-576AAF09CFAC}" name="Kolonna3368"/>
    <tableColumn id="3707" xr3:uid="{E1D54AB8-675B-4AA3-9D57-6E7BE684E8CD}" name="Kolonna3369"/>
    <tableColumn id="3708" xr3:uid="{538698F9-22D2-4748-8873-413FC6156F4E}" name="Kolonna3370"/>
    <tableColumn id="3709" xr3:uid="{B87C2D9E-A697-42BE-8066-28AB772FBC5D}" name="Kolonna3371"/>
    <tableColumn id="3710" xr3:uid="{553C01C4-074C-4E90-9855-68C0A21C25C7}" name="Kolonna3372"/>
    <tableColumn id="3711" xr3:uid="{E5B90EBA-9619-4DE3-B0AC-5C89EB4F895C}" name="Kolonna3373"/>
    <tableColumn id="3712" xr3:uid="{5272D565-CFF7-45AE-84A2-A7A2C814FBBE}" name="Kolonna3374"/>
    <tableColumn id="3713" xr3:uid="{539D03FB-E57D-44F7-80D9-D96CB31BD192}" name="Kolonna3375"/>
    <tableColumn id="3714" xr3:uid="{8C5D0BB1-C820-4868-99A8-31E61526CC7E}" name="Kolonna3376"/>
    <tableColumn id="3715" xr3:uid="{B29664CB-3402-4EB1-A903-211D7B6E0775}" name="Kolonna3377"/>
    <tableColumn id="3716" xr3:uid="{E5785571-D530-44F0-B566-9C065BD1BF30}" name="Kolonna3378"/>
    <tableColumn id="3717" xr3:uid="{88CDD757-67A0-4326-98B8-6EC18EB78B97}" name="Kolonna3379"/>
    <tableColumn id="3718" xr3:uid="{DFDA4FE7-A1E5-429C-B01B-C15EE85FE890}" name="Kolonna3380"/>
    <tableColumn id="3719" xr3:uid="{750F0E08-6794-42CD-8EC5-C4A5F3636CEA}" name="Kolonna3381"/>
    <tableColumn id="3720" xr3:uid="{31E2D0E0-6F95-4606-9059-5FA082EEA0CE}" name="Kolonna3382"/>
    <tableColumn id="3721" xr3:uid="{0EC75FDE-A243-44FE-AF03-73DFE04267E6}" name="Kolonna3383"/>
    <tableColumn id="3722" xr3:uid="{408817F7-03B9-4F6B-958A-864D4A72D232}" name="Kolonna3384"/>
    <tableColumn id="3723" xr3:uid="{172B4C57-C0F9-44BA-8120-8B8371994FD8}" name="Kolonna3385"/>
    <tableColumn id="3724" xr3:uid="{5A3D9E55-BE78-4586-995C-9CA1298C2F74}" name="Kolonna3386"/>
    <tableColumn id="3725" xr3:uid="{4DB16B0D-78EF-4FE5-90F1-6868AF01FD99}" name="Kolonna3387"/>
    <tableColumn id="3726" xr3:uid="{AE51FCAE-CA47-4F58-BD33-FBED2D230604}" name="Kolonna3388"/>
    <tableColumn id="3727" xr3:uid="{D161A98E-E6DC-4228-ABD3-442C1CD712C0}" name="Kolonna3389"/>
    <tableColumn id="3728" xr3:uid="{8DF2AAF2-F0A2-4CC7-B9E8-8E904A706069}" name="Kolonna3390"/>
    <tableColumn id="3729" xr3:uid="{5C9A9EEF-9592-4132-B7D3-AC8E8E87A5D4}" name="Kolonna3391"/>
    <tableColumn id="3730" xr3:uid="{3C1B4128-529F-4689-9B88-FD2ECF68FFDA}" name="Kolonna3392"/>
    <tableColumn id="3731" xr3:uid="{83A28823-4AD0-4540-99E0-288632B8748A}" name="Kolonna3393"/>
    <tableColumn id="3732" xr3:uid="{2ADFECF6-B3FD-4714-A8E3-97E2A4801EF8}" name="Kolonna3394"/>
    <tableColumn id="3733" xr3:uid="{D8907A4A-7B75-450C-A80B-0D5ECE7272AD}" name="Kolonna3395"/>
    <tableColumn id="3734" xr3:uid="{CD7412CE-4D7B-46B4-A312-1B852BBCA8B8}" name="Kolonna3396"/>
    <tableColumn id="3735" xr3:uid="{30EAC32A-0F32-4C6D-A0FE-0E366B2C407F}" name="Kolonna3397"/>
    <tableColumn id="3736" xr3:uid="{5B4BCABF-9963-4840-8252-25890345563D}" name="Kolonna3398"/>
    <tableColumn id="3737" xr3:uid="{841A21D5-E698-4E24-90DA-07F85D71FA87}" name="Kolonna3399"/>
    <tableColumn id="3738" xr3:uid="{22F5E5EA-D5CB-4247-8AC4-F1AFB3B14A93}" name="Kolonna3400"/>
    <tableColumn id="3739" xr3:uid="{4EAE462F-206A-4C9F-BB3F-4DAD66B5AC76}" name="Kolonna3401"/>
    <tableColumn id="3740" xr3:uid="{A8D7D114-110D-49E0-87AB-EF03C3008055}" name="Kolonna3402"/>
    <tableColumn id="3741" xr3:uid="{127455BA-06AC-42D5-B377-AD226EC03E8C}" name="Kolonna3403"/>
    <tableColumn id="3742" xr3:uid="{15038AD7-D67D-402B-B694-92203B96B672}" name="Kolonna3404"/>
    <tableColumn id="3743" xr3:uid="{AEC22340-7B3F-4D2B-A7E5-54E939B2191A}" name="Kolonna3405"/>
    <tableColumn id="3744" xr3:uid="{5CEB0DFF-5660-4082-A683-B34FE3A11898}" name="Kolonna3406"/>
    <tableColumn id="3745" xr3:uid="{BD7E3661-4EBC-4D0C-AF04-56B197B2D7CF}" name="Kolonna3407"/>
    <tableColumn id="3746" xr3:uid="{4AA12B16-C408-4391-92D7-17F236107050}" name="Kolonna3408"/>
    <tableColumn id="3747" xr3:uid="{35427E36-BA36-48A3-BEEF-5CFCDA5E56F9}" name="Kolonna3409"/>
    <tableColumn id="3748" xr3:uid="{9B178D75-B87B-4729-9118-46342DDA3BD4}" name="Kolonna3410"/>
    <tableColumn id="3749" xr3:uid="{04A926F5-869E-4B2F-9BF9-A234AD2AF5C9}" name="Kolonna3411"/>
    <tableColumn id="3750" xr3:uid="{40F80DAF-4B8B-4BDF-B4D9-DF40FFECC866}" name="Kolonna3412"/>
    <tableColumn id="3751" xr3:uid="{7333B3B0-08B5-4C15-A7DF-C27EA7A9E3C1}" name="Kolonna3413"/>
    <tableColumn id="3752" xr3:uid="{DD0CBE22-101A-4D62-82C5-9B9DDC032B2D}" name="Kolonna3414"/>
    <tableColumn id="3753" xr3:uid="{E854075D-EEC9-423E-B949-9FEB2B184855}" name="Kolonna3415"/>
    <tableColumn id="3754" xr3:uid="{B6499849-02C5-4660-B5A8-D17ED98A4342}" name="Kolonna3416"/>
    <tableColumn id="3755" xr3:uid="{51DAD32D-BCD4-4DE4-BD14-312563BFEF8E}" name="Kolonna3417"/>
    <tableColumn id="3756" xr3:uid="{D45721E4-3350-4CB5-9335-18317B6F0398}" name="Kolonna3418"/>
    <tableColumn id="3757" xr3:uid="{B2CB77A1-FF46-4A59-AF25-2D9B87FE6C99}" name="Kolonna3419"/>
    <tableColumn id="3758" xr3:uid="{96EA3770-BA32-4A92-A0E5-6563FDC3A043}" name="Kolonna3420"/>
    <tableColumn id="3759" xr3:uid="{CDAE24F2-CBE9-4EFE-B5D1-32CBF299E1D0}" name="Kolonna3421"/>
    <tableColumn id="3760" xr3:uid="{83F37BE9-9FF7-42C2-BD46-31FBC390DA47}" name="Kolonna3422"/>
    <tableColumn id="3761" xr3:uid="{F6703288-5628-4006-9C6F-F461FF6B6C75}" name="Kolonna3423"/>
    <tableColumn id="3762" xr3:uid="{3F14997D-5D3E-44D3-AD11-F42B60C5B68C}" name="Kolonna3424"/>
    <tableColumn id="3763" xr3:uid="{44E3CDFA-287D-4BD6-B35A-A0A4962CC406}" name="Kolonna3425"/>
    <tableColumn id="3764" xr3:uid="{E6FD9444-C9CB-41AF-BDD5-585DB0201636}" name="Kolonna3426"/>
    <tableColumn id="3765" xr3:uid="{29785BBF-2C7E-424D-94D4-52F4D994AF69}" name="Kolonna3427"/>
    <tableColumn id="3766" xr3:uid="{E46F2AB7-036E-4ACE-AFBF-23DFA2C9A17B}" name="Kolonna3428"/>
    <tableColumn id="3767" xr3:uid="{87386584-6F98-4C5C-B54C-5FC5B0E96E80}" name="Kolonna3429"/>
    <tableColumn id="3768" xr3:uid="{5B54EB33-88BA-455F-AF75-A9D2BCB2F651}" name="Kolonna3430"/>
    <tableColumn id="3769" xr3:uid="{29BCA827-FC33-40C6-9F1C-669FE70245BC}" name="Kolonna3431"/>
    <tableColumn id="3770" xr3:uid="{3072BC3B-3176-490B-85FF-355DCEFB30ED}" name="Kolonna3432"/>
    <tableColumn id="3771" xr3:uid="{B186795C-2902-419E-A419-EFC28892FA40}" name="Kolonna3433"/>
    <tableColumn id="3772" xr3:uid="{7C90DA46-9265-4795-9965-EB3C2AE0C03D}" name="Kolonna3434"/>
    <tableColumn id="3773" xr3:uid="{595CD048-DF8B-46FF-A507-BCFC37C47D1B}" name="Kolonna3435"/>
    <tableColumn id="3774" xr3:uid="{66FC7E60-4D7E-41F9-A8E6-22DF85BE9D44}" name="Kolonna3436"/>
    <tableColumn id="3775" xr3:uid="{93434658-64B9-4CC7-9091-C3FB5D791BA8}" name="Kolonna3437"/>
    <tableColumn id="3776" xr3:uid="{ABA3D5E7-3FB4-4D7E-B2C1-ECF188FE78C4}" name="Kolonna3438"/>
    <tableColumn id="3777" xr3:uid="{B0E219E4-178C-4F47-BB5C-CDC81ECD112B}" name="Kolonna3439"/>
    <tableColumn id="3778" xr3:uid="{5304889E-43C6-409D-BAD0-42E8C07CCEEE}" name="Kolonna3440"/>
    <tableColumn id="3779" xr3:uid="{3207BBB1-45E7-402F-9E3D-F505E62E6C16}" name="Kolonna3441"/>
    <tableColumn id="3780" xr3:uid="{F6BDD7AE-799E-4246-BC8C-8A986DADDD2A}" name="Kolonna3442"/>
    <tableColumn id="3781" xr3:uid="{31DB06C8-4734-4CBF-9B78-5799C4123C0F}" name="Kolonna3443"/>
    <tableColumn id="3782" xr3:uid="{BF59688E-90D4-4737-A3D9-542EC5F5C141}" name="Kolonna3444"/>
    <tableColumn id="3783" xr3:uid="{1306FEDE-18F1-4571-9345-0B66C2C340D3}" name="Kolonna3445"/>
    <tableColumn id="3784" xr3:uid="{E9DD84E5-0999-492B-A338-3DD8189B7DEF}" name="Kolonna3446"/>
    <tableColumn id="3785" xr3:uid="{11D00D3E-5510-4C61-9D84-3D651670C95A}" name="Kolonna3447"/>
    <tableColumn id="3786" xr3:uid="{E01E9B9D-AA13-4F8D-9F04-C17BA8242F67}" name="Kolonna3448"/>
    <tableColumn id="3787" xr3:uid="{71A450A5-8830-42FC-A3C6-CFC3B4BACB4A}" name="Kolonna3449"/>
    <tableColumn id="3788" xr3:uid="{49D3D5FD-8036-4FDB-AD97-83F9DEC919A3}" name="Kolonna3450"/>
    <tableColumn id="3789" xr3:uid="{FFB4F1F4-1421-4670-BACC-6E0A167DBDE1}" name="Kolonna3451"/>
    <tableColumn id="3790" xr3:uid="{89E848B7-311D-4515-8AC1-5ABCC85E774C}" name="Kolonna3452"/>
    <tableColumn id="3791" xr3:uid="{EC3384E4-C41E-49B7-8F10-D078E140A822}" name="Kolonna3453"/>
    <tableColumn id="3792" xr3:uid="{4A1F9913-25D2-4B5B-B509-CB29BF2C653B}" name="Kolonna3454"/>
    <tableColumn id="3793" xr3:uid="{ABBEB58F-7400-45A9-9875-B9D1AB308DB9}" name="Kolonna3455"/>
    <tableColumn id="3794" xr3:uid="{506838BF-92D3-44E6-B516-F6CB0893CE29}" name="Kolonna3456"/>
    <tableColumn id="3795" xr3:uid="{742EB7F7-F33E-4C4A-BD8E-6DF830DA6FF6}" name="Kolonna3457"/>
    <tableColumn id="3796" xr3:uid="{3CCBD263-1228-42A2-8735-779E4D2F4F61}" name="Kolonna3458"/>
    <tableColumn id="3797" xr3:uid="{DD0324FB-B028-47BC-BF92-443470231A5E}" name="Kolonna3459"/>
    <tableColumn id="3798" xr3:uid="{EB9CB86B-7F8D-4EEE-8134-272BF51C2F1E}" name="Kolonna3460"/>
    <tableColumn id="3799" xr3:uid="{6969D086-9ADA-4851-9377-836767DF4D97}" name="Kolonna3461"/>
    <tableColumn id="3800" xr3:uid="{18319BE9-BEF5-4CA1-AD82-49F4C5A48821}" name="Kolonna3462"/>
    <tableColumn id="3801" xr3:uid="{9911526E-9984-4201-80D2-5A0D33C3FEC3}" name="Kolonna3463"/>
    <tableColumn id="3802" xr3:uid="{D181353B-6744-46BB-A250-CA49F3BC62C0}" name="Kolonna3464"/>
    <tableColumn id="3803" xr3:uid="{0A4F175C-873B-41A2-B29D-3FEAF8835C63}" name="Kolonna3465"/>
    <tableColumn id="3804" xr3:uid="{E032B832-D36B-421E-9A6D-1F4E7AC43AED}" name="Kolonna3466"/>
    <tableColumn id="3805" xr3:uid="{FCD11EFC-BFA4-4392-BB65-FDE5B549E7C5}" name="Kolonna3467"/>
    <tableColumn id="3806" xr3:uid="{F557EDF2-B180-4E27-B18E-6081D55CA508}" name="Kolonna3468"/>
    <tableColumn id="3807" xr3:uid="{B2F27C29-FBEC-4A42-8FB5-1CA09100557A}" name="Kolonna3469"/>
    <tableColumn id="3808" xr3:uid="{B15F0857-9CCE-4AD3-AA33-8BE3775160EF}" name="Kolonna3470"/>
    <tableColumn id="3809" xr3:uid="{F8B8B277-6754-4331-A3DC-3FAD0379DA16}" name="Kolonna3471"/>
    <tableColumn id="3810" xr3:uid="{6830ABEF-E203-4528-9A32-C98133F70589}" name="Kolonna3472"/>
    <tableColumn id="3811" xr3:uid="{2BDAEE02-FAB1-4F11-B199-9F3BAAAFC939}" name="Kolonna3473"/>
    <tableColumn id="3812" xr3:uid="{B5ABFAE1-D661-4DB8-ABA3-ACB3D4DC86A6}" name="Kolonna3474"/>
    <tableColumn id="3813" xr3:uid="{A1295220-D44E-45AB-A879-DD718E9CE8B7}" name="Kolonna3475"/>
    <tableColumn id="3814" xr3:uid="{B8836AC9-B190-44BB-9988-F568415421F0}" name="Kolonna3476"/>
    <tableColumn id="3815" xr3:uid="{0219D6D0-B80A-407C-85E5-98BD0870E3DD}" name="Kolonna3477"/>
    <tableColumn id="3816" xr3:uid="{4BE12B60-4C01-470A-860E-B1CDFF7FBC4D}" name="Kolonna3478"/>
    <tableColumn id="3817" xr3:uid="{DC21729E-AE7A-43AA-9EA0-44C1D5A664CD}" name="Kolonna3479"/>
    <tableColumn id="3818" xr3:uid="{EAF48AD6-99CB-44C8-A339-5F4C07FCC9F5}" name="Kolonna3480"/>
    <tableColumn id="3819" xr3:uid="{F95479FA-6B6F-4B83-8A45-64892396C92A}" name="Kolonna3481"/>
    <tableColumn id="3820" xr3:uid="{748A1DF6-2DB0-47E2-8FFC-DF121D48E7A0}" name="Kolonna3482"/>
    <tableColumn id="3821" xr3:uid="{EFBE5041-0DA2-4FE4-BCDA-260D0E5FCF6F}" name="Kolonna3483"/>
    <tableColumn id="3822" xr3:uid="{0B6736EC-E44F-4AD1-93E1-65AAC769C5FD}" name="Kolonna3484"/>
    <tableColumn id="3823" xr3:uid="{F9F57EF9-05CE-4C94-AC85-D7CB022826C3}" name="Kolonna3485"/>
    <tableColumn id="3824" xr3:uid="{FAB366B6-4268-4B7E-A64B-161F30A5C3FE}" name="Kolonna3486"/>
    <tableColumn id="3825" xr3:uid="{1AB1DD19-65C3-42EF-AF73-C9CDE4FF18D1}" name="Kolonna3487"/>
    <tableColumn id="3826" xr3:uid="{793A3A94-282D-41E0-9E85-0A88C709BB2D}" name="Kolonna3488"/>
    <tableColumn id="3827" xr3:uid="{FC482C49-78A4-4817-8C4F-1DBE1182BA1D}" name="Kolonna3489"/>
    <tableColumn id="3828" xr3:uid="{C8D0F354-D15E-4030-93DE-F8CE659CDDCF}" name="Kolonna3490"/>
    <tableColumn id="3829" xr3:uid="{E9A47EF0-9208-4158-9A0E-9E5C2B02CA44}" name="Kolonna3491"/>
    <tableColumn id="3830" xr3:uid="{96073DF1-DF5D-44E8-A199-D187194C32C4}" name="Kolonna3492"/>
    <tableColumn id="3831" xr3:uid="{8FF0130E-DD49-4D1A-A5FE-66ABCF35002D}" name="Kolonna3493"/>
    <tableColumn id="3832" xr3:uid="{2B69D736-5067-4091-AB1C-3E1CFAA4D970}" name="Kolonna3494"/>
    <tableColumn id="3833" xr3:uid="{32A3D41D-6E12-4A44-B19B-B4E8A5B4AC80}" name="Kolonna3495"/>
    <tableColumn id="3834" xr3:uid="{68E60296-44B1-4E89-BC4E-B8FECFFD1C97}" name="Kolonna3496"/>
    <tableColumn id="3835" xr3:uid="{2F873DFC-FD12-4D4A-B061-38F0DDB5F223}" name="Kolonna3497"/>
    <tableColumn id="3836" xr3:uid="{2EE20773-A606-400B-A201-9F2B94FC5FB0}" name="Kolonna3498"/>
    <tableColumn id="3837" xr3:uid="{48ED9B50-4EE8-4497-8B7E-384204E5B672}" name="Kolonna3499"/>
    <tableColumn id="3838" xr3:uid="{EA535412-5B0B-4382-8C82-3593CB8BE76C}" name="Kolonna3500"/>
    <tableColumn id="3839" xr3:uid="{5DBFD400-2F1C-4CAC-88C3-E2855462337F}" name="Kolonna3501"/>
    <tableColumn id="3840" xr3:uid="{11ACBD67-CC6F-4FB8-BCDA-EA24BF050801}" name="Kolonna3502"/>
    <tableColumn id="3841" xr3:uid="{8BC07570-D742-41EB-BCB4-16C6A82C546B}" name="Kolonna3503"/>
    <tableColumn id="3842" xr3:uid="{A4E8E785-4796-4909-BFBC-31A192071623}" name="Kolonna3504"/>
    <tableColumn id="3843" xr3:uid="{59D02BE5-27A5-44C6-B5AD-33A727F7CA3B}" name="Kolonna3505"/>
    <tableColumn id="3844" xr3:uid="{F6873DFE-14D8-4B0F-95DF-7A260AAC7BE4}" name="Kolonna3506"/>
    <tableColumn id="3845" xr3:uid="{567D6D86-483C-420C-967F-FB7E9F84FD58}" name="Kolonna3507"/>
    <tableColumn id="3846" xr3:uid="{81549552-4118-477C-B2B0-032FCB52BC48}" name="Kolonna3508"/>
    <tableColumn id="3847" xr3:uid="{3DFFB402-CE79-4574-BAE4-F0A86FD33F57}" name="Kolonna3509"/>
    <tableColumn id="3848" xr3:uid="{7B37E307-C3BE-4EA9-8DD3-3C6A414774B8}" name="Kolonna3510"/>
    <tableColumn id="3849" xr3:uid="{4FD77619-4721-4F38-9537-88EC68386B24}" name="Kolonna3511"/>
    <tableColumn id="3850" xr3:uid="{2B373934-0D1D-4A89-ABE4-B10A3FB7307D}" name="Kolonna3512"/>
    <tableColumn id="3851" xr3:uid="{13DB1331-C695-4FB0-9103-02F4D8A77FAD}" name="Kolonna3513"/>
    <tableColumn id="3852" xr3:uid="{E0FB216B-400C-4D59-9E67-1C77AF20A089}" name="Kolonna3514"/>
    <tableColumn id="3853" xr3:uid="{74399489-DC0E-4B6E-BABA-F0393C0CC597}" name="Kolonna3515"/>
    <tableColumn id="3854" xr3:uid="{AA778D3A-14E5-4506-A8B4-25A16009C26F}" name="Kolonna3516"/>
    <tableColumn id="3855" xr3:uid="{A82E8967-DD7D-4FB0-B20A-5ED860979C49}" name="Kolonna3517"/>
    <tableColumn id="3856" xr3:uid="{65821EED-6028-472B-B2A2-467644170FAC}" name="Kolonna3518"/>
    <tableColumn id="3857" xr3:uid="{4B28297A-9062-4A62-B601-986B4ED598D0}" name="Kolonna3519"/>
    <tableColumn id="3858" xr3:uid="{6DB88E4F-8410-466E-9F7B-0163E77550AA}" name="Kolonna3520"/>
    <tableColumn id="3859" xr3:uid="{5133C92D-4435-40C8-A4AE-C7698221FE25}" name="Kolonna3521"/>
    <tableColumn id="3860" xr3:uid="{8406D22A-67E7-4A7A-9CF7-C47BDDD536CA}" name="Kolonna3522"/>
    <tableColumn id="3861" xr3:uid="{42B158D0-C663-4604-BDA9-9BA5641ADE73}" name="Kolonna3523"/>
    <tableColumn id="3862" xr3:uid="{DF688B01-5AA5-442C-A708-A2F2AE042CAC}" name="Kolonna3524"/>
    <tableColumn id="3863" xr3:uid="{CD719CFD-BFB3-4B50-BFDA-4C90031D4AD9}" name="Kolonna3525"/>
    <tableColumn id="3864" xr3:uid="{521E3C66-63A7-4721-8FB5-8E624BC724EB}" name="Kolonna3526"/>
    <tableColumn id="3865" xr3:uid="{C18EC6E2-3968-4F53-ADD4-D4344DEE08EF}" name="Kolonna3527"/>
    <tableColumn id="3866" xr3:uid="{2C67FB87-7AC0-45BB-B466-A24F6E5E0FA5}" name="Kolonna3528"/>
    <tableColumn id="3867" xr3:uid="{E91D525A-D435-4024-A814-D5EC27A9A529}" name="Kolonna3529"/>
    <tableColumn id="3868" xr3:uid="{B5904E90-5727-4D44-8D3E-11FF2C74D38C}" name="Kolonna3530"/>
    <tableColumn id="3869" xr3:uid="{51A47CD1-4662-47D8-8724-BD3D7ACC092C}" name="Kolonna3531"/>
    <tableColumn id="3870" xr3:uid="{BCB91103-730D-4B22-A2BE-6A94E1C4363D}" name="Kolonna3532"/>
    <tableColumn id="3871" xr3:uid="{8B66EE19-49F3-48F7-83EB-7FE6E647F257}" name="Kolonna3533"/>
    <tableColumn id="3872" xr3:uid="{FAA876C5-A94C-4318-8896-A867D81D686B}" name="Kolonna3534"/>
    <tableColumn id="3873" xr3:uid="{BE224C96-2F08-4A31-9A9A-86169083BF98}" name="Kolonna3535"/>
    <tableColumn id="3874" xr3:uid="{983C0649-1F9A-4BCB-AE9B-CDFB9266BD04}" name="Kolonna3536"/>
    <tableColumn id="3875" xr3:uid="{B14E7818-8E67-4578-B32C-8192D7A267C5}" name="Kolonna3537"/>
    <tableColumn id="3876" xr3:uid="{C8AE46AC-1378-4E2A-B795-EE56E6A83325}" name="Kolonna3538"/>
    <tableColumn id="3877" xr3:uid="{DB49FDC4-B4F7-4DEA-A695-3D840D644B69}" name="Kolonna3539"/>
    <tableColumn id="3878" xr3:uid="{D893602C-2BB6-45A2-B6EA-256D458C2754}" name="Kolonna3540"/>
    <tableColumn id="3879" xr3:uid="{97CBE953-C8C1-4E4B-9484-BC47E548B35C}" name="Kolonna3541"/>
    <tableColumn id="3880" xr3:uid="{2A562B42-6706-430C-8840-6318B6F4A365}" name="Kolonna3542"/>
    <tableColumn id="3881" xr3:uid="{3A87EBE4-26A8-44D8-9AED-E5295DB3A2E7}" name="Kolonna3543"/>
    <tableColumn id="3882" xr3:uid="{02AB2561-5D4B-459F-9F91-265374D1D5B8}" name="Kolonna3544"/>
    <tableColumn id="3883" xr3:uid="{4A968DD4-D8AB-401B-85B2-71C42CAD1C30}" name="Kolonna3545"/>
    <tableColumn id="3884" xr3:uid="{8C9F7738-1820-4E53-95B6-6AE75BE6359A}" name="Kolonna3546"/>
    <tableColumn id="3885" xr3:uid="{4AA6E44F-DCBF-4347-A872-0CE3F6124BE5}" name="Kolonna3547"/>
    <tableColumn id="3886" xr3:uid="{C86DDC52-F508-46AE-BA8B-0838EF325357}" name="Kolonna3548"/>
    <tableColumn id="3887" xr3:uid="{EB66227F-09AD-40EF-A5B4-9D782F223A83}" name="Kolonna3549"/>
    <tableColumn id="3888" xr3:uid="{C4903B9B-09E0-4D71-AF87-3B7E0D17526C}" name="Kolonna3550"/>
    <tableColumn id="3889" xr3:uid="{A3FCD643-2AAC-4ECA-A58A-11FC97D1533D}" name="Kolonna3551"/>
    <tableColumn id="3890" xr3:uid="{A11F987C-C323-47D1-B7F1-A06BB886C9DE}" name="Kolonna3552"/>
    <tableColumn id="3891" xr3:uid="{7136455B-B0A8-4B07-B759-828520583737}" name="Kolonna3553"/>
    <tableColumn id="3892" xr3:uid="{B457F04E-7393-47FE-8669-8C390D31FE56}" name="Kolonna3554"/>
    <tableColumn id="3893" xr3:uid="{555EE01B-3757-49BF-B416-3C5F4BDFF51D}" name="Kolonna3555"/>
    <tableColumn id="3894" xr3:uid="{884F58B7-02D4-4C85-8707-2D2FA9339EBB}" name="Kolonna3556"/>
    <tableColumn id="3895" xr3:uid="{0264D00E-AFFD-477A-AEF7-E3D84757E478}" name="Kolonna3557"/>
    <tableColumn id="3896" xr3:uid="{43112F41-2368-4042-90C6-04BEC78FE6DA}" name="Kolonna3558"/>
    <tableColumn id="3897" xr3:uid="{FC14503D-9915-4190-99AF-353F59A7D2A2}" name="Kolonna3559"/>
    <tableColumn id="3898" xr3:uid="{A843F26E-2A7E-4BE8-BEBC-D1ADEFCC9478}" name="Kolonna3560"/>
    <tableColumn id="3899" xr3:uid="{794CB7B7-C4BA-4A91-AD85-5A8A37624F7F}" name="Kolonna3561"/>
    <tableColumn id="3900" xr3:uid="{C2AEE7F7-4353-4A5F-B413-16C830B79C22}" name="Kolonna3562"/>
    <tableColumn id="3901" xr3:uid="{EFECB9E6-A387-4700-8C07-12631C9384DD}" name="Kolonna3563"/>
    <tableColumn id="3902" xr3:uid="{A32C0BD5-0F2A-4282-9B4D-445542A7C50E}" name="Kolonna3564"/>
    <tableColumn id="3903" xr3:uid="{6FC4A002-8588-4141-A91E-43534E360D2D}" name="Kolonna3565"/>
    <tableColumn id="3904" xr3:uid="{38354CB5-5460-41CD-AA9C-DD3C5846322C}" name="Kolonna3566"/>
    <tableColumn id="3905" xr3:uid="{9E72F862-3F9B-4EAC-BD82-E7DA24FF117B}" name="Kolonna3567"/>
    <tableColumn id="3906" xr3:uid="{E1AA8074-9800-46E5-B968-CF27A32C19B5}" name="Kolonna3568"/>
    <tableColumn id="3907" xr3:uid="{06AB8786-9AC8-4560-A518-AAE049BEC6A2}" name="Kolonna3569"/>
    <tableColumn id="3908" xr3:uid="{197EBB8A-FF3C-477E-86D3-5E8AA2E1AA41}" name="Kolonna3570"/>
    <tableColumn id="3909" xr3:uid="{AE587942-FF5E-4425-A613-118B10C58911}" name="Kolonna3571"/>
    <tableColumn id="3910" xr3:uid="{58819BBA-67E8-4932-AFF9-197445B70F9D}" name="Kolonna3572"/>
    <tableColumn id="3911" xr3:uid="{E2608356-30AC-4C37-BDB3-FDC9B6494C12}" name="Kolonna3573"/>
    <tableColumn id="3912" xr3:uid="{4409391B-6692-4ED0-84AD-082E2426F1C3}" name="Kolonna3574"/>
    <tableColumn id="3913" xr3:uid="{86F657D4-6921-4C22-AE53-28D884A3595D}" name="Kolonna3575"/>
    <tableColumn id="3914" xr3:uid="{14EBEDCC-F660-4071-B0DD-226226D3B1F1}" name="Kolonna3576"/>
    <tableColumn id="3915" xr3:uid="{AE405286-CB2B-4E65-8147-39A8D7A93DA3}" name="Kolonna3577"/>
    <tableColumn id="3916" xr3:uid="{3498CB22-4B80-49AD-99FF-F02D2BEDD34F}" name="Kolonna3578"/>
    <tableColumn id="3917" xr3:uid="{60E90FE8-31C8-44C0-9039-B7F84FE30BB6}" name="Kolonna3579"/>
    <tableColumn id="3918" xr3:uid="{A60FBBC2-B2D6-43F6-8E49-5C859287F45E}" name="Kolonna3580"/>
    <tableColumn id="3919" xr3:uid="{519FA329-6282-4E12-ADB6-2C106B7A9E70}" name="Kolonna3581"/>
    <tableColumn id="3920" xr3:uid="{A7DBDE0A-E1AE-4CD6-86A9-0E0E9D528180}" name="Kolonna3582"/>
    <tableColumn id="3921" xr3:uid="{674C9E96-5EA3-4309-B3F8-87B162AFB31C}" name="Kolonna3583"/>
    <tableColumn id="3922" xr3:uid="{A82B22DC-ECEE-473E-804B-6762013AB35B}" name="Kolonna3584"/>
    <tableColumn id="3923" xr3:uid="{667DBBDD-9857-47A3-ABD9-65ED5F7BDB77}" name="Kolonna3585"/>
    <tableColumn id="3924" xr3:uid="{E49E5F4A-2C0A-49D9-9C7F-FA045749AEA0}" name="Kolonna3586"/>
    <tableColumn id="3925" xr3:uid="{43FF8C9A-125B-43AE-B026-7F5621A419E3}" name="Kolonna3587"/>
    <tableColumn id="3926" xr3:uid="{12A0C13E-E431-44FB-8755-6F001F7565CD}" name="Kolonna3588"/>
    <tableColumn id="3927" xr3:uid="{DC03F62C-07D8-4DB2-9529-BACB0412AE4D}" name="Kolonna3589"/>
    <tableColumn id="3928" xr3:uid="{A4CF3519-791D-4FE3-B02B-86384F426EF2}" name="Kolonna3590"/>
    <tableColumn id="3929" xr3:uid="{F0ADA478-D25F-4CBF-9064-C3BDD68A934A}" name="Kolonna3591"/>
    <tableColumn id="3930" xr3:uid="{02957F6B-EC5A-45B9-8BBC-D0C27495AA1C}" name="Kolonna3592"/>
    <tableColumn id="3931" xr3:uid="{0101D209-ECD7-47F2-A28B-949BD955BC9E}" name="Kolonna3593"/>
    <tableColumn id="3932" xr3:uid="{1334CD95-1DE9-4C08-859D-D27EBCD351EB}" name="Kolonna3594"/>
    <tableColumn id="3933" xr3:uid="{84DF5DB0-554D-4B35-ADAB-85902DFAD672}" name="Kolonna3595"/>
    <tableColumn id="3934" xr3:uid="{ABD149DF-F161-4262-A1F6-DDF7131F9B96}" name="Kolonna3596"/>
    <tableColumn id="3935" xr3:uid="{CA911871-14F0-4E19-8E13-9F1C405A9066}" name="Kolonna3597"/>
    <tableColumn id="3936" xr3:uid="{490C8A3E-DA62-4631-A332-F93C52A08FCA}" name="Kolonna3598"/>
    <tableColumn id="3937" xr3:uid="{77EBB13F-78CC-4FA6-902E-094F7D8DCE15}" name="Kolonna3599"/>
    <tableColumn id="3938" xr3:uid="{E741FAD9-825C-4A18-AFA2-3F4068C85FEE}" name="Kolonna3600"/>
    <tableColumn id="3939" xr3:uid="{4F334556-0C5C-48D4-BFC3-2FCA8B7488AE}" name="Kolonna3601"/>
    <tableColumn id="3940" xr3:uid="{A9E1ADA8-5FE7-4E7B-BA8C-D9FF07876DCC}" name="Kolonna3602"/>
    <tableColumn id="3941" xr3:uid="{BA998C93-41A8-4ACF-9FCF-152A4A26BCBD}" name="Kolonna3603"/>
    <tableColumn id="3942" xr3:uid="{7A67BAAC-6156-4BB4-BF01-D596F1F326EE}" name="Kolonna3604"/>
    <tableColumn id="3943" xr3:uid="{49B46DF4-819C-4EBA-B617-292D9699412A}" name="Kolonna3605"/>
    <tableColumn id="3944" xr3:uid="{577501C3-0449-4D4D-9388-39B3EE9A96AB}" name="Kolonna3606"/>
    <tableColumn id="3945" xr3:uid="{E599D0E4-532F-416D-9FCD-6C04060E4D9B}" name="Kolonna3607"/>
    <tableColumn id="3946" xr3:uid="{E7EC3963-08D1-40C8-9273-93D1E7B00916}" name="Kolonna3608"/>
    <tableColumn id="3947" xr3:uid="{EB606DBD-9264-4288-9E6C-4A29488C4C4B}" name="Kolonna3609"/>
    <tableColumn id="3948" xr3:uid="{148C8AD7-80AA-4591-BDFA-0B919A34372E}" name="Kolonna3610"/>
    <tableColumn id="3949" xr3:uid="{7E777C7F-A8DF-4C80-A3FB-90F369EB344C}" name="Kolonna3611"/>
    <tableColumn id="3950" xr3:uid="{09C12805-05DB-475B-861F-11B3FC7B51DC}" name="Kolonna3612"/>
    <tableColumn id="3951" xr3:uid="{6684A829-2658-4D4F-85A4-4C5BD4747F20}" name="Kolonna3613"/>
    <tableColumn id="3952" xr3:uid="{3E4A2730-3057-4822-95F1-33A3D5886D41}" name="Kolonna3614"/>
    <tableColumn id="3953" xr3:uid="{0F85FD0A-D46D-456F-AA1E-AFBA292BE651}" name="Kolonna3615"/>
    <tableColumn id="3954" xr3:uid="{53E8395C-6B78-4D1D-A377-DB44D89DD677}" name="Kolonna3616"/>
    <tableColumn id="3955" xr3:uid="{84D995B8-9F68-4A0A-809A-2C3E0FFCA784}" name="Kolonna3617"/>
    <tableColumn id="3956" xr3:uid="{7E481E87-A2C4-4103-B20E-42B9F862A065}" name="Kolonna3618"/>
    <tableColumn id="3957" xr3:uid="{5D9888C4-DC04-439D-AAAE-E63297143975}" name="Kolonna3619"/>
    <tableColumn id="3958" xr3:uid="{F8963E38-CAB3-444E-88FC-C70D79802250}" name="Kolonna3620"/>
    <tableColumn id="3959" xr3:uid="{D06D1DEE-3BB4-435F-8D16-8E538EDA733D}" name="Kolonna3621"/>
    <tableColumn id="3960" xr3:uid="{C0C7239F-7F5E-4DD0-A93D-60F2595AF985}" name="Kolonna3622"/>
    <tableColumn id="3961" xr3:uid="{AA7E0535-CC76-4163-B822-E94EF69DFB9D}" name="Kolonna3623"/>
    <tableColumn id="3962" xr3:uid="{1EA0FE07-7760-4936-B7A9-D5F0FED5858D}" name="Kolonna3624"/>
    <tableColumn id="3963" xr3:uid="{DCCC4F13-8860-492C-A279-DE24AF14228D}" name="Kolonna3625"/>
    <tableColumn id="3964" xr3:uid="{DD35A842-D01F-4CC4-B12E-D70A4EE1915E}" name="Kolonna3626"/>
    <tableColumn id="3965" xr3:uid="{B57180AA-F877-4919-A906-BB9B562A5720}" name="Kolonna3627"/>
    <tableColumn id="3966" xr3:uid="{C64837BE-8AF5-4807-A697-56E1446F9ED8}" name="Kolonna3628"/>
    <tableColumn id="3967" xr3:uid="{C7CAAFD6-AF69-4C54-98FD-042FAF1FDFCA}" name="Kolonna3629"/>
    <tableColumn id="3968" xr3:uid="{F17B3D38-A851-4B13-8AAB-719DACD7E13D}" name="Kolonna3630"/>
    <tableColumn id="3969" xr3:uid="{0EBFD57A-3566-4B27-B723-7A7CBECD92F1}" name="Kolonna3631"/>
    <tableColumn id="3970" xr3:uid="{90B4A369-4D63-415F-B8DB-DC39B32C8EBE}" name="Kolonna3632"/>
    <tableColumn id="3971" xr3:uid="{22CA80F7-3224-4D7A-8961-2BF46D514293}" name="Kolonna3633"/>
    <tableColumn id="3972" xr3:uid="{7F63CFEC-C634-41DB-811F-4532B0286A59}" name="Kolonna3634"/>
    <tableColumn id="3973" xr3:uid="{3CEF54B1-83D5-4C41-B99D-7D156381BC4D}" name="Kolonna3635"/>
    <tableColumn id="3974" xr3:uid="{F3BDF6F8-99A2-4033-8630-037E976DF174}" name="Kolonna3636"/>
    <tableColumn id="3975" xr3:uid="{25C56B84-A0C8-44D1-9C0E-4BF068528625}" name="Kolonna3637"/>
    <tableColumn id="3976" xr3:uid="{CB4D5EF3-268B-4624-8E19-D251A9DD7DDF}" name="Kolonna3638"/>
    <tableColumn id="3977" xr3:uid="{B94FC72B-5107-47A6-8E64-AF45BC4A1FB3}" name="Kolonna3639"/>
    <tableColumn id="3978" xr3:uid="{D56F62DD-2A23-431D-9B20-27B245F67045}" name="Kolonna3640"/>
    <tableColumn id="3979" xr3:uid="{17D09350-ABCB-4CCC-AB59-CBF11212AB13}" name="Kolonna3641"/>
    <tableColumn id="3980" xr3:uid="{187FAFE6-9CE6-4807-8ED5-D1AB1B6495F0}" name="Kolonna3642"/>
    <tableColumn id="3981" xr3:uid="{417F1ADB-8D7E-4728-9A80-10FE2F6334EB}" name="Kolonna3643"/>
    <tableColumn id="3982" xr3:uid="{46EBDBCA-440B-452D-A1BE-996781A8793E}" name="Kolonna3644"/>
    <tableColumn id="3983" xr3:uid="{2B4BC4EA-C62D-490A-80C3-66C8753B669C}" name="Kolonna3645"/>
    <tableColumn id="3984" xr3:uid="{95CCD662-A2A9-45E9-A938-E8EBD2644009}" name="Kolonna3646"/>
    <tableColumn id="3985" xr3:uid="{542A84C6-2DE2-4BB3-9A02-EE621551E42D}" name="Kolonna3647"/>
    <tableColumn id="3986" xr3:uid="{35080ED7-7C2A-479A-9981-5EDE9F8F992E}" name="Kolonna3648"/>
    <tableColumn id="3987" xr3:uid="{B93FF8C1-98FC-4D1A-B34D-3A1064B494AD}" name="Kolonna3649"/>
    <tableColumn id="3988" xr3:uid="{108E9009-D217-4A28-9761-95A89BAA5BC8}" name="Kolonna3650"/>
    <tableColumn id="3989" xr3:uid="{F077D0BC-2E50-4A26-B430-39450CCE5E93}" name="Kolonna3651"/>
    <tableColumn id="3990" xr3:uid="{F9B37E50-49D5-4563-9DDF-6DD2CEB7384C}" name="Kolonna3652"/>
    <tableColumn id="3991" xr3:uid="{2DC43B89-BB50-4B94-9E5B-4C3C05F9A427}" name="Kolonna3653"/>
    <tableColumn id="3992" xr3:uid="{26517B32-3090-4DC2-9E56-77F55CE5A2A0}" name="Kolonna3654"/>
    <tableColumn id="3993" xr3:uid="{A402A399-8885-45B8-B676-1487FFCF6503}" name="Kolonna3655"/>
    <tableColumn id="3994" xr3:uid="{285A248C-43A2-49AA-804A-3844250CDB11}" name="Kolonna3656"/>
    <tableColumn id="3995" xr3:uid="{26B1FB2D-76E3-4E2E-B508-0F546121C698}" name="Kolonna3657"/>
    <tableColumn id="3996" xr3:uid="{235B43CC-FE4E-4AA4-B3E3-5CA7F53016FE}" name="Kolonna3658"/>
    <tableColumn id="3997" xr3:uid="{7775868C-D0EA-46B6-9713-D41BAEBB0BC5}" name="Kolonna3659"/>
    <tableColumn id="3998" xr3:uid="{058C7A02-2695-4D80-A2FC-22C49AEA2762}" name="Kolonna3660"/>
    <tableColumn id="3999" xr3:uid="{A03E99A3-7787-4569-96DC-23D727CDC306}" name="Kolonna3661"/>
    <tableColumn id="4000" xr3:uid="{FC1E294D-21BB-42A3-8FDC-C978E05DE657}" name="Kolonna3662"/>
    <tableColumn id="4001" xr3:uid="{7430D6FE-365A-4557-99E4-68DD461C7A07}" name="Kolonna3663"/>
    <tableColumn id="4002" xr3:uid="{33C5ABDD-4FF9-4DA8-A790-EDDC573FA0C7}" name="Kolonna3664"/>
    <tableColumn id="4003" xr3:uid="{D0861AC8-DEDB-4384-95B3-0A0211FC68DD}" name="Kolonna3665"/>
    <tableColumn id="4004" xr3:uid="{56A73EBF-B285-43C2-80E0-69A2B9535994}" name="Kolonna3666"/>
    <tableColumn id="4005" xr3:uid="{054D4B3F-04A1-4937-B470-C9086564C993}" name="Kolonna3667"/>
    <tableColumn id="4006" xr3:uid="{00C75D7D-13DC-46F1-9636-7BB68715BE49}" name="Kolonna3668"/>
    <tableColumn id="4007" xr3:uid="{FB48F208-E68F-4F73-82BD-8A2D84F46027}" name="Kolonna3669"/>
    <tableColumn id="4008" xr3:uid="{261A79C7-66A0-404D-8D00-FE4C29D11B09}" name="Kolonna3670"/>
    <tableColumn id="4009" xr3:uid="{80FFE8E9-0420-411E-BE58-827D9876543D}" name="Kolonna3671"/>
    <tableColumn id="4010" xr3:uid="{ABB5B457-A8F9-4191-92CF-ABE5B989D60E}" name="Kolonna3672"/>
    <tableColumn id="4011" xr3:uid="{103EB74F-DE35-457A-894D-1411EEE22132}" name="Kolonna3673"/>
    <tableColumn id="4012" xr3:uid="{D9AA52BF-2D93-4D11-83B9-82E166473C6F}" name="Kolonna3674"/>
    <tableColumn id="4013" xr3:uid="{69A545F5-0BB0-4F5B-8F27-839584B7E12D}" name="Kolonna3675"/>
    <tableColumn id="4014" xr3:uid="{0EABC0DB-75E8-456B-9151-1FC5D5BF807E}" name="Kolonna3676"/>
    <tableColumn id="4015" xr3:uid="{26E3A5D8-E66E-44F4-A1DF-35F5FD78F3F2}" name="Kolonna3677"/>
    <tableColumn id="4016" xr3:uid="{368D8853-74FE-4ABF-A3C4-B0A8BC9FD54C}" name="Kolonna3678"/>
    <tableColumn id="4017" xr3:uid="{C450E895-9605-40B7-907B-7B9404BD2264}" name="Kolonna3679"/>
    <tableColumn id="4018" xr3:uid="{4F730DDC-B70E-47CF-80CD-5BC09D55F83A}" name="Kolonna3680"/>
    <tableColumn id="4019" xr3:uid="{4E0C3E9F-3571-4745-894C-47F1BB435F44}" name="Kolonna3681"/>
    <tableColumn id="4020" xr3:uid="{DDD65936-03EF-402E-B17A-771900792769}" name="Kolonna3682"/>
    <tableColumn id="4021" xr3:uid="{C848AA66-2B03-4AFF-B16F-C28BF4ABC7D7}" name="Kolonna3683"/>
    <tableColumn id="4022" xr3:uid="{1808FB1E-91C1-4760-9457-B870ECABE92E}" name="Kolonna3684"/>
    <tableColumn id="4023" xr3:uid="{EF2D8F12-F9E9-46BA-B089-45F9CC9A496E}" name="Kolonna3685"/>
    <tableColumn id="4024" xr3:uid="{8A17C684-2D4B-4665-AF46-F42F4EB48D4F}" name="Kolonna3686"/>
    <tableColumn id="4025" xr3:uid="{8A70EACB-2EE1-418A-9D56-E17DF55E0C9B}" name="Kolonna3687"/>
    <tableColumn id="4026" xr3:uid="{2E7D3143-7CE9-45BC-9912-9F83213890B2}" name="Kolonna3688"/>
    <tableColumn id="4027" xr3:uid="{1AA32758-8E48-4A8F-8976-17CD4237FB33}" name="Kolonna3689"/>
    <tableColumn id="4028" xr3:uid="{49F1F1A4-8A26-4347-8DE4-40C625E4CDFA}" name="Kolonna3690"/>
    <tableColumn id="4029" xr3:uid="{66EBF8CC-6043-4E3A-8115-F7FC2D9B8174}" name="Kolonna3691"/>
    <tableColumn id="4030" xr3:uid="{04097609-7984-40AD-90D3-ECC93A9915F4}" name="Kolonna3692"/>
    <tableColumn id="4031" xr3:uid="{7A2455EE-62BE-4267-9D5D-2393D453D45E}" name="Kolonna3693"/>
    <tableColumn id="4032" xr3:uid="{5CE4EC1E-8078-4947-A389-CFCA9D829A2B}" name="Kolonna3694"/>
    <tableColumn id="4033" xr3:uid="{1D15A505-197C-49D1-B6AD-51FBAFEDA467}" name="Kolonna3695"/>
    <tableColumn id="4034" xr3:uid="{969EB3A2-FB85-4C5D-B188-3D37FCA9B75D}" name="Kolonna3696"/>
    <tableColumn id="4035" xr3:uid="{BC0DF631-DD97-4819-B516-91DD5CFE2253}" name="Kolonna3697"/>
    <tableColumn id="4036" xr3:uid="{0D057E06-F6F0-46F6-8E11-E1931B58667C}" name="Kolonna3698"/>
    <tableColumn id="4037" xr3:uid="{3A3A102C-D3E3-496F-A212-0E199C525886}" name="Kolonna3699"/>
    <tableColumn id="4038" xr3:uid="{AED4F980-3F52-4A2A-AF3E-A88B5C5CD92D}" name="Kolonna3700"/>
    <tableColumn id="4039" xr3:uid="{748F271A-E453-4854-9A45-DA3951C4CC7B}" name="Kolonna3701"/>
    <tableColumn id="4040" xr3:uid="{63F63F96-3E4C-4EC8-B3A2-3D54CDE276A6}" name="Kolonna3702"/>
    <tableColumn id="4041" xr3:uid="{1F29ECF3-774F-4116-954B-09D88D0065A0}" name="Kolonna3703"/>
    <tableColumn id="4042" xr3:uid="{936B1370-4259-40A6-BB67-63CF80262A27}" name="Kolonna3704"/>
    <tableColumn id="4043" xr3:uid="{ADC3D428-D815-40E8-862A-4637083FC444}" name="Kolonna3705"/>
    <tableColumn id="4044" xr3:uid="{EB166EAE-A262-4599-B700-95CC2BD96E22}" name="Kolonna3706"/>
    <tableColumn id="4045" xr3:uid="{C10F0742-1480-41ED-8F6B-31D4F281603D}" name="Kolonna3707"/>
    <tableColumn id="4046" xr3:uid="{1AB860C8-4733-4D0C-BCD4-AB0DE66D0EA2}" name="Kolonna3708"/>
    <tableColumn id="4047" xr3:uid="{51F6A7D0-66A4-4658-8A0A-6FDB75AD5CF3}" name="Kolonna3709"/>
    <tableColumn id="4048" xr3:uid="{C99F916D-B7B7-4B6E-8F80-28F9E9C45777}" name="Kolonna3710"/>
    <tableColumn id="4049" xr3:uid="{8CB8ABF0-890E-45C4-8D85-1E1C5DBAE2AF}" name="Kolonna3711"/>
    <tableColumn id="4050" xr3:uid="{F5E0A4DB-A781-4B6A-ACB4-01BFCAD83094}" name="Kolonna3712"/>
    <tableColumn id="4051" xr3:uid="{5C3FC18A-72C1-483B-8CEE-9BA4D968C361}" name="Kolonna3713"/>
    <tableColumn id="4052" xr3:uid="{E0B29E85-C130-4DAD-9686-525F8B555EED}" name="Kolonna3714"/>
    <tableColumn id="4053" xr3:uid="{98C2A87B-4B16-4EA9-A52E-D59C3B3BDDBD}" name="Kolonna3715"/>
    <tableColumn id="4054" xr3:uid="{79A4267D-E634-449A-93BE-52B5246696F1}" name="Kolonna3716"/>
    <tableColumn id="4055" xr3:uid="{DE9662BA-0B47-4C24-B333-03F9244662A1}" name="Kolonna3717"/>
    <tableColumn id="4056" xr3:uid="{119CD495-896C-4C42-A637-4887A2732ED8}" name="Kolonna3718"/>
    <tableColumn id="4057" xr3:uid="{F4DDAE18-79F9-4A50-A59F-E8D7AEA6C4AC}" name="Kolonna3719"/>
    <tableColumn id="4058" xr3:uid="{0860090B-EBE7-46DA-A935-1A61C622BD08}" name="Kolonna3720"/>
    <tableColumn id="4059" xr3:uid="{7F3F40B7-D8E6-4B25-9229-5C5E769FA6D4}" name="Kolonna3721"/>
    <tableColumn id="4060" xr3:uid="{D520F2BB-8B6D-4FA8-98EF-E88144255571}" name="Kolonna3722"/>
    <tableColumn id="4061" xr3:uid="{1628E0BC-E417-4B10-BEAC-44F86C6D1312}" name="Kolonna3723"/>
    <tableColumn id="4062" xr3:uid="{AD0F416D-A1B8-48B7-9F6C-BB445DB0442F}" name="Kolonna3724"/>
    <tableColumn id="4063" xr3:uid="{0F37BD60-2C29-4ABC-80E7-F18E027D7C48}" name="Kolonna3725"/>
    <tableColumn id="4064" xr3:uid="{A66A4489-D467-461C-864F-85EBF9E62CD2}" name="Kolonna3726"/>
    <tableColumn id="4065" xr3:uid="{AF436052-6CE5-402B-8ECD-F80AD8760F81}" name="Kolonna3727"/>
    <tableColumn id="4066" xr3:uid="{6FF654E4-8F8B-4A77-AC64-C55301639642}" name="Kolonna3728"/>
    <tableColumn id="4067" xr3:uid="{A0F07957-5668-4D3D-A4B8-8AF3026E56C8}" name="Kolonna3729"/>
    <tableColumn id="4068" xr3:uid="{3356C62E-D7D4-475A-A9C4-FAF89CDD0570}" name="Kolonna3730"/>
    <tableColumn id="4069" xr3:uid="{7B43F1A1-D8EB-41B0-9848-11D9B3670257}" name="Kolonna3731"/>
    <tableColumn id="4070" xr3:uid="{3AA17E1C-3FB6-4CA5-9278-1158F322DC19}" name="Kolonna3732"/>
    <tableColumn id="4071" xr3:uid="{FCDEAB87-1E80-4F74-B0C8-007A8DCBCBAD}" name="Kolonna3733"/>
    <tableColumn id="4072" xr3:uid="{A4753112-0149-4CF6-AC89-8D1442A22D46}" name="Kolonna3734"/>
    <tableColumn id="4073" xr3:uid="{5958BB7D-68AD-4AAD-8BA0-97D136A64927}" name="Kolonna3735"/>
    <tableColumn id="4074" xr3:uid="{455B7E7C-8573-400D-BB07-68939E7886F4}" name="Kolonna3736"/>
    <tableColumn id="4075" xr3:uid="{08ECBE99-846F-4816-87E0-B0897DD79CF7}" name="Kolonna3737"/>
    <tableColumn id="4076" xr3:uid="{91279959-0A21-419D-A894-6B1FD355C76C}" name="Kolonna3738"/>
    <tableColumn id="4077" xr3:uid="{CC6BF7D5-E289-45FD-A1A0-408FCEB131AF}" name="Kolonna3739"/>
    <tableColumn id="4078" xr3:uid="{EA755E31-1DFE-42AF-9FBF-1394CB2B07E7}" name="Kolonna3740"/>
    <tableColumn id="4079" xr3:uid="{8B314D90-84C2-4EF6-833D-56E70C2F0B52}" name="Kolonna3741"/>
    <tableColumn id="4080" xr3:uid="{1E455A68-00FF-45AD-B16C-F17CDDA24D64}" name="Kolonna3742"/>
    <tableColumn id="4081" xr3:uid="{CF6D4895-8FAB-4DEA-AD8B-CD2D4916BF8A}" name="Kolonna3743"/>
    <tableColumn id="4082" xr3:uid="{4F9426A6-6ED7-4D03-AFCE-EE208B6B525B}" name="Kolonna3744"/>
    <tableColumn id="4083" xr3:uid="{6AFA34DF-AB43-4FD8-88EC-3D8AED974AC5}" name="Kolonna3745"/>
    <tableColumn id="4084" xr3:uid="{787E957B-21B8-4FA8-91D8-4449FDCEADC3}" name="Kolonna3746"/>
    <tableColumn id="4085" xr3:uid="{F2213433-496B-4CC1-B6E8-1B0B350B915C}" name="Kolonna3747"/>
    <tableColumn id="4086" xr3:uid="{FB20E24C-C5F7-4BF7-937F-93D6DA19F8CA}" name="Kolonna3748"/>
    <tableColumn id="4087" xr3:uid="{0860DA62-2CD4-4C5C-819B-FFA0406323BE}" name="Kolonna3749"/>
    <tableColumn id="4088" xr3:uid="{5A5E7537-CA5E-4438-B605-A03923AB13E4}" name="Kolonna3750"/>
    <tableColumn id="4089" xr3:uid="{66450D10-B1C2-41CB-B14F-6EB0BDDF40F6}" name="Kolonna3751"/>
    <tableColumn id="4090" xr3:uid="{946D6D93-C00F-445F-9341-E16C89ADBE20}" name="Kolonna3752"/>
    <tableColumn id="4091" xr3:uid="{8A073561-CEB6-4C73-9285-0EC8DCE203DF}" name="Kolonna3753"/>
    <tableColumn id="4092" xr3:uid="{B759AD0F-0FD3-4B05-B3F4-16C44E9F775B}" name="Kolonna3754"/>
    <tableColumn id="4093" xr3:uid="{06D3BBCF-8444-4199-A319-AAE675525883}" name="Kolonna3755"/>
    <tableColumn id="4094" xr3:uid="{81017B55-A08F-40BB-B4FF-97F9B4B01829}" name="Kolonna3756"/>
    <tableColumn id="4095" xr3:uid="{3071EF42-010C-41C6-855C-C50E0875CA58}" name="Kolonna3757"/>
    <tableColumn id="4096" xr3:uid="{18E9D5DA-1953-43FC-93EB-B195D3A622F4}" name="Kolonna3758"/>
    <tableColumn id="4097" xr3:uid="{C6B86F50-08F4-46DC-8385-025A04A36817}" name="Kolonna3759"/>
    <tableColumn id="4098" xr3:uid="{2EB9EA3E-2E90-4DEE-AF83-BB0137FA0467}" name="Kolonna3760"/>
    <tableColumn id="4099" xr3:uid="{AEF8EEF1-2F0D-467C-B344-B98DCEEA422B}" name="Kolonna3761"/>
    <tableColumn id="4100" xr3:uid="{6DA98AC6-6B91-4632-948F-F362EC542F51}" name="Kolonna3762"/>
    <tableColumn id="4101" xr3:uid="{3CD15A7C-8AED-4532-B012-FDCD7F61108C}" name="Kolonna3763"/>
    <tableColumn id="4102" xr3:uid="{0CD79189-DD44-4D80-A4C8-128671132353}" name="Kolonna3764"/>
    <tableColumn id="4103" xr3:uid="{839E8F76-5AB1-4C67-9CFF-3C838B2443D3}" name="Kolonna3765"/>
    <tableColumn id="4104" xr3:uid="{9535C951-2278-4338-B54E-B8A4C6C7A6C3}" name="Kolonna3766"/>
    <tableColumn id="4105" xr3:uid="{103B7046-D7FB-4DAB-BE4A-5D51207CEB40}" name="Kolonna3767"/>
    <tableColumn id="4106" xr3:uid="{A233627A-A318-4A32-8688-BDD29C756695}" name="Kolonna3768"/>
    <tableColumn id="4107" xr3:uid="{C9B2514F-00B6-4CB0-A890-389EA87E692E}" name="Kolonna3769"/>
    <tableColumn id="4108" xr3:uid="{C5CB6887-D722-4A27-8374-A02DD8FE2341}" name="Kolonna3770"/>
    <tableColumn id="4109" xr3:uid="{E2D6F68A-CBB1-408E-A6E4-DE9D3B7D1C10}" name="Kolonna3771"/>
    <tableColumn id="4110" xr3:uid="{8F532B3A-95EF-4880-8CC8-B00821CD790F}" name="Kolonna3772"/>
    <tableColumn id="4111" xr3:uid="{F9835948-1930-404C-B384-BE90C6341DB8}" name="Kolonna3773"/>
    <tableColumn id="4112" xr3:uid="{3D0FF05F-63EC-4E6F-A09C-4B25FE31CC08}" name="Kolonna3774"/>
    <tableColumn id="4113" xr3:uid="{0E5626AE-3D63-451C-B649-8F3190103E6B}" name="Kolonna3775"/>
    <tableColumn id="4114" xr3:uid="{D0D6A229-BF77-4C12-ADBE-607DC6C60A9A}" name="Kolonna3776"/>
    <tableColumn id="4115" xr3:uid="{99F39A28-9CD6-4373-8D9E-B79AE155971D}" name="Kolonna3777"/>
    <tableColumn id="4116" xr3:uid="{1E5F45E0-5069-438C-9695-7F4CF6A3FE78}" name="Kolonna3778"/>
    <tableColumn id="4117" xr3:uid="{2B7B36CD-7AC4-4855-A346-F18AE5DC4054}" name="Kolonna3779"/>
    <tableColumn id="4118" xr3:uid="{44252D90-8553-45AF-9D84-730BCC7AB1B6}" name="Kolonna3780"/>
    <tableColumn id="4119" xr3:uid="{32D90B77-65CC-434C-9C86-697F60B0FE8D}" name="Kolonna3781"/>
    <tableColumn id="4120" xr3:uid="{43DA3C3E-CA03-45C5-8E14-220FD2E622A3}" name="Kolonna3782"/>
    <tableColumn id="4121" xr3:uid="{A31B3F6A-678E-4034-B72B-C26F91D203EF}" name="Kolonna3783"/>
    <tableColumn id="4122" xr3:uid="{085A1B63-6204-47D4-B15B-37D7A685D800}" name="Kolonna3784"/>
    <tableColumn id="4123" xr3:uid="{C2C1496B-417B-4ED8-88C3-B30F6C37A403}" name="Kolonna3785"/>
    <tableColumn id="4124" xr3:uid="{6DD879D7-E87F-475B-934A-4E77680D625D}" name="Kolonna3786"/>
    <tableColumn id="4125" xr3:uid="{D09F996E-48E1-4241-B19D-175D9E180211}" name="Kolonna3787"/>
    <tableColumn id="4126" xr3:uid="{49EDC772-9E11-4984-A4C3-82DCDA8DF132}" name="Kolonna3788"/>
    <tableColumn id="4127" xr3:uid="{BEA085FC-206F-4641-8EB1-45A4C2EBCA47}" name="Kolonna3789"/>
    <tableColumn id="4128" xr3:uid="{52E04812-D660-44D0-BA7D-F83E0F16E6E1}" name="Kolonna3790"/>
    <tableColumn id="4129" xr3:uid="{44FF4228-86D9-44BC-A918-F173FD3948FB}" name="Kolonna3791"/>
    <tableColumn id="4130" xr3:uid="{C3659356-816F-4057-9DBC-69C1B5C81C98}" name="Kolonna3792"/>
    <tableColumn id="4131" xr3:uid="{0911A5C2-DAC0-41BB-BD5B-F81DC47AEAAB}" name="Kolonna3793"/>
    <tableColumn id="4132" xr3:uid="{5D29433D-E655-4C1B-870A-3FF0D0C7740F}" name="Kolonna3794"/>
    <tableColumn id="4133" xr3:uid="{BA32D2E1-B848-4304-9B15-722BB92C9638}" name="Kolonna3795"/>
    <tableColumn id="4134" xr3:uid="{9548796E-7E53-44EF-BB47-B35FCFB1A568}" name="Kolonna3796"/>
    <tableColumn id="4135" xr3:uid="{0D357587-8FFA-4791-BB58-A9BE97D9B949}" name="Kolonna3797"/>
    <tableColumn id="4136" xr3:uid="{8C7AE28E-FF5F-45C2-984F-4118468FF3C8}" name="Kolonna3798"/>
    <tableColumn id="4137" xr3:uid="{A832B462-1432-47F0-8D15-C9C825F7ED6B}" name="Kolonna3799"/>
    <tableColumn id="4138" xr3:uid="{676C1391-18C9-41AA-802B-01FD6714DBFB}" name="Kolonna3800"/>
    <tableColumn id="4139" xr3:uid="{C37EAD55-85CD-4DE6-9851-CCCC25CCEFA8}" name="Kolonna3801"/>
    <tableColumn id="4140" xr3:uid="{F91CFCE0-09BA-4898-A3AD-5F332B54DFFA}" name="Kolonna3802"/>
    <tableColumn id="4141" xr3:uid="{D9236470-A00B-4B81-AF13-4693074F0B74}" name="Kolonna3803"/>
    <tableColumn id="4142" xr3:uid="{06E80EEE-6CC9-463F-832C-78AFF9E43CEE}" name="Kolonna3804"/>
    <tableColumn id="4143" xr3:uid="{F8DE98C3-FD48-443D-A376-CC34580D1ACF}" name="Kolonna3805"/>
    <tableColumn id="4144" xr3:uid="{9D262E71-FCF4-4501-B26F-BA555C901B92}" name="Kolonna3806"/>
    <tableColumn id="4145" xr3:uid="{01048074-1584-4C46-9D93-394814D37A4B}" name="Kolonna3807"/>
    <tableColumn id="4146" xr3:uid="{7F84628E-2B6D-4201-98AC-A7E5108820CE}" name="Kolonna3808"/>
    <tableColumn id="4147" xr3:uid="{3E85926A-15BE-4380-B0FC-93AB62C4484C}" name="Kolonna3809"/>
    <tableColumn id="4148" xr3:uid="{B35D51BE-9818-4C48-A2F9-0D9F2AC9B47E}" name="Kolonna3810"/>
    <tableColumn id="4149" xr3:uid="{CF020554-DCE1-4222-B448-2401BD6BF4F7}" name="Kolonna3811"/>
    <tableColumn id="4150" xr3:uid="{20E76C52-FA5D-469E-BB7D-DC03148E7309}" name="Kolonna3812"/>
    <tableColumn id="4151" xr3:uid="{004827F7-B754-4E7D-96F3-D83ED7EB332E}" name="Kolonna3813"/>
    <tableColumn id="4152" xr3:uid="{6A45C927-2DEC-4182-A557-EB1F068F1A97}" name="Kolonna3814"/>
    <tableColumn id="4153" xr3:uid="{7042E598-A658-4ED1-A866-7AB725A3E8EB}" name="Kolonna3815"/>
    <tableColumn id="4154" xr3:uid="{7B08B36D-8FC7-484D-BA16-8097F0C73743}" name="Kolonna3816"/>
    <tableColumn id="4155" xr3:uid="{2846E133-9F4D-4F6F-99B1-0D74C959F980}" name="Kolonna3817"/>
    <tableColumn id="4156" xr3:uid="{68DD6907-14DA-4268-90A1-025E1D6742FD}" name="Kolonna3818"/>
    <tableColumn id="4157" xr3:uid="{7AA95110-0F48-4762-AB13-7BE33232542A}" name="Kolonna3819"/>
    <tableColumn id="4158" xr3:uid="{7E88DD5C-5EE7-4E16-B044-F76DC7501BBC}" name="Kolonna3820"/>
    <tableColumn id="4159" xr3:uid="{D74AA6F3-F404-42E5-8782-401CBF92AE53}" name="Kolonna3821"/>
    <tableColumn id="4160" xr3:uid="{F1C42868-6422-4A11-B28A-76F719B31B4E}" name="Kolonna3822"/>
    <tableColumn id="4161" xr3:uid="{964BC18D-2221-4F6B-A647-523C91B35BA5}" name="Kolonna3823"/>
    <tableColumn id="4162" xr3:uid="{9EE8B619-E456-423E-BE7A-F123B7034D5C}" name="Kolonna3824"/>
    <tableColumn id="4163" xr3:uid="{79D9906D-CA7A-415A-9EBD-8471F31B748B}" name="Kolonna3825"/>
    <tableColumn id="4164" xr3:uid="{E8E42E12-A99F-4C8E-B857-5930A21A6A8F}" name="Kolonna3826"/>
    <tableColumn id="4165" xr3:uid="{0AAEAE1B-2508-456D-8B4C-E3C30D16273D}" name="Kolonna3827"/>
    <tableColumn id="4166" xr3:uid="{07EF2CE7-DA88-4C55-B196-9A7C1615CB41}" name="Kolonna3828"/>
    <tableColumn id="4167" xr3:uid="{72BA5FBD-27B0-4B9D-BEF6-E48E0886FB87}" name="Kolonna3829"/>
    <tableColumn id="4168" xr3:uid="{996A3A69-4101-4E42-B918-FC12E7709603}" name="Kolonna3830"/>
    <tableColumn id="4169" xr3:uid="{818F95F9-E9D8-4AB7-8E18-2E116380A92E}" name="Kolonna3831"/>
    <tableColumn id="4170" xr3:uid="{24ABF25A-0F1F-4BDB-8CB4-7806BA8A6508}" name="Kolonna3832"/>
    <tableColumn id="4171" xr3:uid="{CE6FF274-A6AB-49F1-B5A9-14A29878B080}" name="Kolonna3833"/>
    <tableColumn id="4172" xr3:uid="{40CAAD36-1C3A-41C7-ABB7-ABF153444E4A}" name="Kolonna3834"/>
    <tableColumn id="4173" xr3:uid="{E63F269E-FA30-4EA6-90DF-CCF2FCD95A42}" name="Kolonna3835"/>
    <tableColumn id="4174" xr3:uid="{B857B926-30E6-42A8-933B-C832DA608332}" name="Kolonna3836"/>
    <tableColumn id="4175" xr3:uid="{7546C1D1-262E-4CC3-9EF3-1DACBAC20339}" name="Kolonna3837"/>
    <tableColumn id="4176" xr3:uid="{C5D26F89-0747-4C60-839B-4A06278BCECF}" name="Kolonna3838"/>
    <tableColumn id="4177" xr3:uid="{213F4BD3-6C08-43C3-821D-921898D1EF44}" name="Kolonna3839"/>
    <tableColumn id="4178" xr3:uid="{5547FA0B-F1C2-43C8-A1E2-83BBDBF51464}" name="Kolonna3840"/>
    <tableColumn id="4179" xr3:uid="{EBEAFF57-BC29-4184-A752-2BCAF9CDFFE9}" name="Kolonna3841"/>
    <tableColumn id="4180" xr3:uid="{56CE9719-A3AB-43ED-8C59-2CD37228ED4D}" name="Kolonna3842"/>
    <tableColumn id="4181" xr3:uid="{19EB13D6-3281-4BED-A67F-8E746CEAEB54}" name="Kolonna3843"/>
    <tableColumn id="4182" xr3:uid="{B37FDFDB-B8BA-45E8-8ABE-670A83EA1F9C}" name="Kolonna3844"/>
    <tableColumn id="4183" xr3:uid="{71832453-37EB-4F5A-9905-E54089BEE1B4}" name="Kolonna3845"/>
    <tableColumn id="4184" xr3:uid="{DFFA5F5E-EA24-4DDA-A3AF-BAC4CA49F1C4}" name="Kolonna3846"/>
    <tableColumn id="4185" xr3:uid="{EAD61782-C38D-4336-AED3-78C6D91B3475}" name="Kolonna3847"/>
    <tableColumn id="4186" xr3:uid="{7E9022FC-B2B3-46FC-B929-C251B633D12E}" name="Kolonna3848"/>
    <tableColumn id="4187" xr3:uid="{2D4101C4-E4F0-4DCB-82C0-8A6F9807C68F}" name="Kolonna3849"/>
    <tableColumn id="4188" xr3:uid="{89C7698B-39E6-4971-9CBD-31255AF6527A}" name="Kolonna3850"/>
    <tableColumn id="4189" xr3:uid="{36FBF7CB-4565-42E6-80BC-9CABFF437494}" name="Kolonna3851"/>
    <tableColumn id="4190" xr3:uid="{15004C56-0EAB-411D-9590-7EC9F20B78B3}" name="Kolonna3852"/>
    <tableColumn id="4191" xr3:uid="{95536929-7C03-4DEA-A9FD-D4E057B94888}" name="Kolonna3853"/>
    <tableColumn id="4192" xr3:uid="{2E2A7247-C921-43CF-A21F-62EC9006EB72}" name="Kolonna3854"/>
    <tableColumn id="4193" xr3:uid="{3D2F98DE-A81E-40A4-A965-343B267E9025}" name="Kolonna3855"/>
    <tableColumn id="4194" xr3:uid="{E5F12430-BDDA-495C-94F6-EE05212AC395}" name="Kolonna3856"/>
    <tableColumn id="4195" xr3:uid="{FF5B4604-B568-454C-9F97-C20C8303E177}" name="Kolonna3857"/>
    <tableColumn id="4196" xr3:uid="{E1E3D299-0367-434B-A54B-60C7FEB075DB}" name="Kolonna3858"/>
    <tableColumn id="4197" xr3:uid="{97612E4E-7209-48A9-A61E-D4BB504F4864}" name="Kolonna3859"/>
    <tableColumn id="4198" xr3:uid="{7E011182-C038-46F6-970C-47580F280C28}" name="Kolonna3860"/>
    <tableColumn id="4199" xr3:uid="{C268A81A-3474-4ABE-A41B-EE8B7771E2D0}" name="Kolonna3861"/>
    <tableColumn id="4200" xr3:uid="{DE1CC90F-4ACA-4EEA-9CB6-4CB25E4FAD14}" name="Kolonna3862"/>
    <tableColumn id="4201" xr3:uid="{83EC459B-32EA-4569-B209-2A4318724A34}" name="Kolonna3863"/>
    <tableColumn id="4202" xr3:uid="{9BD28313-E3D5-4701-9F60-8CBF260211D0}" name="Kolonna3864"/>
    <tableColumn id="4203" xr3:uid="{DFC8AE47-A69E-4435-B6F9-D8B146BCF9D8}" name="Kolonna3865"/>
    <tableColumn id="4204" xr3:uid="{3C7023DF-40A4-45FA-ACD5-EE604673A9B1}" name="Kolonna3866"/>
    <tableColumn id="4205" xr3:uid="{51470E5F-2E82-459B-9B3E-F425F1B3CB1D}" name="Kolonna3867"/>
    <tableColumn id="4206" xr3:uid="{DB8CB512-EBF4-47D5-B96B-F7B0BA34DB84}" name="Kolonna3868"/>
    <tableColumn id="4207" xr3:uid="{4BEE5E73-B0FC-4D46-BB33-291ADCD9DFB5}" name="Kolonna3869"/>
    <tableColumn id="4208" xr3:uid="{9834A6B6-B00A-497D-AA72-40AFE2943FA5}" name="Kolonna3870"/>
    <tableColumn id="4209" xr3:uid="{FB69E6AE-90DD-48B2-935D-77DA6685A4E9}" name="Kolonna3871"/>
    <tableColumn id="4210" xr3:uid="{5DD89686-022F-4D7A-955A-3F97E36F7C1D}" name="Kolonna3872"/>
    <tableColumn id="4211" xr3:uid="{5ABBDE23-C8C8-4F77-85A1-8CAFA9931F1A}" name="Kolonna3873"/>
    <tableColumn id="4212" xr3:uid="{B7445625-78ED-40BF-BDDC-FC5DF397C2F6}" name="Kolonna3874"/>
    <tableColumn id="4213" xr3:uid="{B0C0266E-1FBD-4E74-938B-66F9AD62F7C6}" name="Kolonna3875"/>
    <tableColumn id="4214" xr3:uid="{8D331E5E-5CFF-4A22-998C-E14532B3638B}" name="Kolonna3876"/>
    <tableColumn id="4215" xr3:uid="{11807BAC-EE2B-4C7F-B638-5EC1D7299C51}" name="Kolonna3877"/>
    <tableColumn id="4216" xr3:uid="{9A241CBB-6CDD-468D-9754-F4BCFD088142}" name="Kolonna3878"/>
    <tableColumn id="4217" xr3:uid="{F69EB337-0E8B-47D9-A330-51B05D906521}" name="Kolonna3879"/>
    <tableColumn id="4218" xr3:uid="{DB4DBD06-4F1B-4794-8DFC-E07FF2804CCF}" name="Kolonna3880"/>
    <tableColumn id="4219" xr3:uid="{D77BF97C-CE53-4EDD-AFAD-2E8C7FDFF32E}" name="Kolonna3881"/>
    <tableColumn id="4220" xr3:uid="{6C8E359A-3583-4917-85E5-63B08DB7F04E}" name="Kolonna3882"/>
    <tableColumn id="4221" xr3:uid="{A3082902-2D47-4AB9-BD95-83FF0BDA5236}" name="Kolonna3883"/>
    <tableColumn id="4222" xr3:uid="{96DA5F65-256A-464E-B203-B8F7B763781D}" name="Kolonna3884"/>
    <tableColumn id="4223" xr3:uid="{098410C8-D9EC-42C3-9455-F007429DCB40}" name="Kolonna3885"/>
    <tableColumn id="4224" xr3:uid="{2AD78406-B819-4E22-80FC-23423D1418E6}" name="Kolonna3886"/>
    <tableColumn id="4225" xr3:uid="{C00ACB23-1C99-4CA6-986D-110E556490DE}" name="Kolonna3887"/>
    <tableColumn id="4226" xr3:uid="{5231CDA8-832D-40DF-B106-9B6EE68480C4}" name="Kolonna3888"/>
    <tableColumn id="4227" xr3:uid="{894AB163-F26D-4F17-B8A0-5A1291765D3C}" name="Kolonna3889"/>
    <tableColumn id="4228" xr3:uid="{878C0CA8-71DF-404C-AC06-26FA23C7B4AA}" name="Kolonna3890"/>
    <tableColumn id="4229" xr3:uid="{6873999F-56DF-4758-AFEB-98D5453AA54A}" name="Kolonna3891"/>
    <tableColumn id="4230" xr3:uid="{35FD6BD4-5AF9-46AA-88D0-8A90B184A47C}" name="Kolonna3892"/>
    <tableColumn id="4231" xr3:uid="{6FA0FC63-6A11-4964-BB38-9E2255E8785D}" name="Kolonna3893"/>
    <tableColumn id="4232" xr3:uid="{1827D77A-AC38-489D-8B85-BDEC9DDE7E80}" name="Kolonna3894"/>
    <tableColumn id="4233" xr3:uid="{0E67D531-69ED-45BF-A049-6988AB147A8B}" name="Kolonna3895"/>
    <tableColumn id="4234" xr3:uid="{C0D88812-D865-4B57-9B56-1AE78BD0B6E1}" name="Kolonna3896"/>
    <tableColumn id="4235" xr3:uid="{585504F6-2B93-4E82-BEC8-238BED59A6D8}" name="Kolonna3897"/>
    <tableColumn id="4236" xr3:uid="{B6C6B1D0-F383-4BD5-A49E-D85D7B26C4DB}" name="Kolonna3898"/>
    <tableColumn id="4237" xr3:uid="{6AA6C328-D8BD-40D1-B1B4-69D3E5E57EED}" name="Kolonna3899"/>
    <tableColumn id="4238" xr3:uid="{0870C60A-739D-4497-875B-9314AE160AEC}" name="Kolonna3900"/>
    <tableColumn id="4239" xr3:uid="{733F1E5A-1F67-4DED-9460-6F55B3A3B0C1}" name="Kolonna3901"/>
    <tableColumn id="4240" xr3:uid="{78619122-B285-4AF4-911C-D2341B617EB4}" name="Kolonna3902"/>
    <tableColumn id="4241" xr3:uid="{808E283B-8C75-48A6-9796-3CA358D9D0B2}" name="Kolonna3903"/>
    <tableColumn id="4242" xr3:uid="{95626DD8-8B6C-4004-9B7D-F386D8144E96}" name="Kolonna3904"/>
    <tableColumn id="4243" xr3:uid="{26B4A718-05E0-4C0F-B351-9CC7E5A950AA}" name="Kolonna3905"/>
    <tableColumn id="4244" xr3:uid="{517AC2BA-94BE-455C-A3C2-5A04DDF98B28}" name="Kolonna3906"/>
    <tableColumn id="4245" xr3:uid="{7F22748F-BC1E-4B02-A9BF-2B6DB3DF4863}" name="Kolonna3907"/>
    <tableColumn id="4246" xr3:uid="{CE23D8F0-992E-428C-A057-791BFE71F0A4}" name="Kolonna3908"/>
    <tableColumn id="4247" xr3:uid="{B31601E0-CE78-4F58-9B51-FD8880D07A9C}" name="Kolonna3909"/>
    <tableColumn id="4248" xr3:uid="{1170D038-EA26-4AD1-8C1E-4B1BB7D40846}" name="Kolonna3910"/>
    <tableColumn id="4249" xr3:uid="{EC18B9B1-749F-4800-820D-AC47AAE50B5B}" name="Kolonna3911"/>
    <tableColumn id="4250" xr3:uid="{A039ECAB-EF1A-4049-9254-F059BA3F84E5}" name="Kolonna3912"/>
    <tableColumn id="4251" xr3:uid="{27FEA194-01C3-476A-8943-7C14D1BBE9B0}" name="Kolonna3913"/>
    <tableColumn id="4252" xr3:uid="{60AD9CA5-5136-48C7-ACC2-1A475A12572B}" name="Kolonna3914"/>
    <tableColumn id="4253" xr3:uid="{7612CC86-D7DA-49A7-8F48-259E2D64B4D9}" name="Kolonna3915"/>
    <tableColumn id="4254" xr3:uid="{5E36DAF7-1E6C-4B31-931F-540B2A41F61B}" name="Kolonna3916"/>
    <tableColumn id="4255" xr3:uid="{97588D5F-1991-4B8E-A94B-DA2D343196AE}" name="Kolonna3917"/>
    <tableColumn id="4256" xr3:uid="{8DEA979A-34C2-4177-BF39-E1691A22924B}" name="Kolonna3918"/>
    <tableColumn id="4257" xr3:uid="{C41F3183-3CF5-49F8-8F99-23B28A6AD7CE}" name="Kolonna3919"/>
    <tableColumn id="4258" xr3:uid="{9E034128-247A-456B-9DBD-1ACBF7962644}" name="Kolonna3920"/>
    <tableColumn id="4259" xr3:uid="{13A6A995-98AD-4DF6-96ED-EE5622AAFA02}" name="Kolonna3921"/>
    <tableColumn id="4260" xr3:uid="{1EED174E-913C-4710-8649-355F7E91AD34}" name="Kolonna3922"/>
    <tableColumn id="4261" xr3:uid="{856C7B49-AF68-4598-9936-9757084E6C58}" name="Kolonna3923"/>
    <tableColumn id="4262" xr3:uid="{70954B36-1C96-4E52-B905-84912B072533}" name="Kolonna3924"/>
    <tableColumn id="4263" xr3:uid="{C131CEF0-1D9E-48A9-B112-1F6E891D4C61}" name="Kolonna3925"/>
    <tableColumn id="4264" xr3:uid="{6C1325B0-B2FE-4EEA-8AD8-DAD071FEF875}" name="Kolonna3926"/>
    <tableColumn id="4265" xr3:uid="{01920075-3E2E-404F-AB7D-A5BA217C8C3A}" name="Kolonna3927"/>
    <tableColumn id="4266" xr3:uid="{A455EBD6-0488-491A-9DEE-5F0E77274785}" name="Kolonna3928"/>
    <tableColumn id="4267" xr3:uid="{6B90F7A1-583D-423A-8B2D-841002D97D33}" name="Kolonna3929"/>
    <tableColumn id="4268" xr3:uid="{587131AB-D080-40DE-82BA-D333E5BE243C}" name="Kolonna3930"/>
    <tableColumn id="4269" xr3:uid="{AE285A83-33BA-4523-82C6-64B416A133B8}" name="Kolonna3931"/>
    <tableColumn id="4270" xr3:uid="{068716FB-466C-42E3-A23C-4621AA79DB14}" name="Kolonna3932"/>
    <tableColumn id="4271" xr3:uid="{67446BA9-38A3-4CB2-8FA4-CDDDEF1CAC6C}" name="Kolonna3933"/>
    <tableColumn id="4272" xr3:uid="{6E1E2DC0-1566-467D-89B5-E9693F2EB6C2}" name="Kolonna3934"/>
    <tableColumn id="4273" xr3:uid="{4753598C-E716-481A-96FA-59CA5E341F9C}" name="Kolonna3935"/>
    <tableColumn id="4274" xr3:uid="{26F13DFF-9CE1-41D5-9F1C-3B4AA2D0277C}" name="Kolonna3936"/>
    <tableColumn id="4275" xr3:uid="{930BA956-4072-4DDE-989E-97A8BE34F45B}" name="Kolonna3937"/>
    <tableColumn id="4276" xr3:uid="{E370A794-A614-4CDF-95F9-DAA3A70E670D}" name="Kolonna3938"/>
    <tableColumn id="4277" xr3:uid="{2C5149CB-255D-49F9-B76A-99C8CBBA26A7}" name="Kolonna3939"/>
    <tableColumn id="4278" xr3:uid="{526C58EF-D810-443C-A8D0-8E938633FA94}" name="Kolonna3940"/>
    <tableColumn id="4279" xr3:uid="{50CE5091-178F-4E60-81BC-9EB9D9B7528A}" name="Kolonna3941"/>
    <tableColumn id="4280" xr3:uid="{4A62785D-DDC1-4E77-8772-36C350C78EDA}" name="Kolonna3942"/>
    <tableColumn id="4281" xr3:uid="{5CC0C2A8-3564-4BE9-B9F1-1420DE0A4350}" name="Kolonna3943"/>
    <tableColumn id="4282" xr3:uid="{88B8D00F-09BA-45F6-8E4E-92834700009E}" name="Kolonna3944"/>
    <tableColumn id="4283" xr3:uid="{46724F42-C4E3-4BCD-8C49-452CFF244B9B}" name="Kolonna3945"/>
    <tableColumn id="4284" xr3:uid="{A2AC20EF-3942-4EB2-811C-F5BA76CF8B3A}" name="Kolonna3946"/>
    <tableColumn id="4285" xr3:uid="{E497B49C-B276-4A61-80E6-73CD74ED3000}" name="Kolonna3947"/>
    <tableColumn id="4286" xr3:uid="{A0FBA46F-EB28-48C9-BB93-029601EB521D}" name="Kolonna3948"/>
    <tableColumn id="4287" xr3:uid="{6D24EB35-DB9E-432A-8E33-4B6AFC92CF22}" name="Kolonna3949"/>
    <tableColumn id="4288" xr3:uid="{61BC76E6-1AE5-4E7D-9833-3858FE90E24F}" name="Kolonna3950"/>
    <tableColumn id="4289" xr3:uid="{991E252E-6C64-4788-A267-4BD1366C476C}" name="Kolonna3951"/>
    <tableColumn id="4290" xr3:uid="{A7EAEE2C-4748-4403-A403-7088249EC85E}" name="Kolonna3952"/>
    <tableColumn id="4291" xr3:uid="{119DF655-6C7F-42FA-A362-8997CF128E20}" name="Kolonna3953"/>
    <tableColumn id="4292" xr3:uid="{DB79BEE8-78F1-4E34-8854-FA8E19C10654}" name="Kolonna3954"/>
    <tableColumn id="4293" xr3:uid="{E46178E7-FE49-414F-996B-D28AEED8CDB8}" name="Kolonna3955"/>
    <tableColumn id="4294" xr3:uid="{C44A4BDD-7BC2-41D5-AE46-B250846627EE}" name="Kolonna3956"/>
    <tableColumn id="4295" xr3:uid="{C156DB84-B239-4A1A-A5DA-F48D17E125B9}" name="Kolonna3957"/>
    <tableColumn id="4296" xr3:uid="{9150289F-091C-4FE8-88C3-E5BC0A1569DE}" name="Kolonna3958"/>
    <tableColumn id="4297" xr3:uid="{94F1BA29-A449-4CD1-B954-71465122A1C4}" name="Kolonna3959"/>
    <tableColumn id="4298" xr3:uid="{39C5813F-B04A-41B7-BDE6-6072BA9205AE}" name="Kolonna3960"/>
    <tableColumn id="4299" xr3:uid="{DD448FBE-971B-4BAA-854C-7FF121525249}" name="Kolonna3961"/>
    <tableColumn id="4300" xr3:uid="{6D0A5D79-DC28-47AE-9457-7A878A1A893D}" name="Kolonna3962"/>
    <tableColumn id="4301" xr3:uid="{0F5209B8-04D0-4A25-AB41-557F2F27EE08}" name="Kolonna3963"/>
    <tableColumn id="4302" xr3:uid="{1B00D8B8-013C-4748-BF7F-E7B74E95C9FE}" name="Kolonna3964"/>
    <tableColumn id="4303" xr3:uid="{7DDA1303-4F12-40FF-98BE-6972EC45A858}" name="Kolonna3965"/>
    <tableColumn id="4304" xr3:uid="{0F5BA979-83D3-42C4-95AC-A34F3AB34442}" name="Kolonna3966"/>
    <tableColumn id="4305" xr3:uid="{D5859FBC-D429-440A-BF59-5A873CC240FD}" name="Kolonna3967"/>
    <tableColumn id="4306" xr3:uid="{F2F950A7-8980-4003-AFF9-D1C8459141F4}" name="Kolonna3968"/>
    <tableColumn id="4307" xr3:uid="{B2CE2594-6CEA-46A8-B8FA-92FB1419BB4F}" name="Kolonna3969"/>
    <tableColumn id="4308" xr3:uid="{C0CA51B7-2DB5-4368-A517-5E18CCCCB6CF}" name="Kolonna3970"/>
    <tableColumn id="4309" xr3:uid="{8278711B-E61D-486A-92B4-D13CE036D3EF}" name="Kolonna3971"/>
    <tableColumn id="4310" xr3:uid="{A33DF1B9-F2FC-4414-BF24-02CD52C3BF47}" name="Kolonna3972"/>
    <tableColumn id="4311" xr3:uid="{F29074D0-135F-49AE-97FC-7773A1D0417D}" name="Kolonna3973"/>
    <tableColumn id="4312" xr3:uid="{82DB08DA-B9D2-43D9-8114-FB8BD2B368BD}" name="Kolonna3974"/>
    <tableColumn id="4313" xr3:uid="{0ADA993A-8928-4AFF-9B14-F8AF9AA8DBD4}" name="Kolonna3975"/>
    <tableColumn id="4314" xr3:uid="{7CBDE962-FE98-4B23-9FE6-BBEB5F64624C}" name="Kolonna3976"/>
    <tableColumn id="4315" xr3:uid="{388F6A5B-D573-4CF9-8E42-9D845CD77922}" name="Kolonna3977"/>
    <tableColumn id="4316" xr3:uid="{32DB1EE8-28BD-4746-BDB0-BE0FAB14C1F1}" name="Kolonna3978"/>
    <tableColumn id="4317" xr3:uid="{4C3F07C2-6A90-4C8B-B966-6BB72B5E9DD9}" name="Kolonna3979"/>
    <tableColumn id="4318" xr3:uid="{0B763486-D340-4FBF-8ABD-5C5192206EE6}" name="Kolonna3980"/>
    <tableColumn id="4319" xr3:uid="{0A0A79AB-AAE9-451D-8B60-049347EF47BA}" name="Kolonna3981"/>
    <tableColumn id="4320" xr3:uid="{A8720D84-B33F-48D4-9CB7-E9D52929B5D8}" name="Kolonna3982"/>
    <tableColumn id="4321" xr3:uid="{46372B29-8309-4AC4-B976-7F62854ED8FF}" name="Kolonna3983"/>
    <tableColumn id="4322" xr3:uid="{5876C4F2-3897-4814-9D84-B35C53BEAB23}" name="Kolonna3984"/>
    <tableColumn id="4323" xr3:uid="{304BF80F-DFAF-46FA-AD98-87B9EEF9E697}" name="Kolonna3985"/>
    <tableColumn id="4324" xr3:uid="{CBC45FB4-3564-4AC4-A864-469DD4F72460}" name="Kolonna3986"/>
    <tableColumn id="4325" xr3:uid="{4F3C45BA-B7F6-47D3-B123-52AB0103051B}" name="Kolonna3987"/>
    <tableColumn id="4326" xr3:uid="{3A1A3D82-E128-4390-AC4F-099B9F3E6B44}" name="Kolonna3988"/>
    <tableColumn id="4327" xr3:uid="{661D4033-F8B0-4B43-B931-49296751AD68}" name="Kolonna3989"/>
    <tableColumn id="4328" xr3:uid="{5C92A5E2-6D16-42A7-AADB-83540F3A9BC2}" name="Kolonna3990"/>
    <tableColumn id="4329" xr3:uid="{BB550FDC-9AAD-4B6E-A87D-8FD55361A21F}" name="Kolonna3991"/>
    <tableColumn id="4330" xr3:uid="{65EF308D-AF9E-41B7-8064-E9B7D178BB6B}" name="Kolonna3992"/>
    <tableColumn id="4331" xr3:uid="{BBC1E869-9A6D-4E79-9426-9825810B4001}" name="Kolonna3993"/>
    <tableColumn id="4332" xr3:uid="{9F9405E4-2103-42A2-9E1E-D5383DFDBDD2}" name="Kolonna3994"/>
    <tableColumn id="4333" xr3:uid="{C8680461-2C42-458F-AA57-FADE927DACC2}" name="Kolonna3995"/>
    <tableColumn id="4334" xr3:uid="{0DEAD13B-160C-471E-A96B-77692E7879BB}" name="Kolonna3996"/>
    <tableColumn id="4335" xr3:uid="{210577BC-BDFC-4E3D-AF00-5B3F791C8561}" name="Kolonna3997"/>
    <tableColumn id="4336" xr3:uid="{194D6714-385A-4347-B0B1-1DD5212F3CC9}" name="Kolonna3998"/>
    <tableColumn id="4337" xr3:uid="{C2C2347F-7574-4870-B11B-AE068D3319B1}" name="Kolonna3999"/>
    <tableColumn id="4338" xr3:uid="{63637D40-C40B-4FE6-9DC5-F2EBEEB5B8FB}" name="Kolonna4000"/>
    <tableColumn id="4339" xr3:uid="{DE87E9B4-43E6-4129-8091-7C20A71D5A87}" name="Kolonna4001"/>
    <tableColumn id="4340" xr3:uid="{D3371473-005C-419D-BB7D-0B758D012BA5}" name="Kolonna4002"/>
    <tableColumn id="4341" xr3:uid="{A46A40E1-BCCC-4464-8576-E92FB0582E22}" name="Kolonna4003"/>
    <tableColumn id="4342" xr3:uid="{87482E04-0FAA-4B80-AB25-57833BE4E062}" name="Kolonna4004"/>
    <tableColumn id="4343" xr3:uid="{595D317E-AF7C-463C-9B56-E67199AB1185}" name="Kolonna4005"/>
    <tableColumn id="4344" xr3:uid="{53F54BBF-A546-4D11-AC8B-28741BAFB31C}" name="Kolonna4006"/>
    <tableColumn id="4345" xr3:uid="{9DE5CA1C-D254-4661-827B-B847C9C2E7C2}" name="Kolonna4007"/>
    <tableColumn id="4346" xr3:uid="{D71F38A1-B52F-4603-AD5A-1E53F37AC63A}" name="Kolonna4008"/>
    <tableColumn id="4347" xr3:uid="{F390618A-7D8B-498A-A5C4-0141F56D7170}" name="Kolonna4009"/>
    <tableColumn id="4348" xr3:uid="{3A9CBFE6-C9C2-4B88-B65C-EAEF8E286D2E}" name="Kolonna4010"/>
    <tableColumn id="4349" xr3:uid="{402D31C4-4BD9-415B-83E0-B074A1ADCEC7}" name="Kolonna4011"/>
    <tableColumn id="4350" xr3:uid="{4A15BE85-C6A0-4F6C-9427-B55A9049735C}" name="Kolonna4012"/>
    <tableColumn id="4351" xr3:uid="{CD79508D-5A2B-40D1-8F3D-6D64F59A7DF8}" name="Kolonna4013"/>
    <tableColumn id="4352" xr3:uid="{EAC81526-FA67-42A5-9383-5990B7F64F5E}" name="Kolonna4014"/>
    <tableColumn id="4353" xr3:uid="{43B760FB-FCDE-48B4-9818-F30D9327013A}" name="Kolonna4015"/>
    <tableColumn id="4354" xr3:uid="{4A3FF1CC-433E-49F0-BACE-157199A7E17C}" name="Kolonna4016"/>
    <tableColumn id="4355" xr3:uid="{6862D2E5-76C6-448D-803E-7460F8A27870}" name="Kolonna4017"/>
    <tableColumn id="4356" xr3:uid="{4A8E0EED-E6E4-4475-997F-D70100763090}" name="Kolonna4018"/>
    <tableColumn id="4357" xr3:uid="{EBD36E1D-A816-4B6E-BB3E-CC38154ED36E}" name="Kolonna4019"/>
    <tableColumn id="4358" xr3:uid="{D5D9D8EB-675E-4400-AE4C-125FD781869C}" name="Kolonna4020"/>
    <tableColumn id="4359" xr3:uid="{D35E1B47-A0D1-4827-89BD-4AE8BD6150F2}" name="Kolonna4021"/>
    <tableColumn id="4360" xr3:uid="{1C740810-BD96-4554-897D-B13738C90298}" name="Kolonna4022"/>
    <tableColumn id="4361" xr3:uid="{9D564895-E85B-4E1C-9AA6-FE3170265745}" name="Kolonna4023"/>
    <tableColumn id="4362" xr3:uid="{177A0DCD-8231-4318-96B0-B0E3A0697B59}" name="Kolonna4024"/>
    <tableColumn id="4363" xr3:uid="{A26F8BDD-4D5C-4C09-98A6-F1B852D97A76}" name="Kolonna4025"/>
    <tableColumn id="4364" xr3:uid="{0BDCE932-56CA-4FA3-A1D4-5E0172BABBF2}" name="Kolonna4026"/>
    <tableColumn id="4365" xr3:uid="{55DC2AE3-C877-43C5-B49A-D7636A89717F}" name="Kolonna4027"/>
    <tableColumn id="4366" xr3:uid="{463DEF5D-FEF4-47C9-B670-4BD453F9A204}" name="Kolonna4028"/>
    <tableColumn id="4367" xr3:uid="{A20049F4-7FD7-44B9-95C0-16B552F4BAED}" name="Kolonna4029"/>
    <tableColumn id="4368" xr3:uid="{645C8F28-CDCD-4613-9AAF-03994C9BFBD0}" name="Kolonna4030"/>
    <tableColumn id="4369" xr3:uid="{35994F1D-B29F-4229-B224-59878E4476B5}" name="Kolonna4031"/>
    <tableColumn id="4370" xr3:uid="{C02890C8-93CD-4F26-A6D8-A722E7FCEA1D}" name="Kolonna4032"/>
    <tableColumn id="4371" xr3:uid="{AFB364D9-F7EB-4C05-A3F2-0B2A531283C4}" name="Kolonna4033"/>
    <tableColumn id="4372" xr3:uid="{AE248E0B-9F90-404B-9097-802E46641223}" name="Kolonna4034"/>
    <tableColumn id="4373" xr3:uid="{094C1AB8-C7A2-4D08-BB27-9DFBDF5B7C24}" name="Kolonna4035"/>
    <tableColumn id="4374" xr3:uid="{54DFBAFC-342E-4440-B012-355A4A275568}" name="Kolonna4036"/>
    <tableColumn id="4375" xr3:uid="{BD6679B2-ADA0-4BF4-8156-897442443758}" name="Kolonna4037"/>
    <tableColumn id="4376" xr3:uid="{6AA6F19E-895E-4F15-87B7-D2645B92CB24}" name="Kolonna4038"/>
    <tableColumn id="4377" xr3:uid="{C39630BB-6B9A-4F87-A26C-417F61EDC230}" name="Kolonna4039"/>
    <tableColumn id="4378" xr3:uid="{1A91BB08-8CE8-49C9-8F90-4C390E502773}" name="Kolonna4040"/>
    <tableColumn id="4379" xr3:uid="{9FEE9CEC-2539-4EB9-959E-364B06501353}" name="Kolonna4041"/>
    <tableColumn id="4380" xr3:uid="{BE8AD8CE-79A2-420A-B973-8A6E1C0F72EE}" name="Kolonna4042"/>
    <tableColumn id="4381" xr3:uid="{E1BC5EAF-E9D2-4A46-80F3-9E8A38E1C8F3}" name="Kolonna4043"/>
    <tableColumn id="4382" xr3:uid="{76E1DFFF-E413-45E7-BE60-900E51C61CAA}" name="Kolonna4044"/>
    <tableColumn id="4383" xr3:uid="{EA41B4F3-B578-46BF-A349-9D2C07689570}" name="Kolonna4045"/>
    <tableColumn id="4384" xr3:uid="{942AA616-41D4-4C5A-9559-4E6C5E1E93EF}" name="Kolonna4046"/>
    <tableColumn id="4385" xr3:uid="{FCB4ACE3-F48F-4077-BE74-8D478401426B}" name="Kolonna4047"/>
    <tableColumn id="4386" xr3:uid="{0E3C3007-8E04-43E2-AAC1-3E3958BC2C52}" name="Kolonna4048"/>
    <tableColumn id="4387" xr3:uid="{A19A77CB-8D5D-4991-97D9-67DE5635568E}" name="Kolonna4049"/>
    <tableColumn id="4388" xr3:uid="{3D2E8620-45C9-4D1F-9D44-E0EC98F2EC38}" name="Kolonna4050"/>
    <tableColumn id="4389" xr3:uid="{27198A32-98BF-400A-ABB7-A97148156AA5}" name="Kolonna4051"/>
    <tableColumn id="4390" xr3:uid="{A424FED9-06B4-4D8E-8E88-12019817B6EB}" name="Kolonna4052"/>
    <tableColumn id="4391" xr3:uid="{C11E6585-2E01-47E7-AD73-7D3479670425}" name="Kolonna4053"/>
    <tableColumn id="4392" xr3:uid="{C0325B69-8F62-43C6-9C2B-834B45E3CC2A}" name="Kolonna4054"/>
    <tableColumn id="4393" xr3:uid="{D7B47E4D-090C-444A-8086-E0BFEA106567}" name="Kolonna4055"/>
    <tableColumn id="4394" xr3:uid="{069434D0-EF1F-4B24-9BCD-94B663779BE2}" name="Kolonna4056"/>
    <tableColumn id="4395" xr3:uid="{DF3AD834-A592-4065-97AC-424FCC6070F4}" name="Kolonna4057"/>
    <tableColumn id="4396" xr3:uid="{759F24F1-0E8C-40B2-ABD9-75778DB48967}" name="Kolonna4058"/>
    <tableColumn id="4397" xr3:uid="{E4A78AC1-4CE7-47E2-B383-57EF6D4349E3}" name="Kolonna4059"/>
    <tableColumn id="4398" xr3:uid="{13A0EF1B-42F9-4835-89B0-C08BCE4B48CA}" name="Kolonna4060"/>
    <tableColumn id="4399" xr3:uid="{F4DBCD68-270F-4111-B81E-E80288B24B64}" name="Kolonna4061"/>
    <tableColumn id="4400" xr3:uid="{E92C8F5F-3ED9-4C74-B8F8-6E2A54521267}" name="Kolonna4062"/>
    <tableColumn id="4401" xr3:uid="{EB5AF544-17F0-46F3-AB68-916E14E9EF33}" name="Kolonna4063"/>
    <tableColumn id="4402" xr3:uid="{BC3E586F-DEBB-4417-8F67-BAC8220C87EF}" name="Kolonna4064"/>
    <tableColumn id="4403" xr3:uid="{7580E6CF-9CDB-4B6B-B347-406B9FCA86A7}" name="Kolonna4065"/>
    <tableColumn id="4404" xr3:uid="{DCD318F8-E4F4-437F-B3BE-5BD86968A8A4}" name="Kolonna4066"/>
    <tableColumn id="4405" xr3:uid="{8B90E20A-9770-42B9-A3FD-695EC02559A6}" name="Kolonna4067"/>
    <tableColumn id="4406" xr3:uid="{A5D503BE-B82D-4466-B508-C3A1B13891C5}" name="Kolonna4068"/>
    <tableColumn id="4407" xr3:uid="{B9C47B65-C143-4E8E-ACBC-D550BAFA88B5}" name="Kolonna4069"/>
    <tableColumn id="4408" xr3:uid="{71AC2E78-AF19-47B1-AC45-9F311C790E90}" name="Kolonna4070"/>
    <tableColumn id="4409" xr3:uid="{CF4ADF0C-70BE-45FD-A3E3-0D3197AB5D70}" name="Kolonna4071"/>
    <tableColumn id="4410" xr3:uid="{018FE6F9-02C7-4E6E-927B-00CCCE884BA7}" name="Kolonna4072"/>
    <tableColumn id="4411" xr3:uid="{01F4B712-27C2-46C2-B11E-3F1AC6E45FC6}" name="Kolonna4073"/>
    <tableColumn id="4412" xr3:uid="{E7A5F126-56ED-46B2-8D9F-6EFC52EAC60A}" name="Kolonna4074"/>
    <tableColumn id="4413" xr3:uid="{1FEF2B52-D144-4F5E-98F0-A9E79DA850FC}" name="Kolonna4075"/>
    <tableColumn id="4414" xr3:uid="{CA0BD710-9695-42AA-A101-C11231164ED8}" name="Kolonna4076"/>
    <tableColumn id="4415" xr3:uid="{9FAF28E8-5C70-4227-B589-634F3F94664F}" name="Kolonna4077"/>
    <tableColumn id="4416" xr3:uid="{205F30E2-2A03-44E2-AB5C-ABCCC50FA5CE}" name="Kolonna4078"/>
    <tableColumn id="4417" xr3:uid="{3C44BE79-8289-4514-B2DA-BD9706286FAF}" name="Kolonna4079"/>
    <tableColumn id="4418" xr3:uid="{2E91384C-6AE3-4C5F-AD29-F4139E99C4DD}" name="Kolonna4080"/>
    <tableColumn id="4419" xr3:uid="{15FEFF9A-3B40-41ED-A8B7-40409CC236FB}" name="Kolonna4081"/>
    <tableColumn id="4420" xr3:uid="{80D3112D-6BE6-4DEF-BB02-D44599B68A68}" name="Kolonna4082"/>
    <tableColumn id="4421" xr3:uid="{F7FCD5A7-AE1C-49D3-A3AF-43A9C62A3A17}" name="Kolonna4083"/>
    <tableColumn id="4422" xr3:uid="{BBA098E2-2579-421D-873D-4CFBA4063255}" name="Kolonna4084"/>
    <tableColumn id="4423" xr3:uid="{10B8C1FC-FAC5-4DE1-BAD5-099E2DB7721E}" name="Kolonna4085"/>
    <tableColumn id="4424" xr3:uid="{621E5DAB-BA02-4E4A-912F-AA87263E0037}" name="Kolonna4086"/>
    <tableColumn id="4425" xr3:uid="{27F3A311-786D-40EE-835C-FA8A5953C1C1}" name="Kolonna4087"/>
    <tableColumn id="4426" xr3:uid="{A46CB210-24F8-4B66-98AD-C173264E530D}" name="Kolonna4088"/>
    <tableColumn id="4427" xr3:uid="{C901ABBB-7C0C-4186-9585-ADF28F69619F}" name="Kolonna4089"/>
    <tableColumn id="4428" xr3:uid="{A9F9967B-AD83-49C8-AB4F-F29A26221262}" name="Kolonna4090"/>
    <tableColumn id="4429" xr3:uid="{00E950C1-5E55-4918-B8B1-45F86BFCEB74}" name="Kolonna4091"/>
    <tableColumn id="4430" xr3:uid="{936C78A9-2AD3-4FA5-A30B-8FF25A89F833}" name="Kolonna4092"/>
    <tableColumn id="4431" xr3:uid="{5AE07B6A-8F32-416C-8B95-7E9E416521E0}" name="Kolonna4093"/>
    <tableColumn id="4432" xr3:uid="{D180C382-12B2-46AA-B65F-66C51E63E5B2}" name="Kolonna4094"/>
    <tableColumn id="4433" xr3:uid="{21B81EEB-3E34-48EF-9C31-578FAE009D85}" name="Kolonna4095"/>
    <tableColumn id="4434" xr3:uid="{8A7AE3A6-847E-4EDF-8FC9-AC07F8B286BF}" name="Kolonna4096"/>
    <tableColumn id="4435" xr3:uid="{6D9E7383-BB0D-4902-893F-27B2F7944615}" name="Kolonna4097"/>
    <tableColumn id="4436" xr3:uid="{AC212FC7-1226-4BFA-8C62-6F46EBC880A4}" name="Kolonna4098"/>
    <tableColumn id="4437" xr3:uid="{0DE23F93-60C8-4E3C-884E-C9C84A9C6673}" name="Kolonna4099"/>
    <tableColumn id="4438" xr3:uid="{952A648B-0D7B-4EA5-8F33-A331AA7CF7F8}" name="Kolonna4100"/>
    <tableColumn id="4439" xr3:uid="{1024B703-1D9B-43D8-934C-D049D16F5D5C}" name="Kolonna4101"/>
    <tableColumn id="4440" xr3:uid="{362D931D-D697-410A-8741-F83D25135034}" name="Kolonna4102"/>
    <tableColumn id="4441" xr3:uid="{026BB0D4-7D53-4FCA-B9DE-03F1FCEFB7AE}" name="Kolonna4103"/>
    <tableColumn id="4442" xr3:uid="{77A235CA-0C4E-4045-8A48-2A7ADFE93DA8}" name="Kolonna4104"/>
    <tableColumn id="4443" xr3:uid="{BE146598-397B-4A66-A244-DBDDFA1D0CB6}" name="Kolonna4105"/>
    <tableColumn id="4444" xr3:uid="{817A7145-4C51-474C-AC18-EB9F9A352A57}" name="Kolonna4106"/>
    <tableColumn id="4445" xr3:uid="{14838A29-87A8-450D-A575-BEED02048E99}" name="Kolonna4107"/>
    <tableColumn id="4446" xr3:uid="{7DE2DCCB-D00C-4C4F-9E9E-8DCAA8BD0481}" name="Kolonna4108"/>
    <tableColumn id="4447" xr3:uid="{74701CB4-7AB7-424E-A423-EFA9A0472B86}" name="Kolonna4109"/>
    <tableColumn id="4448" xr3:uid="{7A1ACD81-925A-4455-8B58-8DC2A4C69690}" name="Kolonna4110"/>
    <tableColumn id="4449" xr3:uid="{756839B9-959C-472E-99A9-14DE4751CEEE}" name="Kolonna4111"/>
    <tableColumn id="4450" xr3:uid="{35E6788A-D7BB-4522-B786-D4237645C6C5}" name="Kolonna4112"/>
    <tableColumn id="4451" xr3:uid="{0222A889-5917-43C4-ABA4-4664501F3795}" name="Kolonna4113"/>
    <tableColumn id="4452" xr3:uid="{AD9B2F1A-0024-472B-8517-E996E48824C2}" name="Kolonna4114"/>
    <tableColumn id="4453" xr3:uid="{A094AF6A-30BD-4A10-9546-CCA415598BFA}" name="Kolonna4115"/>
    <tableColumn id="4454" xr3:uid="{9D5A362D-36CF-4574-B1B0-C06947A6FA2A}" name="Kolonna4116"/>
    <tableColumn id="4455" xr3:uid="{14C11065-0439-45AE-AA8F-0BB9AD56EEB7}" name="Kolonna4117"/>
    <tableColumn id="4456" xr3:uid="{58398C75-475C-4A74-B40D-875D64160991}" name="Kolonna4118"/>
    <tableColumn id="4457" xr3:uid="{49B7A9E4-A751-4EED-9307-960EF9B0CB85}" name="Kolonna4119"/>
    <tableColumn id="4458" xr3:uid="{D9CF79C5-C58D-47D2-B904-AC269E145AE5}" name="Kolonna4120"/>
    <tableColumn id="4459" xr3:uid="{174574A0-0BAA-4D74-B5E3-726E723A3088}" name="Kolonna4121"/>
    <tableColumn id="4460" xr3:uid="{7E756798-902F-408C-9188-20FF44E20699}" name="Kolonna4122"/>
    <tableColumn id="4461" xr3:uid="{630ED505-4703-47C1-B737-E78BE29D01D2}" name="Kolonna4123"/>
    <tableColumn id="4462" xr3:uid="{F7557B5D-E795-4871-9ABC-6CAC9CB24661}" name="Kolonna4124"/>
    <tableColumn id="4463" xr3:uid="{285F37BE-3128-4D24-B585-80D00FE66A89}" name="Kolonna4125"/>
    <tableColumn id="4464" xr3:uid="{49CE16B3-09F0-4127-BCCA-1AFD472BA845}" name="Kolonna4126"/>
    <tableColumn id="4465" xr3:uid="{EDCBC271-1142-437D-9450-447E275C12A4}" name="Kolonna4127"/>
    <tableColumn id="4466" xr3:uid="{E3E008FE-3408-4B6C-A214-64DC17C91CC8}" name="Kolonna4128"/>
    <tableColumn id="4467" xr3:uid="{79081E7D-5564-49D6-A912-D616C5B4FB86}" name="Kolonna4129"/>
    <tableColumn id="4468" xr3:uid="{349E0B00-D89C-4EDB-AFF4-E3E24BEF24D7}" name="Kolonna4130"/>
    <tableColumn id="4469" xr3:uid="{F09442A3-DCA6-4628-8AEF-CAEE4D083270}" name="Kolonna4131"/>
    <tableColumn id="4470" xr3:uid="{610F624B-5362-446E-823D-991DEB38C054}" name="Kolonna4132"/>
    <tableColumn id="4471" xr3:uid="{746EC62F-392D-49AD-A5B3-7AF20DA5B7F2}" name="Kolonna4133"/>
    <tableColumn id="4472" xr3:uid="{288C40F8-322B-43EC-9A83-AB4AACEB6B17}" name="Kolonna4134"/>
    <tableColumn id="4473" xr3:uid="{69FF315A-A8C5-48F7-AF91-DDFE7BA6357A}" name="Kolonna4135"/>
    <tableColumn id="4474" xr3:uid="{C4DC34E2-AC9A-4E15-B9C4-54C4C4591490}" name="Kolonna4136"/>
    <tableColumn id="4475" xr3:uid="{700ECEEF-569B-469B-AD46-9C60753AC419}" name="Kolonna4137"/>
    <tableColumn id="4476" xr3:uid="{CEB5D77E-DB84-4914-BB21-58037215D8A7}" name="Kolonna4138"/>
    <tableColumn id="4477" xr3:uid="{05C8000D-EC21-4C01-908A-D0B80246E4BC}" name="Kolonna4139"/>
    <tableColumn id="4478" xr3:uid="{480CFC0C-85A6-43DE-8255-3A2FDD21E302}" name="Kolonna4140"/>
    <tableColumn id="4479" xr3:uid="{2336CD58-4E6B-4562-A137-989C55DD19A6}" name="Kolonna4141"/>
    <tableColumn id="4480" xr3:uid="{D3A687A0-7148-4A38-B0F7-4AD7104BAB7A}" name="Kolonna4142"/>
    <tableColumn id="4481" xr3:uid="{99922177-7126-4677-AFE5-8E8CBC47FB68}" name="Kolonna4143"/>
    <tableColumn id="4482" xr3:uid="{A88FF684-D6A7-4113-8975-E9CAB61D0A35}" name="Kolonna4144"/>
    <tableColumn id="4483" xr3:uid="{16069268-BE31-4BC7-BA98-378731470C18}" name="Kolonna4145"/>
    <tableColumn id="4484" xr3:uid="{7DF07A72-279F-4134-8744-9C4020FFE4CF}" name="Kolonna4146"/>
    <tableColumn id="4485" xr3:uid="{E70FD2D9-4A0E-4793-82B9-A1CDA155F080}" name="Kolonna4147"/>
    <tableColumn id="4486" xr3:uid="{4D718EC6-D688-4181-A055-1216AA13608D}" name="Kolonna4148"/>
    <tableColumn id="4487" xr3:uid="{EC9B09AF-F888-4065-A154-4CE04D77BB84}" name="Kolonna4149"/>
    <tableColumn id="4488" xr3:uid="{8F219E1D-78F7-416E-BFEA-4B50D5FD420B}" name="Kolonna4150"/>
    <tableColumn id="4489" xr3:uid="{307782AD-EDD1-4A24-9547-34A46B846BCD}" name="Kolonna4151"/>
    <tableColumn id="4490" xr3:uid="{DA29324B-635F-4231-893C-343D34D41FCA}" name="Kolonna4152"/>
    <tableColumn id="4491" xr3:uid="{BE366D28-6270-4FBC-AD86-C95DE462998B}" name="Kolonna4153"/>
    <tableColumn id="4492" xr3:uid="{1701DC03-84CC-4D31-9194-B306ADF06C7B}" name="Kolonna4154"/>
    <tableColumn id="4493" xr3:uid="{6ED289BF-64E7-44B3-B691-1768D9A618C6}" name="Kolonna4155"/>
    <tableColumn id="4494" xr3:uid="{5C71CED3-2268-4681-B822-12F1AA73D58D}" name="Kolonna4156"/>
    <tableColumn id="4495" xr3:uid="{DBCEFE08-10AA-4333-9477-804C7F7CEBC0}" name="Kolonna4157"/>
    <tableColumn id="4496" xr3:uid="{ADEDFFE3-1E4C-4F0E-A498-CE9F05E8A3C0}" name="Kolonna4158"/>
    <tableColumn id="4497" xr3:uid="{D9AF3B9B-1093-426D-B04A-4A65E874F36A}" name="Kolonna4159"/>
    <tableColumn id="4498" xr3:uid="{87BE3B08-D1C1-4B75-90A8-8B3ACD125F95}" name="Kolonna4160"/>
    <tableColumn id="4499" xr3:uid="{CCCE2AC6-73F7-4548-A050-79D791CC33C5}" name="Kolonna4161"/>
    <tableColumn id="4500" xr3:uid="{13A05698-1AB4-4186-8729-9B89F2F1BB5A}" name="Kolonna4162"/>
    <tableColumn id="4501" xr3:uid="{86B126FA-372A-412D-8B8B-0608B61536F5}" name="Kolonna4163"/>
    <tableColumn id="4502" xr3:uid="{C56187A8-A306-4E46-BFE6-24A597BF33EE}" name="Kolonna4164"/>
    <tableColumn id="4503" xr3:uid="{D06A53E9-0D36-4307-A451-2F718A60F45E}" name="Kolonna4165"/>
    <tableColumn id="4504" xr3:uid="{7E9FF30C-97A4-4E34-B490-933629AA5DB9}" name="Kolonna4166"/>
    <tableColumn id="4505" xr3:uid="{8EA10D4B-A027-4371-A5FC-2D2460E58B17}" name="Kolonna4167"/>
    <tableColumn id="4506" xr3:uid="{B7CDE150-B510-41C7-B9F3-F4D7D8B8A845}" name="Kolonna4168"/>
    <tableColumn id="4507" xr3:uid="{60493CD3-367D-4BAA-97BC-FA3B992812FB}" name="Kolonna4169"/>
    <tableColumn id="4508" xr3:uid="{60EF1574-77F6-45CC-9CC1-5491DCD82A0E}" name="Kolonna4170"/>
    <tableColumn id="4509" xr3:uid="{6CDB6688-B984-45FC-AC39-F8AB74A468E8}" name="Kolonna4171"/>
    <tableColumn id="4510" xr3:uid="{33D34CF0-6332-49E1-AE0C-3F6FC7A3874D}" name="Kolonna4172"/>
    <tableColumn id="4511" xr3:uid="{0C5B1677-1EEC-4370-8E28-EDFED365FFC1}" name="Kolonna4173"/>
    <tableColumn id="4512" xr3:uid="{67C2C367-4065-424E-9CD0-1ACC55D5EF13}" name="Kolonna4174"/>
    <tableColumn id="4513" xr3:uid="{419BA1BA-C3B1-4365-ACCE-0DC9252F0837}" name="Kolonna4175"/>
    <tableColumn id="4514" xr3:uid="{A084784C-88E6-4BC3-AAE8-17BB96722882}" name="Kolonna4176"/>
    <tableColumn id="4515" xr3:uid="{64DBE20C-892C-41A7-9971-DCFA2ED91BBA}" name="Kolonna4177"/>
    <tableColumn id="4516" xr3:uid="{40A7C5A2-9AD1-42E9-8B3D-1ABAC1F3EDB5}" name="Kolonna4178"/>
    <tableColumn id="4517" xr3:uid="{18BEE015-4FC8-4788-ACCA-05416BB50476}" name="Kolonna4179"/>
    <tableColumn id="4518" xr3:uid="{681A5876-EE41-4339-99E3-8DB0C79159FF}" name="Kolonna4180"/>
    <tableColumn id="4519" xr3:uid="{06F4617E-49A7-454A-B4AF-A080E835C9EA}" name="Kolonna4181"/>
    <tableColumn id="4520" xr3:uid="{3693645F-A6F9-4F14-99B3-85442107D244}" name="Kolonna4182"/>
    <tableColumn id="4521" xr3:uid="{9CFF3181-6DB6-4522-9D96-3A7F57E23B81}" name="Kolonna4183"/>
    <tableColumn id="4522" xr3:uid="{8A771174-33F9-4D16-B306-3A56268AF6C1}" name="Kolonna4184"/>
    <tableColumn id="4523" xr3:uid="{06EB13EC-84EE-4EEE-83D7-F49553FF2734}" name="Kolonna4185"/>
    <tableColumn id="4524" xr3:uid="{F87EACDF-484D-4265-82EB-24ACBAF35260}" name="Kolonna4186"/>
    <tableColumn id="4525" xr3:uid="{FC61E408-DE2C-4A58-BADB-20F6408C8448}" name="Kolonna4187"/>
    <tableColumn id="4526" xr3:uid="{ABADAD66-066F-4EDC-8542-08EFB9AF5997}" name="Kolonna4188"/>
    <tableColumn id="4527" xr3:uid="{07DF037B-D917-4A68-B8CF-7EFCBFD920CE}" name="Kolonna4189"/>
    <tableColumn id="4528" xr3:uid="{07368A9F-FF25-48ED-B419-5A2121FD3517}" name="Kolonna4190"/>
    <tableColumn id="4529" xr3:uid="{B7697FF6-497B-4C67-94E9-09E93DD4870F}" name="Kolonna4191"/>
    <tableColumn id="4530" xr3:uid="{3756D71F-992A-4F2E-8400-09A3D19137E7}" name="Kolonna4192"/>
    <tableColumn id="4531" xr3:uid="{91216C0B-9E0C-414D-A3C5-C9D7C436BA27}" name="Kolonna4193"/>
    <tableColumn id="4532" xr3:uid="{1C7E3F91-E02A-424B-BEE2-0D5BF4B9424E}" name="Kolonna4194"/>
    <tableColumn id="4533" xr3:uid="{168E48D6-D2CA-47F7-A63F-8B929F18894F}" name="Kolonna4195"/>
    <tableColumn id="4534" xr3:uid="{E832D3DA-92D8-4126-ACB4-6E35D2163E1C}" name="Kolonna4196"/>
    <tableColumn id="4535" xr3:uid="{576444F9-9B5A-4070-9E2B-918A651E20C2}" name="Kolonna4197"/>
    <tableColumn id="4536" xr3:uid="{2B97B15D-733E-4A67-A2F6-19EA03459B2A}" name="Kolonna4198"/>
    <tableColumn id="4537" xr3:uid="{47885060-D637-45C6-A6EF-A4C5F838718C}" name="Kolonna4199"/>
    <tableColumn id="4538" xr3:uid="{F1F11244-8C42-4A92-943A-7BDBCEF39BD1}" name="Kolonna4200"/>
    <tableColumn id="4539" xr3:uid="{4C71326E-D023-44F3-9860-E394FFBB5C2E}" name="Kolonna4201"/>
    <tableColumn id="4540" xr3:uid="{35E9B8B9-479D-4BAF-B330-516000521C71}" name="Kolonna4202"/>
    <tableColumn id="4541" xr3:uid="{A189DABC-FFDD-41DC-BFCD-8622B5A65620}" name="Kolonna4203"/>
    <tableColumn id="4542" xr3:uid="{C210D6AE-8701-455D-82B6-BC1ED445BCBC}" name="Kolonna4204"/>
    <tableColumn id="4543" xr3:uid="{2022D58E-3763-426C-A747-AEC68B9C2E11}" name="Kolonna4205"/>
    <tableColumn id="4544" xr3:uid="{EB3D22CB-409B-4BCC-BF00-4F439F2DD420}" name="Kolonna4206"/>
    <tableColumn id="4545" xr3:uid="{00534B81-A38B-4F54-B89B-3DAFE87D41D6}" name="Kolonna4207"/>
    <tableColumn id="4546" xr3:uid="{CB9A683C-AA59-4C34-8AB0-0F4640AB350C}" name="Kolonna4208"/>
    <tableColumn id="4547" xr3:uid="{9D5548CD-A95E-45FE-884D-929B5B56EDC1}" name="Kolonna4209"/>
    <tableColumn id="4548" xr3:uid="{CA6EB4BF-B17A-440A-A837-9603CE91EB11}" name="Kolonna4210"/>
    <tableColumn id="4549" xr3:uid="{B6975581-A72C-4CF6-8035-71108CBBACE2}" name="Kolonna4211"/>
    <tableColumn id="4550" xr3:uid="{5BB4834D-B082-4629-916C-C02DFD9C523B}" name="Kolonna4212"/>
    <tableColumn id="4551" xr3:uid="{CC674725-94DE-41BD-8043-0FB376F35096}" name="Kolonna4213"/>
    <tableColumn id="4552" xr3:uid="{A8E89D49-272D-4360-98BF-977072A11F25}" name="Kolonna4214"/>
    <tableColumn id="4553" xr3:uid="{BB9006FA-3E2D-40EC-B283-51F91B7DDF23}" name="Kolonna4215"/>
    <tableColumn id="4554" xr3:uid="{61629CB4-3F9D-4F48-8419-AD7EF96E80A5}" name="Kolonna4216"/>
    <tableColumn id="4555" xr3:uid="{1F4AB1FC-DF77-45B3-99D3-BB2A2DFBAC81}" name="Kolonna4217"/>
    <tableColumn id="4556" xr3:uid="{BF94B166-48E3-4D69-ABD7-37C57E2E0E12}" name="Kolonna4218"/>
    <tableColumn id="4557" xr3:uid="{15CA8C05-4976-470D-873C-B0DD5D591569}" name="Kolonna4219"/>
    <tableColumn id="4558" xr3:uid="{B2D518DD-14D0-446D-B39E-57464236600F}" name="Kolonna4220"/>
    <tableColumn id="4559" xr3:uid="{15344F2D-B58E-49F2-A89B-65A8A533BC30}" name="Kolonna4221"/>
    <tableColumn id="4560" xr3:uid="{CD1C4443-0A37-4460-A647-28AF69D7A5AD}" name="Kolonna4222"/>
    <tableColumn id="4561" xr3:uid="{B9C517D7-A3B3-49D1-97C1-A7FF6B37EEC2}" name="Kolonna4223"/>
    <tableColumn id="4562" xr3:uid="{83BE59B9-F58E-46E0-9718-63AA122066D5}" name="Kolonna4224"/>
    <tableColumn id="4563" xr3:uid="{7F04AC0C-BCDC-4B65-B44D-80E454C59D5E}" name="Kolonna4225"/>
    <tableColumn id="4564" xr3:uid="{90B79D77-53D6-44C5-89B6-701D01202E91}" name="Kolonna4226"/>
    <tableColumn id="4565" xr3:uid="{D19BE6BA-E3EB-4E03-AA44-439261D73E50}" name="Kolonna4227"/>
    <tableColumn id="4566" xr3:uid="{272ACB99-A525-4B0C-8CF0-0E1714E3AFDF}" name="Kolonna4228"/>
    <tableColumn id="4567" xr3:uid="{6EF8588A-7268-4841-BD34-FAFF69ACDC2B}" name="Kolonna4229"/>
    <tableColumn id="4568" xr3:uid="{264D8468-81EE-4994-961A-BF6F97C3A140}" name="Kolonna4230"/>
    <tableColumn id="4569" xr3:uid="{5658EE29-F6FD-4814-A484-911851421F5D}" name="Kolonna4231"/>
    <tableColumn id="4570" xr3:uid="{83D0519B-03F5-4E14-8D07-70ADBF437289}" name="Kolonna4232"/>
    <tableColumn id="4571" xr3:uid="{D2EC6F74-19E2-41DF-856C-C2A7D315E138}" name="Kolonna4233"/>
    <tableColumn id="4572" xr3:uid="{2564D605-F4D7-4514-B9AD-71EF54C80419}" name="Kolonna4234"/>
    <tableColumn id="4573" xr3:uid="{5AEFE156-4EE4-442B-96AC-0CF2295EDD0A}" name="Kolonna4235"/>
    <tableColumn id="4574" xr3:uid="{6CA3E41E-5341-4B49-94D9-DE5BB6942B63}" name="Kolonna4236"/>
    <tableColumn id="4575" xr3:uid="{F7034A55-8A67-4659-9D0E-CB318E93B772}" name="Kolonna4237"/>
    <tableColumn id="4576" xr3:uid="{073A9844-2D48-495A-8F6C-A5302F9A29B4}" name="Kolonna4238"/>
    <tableColumn id="4577" xr3:uid="{58601CBB-775B-47FE-A7FC-23B90D160C59}" name="Kolonna4239"/>
    <tableColumn id="4578" xr3:uid="{BA8726F6-E015-4DEC-8CE0-B4D95713E1D2}" name="Kolonna4240"/>
    <tableColumn id="4579" xr3:uid="{39FE0E23-BD8B-46A8-A43C-C028E2D67E1F}" name="Kolonna4241"/>
    <tableColumn id="4580" xr3:uid="{5264C9F8-8F4B-4654-A9E9-9011140830A2}" name="Kolonna4242"/>
    <tableColumn id="4581" xr3:uid="{1842EC26-AC97-4AC2-87ED-7F1EFAE67FC5}" name="Kolonna4243"/>
    <tableColumn id="4582" xr3:uid="{2AE305ED-F925-4C29-930B-2028E8DA70E0}" name="Kolonna4244"/>
    <tableColumn id="4583" xr3:uid="{38F55681-3546-4C24-9FC7-0222F51CB829}" name="Kolonna4245"/>
    <tableColumn id="4584" xr3:uid="{29806C15-652A-4F5C-A0D4-76629F4C53C5}" name="Kolonna4246"/>
    <tableColumn id="4585" xr3:uid="{FBCAEB7E-F121-43A5-BD50-EB3DC6CCBCC9}" name="Kolonna4247"/>
    <tableColumn id="4586" xr3:uid="{31FF6F85-30B5-4F0B-90F2-210F74F160CB}" name="Kolonna4248"/>
    <tableColumn id="4587" xr3:uid="{78BC7795-7D38-43AF-82C9-34E998A8AFF6}" name="Kolonna4249"/>
    <tableColumn id="4588" xr3:uid="{4F9B0A7C-5B13-424F-B6A9-805AF2741426}" name="Kolonna4250"/>
    <tableColumn id="4589" xr3:uid="{A7AAC21B-DED5-4AD9-BB18-29573427DF3E}" name="Kolonna4251"/>
    <tableColumn id="4590" xr3:uid="{A36571FC-12B3-4C66-A0D0-836240EB7639}" name="Kolonna4252"/>
    <tableColumn id="4591" xr3:uid="{2456519E-93ED-4E64-93AC-90027618821F}" name="Kolonna4253"/>
    <tableColumn id="4592" xr3:uid="{23379E35-F969-4293-A678-5B8EC3B72439}" name="Kolonna4254"/>
    <tableColumn id="4593" xr3:uid="{4DBED2FE-0E7B-4C73-9259-BBDB238D59FD}" name="Kolonna4255"/>
    <tableColumn id="4594" xr3:uid="{D38576CD-7D13-4EC4-AF25-2E76C471E671}" name="Kolonna4256"/>
    <tableColumn id="4595" xr3:uid="{1A937BCB-278C-46DE-A5F2-4CFC1D389139}" name="Kolonna4257"/>
    <tableColumn id="4596" xr3:uid="{B330AD24-7C0F-4DD6-8411-FB6449922A64}" name="Kolonna4258"/>
    <tableColumn id="4597" xr3:uid="{93574393-ABD0-4890-B58F-D94666103FDA}" name="Kolonna4259"/>
    <tableColumn id="4598" xr3:uid="{1DAFCCB8-DE9D-425D-97B8-B99304F20279}" name="Kolonna4260"/>
    <tableColumn id="4599" xr3:uid="{4E6CC73A-6899-4836-B75F-FCDB37FDA75B}" name="Kolonna4261"/>
    <tableColumn id="4600" xr3:uid="{95AEE669-3371-4B31-805F-7339F181C051}" name="Kolonna4262"/>
    <tableColumn id="4601" xr3:uid="{B2D82DD8-2E69-470F-A919-8DEE96064C4E}" name="Kolonna4263"/>
    <tableColumn id="4602" xr3:uid="{6BA4DBF9-4B20-4472-B69A-7627EB688673}" name="Kolonna4264"/>
    <tableColumn id="4603" xr3:uid="{27778408-7293-4266-8C6D-82C25C74E242}" name="Kolonna4265"/>
    <tableColumn id="4604" xr3:uid="{87086975-AB6A-4C1B-BB06-01B3DE6CD217}" name="Kolonna4266"/>
    <tableColumn id="4605" xr3:uid="{6A15F4C8-1759-448A-AEF0-C02E14CAC7AA}" name="Kolonna4267"/>
    <tableColumn id="4606" xr3:uid="{FA6D1BC4-613C-4534-9F7A-596698CF38F1}" name="Kolonna4268"/>
    <tableColumn id="4607" xr3:uid="{941617F5-A1F2-4055-8D8C-A51E520879D8}" name="Kolonna4269"/>
    <tableColumn id="4608" xr3:uid="{FDDFB18F-DA1D-4B7D-A1A6-BD3AFADD92C8}" name="Kolonna4270"/>
    <tableColumn id="4609" xr3:uid="{C52EBEBC-9A92-4D79-8102-F773C01CF704}" name="Kolonna4271"/>
    <tableColumn id="4610" xr3:uid="{4D7AB9BF-CD3C-4224-8842-F3454109B4FA}" name="Kolonna4272"/>
    <tableColumn id="4611" xr3:uid="{884A0BCA-3910-4C4B-84D3-205045C293B9}" name="Kolonna4273"/>
    <tableColumn id="4612" xr3:uid="{44C91085-31A0-40E6-A4A1-5B57DE12ABD9}" name="Kolonna4274"/>
    <tableColumn id="4613" xr3:uid="{E9D0F31E-7B67-4B64-89C2-A7971F3FBA8F}" name="Kolonna4275"/>
    <tableColumn id="4614" xr3:uid="{9248739E-A8BC-40BB-B94C-06A1F719BD32}" name="Kolonna4276"/>
    <tableColumn id="4615" xr3:uid="{4B978F0E-A90B-46B2-A11A-F6AB3142AE73}" name="Kolonna4277"/>
    <tableColumn id="4616" xr3:uid="{A78012A1-9AF4-4376-9E43-E3EF379D55BD}" name="Kolonna4278"/>
    <tableColumn id="4617" xr3:uid="{5FD59F36-55E8-48CC-B6AE-565D00C33B89}" name="Kolonna4279"/>
    <tableColumn id="4618" xr3:uid="{6E1C7395-D30A-43E1-A0B0-AFFC7D9F1FE3}" name="Kolonna4280"/>
    <tableColumn id="4619" xr3:uid="{4777852A-EACF-436E-BECA-EFC272E7FA06}" name="Kolonna4281"/>
    <tableColumn id="4620" xr3:uid="{4D369436-1B08-4C3D-840F-025BA7B671F6}" name="Kolonna4282"/>
    <tableColumn id="4621" xr3:uid="{954820EE-A9F2-4359-A98D-A94752F580DE}" name="Kolonna4283"/>
    <tableColumn id="4622" xr3:uid="{5CA7E21F-60A1-4625-80FC-11010A88A521}" name="Kolonna4284"/>
    <tableColumn id="4623" xr3:uid="{321A5587-5CAE-4398-9D80-2BE9BD613FA0}" name="Kolonna4285"/>
    <tableColumn id="4624" xr3:uid="{5D4D6509-1EB1-426C-95E8-686C2136AE3D}" name="Kolonna4286"/>
    <tableColumn id="4625" xr3:uid="{123BC386-D0E0-4ADA-8F0A-40EBDBD90C81}" name="Kolonna4287"/>
    <tableColumn id="4626" xr3:uid="{2838E5DC-B8C5-4A26-B7A6-FA1D5DF36910}" name="Kolonna4288"/>
    <tableColumn id="4627" xr3:uid="{2C864D7F-973E-470E-B17B-5C102B6BA5B6}" name="Kolonna4289"/>
    <tableColumn id="4628" xr3:uid="{B69DB57A-8A06-479A-8811-5F11A25AF831}" name="Kolonna4290"/>
    <tableColumn id="4629" xr3:uid="{78697FEA-5329-4B40-8898-489DD55BD32E}" name="Kolonna4291"/>
    <tableColumn id="4630" xr3:uid="{9CCEC203-D444-46B6-8A27-09916D817EB7}" name="Kolonna4292"/>
    <tableColumn id="4631" xr3:uid="{DEB1F0C9-CC4A-4BCC-BC89-2E2CC511CDD1}" name="Kolonna4293"/>
    <tableColumn id="4632" xr3:uid="{AFC28303-6D98-473D-AC3D-01DB33A3B6DE}" name="Kolonna4294"/>
    <tableColumn id="4633" xr3:uid="{F10D1512-8D81-40FB-ACD0-9E5F318D90B1}" name="Kolonna4295"/>
    <tableColumn id="4634" xr3:uid="{1FDF6F0F-0172-41A2-80FB-41F5E19C6032}" name="Kolonna4296"/>
    <tableColumn id="4635" xr3:uid="{6242446B-1226-4AE9-9AAF-FA89A50FDFE6}" name="Kolonna4297"/>
    <tableColumn id="4636" xr3:uid="{FD25DFE9-6824-4F6F-9A2E-398119867D55}" name="Kolonna4298"/>
    <tableColumn id="4637" xr3:uid="{4959199D-17CD-4A0F-96B8-4E9A15605DF0}" name="Kolonna4299"/>
    <tableColumn id="4638" xr3:uid="{50AFB41B-CBE2-4E92-8499-2FB6DE7BACFB}" name="Kolonna4300"/>
    <tableColumn id="4639" xr3:uid="{03FF23C3-095A-4E74-A8A8-1E5D64D4D9DC}" name="Kolonna4301"/>
    <tableColumn id="4640" xr3:uid="{FF5444CE-8AD7-48F0-A711-EF66F1287D7F}" name="Kolonna4302"/>
    <tableColumn id="4641" xr3:uid="{7CB7AE0B-9024-4CF4-95C4-A5AC0D1FE352}" name="Kolonna4303"/>
    <tableColumn id="4642" xr3:uid="{B27A8B60-D206-4ADA-B671-289D1FF8DA6B}" name="Kolonna4304"/>
    <tableColumn id="4643" xr3:uid="{F839C69A-B7C8-42F4-A60E-D6ED486B1F70}" name="Kolonna4305"/>
    <tableColumn id="4644" xr3:uid="{F3E62725-69B3-4325-BC87-ED872D126D04}" name="Kolonna4306"/>
    <tableColumn id="4645" xr3:uid="{BE62A78A-A8B3-4370-9946-19B40A033708}" name="Kolonna4307"/>
    <tableColumn id="4646" xr3:uid="{6411B5A3-394C-40B7-A0DC-1A9873B457AF}" name="Kolonna4308"/>
    <tableColumn id="4647" xr3:uid="{1CE05C19-247C-4DCA-BAAB-D3EA8E2F0D31}" name="Kolonna4309"/>
    <tableColumn id="4648" xr3:uid="{B35CBFE0-4437-49CC-9B0F-0D05EBBE4676}" name="Kolonna4310"/>
    <tableColumn id="4649" xr3:uid="{D7B3BA6B-15ED-4B9C-B56D-97EA510A6BCA}" name="Kolonna4311"/>
    <tableColumn id="4650" xr3:uid="{A78EC8D2-E4A3-4A8E-AC73-CC26448272EF}" name="Kolonna4312"/>
    <tableColumn id="4651" xr3:uid="{479BBBD1-38B7-40BC-9F8F-195A81D1CFA7}" name="Kolonna4313"/>
    <tableColumn id="4652" xr3:uid="{7D7F49F6-FF76-438B-986C-6D6BDBB19798}" name="Kolonna4314"/>
    <tableColumn id="4653" xr3:uid="{58A6AFB0-B0B9-40D9-80A5-74F966F806D9}" name="Kolonna4315"/>
    <tableColumn id="4654" xr3:uid="{005C7ADA-5D78-4865-B330-462E8D98AA52}" name="Kolonna4316"/>
    <tableColumn id="4655" xr3:uid="{A3A172C4-8ACD-43E5-90F5-F2E72A3AD274}" name="Kolonna4317"/>
    <tableColumn id="4656" xr3:uid="{43E357F8-AF70-4C46-825D-1AFB436F8564}" name="Kolonna4318"/>
    <tableColumn id="4657" xr3:uid="{30FAF567-7A3D-4FA6-94FA-9EC4F60CB974}" name="Kolonna4319"/>
    <tableColumn id="4658" xr3:uid="{F5D45F9B-E0FA-4F1D-9904-AC381ADECB9D}" name="Kolonna4320"/>
    <tableColumn id="4659" xr3:uid="{8CBF7C2D-6D2A-4D4A-BE1E-91D56BAE8BBA}" name="Kolonna4321"/>
    <tableColumn id="4660" xr3:uid="{B6B3B4BD-791F-420B-9D06-AF811D959C4C}" name="Kolonna4322"/>
    <tableColumn id="4661" xr3:uid="{7BD94374-2F7F-436E-9DF6-2C694B022C09}" name="Kolonna4323"/>
    <tableColumn id="4662" xr3:uid="{C4CEBEC9-65D9-4358-AB91-AC651B94ABF9}" name="Kolonna4324"/>
    <tableColumn id="4663" xr3:uid="{18CD0BEB-C53C-46BB-87B2-66FB52B8452A}" name="Kolonna4325"/>
    <tableColumn id="4664" xr3:uid="{ADF8E950-7136-490F-8045-EBF2F8653F37}" name="Kolonna4326"/>
    <tableColumn id="4665" xr3:uid="{0A832D56-58AB-45E0-92AB-50C9DF95CC0E}" name="Kolonna4327"/>
    <tableColumn id="4666" xr3:uid="{E81C33F0-A5E2-45A9-8ECE-F0B86EA3FC8F}" name="Kolonna4328"/>
    <tableColumn id="4667" xr3:uid="{B6C39FB1-E6AD-40BC-99D6-B0626B2A1003}" name="Kolonna4329"/>
    <tableColumn id="4668" xr3:uid="{0B3E6048-E9AB-4C5E-9C75-E443CD877DA2}" name="Kolonna4330"/>
    <tableColumn id="4669" xr3:uid="{B0B0B072-B6DF-46FF-A7C5-DEE0BD1F60EC}" name="Kolonna4331"/>
    <tableColumn id="4670" xr3:uid="{57D2947F-9E41-4B3B-A242-BD971656B655}" name="Kolonna4332"/>
    <tableColumn id="4671" xr3:uid="{99DC9272-5133-4286-A487-E5167E0E1E87}" name="Kolonna4333"/>
    <tableColumn id="4672" xr3:uid="{187706B1-B594-4EB3-8BDF-741F8228385B}" name="Kolonna4334"/>
    <tableColumn id="4673" xr3:uid="{316CEEB2-3131-4830-8BCA-CDBB2E83802E}" name="Kolonna4335"/>
    <tableColumn id="4674" xr3:uid="{4AFC020B-273B-4137-BDB1-E165C0256356}" name="Kolonna4336"/>
    <tableColumn id="4675" xr3:uid="{F2A5633C-A574-4771-94D0-9A3ADC8FFB3A}" name="Kolonna4337"/>
    <tableColumn id="4676" xr3:uid="{19EDBC23-AD1F-4472-9CDB-2F78FD70F42B}" name="Kolonna4338"/>
    <tableColumn id="4677" xr3:uid="{51ED57FD-6C30-4646-8765-D3CA313D49F5}" name="Kolonna4339"/>
    <tableColumn id="4678" xr3:uid="{D5F4A6A7-2835-4D9B-B05F-9180F1AA5FFB}" name="Kolonna4340"/>
    <tableColumn id="4679" xr3:uid="{C212A310-1D7A-4424-BD1F-C8F73BF5DEB0}" name="Kolonna4341"/>
    <tableColumn id="4680" xr3:uid="{7281F6F7-3A1A-4BA2-8320-0464FC1C2D8E}" name="Kolonna4342"/>
    <tableColumn id="4681" xr3:uid="{5349825C-8805-467C-8982-5AB383B4E06D}" name="Kolonna4343"/>
    <tableColumn id="4682" xr3:uid="{50B7173C-3A51-4F17-9EE3-F95FD69CE372}" name="Kolonna4344"/>
    <tableColumn id="4683" xr3:uid="{69CB55F9-121A-4271-85E9-9B7B95E24DB9}" name="Kolonna4345"/>
    <tableColumn id="4684" xr3:uid="{FFA585F9-F1B2-4C18-849A-F0B9C7A00CE8}" name="Kolonna4346"/>
    <tableColumn id="4685" xr3:uid="{93BFDF51-5271-4645-B4FB-9F353C9FDD33}" name="Kolonna4347"/>
    <tableColumn id="4686" xr3:uid="{EF72D786-EECD-42DF-92F9-1998AF2038D0}" name="Kolonna4348"/>
    <tableColumn id="4687" xr3:uid="{07CA0901-F0BD-4814-83BD-1D8BF3CBF812}" name="Kolonna4349"/>
    <tableColumn id="4688" xr3:uid="{D9BEFF32-ECDE-443E-A2EC-5EAF6CDCAB92}" name="Kolonna4350"/>
    <tableColumn id="4689" xr3:uid="{7A0FBD31-0D9A-4284-93F1-AFB3A3543244}" name="Kolonna4351"/>
    <tableColumn id="4690" xr3:uid="{7428B7F6-A7CB-432B-AF50-6251368E8FF4}" name="Kolonna4352"/>
    <tableColumn id="4691" xr3:uid="{74C43525-110D-4434-BB8A-9E041088378E}" name="Kolonna4353"/>
    <tableColumn id="4692" xr3:uid="{AB6F21AC-5442-4402-B791-A21C94CB9C41}" name="Kolonna4354"/>
    <tableColumn id="4693" xr3:uid="{F40E034F-DF93-46BD-8D43-B0909A7FAE68}" name="Kolonna4355"/>
    <tableColumn id="4694" xr3:uid="{6346107A-C115-42C9-8AB7-485CC95228E1}" name="Kolonna4356"/>
    <tableColumn id="4695" xr3:uid="{3BC3A8EA-AD0B-4C07-8D8F-0DA5FAA3E7CA}" name="Kolonna4357"/>
    <tableColumn id="4696" xr3:uid="{E1257DCC-ECD5-4714-8338-D854FE2142FB}" name="Kolonna4358"/>
    <tableColumn id="4697" xr3:uid="{CF917D71-9983-4E42-B43F-581125B2F0AF}" name="Kolonna4359"/>
    <tableColumn id="4698" xr3:uid="{C47A0EA7-6659-4A03-9E7C-4A0B755E17BB}" name="Kolonna4360"/>
    <tableColumn id="4699" xr3:uid="{83710DEA-434A-4C24-B0F8-C3EBD2C628CC}" name="Kolonna4361"/>
    <tableColumn id="4700" xr3:uid="{6AF345A9-17E8-4206-9A5B-244582CA5C05}" name="Kolonna4362"/>
    <tableColumn id="4701" xr3:uid="{9940F132-EC00-4B68-AC10-FC7A94C358A9}" name="Kolonna4363"/>
    <tableColumn id="4702" xr3:uid="{DD6F9D37-11E8-4310-8729-3F68023A3B20}" name="Kolonna4364"/>
    <tableColumn id="4703" xr3:uid="{687D17FF-A6FB-4275-BFBA-E5FFFC0E219F}" name="Kolonna4365"/>
    <tableColumn id="4704" xr3:uid="{50830A77-1A4D-4157-94A1-1155E2147F45}" name="Kolonna4366"/>
    <tableColumn id="4705" xr3:uid="{3701D09C-165E-4203-97EE-C815AE06B002}" name="Kolonna4367"/>
    <tableColumn id="4706" xr3:uid="{A3614B82-E5EE-447F-8F42-1DFBF1C6F4E3}" name="Kolonna4368"/>
    <tableColumn id="4707" xr3:uid="{C0289904-E3FB-4D9D-B9C3-D4F29218798D}" name="Kolonna4369"/>
    <tableColumn id="4708" xr3:uid="{5FBD6D8E-40B3-44C3-B8A7-EAED33F4D147}" name="Kolonna4370"/>
    <tableColumn id="4709" xr3:uid="{88137710-5863-484E-ABDB-0F04BE68BD95}" name="Kolonna4371"/>
    <tableColumn id="4710" xr3:uid="{E601C849-DFF2-46AE-8A57-DD570CB7F22B}" name="Kolonna4372"/>
    <tableColumn id="4711" xr3:uid="{0F3E7BDF-E6B2-45DE-88C5-3EBBFB985B4B}" name="Kolonna4373"/>
    <tableColumn id="4712" xr3:uid="{CDA49563-8C26-4057-9095-C79F1FCA4BEB}" name="Kolonna4374"/>
    <tableColumn id="4713" xr3:uid="{4C8A2963-4367-40E2-8DD6-CB9DF17F28CD}" name="Kolonna4375"/>
    <tableColumn id="4714" xr3:uid="{B8F93C9C-1D06-47DA-9D4D-99308D7B97ED}" name="Kolonna4376"/>
    <tableColumn id="4715" xr3:uid="{7EAA47C8-61C8-4DA7-A50B-78D43570E069}" name="Kolonna4377"/>
    <tableColumn id="4716" xr3:uid="{D40A41A5-B45D-4CFE-92B7-814C1AE82C13}" name="Kolonna4378"/>
    <tableColumn id="4717" xr3:uid="{FA2C48E4-0D8B-4ABF-AF78-4CDD9B36D904}" name="Kolonna4379"/>
    <tableColumn id="4718" xr3:uid="{FE5942CF-F7B4-4B26-BE55-91F0B07074DA}" name="Kolonna4380"/>
    <tableColumn id="4719" xr3:uid="{907FBA28-0023-4CE0-9CB6-A020C7F8EF0C}" name="Kolonna4381"/>
    <tableColumn id="4720" xr3:uid="{02C01F97-78A8-47EA-8C92-439B33F07D7A}" name="Kolonna4382"/>
    <tableColumn id="4721" xr3:uid="{94742155-8655-4AAF-9C92-22A83B194926}" name="Kolonna4383"/>
    <tableColumn id="4722" xr3:uid="{BF321D2E-2BAF-4DF4-B260-DDBD68AFA8D4}" name="Kolonna4384"/>
    <tableColumn id="4723" xr3:uid="{B1247AEB-4F9D-422A-9343-F88A260F08B9}" name="Kolonna4385"/>
    <tableColumn id="4724" xr3:uid="{ABED481F-B263-474A-90ED-19A5422C6E35}" name="Kolonna4386"/>
    <tableColumn id="4725" xr3:uid="{50112C76-34B6-4C91-A4AB-D0EB19CB6EB1}" name="Kolonna4387"/>
    <tableColumn id="4726" xr3:uid="{953D494F-039B-4431-ABC6-95E0D3E476D7}" name="Kolonna4388"/>
    <tableColumn id="4727" xr3:uid="{18ACD069-2A60-4529-B679-BA8DF58D6498}" name="Kolonna4389"/>
    <tableColumn id="4728" xr3:uid="{5BA9FB2B-D2BC-48B5-98D6-163DC9594315}" name="Kolonna4390"/>
    <tableColumn id="4729" xr3:uid="{7012935F-FB38-4378-8191-973B363901F5}" name="Kolonna4391"/>
    <tableColumn id="4730" xr3:uid="{A590B9D5-63E8-479E-AD27-5709F71BC0DD}" name="Kolonna4392"/>
    <tableColumn id="4731" xr3:uid="{35A62FB3-B5D0-4EA8-A54E-394C3E9A045F}" name="Kolonna4393"/>
    <tableColumn id="4732" xr3:uid="{D390DD12-1003-41CD-ACD9-851EB670039B}" name="Kolonna4394"/>
    <tableColumn id="4733" xr3:uid="{B19E82BA-8DAC-4AAF-A5E9-8144AE2E1477}" name="Kolonna4395"/>
    <tableColumn id="4734" xr3:uid="{096551BE-22D9-41B4-9989-501C34E8ECD4}" name="Kolonna4396"/>
    <tableColumn id="4735" xr3:uid="{E869FD31-329C-4C98-AFE4-5B20166FE4CA}" name="Kolonna4397"/>
    <tableColumn id="4736" xr3:uid="{981D06D4-99EE-4AC2-AE4B-971C53A6B9D1}" name="Kolonna4398"/>
    <tableColumn id="4737" xr3:uid="{410233BA-B33C-482B-88F6-013A9BEE7347}" name="Kolonna4399"/>
    <tableColumn id="4738" xr3:uid="{AA99A0B4-6C8B-4E23-8109-E19610802CE7}" name="Kolonna4400"/>
    <tableColumn id="4739" xr3:uid="{96D11ED8-B60D-4244-854A-C84487DBD617}" name="Kolonna4401"/>
    <tableColumn id="4740" xr3:uid="{3485AE50-9D77-40D0-B920-3711754A817C}" name="Kolonna4402"/>
    <tableColumn id="4741" xr3:uid="{F9973731-2094-438C-8A5A-25BB1AFFB966}" name="Kolonna4403"/>
    <tableColumn id="4742" xr3:uid="{E4486892-569B-478B-AB96-0584FC269A0C}" name="Kolonna4404"/>
    <tableColumn id="4743" xr3:uid="{C4C5F659-9024-4536-BA36-40CF2CAA9910}" name="Kolonna4405"/>
    <tableColumn id="4744" xr3:uid="{5004EC0F-08DE-4CDB-A702-17A55CC94499}" name="Kolonna4406"/>
    <tableColumn id="4745" xr3:uid="{3EA31B8E-AD51-4DD0-838A-AC514101079F}" name="Kolonna4407"/>
    <tableColumn id="4746" xr3:uid="{FEE71A31-D946-4CD4-845B-6B3372019B69}" name="Kolonna4408"/>
    <tableColumn id="4747" xr3:uid="{3ABD482D-0F71-4938-B36E-EA88B25EEF73}" name="Kolonna4409"/>
    <tableColumn id="4748" xr3:uid="{984B97D6-9199-40BE-9C26-D208565421E3}" name="Kolonna4410"/>
    <tableColumn id="4749" xr3:uid="{45C5AE7B-1002-4B98-9E61-78A19DC26886}" name="Kolonna4411"/>
    <tableColumn id="4750" xr3:uid="{1E61A47F-86DD-49F7-A725-3EEE518F1AEA}" name="Kolonna4412"/>
    <tableColumn id="4751" xr3:uid="{ECC66B92-F41F-471A-8889-E8CD0EE8B683}" name="Kolonna4413"/>
    <tableColumn id="4752" xr3:uid="{29F9CD92-9E76-4457-8609-D95E46D98439}" name="Kolonna4414"/>
    <tableColumn id="4753" xr3:uid="{0558A0CD-4F4D-49ED-AA3C-A0819D616170}" name="Kolonna4415"/>
    <tableColumn id="4754" xr3:uid="{DE6F5C41-0EA3-4520-B356-F028E4E16DEB}" name="Kolonna4416"/>
    <tableColumn id="4755" xr3:uid="{9B2322FA-617C-4E91-A7DC-C1A2D23A16C7}" name="Kolonna4417"/>
    <tableColumn id="4756" xr3:uid="{5D9CFBAD-D104-4419-BEF0-89423A085E64}" name="Kolonna4418"/>
    <tableColumn id="4757" xr3:uid="{86483610-1EB3-4B2D-A03B-9033FC33BF87}" name="Kolonna4419"/>
    <tableColumn id="4758" xr3:uid="{29FC538B-FEC5-4960-A368-483049D51830}" name="Kolonna4420"/>
    <tableColumn id="4759" xr3:uid="{B222C2D7-4CEE-458D-BABE-8C0A7FE3396E}" name="Kolonna4421"/>
    <tableColumn id="4760" xr3:uid="{4C8C34A4-CF86-4651-BB41-066D8224E594}" name="Kolonna4422"/>
    <tableColumn id="4761" xr3:uid="{A371B81F-D3A6-44D4-BC6B-DFB3F77267C5}" name="Kolonna4423"/>
    <tableColumn id="4762" xr3:uid="{67AAD56E-037B-456F-84B8-796AEB116DC8}" name="Kolonna4424"/>
    <tableColumn id="4763" xr3:uid="{11A568FB-BCDD-475A-986A-A70B76E94EB3}" name="Kolonna4425"/>
    <tableColumn id="4764" xr3:uid="{F40BDF87-034A-45D2-AC45-96EBDD72CEF2}" name="Kolonna4426"/>
    <tableColumn id="4765" xr3:uid="{A2E40907-1811-443E-B432-981AC310A193}" name="Kolonna4427"/>
    <tableColumn id="4766" xr3:uid="{C77564C8-F36D-421E-BA2E-03C1C549806A}" name="Kolonna4428"/>
    <tableColumn id="4767" xr3:uid="{F58192E2-E868-480D-B002-8F1FC815FDF5}" name="Kolonna4429"/>
    <tableColumn id="4768" xr3:uid="{A2B8BB21-A8A6-48DA-B3CE-C84503FD3006}" name="Kolonna4430"/>
    <tableColumn id="4769" xr3:uid="{AFD2C284-3CBA-4675-B0C9-265FCDED70A5}" name="Kolonna4431"/>
    <tableColumn id="4770" xr3:uid="{571255EC-73CE-45BB-99B1-E9411A8314F6}" name="Kolonna4432"/>
    <tableColumn id="4771" xr3:uid="{515A5E48-E557-4696-83BE-34EEFCAE2437}" name="Kolonna4433"/>
    <tableColumn id="4772" xr3:uid="{2507F9F5-2F5D-4CF3-870C-E796F5B82493}" name="Kolonna4434"/>
    <tableColumn id="4773" xr3:uid="{0EAF278D-3855-42EB-97B4-00C3079DD8C8}" name="Kolonna4435"/>
    <tableColumn id="4774" xr3:uid="{DFF3852A-C84D-4ED9-8AF1-ECA9CF919D51}" name="Kolonna4436"/>
    <tableColumn id="4775" xr3:uid="{AD9A5881-7B72-4048-B158-6079FECEE82D}" name="Kolonna4437"/>
    <tableColumn id="4776" xr3:uid="{FDA31E5F-6FB8-44FE-BCF0-CE29DB45239A}" name="Kolonna4438"/>
    <tableColumn id="4777" xr3:uid="{7487590B-7203-4041-81C0-09CD6185816B}" name="Kolonna4439"/>
    <tableColumn id="4778" xr3:uid="{57216C1C-E998-466F-826C-799B7686168F}" name="Kolonna4440"/>
    <tableColumn id="4779" xr3:uid="{783A4124-3BC2-4BCF-AFA1-3863BC4573F8}" name="Kolonna4441"/>
    <tableColumn id="4780" xr3:uid="{0B90BDB4-FAE6-4304-85DA-88CBEF296FEA}" name="Kolonna4442"/>
    <tableColumn id="4781" xr3:uid="{6173A4FF-7537-4251-A289-95F79AF8248B}" name="Kolonna4443"/>
    <tableColumn id="4782" xr3:uid="{B6FDC8EF-AAB3-4D39-8699-18E33FA781A7}" name="Kolonna4444"/>
    <tableColumn id="4783" xr3:uid="{7B88A281-DCE9-49B7-BEBF-BD4C2EADA088}" name="Kolonna4445"/>
    <tableColumn id="4784" xr3:uid="{F8937A40-4E66-4DE4-97B6-FEE5D8D99601}" name="Kolonna4446"/>
    <tableColumn id="4785" xr3:uid="{A685F2C7-1CB8-4E45-B4C5-33C6288C52A9}" name="Kolonna4447"/>
    <tableColumn id="4786" xr3:uid="{B786ACED-4701-4F51-ABE8-6EA5C75B0DEE}" name="Kolonna4448"/>
    <tableColumn id="4787" xr3:uid="{6C443E8A-60A5-458D-9A7B-9498006BDDA4}" name="Kolonna4449"/>
    <tableColumn id="4788" xr3:uid="{7819BB38-675A-42F0-8C54-8E2CEF1BF04F}" name="Kolonna4450"/>
    <tableColumn id="4789" xr3:uid="{0404535E-4BDC-435A-A8AB-D2999642E748}" name="Kolonna4451"/>
    <tableColumn id="4790" xr3:uid="{BFFD074B-C2D6-4632-AF24-4C2C810B1817}" name="Kolonna4452"/>
    <tableColumn id="4791" xr3:uid="{5F5CF927-03F7-47F6-AF67-6ECF7FA4A1C8}" name="Kolonna4453"/>
    <tableColumn id="4792" xr3:uid="{3A1AF486-87F0-4877-804A-51EF20B553AE}" name="Kolonna4454"/>
    <tableColumn id="4793" xr3:uid="{1C56198C-3C43-4BE1-9E59-E03BD69A73A2}" name="Kolonna4455"/>
    <tableColumn id="4794" xr3:uid="{09C4B1DC-9674-4B84-B183-F083620B6821}" name="Kolonna4456"/>
    <tableColumn id="4795" xr3:uid="{A80CD35C-64A1-4892-980F-1956A0696B15}" name="Kolonna4457"/>
    <tableColumn id="4796" xr3:uid="{FD350AEC-7C05-45F5-A970-7569DBBF6864}" name="Kolonna4458"/>
    <tableColumn id="4797" xr3:uid="{F6D876F9-1931-437A-A739-72320C97BDCA}" name="Kolonna4459"/>
    <tableColumn id="4798" xr3:uid="{F8EE38FB-EF00-4109-B93B-AA40976EB4D2}" name="Kolonna4460"/>
    <tableColumn id="4799" xr3:uid="{D400C83D-3076-4A49-9FEC-9A5DAB61E1DE}" name="Kolonna4461"/>
    <tableColumn id="4800" xr3:uid="{47FDC31E-B57F-4F1B-827D-BFA2EF17787F}" name="Kolonna4462"/>
    <tableColumn id="4801" xr3:uid="{98A2D588-BC53-42EC-8E50-AE184F55F44C}" name="Kolonna4463"/>
    <tableColumn id="4802" xr3:uid="{5CA7968C-0C26-437F-800B-F71A2B923B2A}" name="Kolonna4464"/>
    <tableColumn id="4803" xr3:uid="{8AE03F77-CCFB-42A1-804A-3F730644C907}" name="Kolonna4465"/>
    <tableColumn id="4804" xr3:uid="{8059E911-489B-484E-B095-E38ABB151A18}" name="Kolonna4466"/>
    <tableColumn id="4805" xr3:uid="{7125DB3C-CA3A-418E-9365-0CEFA93AF288}" name="Kolonna4467"/>
    <tableColumn id="4806" xr3:uid="{D901E6FC-C4F7-4572-8B61-BAB5A7451F54}" name="Kolonna4468"/>
    <tableColumn id="4807" xr3:uid="{32A9F141-FD2C-419C-AD41-F88C6C5EBEF6}" name="Kolonna4469"/>
    <tableColumn id="4808" xr3:uid="{66735913-FA2B-47FD-A322-8ECBC9033E14}" name="Kolonna4470"/>
    <tableColumn id="4809" xr3:uid="{303A661E-F9D2-477B-8009-12E5AAFC2ABA}" name="Kolonna4471"/>
    <tableColumn id="4810" xr3:uid="{FCC2398F-53A9-4CCF-B9EA-978C43BFF9C4}" name="Kolonna4472"/>
    <tableColumn id="4811" xr3:uid="{B2ED2AF4-044A-49C6-8364-61B9E52B9025}" name="Kolonna4473"/>
    <tableColumn id="4812" xr3:uid="{D0084605-3599-449B-A007-647336DE9C1B}" name="Kolonna4474"/>
    <tableColumn id="4813" xr3:uid="{C87A05F0-51DF-42EC-B28A-5BBF8E30CBE8}" name="Kolonna4475"/>
    <tableColumn id="4814" xr3:uid="{3C6B428A-4269-4FB9-AADA-EE6A50B2A996}" name="Kolonna4476"/>
    <tableColumn id="4815" xr3:uid="{53B72DBA-58C4-4F00-8240-D55003E987D7}" name="Kolonna4477"/>
    <tableColumn id="4816" xr3:uid="{A41A60F3-1B7A-4BA8-B509-4CF5A5F7EA72}" name="Kolonna4478"/>
    <tableColumn id="4817" xr3:uid="{A7921AF3-61CD-4254-9EC1-D8712FA5D526}" name="Kolonna4479"/>
    <tableColumn id="4818" xr3:uid="{E80B53D1-6859-4A1D-AFD2-ED034FBDD9CF}" name="Kolonna4480"/>
    <tableColumn id="4819" xr3:uid="{3BB86EDD-657B-45E4-812D-4183A3381B40}" name="Kolonna4481"/>
    <tableColumn id="4820" xr3:uid="{AB78959E-AF36-4489-B05A-5F6A08C6A4DA}" name="Kolonna4482"/>
    <tableColumn id="4821" xr3:uid="{16619211-4E1A-4826-B0CB-2E2D78BE6BF6}" name="Kolonna4483"/>
    <tableColumn id="4822" xr3:uid="{6CC46C21-3CAC-420B-944B-D5BB853A9103}" name="Kolonna4484"/>
    <tableColumn id="4823" xr3:uid="{113796B9-D007-49C6-B1D8-82B455E168C6}" name="Kolonna4485"/>
    <tableColumn id="4824" xr3:uid="{018A3BAF-ADF7-42B8-B3B1-E88EF0B9CB6A}" name="Kolonna4486"/>
    <tableColumn id="4825" xr3:uid="{A3549074-ED5C-4586-83FC-FADA20905043}" name="Kolonna4487"/>
    <tableColumn id="4826" xr3:uid="{FCEEE691-6DA5-4BB3-A607-B302B619FCF6}" name="Kolonna4488"/>
    <tableColumn id="4827" xr3:uid="{22F44595-BDC7-4803-A513-0E26EC535A24}" name="Kolonna4489"/>
    <tableColumn id="4828" xr3:uid="{85AD6223-DF28-450B-BF0D-0113DC823D8B}" name="Kolonna4490"/>
    <tableColumn id="4829" xr3:uid="{25785132-1D1F-48B5-B7ED-A75A55681C5A}" name="Kolonna4491"/>
    <tableColumn id="4830" xr3:uid="{51DE20EC-DFBB-4CFC-9A93-473E9133B199}" name="Kolonna4492"/>
    <tableColumn id="4831" xr3:uid="{6AB6ECF8-5BF7-479A-9F30-6F6631B4A68C}" name="Kolonna4493"/>
    <tableColumn id="4832" xr3:uid="{FAA172BE-D409-4173-971B-5691404198B0}" name="Kolonna4494"/>
    <tableColumn id="4833" xr3:uid="{4D89A93C-8FDF-4B7D-9909-21ED135C0513}" name="Kolonna4495"/>
    <tableColumn id="4834" xr3:uid="{3B3201F2-F2BB-4CDE-B94E-9E96DCAB1DB7}" name="Kolonna4496"/>
    <tableColumn id="4835" xr3:uid="{5003D80D-7F54-4C23-9ED0-2F13085B3D43}" name="Kolonna4497"/>
    <tableColumn id="4836" xr3:uid="{855A9B62-954D-4D1C-A784-3713B6546A8E}" name="Kolonna4498"/>
    <tableColumn id="4837" xr3:uid="{693A2710-2990-4823-8E81-B81928E2B776}" name="Kolonna4499"/>
    <tableColumn id="4838" xr3:uid="{135E3FD0-3238-4F32-93BA-123FF7930525}" name="Kolonna4500"/>
    <tableColumn id="4839" xr3:uid="{B0F94B18-E283-40D7-B8EF-78886B6B7177}" name="Kolonna4501"/>
    <tableColumn id="4840" xr3:uid="{D12D2A39-10E2-4ED4-A1D9-A3E4B8841C88}" name="Kolonna4502"/>
    <tableColumn id="4841" xr3:uid="{9E27E651-D220-42F4-9A6F-6ECC375A58B4}" name="Kolonna4503"/>
    <tableColumn id="4842" xr3:uid="{E320B4EB-10DD-4DE3-832A-26BBDA6B74F2}" name="Kolonna4504"/>
    <tableColumn id="4843" xr3:uid="{99917019-C4C2-419B-8FD2-3EA3793A4BFF}" name="Kolonna4505"/>
    <tableColumn id="4844" xr3:uid="{AEAA22AE-B348-4158-A9C2-1B7A10F309D4}" name="Kolonna4506"/>
    <tableColumn id="4845" xr3:uid="{D23467C8-43C4-4EC5-B17B-258427B7FD9D}" name="Kolonna4507"/>
    <tableColumn id="4846" xr3:uid="{FEFD36E1-6156-4437-9255-CBC896116AEE}" name="Kolonna4508"/>
    <tableColumn id="4847" xr3:uid="{2F8C9CC8-0B2B-46D2-B6DE-7B7C5AC521B8}" name="Kolonna4509"/>
    <tableColumn id="4848" xr3:uid="{EB1EA862-C5DC-4CA0-913A-1A2EB26C8AC6}" name="Kolonna4510"/>
    <tableColumn id="4849" xr3:uid="{F1A0E18E-52D9-4092-9F4F-A80CDA3757F5}" name="Kolonna4511"/>
    <tableColumn id="4850" xr3:uid="{19B74DAC-0E4E-439E-9888-F23062ABBED6}" name="Kolonna4512"/>
    <tableColumn id="4851" xr3:uid="{C371E5A7-99A3-46F7-96EA-A5A152E62A3C}" name="Kolonna4513"/>
    <tableColumn id="4852" xr3:uid="{8C843621-EE63-4CE1-8658-98C3BDACD6B5}" name="Kolonna4514"/>
    <tableColumn id="4853" xr3:uid="{91A89ED9-69C2-4D8E-94FB-EB2D86ADD021}" name="Kolonna4515"/>
    <tableColumn id="4854" xr3:uid="{21E0F776-0536-4BC8-AA1E-669AACF768A2}" name="Kolonna4516"/>
    <tableColumn id="4855" xr3:uid="{8A2C62CF-AA2A-4DE9-8A97-17783AB11ADA}" name="Kolonna4517"/>
    <tableColumn id="4856" xr3:uid="{EB9B3976-65E1-4C2F-84B0-421C3DD9404F}" name="Kolonna4518"/>
    <tableColumn id="4857" xr3:uid="{CF7928CC-9881-4A6A-9A91-923B33548E55}" name="Kolonna4519"/>
    <tableColumn id="4858" xr3:uid="{8B5A03AA-B2FD-4AE9-AFC8-B942AE82AF3B}" name="Kolonna4520"/>
    <tableColumn id="4859" xr3:uid="{EFA17117-04DA-43C7-B777-02DE7C8B0709}" name="Kolonna4521"/>
    <tableColumn id="4860" xr3:uid="{91202EB5-C946-4360-96EC-1138ECC8400B}" name="Kolonna4522"/>
    <tableColumn id="4861" xr3:uid="{77702342-909E-47A0-B15B-BA1B8F6BA4DA}" name="Kolonna4523"/>
    <tableColumn id="4862" xr3:uid="{C504FF28-7F77-41CD-8B18-1BEE8283E61E}" name="Kolonna4524"/>
    <tableColumn id="4863" xr3:uid="{23B03CD9-F9A9-4992-ACCE-3007BD6A80C4}" name="Kolonna4525"/>
    <tableColumn id="4864" xr3:uid="{6C91C036-574F-40C1-9BEE-C97BD742E172}" name="Kolonna4526"/>
    <tableColumn id="4865" xr3:uid="{A1F2D6EF-1FE0-4514-AEA5-5BBB7D7950D8}" name="Kolonna4527"/>
    <tableColumn id="4866" xr3:uid="{9BD1888C-D5A9-4252-A5B6-3C8B94CEBD86}" name="Kolonna4528"/>
    <tableColumn id="4867" xr3:uid="{529DC6B2-589E-4FC5-9F7D-F0D9BC000014}" name="Kolonna4529"/>
    <tableColumn id="4868" xr3:uid="{C5F50644-A46F-4BF3-BFB0-C0EC81741D08}" name="Kolonna4530"/>
    <tableColumn id="4869" xr3:uid="{9D2EB43E-F3E8-49D3-B676-F5B5C8FD533C}" name="Kolonna4531"/>
    <tableColumn id="4870" xr3:uid="{AB31293A-E840-464B-A66F-3B293651025E}" name="Kolonna4532"/>
    <tableColumn id="4871" xr3:uid="{F2B74279-6B02-45F4-B511-3A297F1D49CA}" name="Kolonna4533"/>
    <tableColumn id="4872" xr3:uid="{78D7D8A8-22CF-4F99-8CF8-A49AEEE8656E}" name="Kolonna4534"/>
    <tableColumn id="4873" xr3:uid="{669EB228-363A-4370-88E8-8B73427F17C6}" name="Kolonna4535"/>
    <tableColumn id="4874" xr3:uid="{2B3659FA-4C02-45E5-AD3F-11441D80F762}" name="Kolonna4536"/>
    <tableColumn id="4875" xr3:uid="{5770F3A9-5B72-4FE0-93BB-53A690CF6910}" name="Kolonna4537"/>
    <tableColumn id="4876" xr3:uid="{4D88A264-0F81-4AE6-A0A6-25D09BF2F2C8}" name="Kolonna4538"/>
    <tableColumn id="4877" xr3:uid="{2417A623-698E-4068-8EAC-4B560EAFAAA6}" name="Kolonna4539"/>
    <tableColumn id="4878" xr3:uid="{9BEFC0EF-FB24-430E-9782-3CB4CECE69C9}" name="Kolonna4540"/>
    <tableColumn id="4879" xr3:uid="{B77C7275-7464-4B1E-BCA5-5FF851A6525C}" name="Kolonna4541"/>
    <tableColumn id="4880" xr3:uid="{7A163F5C-F533-4684-A3E2-179BE19E08C5}" name="Kolonna4542"/>
    <tableColumn id="4881" xr3:uid="{E88B7101-93FD-4EA7-A5A3-A3200EB27B27}" name="Kolonna4543"/>
    <tableColumn id="4882" xr3:uid="{687EDDCD-0D8C-430D-A530-C53191E23ED0}" name="Kolonna4544"/>
    <tableColumn id="4883" xr3:uid="{6EBD3BBF-691C-47F5-AA2F-BB5562EE7603}" name="Kolonna4545"/>
    <tableColumn id="4884" xr3:uid="{69547B29-C7E0-4ECE-8E0B-26F74017A929}" name="Kolonna4546"/>
    <tableColumn id="4885" xr3:uid="{38B1B9DD-075C-4A05-A401-84307F97C6D0}" name="Kolonna4547"/>
    <tableColumn id="4886" xr3:uid="{AC545907-C755-46A8-906A-09F9EDBF74F3}" name="Kolonna4548"/>
    <tableColumn id="4887" xr3:uid="{9F4BB5FB-5EC8-49B0-AE44-EAB8B80C1FE5}" name="Kolonna4549"/>
    <tableColumn id="4888" xr3:uid="{EB771D90-6D3C-405A-B483-45629727EF8F}" name="Kolonna4550"/>
    <tableColumn id="4889" xr3:uid="{89C4E1D7-6AA7-432C-B448-9BA978C0C2B6}" name="Kolonna4551"/>
    <tableColumn id="4890" xr3:uid="{D98B2A10-AFFA-4C42-B3A8-E4210877D8DC}" name="Kolonna4552"/>
    <tableColumn id="4891" xr3:uid="{2B78D007-FA8F-4F70-B2CA-D5D812F6C9FB}" name="Kolonna4553"/>
    <tableColumn id="4892" xr3:uid="{C78BE90F-03DD-4979-AF02-3C1F9FD88BDA}" name="Kolonna4554"/>
    <tableColumn id="4893" xr3:uid="{9CDA1552-7286-4275-B93D-78703E6D63E8}" name="Kolonna4555"/>
    <tableColumn id="4894" xr3:uid="{AF3C77D3-F26E-4DF0-B814-7160547A41D2}" name="Kolonna4556"/>
    <tableColumn id="4895" xr3:uid="{F225B65F-4DEC-497B-B73E-C02055DE0252}" name="Kolonna4557"/>
    <tableColumn id="4896" xr3:uid="{3B15FAB8-ED6D-4FA9-96A9-7355A1F679FA}" name="Kolonna4558"/>
    <tableColumn id="4897" xr3:uid="{5816C07E-9CFB-43D7-99D1-343F013C1BE3}" name="Kolonna4559"/>
    <tableColumn id="4898" xr3:uid="{888E88B5-16C5-4770-8FF7-4EB6E73F4EAB}" name="Kolonna4560"/>
    <tableColumn id="4899" xr3:uid="{092FF2AB-5A2C-4BAC-B672-BC06F4FA754D}" name="Kolonna4561"/>
    <tableColumn id="4900" xr3:uid="{4DB275C8-D6C4-4643-918A-6F05A6D30A95}" name="Kolonna4562"/>
    <tableColumn id="4901" xr3:uid="{882AE186-08B6-4B3A-BBE1-5A28D5BDD3AE}" name="Kolonna4563"/>
    <tableColumn id="4902" xr3:uid="{74654475-F7E6-4374-9EB0-B2BDFEBE6A4D}" name="Kolonna4564"/>
    <tableColumn id="4903" xr3:uid="{137AC7B4-ABB2-41DC-9758-BF7DF7DA9FDF}" name="Kolonna4565"/>
    <tableColumn id="4904" xr3:uid="{AA4ED8E2-31C5-4D72-A3A2-8C5DE5A77724}" name="Kolonna4566"/>
    <tableColumn id="4905" xr3:uid="{CE894F5B-9C73-43A3-913C-A5B9DA880879}" name="Kolonna4567"/>
    <tableColumn id="4906" xr3:uid="{9445D8A9-3865-4326-B690-4ED77367F30A}" name="Kolonna4568"/>
    <tableColumn id="4907" xr3:uid="{68DE3100-B61F-4255-ACB1-3A6F174AE8E9}" name="Kolonna4569"/>
    <tableColumn id="4908" xr3:uid="{60355ECD-15B9-4BE5-876F-A0F44308E577}" name="Kolonna4570"/>
    <tableColumn id="4909" xr3:uid="{AC8AD041-3D02-442D-ACE3-09C1E5982AC1}" name="Kolonna4571"/>
    <tableColumn id="4910" xr3:uid="{60E3354B-68C8-4F04-A35F-6467C2A2A838}" name="Kolonna4572"/>
    <tableColumn id="4911" xr3:uid="{D9C42E9F-3785-4F0A-A826-B42F74B8518F}" name="Kolonna4573"/>
    <tableColumn id="4912" xr3:uid="{426837B0-1C17-4356-B204-A00F7735AC1F}" name="Kolonna4574"/>
    <tableColumn id="4913" xr3:uid="{5E30F0CB-49D8-4EC0-A740-C9C3077BFE99}" name="Kolonna4575"/>
    <tableColumn id="4914" xr3:uid="{AC40F16A-71C6-4CE8-82C7-8315DB3743E0}" name="Kolonna4576"/>
    <tableColumn id="4915" xr3:uid="{74C15588-4F02-4CD5-8199-5D4E40647F46}" name="Kolonna4577"/>
    <tableColumn id="4916" xr3:uid="{7D990D52-025A-4EA5-961E-5CB7B57A6901}" name="Kolonna4578"/>
    <tableColumn id="4917" xr3:uid="{79F0ED7D-4FCF-409C-A970-8B1EE33A6AC5}" name="Kolonna4579"/>
    <tableColumn id="4918" xr3:uid="{C96C062D-75AB-4402-80AC-ECD5736F3E5C}" name="Kolonna4580"/>
    <tableColumn id="4919" xr3:uid="{123E1AC7-2BE9-43F8-AADF-AFC09D320571}" name="Kolonna4581"/>
    <tableColumn id="4920" xr3:uid="{6E3AE700-F8C7-49E5-AC85-5F7852FFD0F5}" name="Kolonna4582"/>
    <tableColumn id="4921" xr3:uid="{B80E3002-32FF-45E9-9830-8AAF459193BA}" name="Kolonna4583"/>
    <tableColumn id="4922" xr3:uid="{7B72D9C1-4BFC-41F5-B825-EC576EE5ACFC}" name="Kolonna4584"/>
    <tableColumn id="4923" xr3:uid="{ADDE16C7-CE6F-40DB-AC38-A33B810B6878}" name="Kolonna4585"/>
    <tableColumn id="4924" xr3:uid="{3AA81A1C-CC0B-4EA7-8ACA-A8FBE71EB0BF}" name="Kolonna4586"/>
    <tableColumn id="4925" xr3:uid="{F2AE996F-1325-4528-AD81-D7239E771DDB}" name="Kolonna4587"/>
    <tableColumn id="4926" xr3:uid="{182EE644-2163-43B5-BF2F-111DD3767D0C}" name="Kolonna4588"/>
    <tableColumn id="4927" xr3:uid="{0C52C315-168D-4327-849D-9A862F7A4728}" name="Kolonna4589"/>
    <tableColumn id="4928" xr3:uid="{8AC7FBA4-9BE2-406E-8051-E11C086EE4CF}" name="Kolonna4590"/>
    <tableColumn id="4929" xr3:uid="{87A6B078-C99C-4A20-9FB7-F56CC77910B9}" name="Kolonna4591"/>
    <tableColumn id="4930" xr3:uid="{1136823C-7B03-401C-921A-5BA4BD4EAC93}" name="Kolonna4592"/>
    <tableColumn id="4931" xr3:uid="{8DD996A9-7E7F-47D1-B03A-7AA29E082971}" name="Kolonna4593"/>
    <tableColumn id="4932" xr3:uid="{87CC5ABE-179F-4C25-BE62-713D535DBA17}" name="Kolonna4594"/>
    <tableColumn id="4933" xr3:uid="{65A149BF-1689-48CC-9BE4-23BEA4119167}" name="Kolonna4595"/>
    <tableColumn id="4934" xr3:uid="{1AEB461E-95C8-4144-8B0D-FE569CB66E0A}" name="Kolonna4596"/>
    <tableColumn id="4935" xr3:uid="{D3AD71C8-8DEC-402F-8539-4C6DEAB55E47}" name="Kolonna4597"/>
    <tableColumn id="4936" xr3:uid="{64BC97D8-50EA-4070-8FDF-B320FE3F2805}" name="Kolonna4598"/>
    <tableColumn id="4937" xr3:uid="{D3E39574-B428-43C3-BCA0-E153BFE7DD7C}" name="Kolonna4599"/>
    <tableColumn id="4938" xr3:uid="{E70CABEC-37B9-4FA9-AD48-77326BEAABE3}" name="Kolonna4600"/>
    <tableColumn id="4939" xr3:uid="{FC3F7BB0-C3AF-4314-B1D4-149A8C0022ED}" name="Kolonna4601"/>
    <tableColumn id="4940" xr3:uid="{B14B6E22-B7F1-4AB6-B3E7-CC700A1E5168}" name="Kolonna4602"/>
    <tableColumn id="4941" xr3:uid="{B13CA8B7-2B37-4626-B170-9A6F393334D3}" name="Kolonna4603"/>
    <tableColumn id="4942" xr3:uid="{975C028A-C635-47BD-AFB6-1D8D363D0A74}" name="Kolonna4604"/>
    <tableColumn id="4943" xr3:uid="{E82D5447-CA1A-4AD0-9C74-72BA8B697E1E}" name="Kolonna4605"/>
    <tableColumn id="4944" xr3:uid="{68FA250A-2210-4640-9F13-D91D543A6965}" name="Kolonna4606"/>
    <tableColumn id="4945" xr3:uid="{FC67FE61-DF2A-491E-BFA6-B19A77E77BCB}" name="Kolonna4607"/>
    <tableColumn id="4946" xr3:uid="{25B3B6E4-30D0-4852-A6C3-2403C1A10ECB}" name="Kolonna4608"/>
    <tableColumn id="4947" xr3:uid="{3603CE70-54DF-4A6F-B989-B36195C1FC6C}" name="Kolonna4609"/>
    <tableColumn id="4948" xr3:uid="{305AAF8A-DD2A-4C8B-8A43-3EFB31FDB2BB}" name="Kolonna4610"/>
    <tableColumn id="4949" xr3:uid="{DC389C7A-09E6-405F-871F-244ED6F8A104}" name="Kolonna4611"/>
    <tableColumn id="4950" xr3:uid="{BDD4AA07-F2FA-42D9-9A45-394643FD3A3B}" name="Kolonna4612"/>
    <tableColumn id="4951" xr3:uid="{D466D1D7-633D-4CAB-9FA3-C82E91C69828}" name="Kolonna4613"/>
    <tableColumn id="4952" xr3:uid="{3CDA9202-2DDC-4FAC-B393-D0CFEAB50652}" name="Kolonna4614"/>
    <tableColumn id="4953" xr3:uid="{F5338866-548C-4398-B062-824B5944DD5F}" name="Kolonna4615"/>
    <tableColumn id="4954" xr3:uid="{3CC17A62-520B-477A-8F93-C760369B3AFF}" name="Kolonna4616"/>
    <tableColumn id="4955" xr3:uid="{2A0EE067-8AAA-4418-B5E7-34C91C36A48C}" name="Kolonna4617"/>
    <tableColumn id="4956" xr3:uid="{EA8FABB7-98CC-4D04-972B-7DADCFB5E371}" name="Kolonna4618"/>
    <tableColumn id="4957" xr3:uid="{13EC35D8-26C2-4F7D-A6C0-DAB12D91F5DB}" name="Kolonna4619"/>
    <tableColumn id="4958" xr3:uid="{69B8E481-D921-48E0-B361-DEF38B7DCF61}" name="Kolonna4620"/>
    <tableColumn id="4959" xr3:uid="{D42CEDDD-C7A6-415B-BEEF-168C358722B8}" name="Kolonna4621"/>
    <tableColumn id="4960" xr3:uid="{D2FABC1E-7071-4D2B-919A-A81710C4E60B}" name="Kolonna4622"/>
    <tableColumn id="4961" xr3:uid="{DAAE25A5-3DBD-4565-8387-B8F3864AB974}" name="Kolonna4623"/>
    <tableColumn id="4962" xr3:uid="{D1AFE285-CEBA-4CFE-AB28-87A6437E1A94}" name="Kolonna4624"/>
    <tableColumn id="4963" xr3:uid="{07E9DAA9-C3E8-4027-81BF-D380069DE630}" name="Kolonna4625"/>
    <tableColumn id="4964" xr3:uid="{BBF0D0C6-15CE-40A9-95FC-51FD1E8C9982}" name="Kolonna4626"/>
    <tableColumn id="4965" xr3:uid="{C2EE9231-47F5-42AC-AEE2-1476502B0CA8}" name="Kolonna4627"/>
    <tableColumn id="4966" xr3:uid="{5CC59B83-BE2B-4CA7-844A-8329215AE910}" name="Kolonna4628"/>
    <tableColumn id="4967" xr3:uid="{712674FD-44B0-4585-8B54-E93B275A203B}" name="Kolonna4629"/>
    <tableColumn id="4968" xr3:uid="{D4E10813-0188-40F9-97D8-DCFE7FAA381D}" name="Kolonna4630"/>
    <tableColumn id="4969" xr3:uid="{AE7A4351-E1FF-4CF2-AD8A-4DC2B9E210F5}" name="Kolonna4631"/>
    <tableColumn id="4970" xr3:uid="{7485C8B6-47A3-4CA8-A526-27DB35D75A41}" name="Kolonna4632"/>
    <tableColumn id="4971" xr3:uid="{FC809F2B-2C7D-461D-ACCB-E8D3A9D4C64F}" name="Kolonna4633"/>
    <tableColumn id="4972" xr3:uid="{EC01ED19-2EAB-44B5-81BB-8B2C426F6F8A}" name="Kolonna4634"/>
    <tableColumn id="4973" xr3:uid="{D5DC811B-D89F-4C93-B9FC-21410910215B}" name="Kolonna4635"/>
    <tableColumn id="4974" xr3:uid="{A2901F91-42C0-48F6-945F-4641838C70CF}" name="Kolonna4636"/>
    <tableColumn id="4975" xr3:uid="{D518F052-9FAB-4B98-8EB6-0139714F43F8}" name="Kolonna4637"/>
    <tableColumn id="4976" xr3:uid="{F1085A6D-F6E2-4773-AFA9-E3249D5DBE3F}" name="Kolonna4638"/>
    <tableColumn id="4977" xr3:uid="{3E35E0BB-5C08-42F3-A51C-F9479072CA22}" name="Kolonna4639"/>
    <tableColumn id="4978" xr3:uid="{9D08B2EA-0974-47DB-A2D4-AE2715511F0F}" name="Kolonna4640"/>
    <tableColumn id="4979" xr3:uid="{7FBB0F35-C34A-4C01-92DB-780DD6D7CE51}" name="Kolonna4641"/>
    <tableColumn id="4980" xr3:uid="{75251DF2-3D56-4C54-8606-6C03AF5AD9AE}" name="Kolonna4642"/>
    <tableColumn id="4981" xr3:uid="{C5D3DF79-4652-4850-BF4B-D90F58B25ECF}" name="Kolonna4643"/>
    <tableColumn id="4982" xr3:uid="{E51348D7-3F28-442F-8AC2-A6CBCCAA931B}" name="Kolonna4644"/>
    <tableColumn id="4983" xr3:uid="{878632DD-5255-43A8-B538-7D0D12907CFD}" name="Kolonna4645"/>
    <tableColumn id="4984" xr3:uid="{34D71D7E-A017-4C9B-99CE-84F06393D698}" name="Kolonna4646"/>
    <tableColumn id="4985" xr3:uid="{713984B7-03CC-4FE7-BB8A-68B639EF927A}" name="Kolonna4647"/>
    <tableColumn id="4986" xr3:uid="{07AF4FBF-A200-4100-86A5-AAA272DA7A03}" name="Kolonna4648"/>
    <tableColumn id="4987" xr3:uid="{37680DD8-4027-4627-A90F-2AF204E29110}" name="Kolonna4649"/>
    <tableColumn id="4988" xr3:uid="{C7FDE995-C795-4858-92E8-3705F8D08A36}" name="Kolonna4650"/>
    <tableColumn id="4989" xr3:uid="{00F76B7A-0511-490C-82C5-2ED74ABEA415}" name="Kolonna4651"/>
    <tableColumn id="4990" xr3:uid="{C0F332C8-89DF-4F20-BB20-5F92DD11F8C1}" name="Kolonna4652"/>
    <tableColumn id="4991" xr3:uid="{19AF4CDE-97FB-4FE8-A60D-AF5DDB9FC610}" name="Kolonna4653"/>
    <tableColumn id="4992" xr3:uid="{FC180666-C276-4E21-9807-F373F5445C52}" name="Kolonna4654"/>
    <tableColumn id="4993" xr3:uid="{8B855D9A-6242-40F6-969E-D9A432A875A6}" name="Kolonna4655"/>
    <tableColumn id="4994" xr3:uid="{975677F9-DD02-49F6-9996-F3C7DDCF7D80}" name="Kolonna4656"/>
    <tableColumn id="4995" xr3:uid="{282A19B6-2A4A-48C0-8024-AAAF8049EBA4}" name="Kolonna4657"/>
    <tableColumn id="4996" xr3:uid="{1D2A75DC-43BA-404F-8023-86EB2F714AFB}" name="Kolonna4658"/>
    <tableColumn id="4997" xr3:uid="{F4C0A74D-B772-46D8-8866-A7CCF3B482C1}" name="Kolonna4659"/>
    <tableColumn id="4998" xr3:uid="{945BE969-B667-407F-A219-5B3CFF1C50F3}" name="Kolonna4660"/>
    <tableColumn id="4999" xr3:uid="{CA89BE39-9A52-4E65-B081-253164201E5C}" name="Kolonna4661"/>
    <tableColumn id="5000" xr3:uid="{932E3FA5-D616-4A2C-ADE5-064681419060}" name="Kolonna4662"/>
    <tableColumn id="5001" xr3:uid="{07127646-0AC1-43CB-ACB0-2A2D64A0C491}" name="Kolonna4663"/>
    <tableColumn id="5002" xr3:uid="{1495A21E-5EEC-4E18-9BB9-8B0F4D7BC01E}" name="Kolonna4664"/>
    <tableColumn id="5003" xr3:uid="{3338F837-6CAB-4160-B8E3-486AB87976B9}" name="Kolonna4665"/>
    <tableColumn id="5004" xr3:uid="{B6496484-9246-4B10-9872-58B9FEF9A927}" name="Kolonna4666"/>
    <tableColumn id="5005" xr3:uid="{D799BF35-BFDF-4A1F-97F5-EF0754FD74BB}" name="Kolonna4667"/>
    <tableColumn id="5006" xr3:uid="{22551AE1-A1D1-4E8B-AAA4-22CD7CAB1D24}" name="Kolonna4668"/>
    <tableColumn id="5007" xr3:uid="{74B83669-305C-48E2-9D77-6468460791FA}" name="Kolonna4669"/>
    <tableColumn id="5008" xr3:uid="{060C6F62-098A-4421-993F-380952FB0FB1}" name="Kolonna4670"/>
    <tableColumn id="5009" xr3:uid="{A63D73D3-74F7-450B-8D1C-66F00C732DED}" name="Kolonna4671"/>
    <tableColumn id="5010" xr3:uid="{10DA9BF4-858A-4F34-AF8E-38EA3963B399}" name="Kolonna4672"/>
    <tableColumn id="5011" xr3:uid="{92E438CA-7D1F-4B6D-9467-192001EE4007}" name="Kolonna4673"/>
    <tableColumn id="5012" xr3:uid="{27CC36FE-54D5-47B7-8EE2-6C2C934C7A0D}" name="Kolonna4674"/>
    <tableColumn id="5013" xr3:uid="{FE671F26-4DA6-42D2-B480-62E147F7EE6E}" name="Kolonna4675"/>
    <tableColumn id="5014" xr3:uid="{DCE2633E-C18E-47A3-B691-07189369E8B7}" name="Kolonna4676"/>
    <tableColumn id="5015" xr3:uid="{5EDA0400-777A-4B56-AA33-AF8BE28F9B24}" name="Kolonna4677"/>
    <tableColumn id="5016" xr3:uid="{D7B08EA6-5580-4A9B-A51F-22F7A53BB53D}" name="Kolonna4678"/>
    <tableColumn id="5017" xr3:uid="{CB685B5E-14D4-4F2B-BC57-A311A702024A}" name="Kolonna4679"/>
    <tableColumn id="5018" xr3:uid="{F73A1F71-3644-40BE-839A-081099572735}" name="Kolonna4680"/>
    <tableColumn id="5019" xr3:uid="{8CE546B1-D037-4178-A0DE-89B722630301}" name="Kolonna4681"/>
    <tableColumn id="5020" xr3:uid="{0069C744-3F5D-45F5-BE8B-4647C9AEA66F}" name="Kolonna4682"/>
    <tableColumn id="5021" xr3:uid="{9ACDC7A5-A95F-4F7B-A871-6D75AC40C7F8}" name="Kolonna4683"/>
    <tableColumn id="5022" xr3:uid="{C7AC3720-481B-412F-B9A8-B491AA920760}" name="Kolonna4684"/>
    <tableColumn id="5023" xr3:uid="{CC7B2A2F-8389-47FF-91F0-9E9C47D7549B}" name="Kolonna4685"/>
    <tableColumn id="5024" xr3:uid="{7B05B8E1-A7BF-41CE-BC69-83B195D5EC5E}" name="Kolonna4686"/>
    <tableColumn id="5025" xr3:uid="{AC846B52-2DED-44AA-B0D9-D7CD1F36CDFE}" name="Kolonna4687"/>
    <tableColumn id="5026" xr3:uid="{4F9146BB-3D2D-47A8-9942-4A565C8FC525}" name="Kolonna4688"/>
    <tableColumn id="5027" xr3:uid="{45B31F75-3882-47E7-9211-644DA633F3D8}" name="Kolonna4689"/>
    <tableColumn id="5028" xr3:uid="{6D633CB7-6568-4585-B7F7-E127528DE6F9}" name="Kolonna4690"/>
    <tableColumn id="5029" xr3:uid="{343F66E2-436B-4E25-AE15-FA72D1D0DC6B}" name="Kolonna4691"/>
    <tableColumn id="5030" xr3:uid="{2885CE25-F567-4C33-A8C5-390F1CABD38B}" name="Kolonna4692"/>
    <tableColumn id="5031" xr3:uid="{F9580FD3-1BF6-4DF8-9D7A-9D01274760EE}" name="Kolonna4693"/>
    <tableColumn id="5032" xr3:uid="{0DE0930F-7B03-46E5-8918-E4E524C3B53B}" name="Kolonna4694"/>
    <tableColumn id="5033" xr3:uid="{E5E2EBF6-2D89-4D0A-9E07-0166DE5FDF6C}" name="Kolonna4695"/>
    <tableColumn id="5034" xr3:uid="{347B5677-A168-4432-B34C-064E5548046A}" name="Kolonna4696"/>
    <tableColumn id="5035" xr3:uid="{D0A782CB-96F5-4D7B-94E4-B2785B1064DA}" name="Kolonna4697"/>
    <tableColumn id="5036" xr3:uid="{47E00A40-9942-4C47-8816-AA9577B4EA10}" name="Kolonna4698"/>
    <tableColumn id="5037" xr3:uid="{B8603333-8A06-47AD-95CA-6032649C6D0F}" name="Kolonna4699"/>
    <tableColumn id="5038" xr3:uid="{21FE3A4F-B8ED-4338-9D9E-D624F12569D6}" name="Kolonna4700"/>
    <tableColumn id="5039" xr3:uid="{A5D9DFC4-D203-4018-9755-873D808F69C1}" name="Kolonna4701"/>
    <tableColumn id="5040" xr3:uid="{77AC8718-A179-410B-8BCF-A4BA5A8AA164}" name="Kolonna4702"/>
    <tableColumn id="5041" xr3:uid="{FDC994F5-FA94-4086-9AB7-899AC5D08E73}" name="Kolonna4703"/>
    <tableColumn id="5042" xr3:uid="{C1F6DF2E-BB11-4154-B581-20FA42F1F234}" name="Kolonna4704"/>
    <tableColumn id="5043" xr3:uid="{55C46C68-4BD9-47C1-AB66-A9C6A4A1D1C7}" name="Kolonna4705"/>
    <tableColumn id="5044" xr3:uid="{7434BB47-7206-4BB5-85C3-5D4448470447}" name="Kolonna4706"/>
    <tableColumn id="5045" xr3:uid="{3068CE4B-1F63-4D72-90A2-6E0F1A52AF49}" name="Kolonna4707"/>
    <tableColumn id="5046" xr3:uid="{22C1E8AF-A06B-4B15-A7F6-D38A97E53E52}" name="Kolonna4708"/>
    <tableColumn id="5047" xr3:uid="{A2BAB57D-2794-4F7B-A916-ADF6CFB78798}" name="Kolonna4709"/>
    <tableColumn id="5048" xr3:uid="{174B5373-491A-4488-B233-028339176DAA}" name="Kolonna4710"/>
    <tableColumn id="5049" xr3:uid="{53D811A9-4283-4343-A7CE-0CA1A09184FC}" name="Kolonna4711"/>
    <tableColumn id="5050" xr3:uid="{D76DDCD2-C984-4ED5-957B-071305F632CF}" name="Kolonna4712"/>
    <tableColumn id="5051" xr3:uid="{C3A392CF-6BCB-4DDA-9931-9D12694E80DA}" name="Kolonna4713"/>
    <tableColumn id="5052" xr3:uid="{531B2AD4-9CCE-4A88-A6F5-04E0B2F37D0A}" name="Kolonna4714"/>
    <tableColumn id="5053" xr3:uid="{197C9262-DD1C-40FC-9F6A-E00E959C3C25}" name="Kolonna4715"/>
    <tableColumn id="5054" xr3:uid="{5A13BB62-E76E-48AA-B09C-A66A666A1B50}" name="Kolonna4716"/>
    <tableColumn id="5055" xr3:uid="{364FB8DE-36ED-49FC-983A-430DF13A24AA}" name="Kolonna4717"/>
    <tableColumn id="5056" xr3:uid="{98C13107-781B-444E-B296-A1EB2CF54ECF}" name="Kolonna4718"/>
    <tableColumn id="5057" xr3:uid="{251D5973-13A2-4ECE-A0AF-8CFE879B13BB}" name="Kolonna4719"/>
    <tableColumn id="5058" xr3:uid="{5C0E1691-9C54-4FF5-A17C-DDF75FADA74C}" name="Kolonna4720"/>
    <tableColumn id="5059" xr3:uid="{EB0B8AD7-FF00-4B2D-8BE1-00650F395AEC}" name="Kolonna4721"/>
    <tableColumn id="5060" xr3:uid="{14A664FD-2CC6-431B-9BE4-230FBA4F0716}" name="Kolonna4722"/>
    <tableColumn id="5061" xr3:uid="{1DA9B686-4707-44BE-8DE8-66D947C48608}" name="Kolonna4723"/>
    <tableColumn id="5062" xr3:uid="{136CDD78-0C2E-4A4A-AB20-2BE9F868F2B3}" name="Kolonna4724"/>
    <tableColumn id="5063" xr3:uid="{B90ACF81-5D21-4EE5-8810-33928BDC7EAD}" name="Kolonna4725"/>
    <tableColumn id="5064" xr3:uid="{4E729FF2-6D54-4547-812D-7A5644EE7EA6}" name="Kolonna4726"/>
    <tableColumn id="5065" xr3:uid="{47F04643-7B6A-4E61-B22C-841CFE30F87B}" name="Kolonna4727"/>
    <tableColumn id="5066" xr3:uid="{F2AA7D07-6F34-44C7-8B26-2F58C1CB1A54}" name="Kolonna4728"/>
    <tableColumn id="5067" xr3:uid="{E1DAC82A-1916-4BC2-A50D-E15638BAC318}" name="Kolonna4729"/>
    <tableColumn id="5068" xr3:uid="{13390B28-126C-47C2-B3FD-3CB6481B7D8F}" name="Kolonna4730"/>
    <tableColumn id="5069" xr3:uid="{D0CBDAB9-7502-4673-AB52-762EDE89CB3A}" name="Kolonna4731"/>
    <tableColumn id="5070" xr3:uid="{27057738-7895-4E35-9E21-F9F10BF14096}" name="Kolonna4732"/>
    <tableColumn id="5071" xr3:uid="{1DCFB64C-5710-4C36-B0F9-EC71C507E423}" name="Kolonna4733"/>
    <tableColumn id="5072" xr3:uid="{163DF713-6B3F-4708-A177-01AD1F85851A}" name="Kolonna4734"/>
    <tableColumn id="5073" xr3:uid="{55FB20FA-7676-42BA-8E48-20752073CAB7}" name="Kolonna4735"/>
    <tableColumn id="5074" xr3:uid="{1E25209D-94B6-4652-B842-F80BC535DA18}" name="Kolonna4736"/>
    <tableColumn id="5075" xr3:uid="{DE57124C-7598-4E00-9C49-971B75C61ED6}" name="Kolonna4737"/>
    <tableColumn id="5076" xr3:uid="{33E1CEE2-10E3-4934-B2C6-4D3EF9BEB5E9}" name="Kolonna4738"/>
    <tableColumn id="5077" xr3:uid="{2E1CECE1-872F-4521-A459-CAB51899B94A}" name="Kolonna4739"/>
    <tableColumn id="5078" xr3:uid="{3C5892D3-1DE9-41C3-B955-934DEEB66DAF}" name="Kolonna4740"/>
    <tableColumn id="5079" xr3:uid="{8AB7EA17-720C-4CF5-BCFE-A3115F8B3556}" name="Kolonna4741"/>
    <tableColumn id="5080" xr3:uid="{AFC5F672-53F0-4BC3-B254-5841ECFC6251}" name="Kolonna4742"/>
    <tableColumn id="5081" xr3:uid="{776798D3-7280-4B1E-9A76-276121FDC1EE}" name="Kolonna4743"/>
    <tableColumn id="5082" xr3:uid="{C7D7F141-F6E1-4FA4-9F96-D197F3306FF6}" name="Kolonna4744"/>
    <tableColumn id="5083" xr3:uid="{228A4AFB-E332-4F2C-A05C-B04F10945DE0}" name="Kolonna4745"/>
    <tableColumn id="5084" xr3:uid="{DF2103B0-0490-444C-B740-BA394AF305A8}" name="Kolonna4746"/>
    <tableColumn id="5085" xr3:uid="{51DC9FF6-AC4F-4F41-B19A-1371F4C06FEC}" name="Kolonna4747"/>
    <tableColumn id="5086" xr3:uid="{E9EBC595-A17D-4588-B33F-23FD216C1218}" name="Kolonna4748"/>
    <tableColumn id="5087" xr3:uid="{4FD3F9BA-D71C-45E3-B0CE-63DA7D55ED35}" name="Kolonna4749"/>
    <tableColumn id="5088" xr3:uid="{FC69C21D-6720-4301-A645-EC1147FD59A7}" name="Kolonna4750"/>
    <tableColumn id="5089" xr3:uid="{0FE6D19B-F753-4DC8-9D55-373E85001790}" name="Kolonna4751"/>
    <tableColumn id="5090" xr3:uid="{1A23F529-2DD7-4AC0-9B1C-7EB30CFFD4F4}" name="Kolonna4752"/>
    <tableColumn id="5091" xr3:uid="{70C02F6C-087D-4FD2-BB3F-A4333B5E107B}" name="Kolonna4753"/>
    <tableColumn id="5092" xr3:uid="{E1F5CF42-58E7-4DBD-85B8-A68FDA6ABB16}" name="Kolonna4754"/>
    <tableColumn id="5093" xr3:uid="{88275DB0-3A5A-4B43-B52A-36BA13677C4D}" name="Kolonna4755"/>
    <tableColumn id="5094" xr3:uid="{78236D5D-CFB1-4730-9042-23DFBC11B109}" name="Kolonna4756"/>
    <tableColumn id="5095" xr3:uid="{4F1AEC71-79FD-4E8C-9542-0A9139E0F83B}" name="Kolonna4757"/>
    <tableColumn id="5096" xr3:uid="{80FA54ED-8B03-4772-9B2C-14AC74D109CF}" name="Kolonna4758"/>
    <tableColumn id="5097" xr3:uid="{B7A37CB8-55EB-4094-9E52-9ADF51E6C015}" name="Kolonna4759"/>
    <tableColumn id="5098" xr3:uid="{C92082B8-38AF-48A2-8EB1-2D1FC0C9E87D}" name="Kolonna4760"/>
    <tableColumn id="5099" xr3:uid="{CAFE5F9C-E165-4DC7-B035-4D7078B14F7B}" name="Kolonna4761"/>
    <tableColumn id="5100" xr3:uid="{ED372EA2-8F3D-4BC6-9D32-D5737272D28B}" name="Kolonna4762"/>
    <tableColumn id="5101" xr3:uid="{BA01650F-027A-4515-AD22-142FBEA6DF33}" name="Kolonna4763"/>
    <tableColumn id="5102" xr3:uid="{FD8CDF76-2D5B-424D-A2C7-39E727C04B84}" name="Kolonna4764"/>
    <tableColumn id="5103" xr3:uid="{4D7B747D-9113-4783-999A-418EBD509AE6}" name="Kolonna4765"/>
    <tableColumn id="5104" xr3:uid="{8EDB9935-AF4E-42A6-AC1F-1F0EC9D65B9B}" name="Kolonna4766"/>
    <tableColumn id="5105" xr3:uid="{B18A9345-B362-4EE2-A23E-CBDBC27A95F2}" name="Kolonna4767"/>
    <tableColumn id="5106" xr3:uid="{8B0BB158-8E10-46BE-A535-499C192E072E}" name="Kolonna4768"/>
    <tableColumn id="5107" xr3:uid="{DF4C7CD5-1E0C-41A4-933F-822BF876971C}" name="Kolonna4769"/>
    <tableColumn id="5108" xr3:uid="{9FB1592A-5CBF-4202-A7CC-E17D69F09807}" name="Kolonna4770"/>
    <tableColumn id="5109" xr3:uid="{5F607AC1-6225-44AB-AF95-C7C573680F25}" name="Kolonna4771"/>
    <tableColumn id="5110" xr3:uid="{47D07A63-EDAC-421D-8A2A-7551C4DBA65F}" name="Kolonna4772"/>
    <tableColumn id="5111" xr3:uid="{0CC82E62-F183-4BF4-91EB-3C8496B1F1A2}" name="Kolonna4773"/>
    <tableColumn id="5112" xr3:uid="{5F4DA67B-507A-49E7-B994-0A018F09BF44}" name="Kolonna4774"/>
    <tableColumn id="5113" xr3:uid="{98B7219F-D8CD-4B06-981B-3CF9EFB70189}" name="Kolonna4775"/>
    <tableColumn id="5114" xr3:uid="{E37EDC07-EC2B-43B8-89F3-885E48291FEF}" name="Kolonna4776"/>
    <tableColumn id="5115" xr3:uid="{D1F71C06-BA6F-4E73-B680-0CE5FC641B8F}" name="Kolonna4777"/>
    <tableColumn id="5116" xr3:uid="{D1B9E021-D797-4FD9-99E2-5ED3D7D24008}" name="Kolonna4778"/>
    <tableColumn id="5117" xr3:uid="{C155A102-C71D-4CB8-BBFD-CFB37A0BA3E3}" name="Kolonna4779"/>
    <tableColumn id="5118" xr3:uid="{9B03236D-C74C-4E57-A064-AE2970F4BFEA}" name="Kolonna4780"/>
    <tableColumn id="5119" xr3:uid="{48AA7E53-6457-425D-9AF0-CF10FECE0BA0}" name="Kolonna4781"/>
    <tableColumn id="5120" xr3:uid="{D69F42FD-F4FC-4FB5-9949-F21950DC0229}" name="Kolonna4782"/>
    <tableColumn id="5121" xr3:uid="{B9D7650A-6EBE-4151-9795-8A6A47B4D469}" name="Kolonna4783"/>
    <tableColumn id="5122" xr3:uid="{DA6E9988-001D-43A8-AA22-5566D8173255}" name="Kolonna4784"/>
    <tableColumn id="5123" xr3:uid="{7CDE4086-492A-4E59-A630-D5D83B050EA7}" name="Kolonna4785"/>
    <tableColumn id="5124" xr3:uid="{8C38EC16-587D-4650-A510-2795CD789ABF}" name="Kolonna4786"/>
    <tableColumn id="5125" xr3:uid="{438F2BD8-B1FE-4B84-924C-366B594BDB9C}" name="Kolonna4787"/>
    <tableColumn id="5126" xr3:uid="{7171E2C3-D5D4-4D01-8C00-B5F363A9F0CC}" name="Kolonna4788"/>
    <tableColumn id="5127" xr3:uid="{605A5E52-9F8A-4804-BE69-7DB40A5C904E}" name="Kolonna4789"/>
    <tableColumn id="5128" xr3:uid="{5C88D6D5-B649-4096-B580-D17BE0610969}" name="Kolonna4790"/>
    <tableColumn id="5129" xr3:uid="{4FD9CAEC-1B11-4EE1-9021-8AF792FF428F}" name="Kolonna4791"/>
    <tableColumn id="5130" xr3:uid="{66E094A3-9D40-4604-99E6-A36B82AB41DC}" name="Kolonna4792"/>
    <tableColumn id="5131" xr3:uid="{4A9A60EB-DC16-4339-9166-CBA4E9F4FBE7}" name="Kolonna4793"/>
    <tableColumn id="5132" xr3:uid="{23DA9AC7-381B-4B61-AD0E-4E1D1035EDB7}" name="Kolonna4794"/>
    <tableColumn id="5133" xr3:uid="{B9CDAD77-E020-4B87-9768-6E61543B32A5}" name="Kolonna4795"/>
    <tableColumn id="5134" xr3:uid="{2E99B31B-BC7B-4619-918E-397B5FAAED74}" name="Kolonna4796"/>
    <tableColumn id="5135" xr3:uid="{33B3031F-9D8F-443C-8C08-AB0F8DB2D4E5}" name="Kolonna4797"/>
    <tableColumn id="5136" xr3:uid="{879C78B0-2EA0-4257-84F0-08094E18E817}" name="Kolonna4798"/>
    <tableColumn id="5137" xr3:uid="{2A64653A-0217-4DB6-ADC5-79FB2BEB39F9}" name="Kolonna4799"/>
    <tableColumn id="5138" xr3:uid="{9EEBF4C7-592C-4F03-B7AB-DC4613190E15}" name="Kolonna4800"/>
    <tableColumn id="5139" xr3:uid="{D10416D3-0D51-4DE5-9EFA-7DE70EDC64E2}" name="Kolonna4801"/>
    <tableColumn id="5140" xr3:uid="{BF64ED15-EC6E-46D4-8C90-90CF50548B7B}" name="Kolonna4802"/>
    <tableColumn id="5141" xr3:uid="{E4B57619-9767-452B-851F-8E8819EDAF4F}" name="Kolonna4803"/>
    <tableColumn id="5142" xr3:uid="{0A151B11-9E09-46F6-A5AF-3280BAE4A27D}" name="Kolonna4804"/>
    <tableColumn id="5143" xr3:uid="{8FEA26CE-520A-43F0-8558-59C753F18A0D}" name="Kolonna4805"/>
    <tableColumn id="5144" xr3:uid="{57E68612-B0DC-4051-A458-9EDD4E8023DF}" name="Kolonna4806"/>
    <tableColumn id="5145" xr3:uid="{AC33374F-A383-4CB7-B3D4-2BA71301A696}" name="Kolonna4807"/>
    <tableColumn id="5146" xr3:uid="{13EE69AF-FF1D-43E5-9F08-74A785E5F493}" name="Kolonna4808"/>
    <tableColumn id="5147" xr3:uid="{3F5CE128-F406-4865-84E8-1C1F1673AE1D}" name="Kolonna4809"/>
    <tableColumn id="5148" xr3:uid="{A056ABB9-8E29-4E36-9E40-552A6AE59F22}" name="Kolonna4810"/>
    <tableColumn id="5149" xr3:uid="{9595C7EE-D2E5-4B8E-8CF8-F19C1011121F}" name="Kolonna4811"/>
    <tableColumn id="5150" xr3:uid="{5D640A46-E117-4483-8B17-931D9F2F9FB0}" name="Kolonna4812"/>
    <tableColumn id="5151" xr3:uid="{6457A203-BFD0-4187-A0C3-78A88A9EB56C}" name="Kolonna4813"/>
    <tableColumn id="5152" xr3:uid="{9FF6990F-982C-4F45-8ED6-9B391D438F64}" name="Kolonna4814"/>
    <tableColumn id="5153" xr3:uid="{3A2C9FC3-2399-441A-926C-0EEC98C079F1}" name="Kolonna4815"/>
    <tableColumn id="5154" xr3:uid="{18E1104F-B7D7-4B50-9779-D47514339CEB}" name="Kolonna4816"/>
    <tableColumn id="5155" xr3:uid="{FB14F4CA-A6C2-4CDA-A046-CAB81970A4C3}" name="Kolonna4817"/>
    <tableColumn id="5156" xr3:uid="{74F100F2-E86F-4C43-8980-8095BAE9ACD1}" name="Kolonna4818"/>
    <tableColumn id="5157" xr3:uid="{B77A41FA-A9EC-4A1A-ACA5-357B300A2669}" name="Kolonna4819"/>
    <tableColumn id="5158" xr3:uid="{C81C36F7-E877-4576-BCDD-8000604CA0AF}" name="Kolonna4820"/>
    <tableColumn id="5159" xr3:uid="{DDE8CADA-85E2-488D-A06C-FF215D8C37DA}" name="Kolonna4821"/>
    <tableColumn id="5160" xr3:uid="{70A49341-A023-4CAE-974E-2741834AECAA}" name="Kolonna4822"/>
    <tableColumn id="5161" xr3:uid="{B201FB4E-3015-4E9D-A6E3-F9A5E2CE85F0}" name="Kolonna4823"/>
    <tableColumn id="5162" xr3:uid="{F6F831D8-E084-48BD-ADC9-18376703F3C0}" name="Kolonna4824"/>
    <tableColumn id="5163" xr3:uid="{9F6B2ADF-F6A1-4028-8348-A6F2402C917D}" name="Kolonna4825"/>
    <tableColumn id="5164" xr3:uid="{CA5B2A7A-4753-4F3B-B98B-121DF3806EA1}" name="Kolonna4826"/>
    <tableColumn id="5165" xr3:uid="{116B4DA3-7209-4338-BCC5-43F1A21DF9A6}" name="Kolonna4827"/>
    <tableColumn id="5166" xr3:uid="{7C6A897C-AEC4-4B47-82D3-48EDFCCAB1F8}" name="Kolonna4828"/>
    <tableColumn id="5167" xr3:uid="{BF09775C-5DD8-4EE5-B38F-A3641C98DBE0}" name="Kolonna4829"/>
    <tableColumn id="5168" xr3:uid="{BF7FF515-EBC3-4488-98B5-26A3B81E709D}" name="Kolonna4830"/>
    <tableColumn id="5169" xr3:uid="{D60B891A-1B95-4EE2-AFA7-545ED013E155}" name="Kolonna4831"/>
    <tableColumn id="5170" xr3:uid="{4F1E76E1-AF9E-4EB7-BBF3-644861B8485C}" name="Kolonna4832"/>
    <tableColumn id="5171" xr3:uid="{D57C69C5-7E0F-4F65-BA21-EA2F9B4F422C}" name="Kolonna4833"/>
    <tableColumn id="5172" xr3:uid="{82D8501F-FBE4-4B1B-BB49-0057E9FDB072}" name="Kolonna4834"/>
    <tableColumn id="5173" xr3:uid="{16DBA57A-E0AD-450F-95E9-3D97AE2B609E}" name="Kolonna4835"/>
    <tableColumn id="5174" xr3:uid="{0E1CFFE8-D79E-4264-B9AB-2977A1B0F164}" name="Kolonna4836"/>
    <tableColumn id="5175" xr3:uid="{69D76282-9160-45F8-BFCE-8B3061024CBD}" name="Kolonna4837"/>
    <tableColumn id="5176" xr3:uid="{DB603298-5B9D-4CB2-91A2-3CC7D5B8A55B}" name="Kolonna4838"/>
    <tableColumn id="5177" xr3:uid="{0A95B16D-BD6A-454D-8D2A-6E1BAD760497}" name="Kolonna4839"/>
    <tableColumn id="5178" xr3:uid="{73651F7E-ECFE-4B22-8E82-047CE4F608D6}" name="Kolonna4840"/>
    <tableColumn id="5179" xr3:uid="{5CCC140C-CB9D-44EE-A1DF-B91610FE3C3C}" name="Kolonna4841"/>
    <tableColumn id="5180" xr3:uid="{ED168A68-7696-4950-B06B-43D9103EE874}" name="Kolonna4842"/>
    <tableColumn id="5181" xr3:uid="{ABB412E0-F309-453D-9B82-11B214D94E13}" name="Kolonna4843"/>
    <tableColumn id="5182" xr3:uid="{F4EF2768-BF3C-45B0-9CF1-A1F8DE532ABA}" name="Kolonna4844"/>
    <tableColumn id="5183" xr3:uid="{0A0FE0C1-3C64-45C4-A24D-0B249D9BEE91}" name="Kolonna4845"/>
    <tableColumn id="5184" xr3:uid="{140E11D6-B3D1-44A1-B334-D7E1F00AC532}" name="Kolonna4846"/>
    <tableColumn id="5185" xr3:uid="{D7C279C4-EE74-4A38-9CCF-D4109DE54E68}" name="Kolonna4847"/>
    <tableColumn id="5186" xr3:uid="{36B7F954-81C8-4E83-99FA-9748E6545194}" name="Kolonna4848"/>
    <tableColumn id="5187" xr3:uid="{5A45B581-4301-4E56-9750-E4E3486D43E6}" name="Kolonna4849"/>
    <tableColumn id="5188" xr3:uid="{3284A215-619D-444D-9D7D-07D27FB4CAF1}" name="Kolonna4850"/>
    <tableColumn id="5189" xr3:uid="{4A026448-2840-4613-8553-8434D09D69BA}" name="Kolonna4851"/>
    <tableColumn id="5190" xr3:uid="{9F6330DE-E7C8-471B-A9BE-5550E4C9EEC0}" name="Kolonna4852"/>
    <tableColumn id="5191" xr3:uid="{9BDDC8A8-3856-4546-8F55-4DFCF8489234}" name="Kolonna4853"/>
    <tableColumn id="5192" xr3:uid="{8E83793D-45AE-4278-A900-3D7E37386F08}" name="Kolonna4854"/>
    <tableColumn id="5193" xr3:uid="{18FFFF84-7A45-4B79-BDF6-02F13F35BBB5}" name="Kolonna4855"/>
    <tableColumn id="5194" xr3:uid="{A8CF424B-B2E6-43E4-B534-5CC6D177FC6D}" name="Kolonna4856"/>
    <tableColumn id="5195" xr3:uid="{DB03AB3A-B06C-422E-8F35-1DE5431F41DD}" name="Kolonna4857"/>
    <tableColumn id="5196" xr3:uid="{821146AA-C36A-4FD6-A69C-7906603A79A5}" name="Kolonna4858"/>
    <tableColumn id="5197" xr3:uid="{B063433B-3162-41A3-AD36-020055F3042A}" name="Kolonna4859"/>
    <tableColumn id="5198" xr3:uid="{FA346B5B-78DC-4FDA-B3B7-1AF5D5304CFD}" name="Kolonna4860"/>
    <tableColumn id="5199" xr3:uid="{9EC8DA0F-0920-4FED-A2BE-2F3C114135EF}" name="Kolonna4861"/>
    <tableColumn id="5200" xr3:uid="{7931375C-09D2-45E9-85B3-69DB58F8FE39}" name="Kolonna4862"/>
    <tableColumn id="5201" xr3:uid="{F5EF7ECD-E1B0-419E-978A-1D2EB1977A61}" name="Kolonna4863"/>
    <tableColumn id="5202" xr3:uid="{1D20717B-95BC-44B6-97A9-A6F69D72DACB}" name="Kolonna4864"/>
    <tableColumn id="5203" xr3:uid="{37DCA9CD-60A5-483C-95C4-F02191711C24}" name="Kolonna4865"/>
    <tableColumn id="5204" xr3:uid="{C51541F9-AE7E-4B4A-9988-AE6E1949623E}" name="Kolonna4866"/>
    <tableColumn id="5205" xr3:uid="{D20AEEB2-8DFB-42D6-8AB3-1E410406DA82}" name="Kolonna4867"/>
    <tableColumn id="5206" xr3:uid="{48DC9EC6-77FE-4B4A-9731-8E411790DFE3}" name="Kolonna4868"/>
    <tableColumn id="5207" xr3:uid="{A1C9D66D-68DC-45B2-9EEE-604031636231}" name="Kolonna4869"/>
    <tableColumn id="5208" xr3:uid="{AF03BBF4-9467-41DF-BD4D-59163DBFC089}" name="Kolonna4870"/>
    <tableColumn id="5209" xr3:uid="{E42CEE7C-26E5-49C1-96E0-2BD80B31EEED}" name="Kolonna4871"/>
    <tableColumn id="5210" xr3:uid="{24DF7449-CCB1-4DA1-8747-1DF06789EABC}" name="Kolonna4872"/>
    <tableColumn id="5211" xr3:uid="{4BF933AE-E0C0-469C-B987-DCED522C2C0F}" name="Kolonna4873"/>
    <tableColumn id="5212" xr3:uid="{F40D85C3-D100-4DC8-B19D-2D7EF6F7AA5D}" name="Kolonna4874"/>
    <tableColumn id="5213" xr3:uid="{BCF5132E-DEA2-4C23-8229-4882FE685E96}" name="Kolonna4875"/>
    <tableColumn id="5214" xr3:uid="{62930378-2BBD-4EC5-9CDD-32F91CADEE58}" name="Kolonna4876"/>
    <tableColumn id="5215" xr3:uid="{555C1FDE-4DC1-45D6-B7AE-80225F940F1B}" name="Kolonna4877"/>
    <tableColumn id="5216" xr3:uid="{945E011B-645C-420C-8232-B4D58615C1C9}" name="Kolonna4878"/>
    <tableColumn id="5217" xr3:uid="{BCD273DE-5F99-4305-B9F7-51CC29353BA0}" name="Kolonna4879"/>
    <tableColumn id="5218" xr3:uid="{ED38B411-9E38-4D3A-8870-444AAEBDAFCC}" name="Kolonna4880"/>
    <tableColumn id="5219" xr3:uid="{58D938AB-A6FF-4B73-ABCE-199DFC62C747}" name="Kolonna4881"/>
    <tableColumn id="5220" xr3:uid="{1C6EBBD5-C2DE-4725-A5FC-9668E8EE43E9}" name="Kolonna4882"/>
    <tableColumn id="5221" xr3:uid="{7357C0DC-1573-4CAC-AC67-DB0508398109}" name="Kolonna4883"/>
    <tableColumn id="5222" xr3:uid="{7F85CB17-D906-4F44-B8F2-F87C61134FB0}" name="Kolonna4884"/>
    <tableColumn id="5223" xr3:uid="{AA60E35F-29B1-446D-A33F-6ABAC5E42DBE}" name="Kolonna4885"/>
    <tableColumn id="5224" xr3:uid="{880B4343-BC9A-45F3-AC7D-402073360AD4}" name="Kolonna4886"/>
    <tableColumn id="5225" xr3:uid="{1D5C262D-1FF0-47F3-B707-B12D66F273AC}" name="Kolonna4887"/>
    <tableColumn id="5226" xr3:uid="{5DA0E44A-EE7B-4C1A-809E-4AF205D8DB02}" name="Kolonna4888"/>
    <tableColumn id="5227" xr3:uid="{0FCA1663-DB85-4825-9EF9-A4CD995D0ECB}" name="Kolonna4889"/>
    <tableColumn id="5228" xr3:uid="{6659D392-E7BF-4864-82D4-3880C6599574}" name="Kolonna4890"/>
    <tableColumn id="5229" xr3:uid="{D7AF1D40-9C3A-40C5-A1B0-2B2CEF05ADC8}" name="Kolonna4891"/>
    <tableColumn id="5230" xr3:uid="{D323E89B-48AA-47DC-9C4B-2B15EC37A96F}" name="Kolonna4892"/>
    <tableColumn id="5231" xr3:uid="{B8BA4315-7CF9-485B-A599-22B38BD82AE3}" name="Kolonna4893"/>
    <tableColumn id="5232" xr3:uid="{2F8A3A77-3EFA-43B2-8266-98CC1A255806}" name="Kolonna4894"/>
    <tableColumn id="5233" xr3:uid="{D6E4E862-0EDF-4B0D-8CDD-3A2804E56C14}" name="Kolonna4895"/>
    <tableColumn id="5234" xr3:uid="{E5F54235-5020-4F93-AF2A-E3FC2C098CB6}" name="Kolonna4896"/>
    <tableColumn id="5235" xr3:uid="{CDC7B915-D20D-4FFF-99E5-D5BBDB10AEA9}" name="Kolonna4897"/>
    <tableColumn id="5236" xr3:uid="{9F768816-9E5A-4726-BBFB-52BBD0ACB3DD}" name="Kolonna4898"/>
    <tableColumn id="5237" xr3:uid="{BAED6CFC-93EB-47C8-BB53-AC2E648EC893}" name="Kolonna4899"/>
    <tableColumn id="5238" xr3:uid="{B73D1C0D-B976-4C08-9E8F-4AC760D70CE7}" name="Kolonna4900"/>
    <tableColumn id="5239" xr3:uid="{FC60500E-0A70-4058-B621-FF6BC2A7A583}" name="Kolonna4901"/>
    <tableColumn id="5240" xr3:uid="{6DB3A0EF-A3AA-4C9D-876A-F65B5A69C2F7}" name="Kolonna4902"/>
    <tableColumn id="5241" xr3:uid="{8B2651AE-0495-4563-AF7E-B49AC1E9C512}" name="Kolonna4903"/>
    <tableColumn id="5242" xr3:uid="{34140097-1169-4BB5-A1E5-089B4B452A91}" name="Kolonna4904"/>
    <tableColumn id="5243" xr3:uid="{485F518F-65BB-4479-AD92-732A78D507C0}" name="Kolonna4905"/>
    <tableColumn id="5244" xr3:uid="{2BBB9134-8764-4E16-ACD6-7F6975372944}" name="Kolonna4906"/>
    <tableColumn id="5245" xr3:uid="{4AA21517-C8A7-4CB0-AEC5-42A50F63BCAB}" name="Kolonna4907"/>
    <tableColumn id="5246" xr3:uid="{4682B3F7-8D58-4B2D-ADA2-B06854FE9606}" name="Kolonna4908"/>
    <tableColumn id="5247" xr3:uid="{5A982074-4E21-4DA6-9075-0D27C58B1D74}" name="Kolonna4909"/>
    <tableColumn id="5248" xr3:uid="{FC2F8CBF-0D50-4A28-A602-ACC97E3DF59A}" name="Kolonna4910"/>
    <tableColumn id="5249" xr3:uid="{48B4D40F-47C5-40F2-B981-390B0DF4E1E8}" name="Kolonna4911"/>
    <tableColumn id="5250" xr3:uid="{B5DD12E6-A0DD-4AE8-9BD9-681F40A93CCE}" name="Kolonna4912"/>
    <tableColumn id="5251" xr3:uid="{338567DB-DA2F-43D1-A7F7-29AAD4C991A0}" name="Kolonna4913"/>
    <tableColumn id="5252" xr3:uid="{0ECE514E-319C-4696-8E69-A34C533EB781}" name="Kolonna4914"/>
    <tableColumn id="5253" xr3:uid="{A08C73FE-FCBF-46F1-A859-7FD86AFC1F24}" name="Kolonna4915"/>
    <tableColumn id="5254" xr3:uid="{247E533E-30A0-47D0-9A90-AFEA267B1EB4}" name="Kolonna4916"/>
    <tableColumn id="5255" xr3:uid="{75949A06-BCF3-4AEB-8985-92410DDD3605}" name="Kolonna4917"/>
    <tableColumn id="5256" xr3:uid="{830FA76F-A6C6-406C-A4AB-ADD895B66DA8}" name="Kolonna4918"/>
    <tableColumn id="5257" xr3:uid="{32A7016A-148B-4B2D-BE01-780FA75FB23A}" name="Kolonna4919"/>
    <tableColumn id="5258" xr3:uid="{223A05AA-F1E4-465D-A7E7-B1528FF7B7D2}" name="Kolonna4920"/>
    <tableColumn id="5259" xr3:uid="{67A93C6A-B9A4-4A0C-8908-34E18AE7B245}" name="Kolonna4921"/>
    <tableColumn id="5260" xr3:uid="{BDE23E40-7E2B-45AB-8D84-B4175CC37648}" name="Kolonna4922"/>
    <tableColumn id="5261" xr3:uid="{F1C8876F-678F-4F75-8F9A-BEF47656067C}" name="Kolonna4923"/>
    <tableColumn id="5262" xr3:uid="{AA812850-1516-4B4A-BF3B-E3E1EC6817C5}" name="Kolonna4924"/>
    <tableColumn id="5263" xr3:uid="{8EE2683E-B320-4702-A07D-3A4C1CC851F4}" name="Kolonna4925"/>
    <tableColumn id="5264" xr3:uid="{ADCAE8BF-C4A3-443C-8997-D00DF0E35FE4}" name="Kolonna4926"/>
    <tableColumn id="5265" xr3:uid="{B448015B-4668-4C2B-937C-A094F189D9F5}" name="Kolonna4927"/>
    <tableColumn id="5266" xr3:uid="{DA935AD4-C8B6-4A5C-99D3-35FA19AEF022}" name="Kolonna4928"/>
    <tableColumn id="5267" xr3:uid="{F26A8798-A5AD-4AFA-AB24-E5AFFD8A18AD}" name="Kolonna4929"/>
    <tableColumn id="5268" xr3:uid="{39808D41-5182-4D91-AD1A-8DA051256FF6}" name="Kolonna4930"/>
    <tableColumn id="5269" xr3:uid="{6FDE63FC-1E77-4181-8090-50E962238F26}" name="Kolonna4931"/>
    <tableColumn id="5270" xr3:uid="{66D2157D-4861-4E12-BF68-C434DB7F737F}" name="Kolonna4932"/>
    <tableColumn id="5271" xr3:uid="{48F677AA-FD0A-4EB4-B922-573FC8595B68}" name="Kolonna4933"/>
    <tableColumn id="5272" xr3:uid="{F163B256-C81E-4611-B034-924DB66E114E}" name="Kolonna4934"/>
    <tableColumn id="5273" xr3:uid="{87D207CC-724F-4DBE-8EDA-16926EE4F194}" name="Kolonna4935"/>
    <tableColumn id="5274" xr3:uid="{AD126DAE-65C7-4E91-BB98-CEDD3B72EC0E}" name="Kolonna4936"/>
    <tableColumn id="5275" xr3:uid="{0F364713-284B-49B8-9639-9D16E6620E51}" name="Kolonna4937"/>
    <tableColumn id="5276" xr3:uid="{D9E104AB-5267-4D8B-B8DC-12CB151A0858}" name="Kolonna4938"/>
    <tableColumn id="5277" xr3:uid="{B36554DC-1856-484C-9E0A-E75BE02A92D5}" name="Kolonna4939"/>
    <tableColumn id="5278" xr3:uid="{980A4AA3-68D4-4382-A53F-F867166C2A9E}" name="Kolonna4940"/>
    <tableColumn id="5279" xr3:uid="{D20CEC07-1548-4812-8D6D-D6584260C17A}" name="Kolonna4941"/>
    <tableColumn id="5280" xr3:uid="{47F0E0B6-FEAB-46B3-AB43-AF70C99B6489}" name="Kolonna4942"/>
    <tableColumn id="5281" xr3:uid="{1282B00F-41E9-4346-A6F7-598D7BA0C16A}" name="Kolonna4943"/>
    <tableColumn id="5282" xr3:uid="{54BDD771-AAAF-410C-B550-986169B8D28F}" name="Kolonna4944"/>
    <tableColumn id="5283" xr3:uid="{E604B899-76EF-498D-9633-5400CD91F375}" name="Kolonna4945"/>
    <tableColumn id="5284" xr3:uid="{D0C14FDE-553A-4243-9ADA-CD0F6AEED644}" name="Kolonna4946"/>
    <tableColumn id="5285" xr3:uid="{397553C0-9A94-41EC-8049-B9CD14600E2D}" name="Kolonna4947"/>
    <tableColumn id="5286" xr3:uid="{5B0AEC7C-592B-4CDF-ADA3-950A37670043}" name="Kolonna4948"/>
    <tableColumn id="5287" xr3:uid="{FE915B14-E772-4E11-BFA1-FB1B20B755E8}" name="Kolonna4949"/>
    <tableColumn id="5288" xr3:uid="{204959FC-AD1A-425B-AF1E-D98AF096FF98}" name="Kolonna4950"/>
    <tableColumn id="5289" xr3:uid="{F04298F5-6D0B-4E48-BE62-77AB85744B9F}" name="Kolonna4951"/>
    <tableColumn id="5290" xr3:uid="{E8A6A63F-A338-40A4-BA1C-A8595EFF920F}" name="Kolonna4952"/>
    <tableColumn id="5291" xr3:uid="{52A6D642-52BB-4DCB-86A8-CDD1E86E0A97}" name="Kolonna4953"/>
    <tableColumn id="5292" xr3:uid="{EBB69699-1EC2-4C51-A62B-8280B57FC0AC}" name="Kolonna4954"/>
    <tableColumn id="5293" xr3:uid="{D554804C-5BE7-4CD3-8155-211F35D3468C}" name="Kolonna4955"/>
    <tableColumn id="5294" xr3:uid="{66D72A75-3748-4199-BFC9-DB0571467200}" name="Kolonna4956"/>
    <tableColumn id="5295" xr3:uid="{CFE16DC9-267E-4916-B6C2-6960DB902487}" name="Kolonna4957"/>
    <tableColumn id="5296" xr3:uid="{BF701C03-2C72-46D2-9B9A-98A0778DBDB4}" name="Kolonna4958"/>
    <tableColumn id="5297" xr3:uid="{1958B391-8716-4A5A-A470-D77232C97E9A}" name="Kolonna4959"/>
    <tableColumn id="5298" xr3:uid="{A3DE4F75-DEB7-4CD4-A5E7-B45BEDC41F55}" name="Kolonna4960"/>
    <tableColumn id="5299" xr3:uid="{D5E09D1D-42D9-4E96-8353-A93FAE3417B8}" name="Kolonna4961"/>
    <tableColumn id="5300" xr3:uid="{B3F9B99B-C217-4C7F-9D5D-F50D535A184F}" name="Kolonna4962"/>
    <tableColumn id="5301" xr3:uid="{71CD3000-141B-4FEF-9CAD-66129A2B1886}" name="Kolonna4963"/>
    <tableColumn id="5302" xr3:uid="{47EF995F-70F6-4DDB-BF74-3D5710591461}" name="Kolonna4964"/>
    <tableColumn id="5303" xr3:uid="{800301DD-2CD1-446C-B578-6651162E9C45}" name="Kolonna4965"/>
    <tableColumn id="5304" xr3:uid="{82FF41F4-C717-4046-8312-97324B8BABF8}" name="Kolonna4966"/>
    <tableColumn id="5305" xr3:uid="{B9E831EE-A016-4E52-9561-6A17B0DBB7B4}" name="Kolonna4967"/>
    <tableColumn id="5306" xr3:uid="{4B840977-EF06-49D2-A533-5DAA1A42627B}" name="Kolonna4968"/>
    <tableColumn id="5307" xr3:uid="{E440F12C-DCA0-4B09-9A1B-A9C0572BB786}" name="Kolonna4969"/>
    <tableColumn id="5308" xr3:uid="{2BEEBBC1-5D71-40E2-B74C-486258554CCC}" name="Kolonna4970"/>
    <tableColumn id="5309" xr3:uid="{B7D502D3-4CF6-4F3F-867D-AD1D6A99F1D9}" name="Kolonna4971"/>
    <tableColumn id="5310" xr3:uid="{B70A58A7-3439-4CFD-AB79-48A659047CBA}" name="Kolonna4972"/>
    <tableColumn id="5311" xr3:uid="{24CE23A9-B6A6-4EF3-9F2E-7A4EF926293A}" name="Kolonna4973"/>
    <tableColumn id="5312" xr3:uid="{FA354D4C-1CAB-4FED-838F-7C25EEBFD831}" name="Kolonna4974"/>
    <tableColumn id="5313" xr3:uid="{3D84B410-3723-454A-8B16-4FD28E28AE74}" name="Kolonna4975"/>
    <tableColumn id="5314" xr3:uid="{0D8CB754-8ADC-4097-8760-3E0AF63C17E2}" name="Kolonna4976"/>
    <tableColumn id="5315" xr3:uid="{48B84932-A6EF-4A90-8A80-80B031C4DA42}" name="Kolonna4977"/>
    <tableColumn id="5316" xr3:uid="{302B4E1F-9F71-4ABE-ABB1-4FB2CED2B413}" name="Kolonna4978"/>
    <tableColumn id="5317" xr3:uid="{38DCABD5-BCF0-4106-BAD2-52B3FC4216CE}" name="Kolonna4979"/>
    <tableColumn id="5318" xr3:uid="{54967B77-7388-41CA-9A08-A7440FE7BC7C}" name="Kolonna4980"/>
    <tableColumn id="5319" xr3:uid="{947D73A0-AF41-4257-8CED-FC97ED07C3E2}" name="Kolonna4981"/>
    <tableColumn id="5320" xr3:uid="{B082DA8D-1654-40AD-ABFB-238E6B8C89EB}" name="Kolonna4982"/>
    <tableColumn id="5321" xr3:uid="{FC39D849-EC71-441C-9EAD-62C0C7D0DB87}" name="Kolonna4983"/>
    <tableColumn id="5322" xr3:uid="{7B1030CE-A5E0-4CD0-9AAF-D56D5508F020}" name="Kolonna4984"/>
    <tableColumn id="5323" xr3:uid="{223D4291-D128-4774-927F-8747B2A43ACC}" name="Kolonna4985"/>
    <tableColumn id="5324" xr3:uid="{1E3AB242-3A4F-4C0F-B6B0-4647D7638935}" name="Kolonna4986"/>
    <tableColumn id="5325" xr3:uid="{AC03395F-4A35-4E80-9CD7-43FCFD64A229}" name="Kolonna4987"/>
    <tableColumn id="5326" xr3:uid="{8AF16D9E-E309-4D19-A73B-C58617ABBECD}" name="Kolonna4988"/>
    <tableColumn id="5327" xr3:uid="{4910418C-0FB5-4877-AF8C-200B3E32F678}" name="Kolonna4989"/>
    <tableColumn id="5328" xr3:uid="{904DED05-330C-4E94-B92A-2CDD397CE6BF}" name="Kolonna4990"/>
    <tableColumn id="5329" xr3:uid="{E152156A-B6A7-4353-A8D4-17942C00AD7F}" name="Kolonna4991"/>
    <tableColumn id="5330" xr3:uid="{D8FA879C-1F11-412A-8F47-1A28A93861E7}" name="Kolonna4992"/>
    <tableColumn id="5331" xr3:uid="{94DAA2E7-2857-4914-9D9D-D9C9CD390566}" name="Kolonna4993"/>
    <tableColumn id="5332" xr3:uid="{62C47925-7DBF-416C-BE47-CD6F3721A5D3}" name="Kolonna4994"/>
    <tableColumn id="5333" xr3:uid="{97C6A444-3979-415D-B535-86637C2AED59}" name="Kolonna4995"/>
    <tableColumn id="5334" xr3:uid="{02FF1018-68FB-4110-B7EB-759A6ED64D0E}" name="Kolonna4996"/>
    <tableColumn id="5335" xr3:uid="{D9DD727A-726F-4387-A1EF-D30E33149F3C}" name="Kolonna4997"/>
    <tableColumn id="5336" xr3:uid="{41CB6D40-3723-47A5-B7AC-0882AEB5C2F6}" name="Kolonna4998"/>
    <tableColumn id="5337" xr3:uid="{1422AF36-159E-4B7B-8DD6-EF1AC724A4CF}" name="Kolonna4999"/>
    <tableColumn id="5338" xr3:uid="{E652E5BC-F2AC-4BE8-B6AA-FC73AACE39CA}" name="Kolonna5000"/>
    <tableColumn id="5339" xr3:uid="{7A4AE217-9DE3-470B-85E5-791ED24F300B}" name="Kolonna5001"/>
    <tableColumn id="5340" xr3:uid="{EC0B3582-753D-402E-A1C7-C6948490BEE6}" name="Kolonna5002"/>
    <tableColumn id="5341" xr3:uid="{817F6372-90D3-437F-A235-09EA4D4BEB2E}" name="Kolonna5003"/>
    <tableColumn id="5342" xr3:uid="{0F20E3C6-9FEB-4270-9B61-37E0D2992ACF}" name="Kolonna5004"/>
    <tableColumn id="5343" xr3:uid="{592C76B4-E77B-40C6-BFA5-F4F25F7BC557}" name="Kolonna5005"/>
    <tableColumn id="5344" xr3:uid="{7514FED0-D1A4-4C6D-96C0-C00A0387F606}" name="Kolonna5006"/>
    <tableColumn id="5345" xr3:uid="{B7C3811A-927E-453B-8E7A-1C071E22F094}" name="Kolonna5007"/>
    <tableColumn id="5346" xr3:uid="{E52BB23F-0B87-4192-A271-DCB9CC447EEC}" name="Kolonna5008"/>
    <tableColumn id="5347" xr3:uid="{00277705-2024-4522-AAD2-2D197C6DC127}" name="Kolonna5009"/>
    <tableColumn id="5348" xr3:uid="{C73DAE39-3A1A-482B-BABD-0B95924D08E9}" name="Kolonna5010"/>
    <tableColumn id="5349" xr3:uid="{3A917539-2C43-4270-A56D-B2B8FB20CF02}" name="Kolonna5011"/>
    <tableColumn id="5350" xr3:uid="{91A39DD3-1E12-4BB4-9A36-B70E19723007}" name="Kolonna5012"/>
    <tableColumn id="5351" xr3:uid="{9AD1C45C-6527-473C-906B-C3CBD0D0A671}" name="Kolonna5013"/>
    <tableColumn id="5352" xr3:uid="{6E121D8F-E8A7-4C7C-B398-5CC14F9CDE20}" name="Kolonna5014"/>
    <tableColumn id="5353" xr3:uid="{CE7B0180-DC70-45DB-BC45-6C1BE5602B85}" name="Kolonna5015"/>
    <tableColumn id="5354" xr3:uid="{637B8A53-CD79-4FCD-B64E-1F4991CB45DA}" name="Kolonna5016"/>
    <tableColumn id="5355" xr3:uid="{E541B402-F490-4056-AC07-8F3F87EBC564}" name="Kolonna5017"/>
    <tableColumn id="5356" xr3:uid="{1C61AEB9-B3B0-430D-8AE4-F1DA0BF1597F}" name="Kolonna5018"/>
    <tableColumn id="5357" xr3:uid="{C60037A4-5BD8-4510-B651-D59FA3D53F75}" name="Kolonna5019"/>
    <tableColumn id="5358" xr3:uid="{6F05A6F2-2A93-471A-A195-0858F8B9BE16}" name="Kolonna5020"/>
    <tableColumn id="5359" xr3:uid="{E4CD7955-6AAD-4447-8222-4F5B0EF41473}" name="Kolonna5021"/>
    <tableColumn id="5360" xr3:uid="{E1019225-7019-4F42-AE0A-526EF137436D}" name="Kolonna5022"/>
    <tableColumn id="5361" xr3:uid="{765FE144-8968-4F52-873E-BF9D2AC64877}" name="Kolonna5023"/>
    <tableColumn id="5362" xr3:uid="{A883542B-05E3-4264-8096-D0AEF92A8AC1}" name="Kolonna5024"/>
    <tableColumn id="5363" xr3:uid="{D05CA8F6-048A-4A77-9DEC-89A0295F4154}" name="Kolonna5025"/>
    <tableColumn id="5364" xr3:uid="{ED0CAAB1-CEC1-4AA0-93BE-0BB38C7E0632}" name="Kolonna5026"/>
    <tableColumn id="5365" xr3:uid="{E4F2487E-CD14-4A25-9A0C-29D186D2DD9B}" name="Kolonna5027"/>
    <tableColumn id="5366" xr3:uid="{3A6EDA8B-A8C8-499E-BD58-2733D950CBCE}" name="Kolonna5028"/>
    <tableColumn id="5367" xr3:uid="{986E5CF9-85B9-4C77-BE40-D74B7B62D6ED}" name="Kolonna5029"/>
    <tableColumn id="5368" xr3:uid="{9B2CD3F7-8CA4-4A89-B5D1-B05C5390B461}" name="Kolonna5030"/>
    <tableColumn id="5369" xr3:uid="{CB89806C-FB53-4A51-BBFA-D6FAC55B84B9}" name="Kolonna5031"/>
    <tableColumn id="5370" xr3:uid="{ED584856-D361-45D6-9F2C-2CB7BD99455E}" name="Kolonna5032"/>
    <tableColumn id="5371" xr3:uid="{F7AF2FC4-1866-4582-AA46-3BF8DCA9DCDC}" name="Kolonna5033"/>
    <tableColumn id="5372" xr3:uid="{C846C9F7-70B4-450A-BD0C-CE2509523F28}" name="Kolonna5034"/>
    <tableColumn id="5373" xr3:uid="{961EBD24-6C7F-4B57-A7F0-D4E5CEC6E528}" name="Kolonna5035"/>
    <tableColumn id="5374" xr3:uid="{A7E0BDC4-2B48-4856-8380-006FC791213F}" name="Kolonna5036"/>
    <tableColumn id="5375" xr3:uid="{386A9EE6-DAC4-4219-ACDE-1DFC71AA55CB}" name="Kolonna5037"/>
    <tableColumn id="5376" xr3:uid="{8F951E9A-51BB-4F5E-AEEE-A79AACF44F2B}" name="Kolonna5038"/>
    <tableColumn id="5377" xr3:uid="{303979C9-A086-4B55-95A0-AC498E6EFEE2}" name="Kolonna5039"/>
    <tableColumn id="5378" xr3:uid="{9E313518-4A6B-4233-B42B-A1F9DB824FD7}" name="Kolonna5040"/>
    <tableColumn id="5379" xr3:uid="{07EBD9FB-A9EB-4050-B8C5-5743E4B8223D}" name="Kolonna5041"/>
    <tableColumn id="5380" xr3:uid="{252F6E9E-A916-477C-B54A-2D9ED15051FB}" name="Kolonna5042"/>
    <tableColumn id="5381" xr3:uid="{5467A506-F4F8-4713-832C-A56FB888DCE2}" name="Kolonna5043"/>
    <tableColumn id="5382" xr3:uid="{10416BCD-0615-4C43-B6C1-2C12843BB31C}" name="Kolonna5044"/>
    <tableColumn id="5383" xr3:uid="{ECF9CEF2-91F2-4A92-B29B-73589B640C1E}" name="Kolonna5045"/>
    <tableColumn id="5384" xr3:uid="{1F4528C8-EF6B-422A-953C-77CD002AAD3C}" name="Kolonna5046"/>
    <tableColumn id="5385" xr3:uid="{ECE2B15A-6978-41C3-B052-24CEED64BA44}" name="Kolonna5047"/>
    <tableColumn id="5386" xr3:uid="{FAC47CC0-A2AD-45D8-B49B-9591101AADE7}" name="Kolonna5048"/>
    <tableColumn id="5387" xr3:uid="{E0C3D02E-D620-4D88-A4CB-97323E17B812}" name="Kolonna5049"/>
    <tableColumn id="5388" xr3:uid="{A3E35D20-D2C8-42DF-B82B-9FC14B76644E}" name="Kolonna5050"/>
    <tableColumn id="5389" xr3:uid="{3A1308A0-D200-4235-9F36-32AB58394580}" name="Kolonna5051"/>
    <tableColumn id="5390" xr3:uid="{03641FE8-C348-4176-B656-D03741C81B6A}" name="Kolonna5052"/>
    <tableColumn id="5391" xr3:uid="{851A7F46-2F6C-4E6C-8B9B-81E6F14CDA44}" name="Kolonna5053"/>
    <tableColumn id="5392" xr3:uid="{3E15D21C-EA3A-480B-828A-380B6CE93911}" name="Kolonna5054"/>
    <tableColumn id="5393" xr3:uid="{83F80AB1-1286-4EEE-A290-6F174F489B25}" name="Kolonna5055"/>
    <tableColumn id="5394" xr3:uid="{A82C11B4-D501-43B2-AD51-BD02C8F52843}" name="Kolonna5056"/>
    <tableColumn id="5395" xr3:uid="{725FFF7C-F225-4217-8A57-2113F39612F3}" name="Kolonna5057"/>
    <tableColumn id="5396" xr3:uid="{1489AD4B-38B0-4B93-B97D-279CB249FF54}" name="Kolonna5058"/>
    <tableColumn id="5397" xr3:uid="{2C94E139-B548-4559-AE58-880F53DB0CEC}" name="Kolonna5059"/>
    <tableColumn id="5398" xr3:uid="{28F66238-A4C6-40D9-9351-7FD8DD100073}" name="Kolonna5060"/>
    <tableColumn id="5399" xr3:uid="{1615FFB9-289F-41E9-B7B0-1CE3E1A69DF3}" name="Kolonna5061"/>
    <tableColumn id="5400" xr3:uid="{D08687DC-5BEA-4077-98E7-27243ACC9918}" name="Kolonna5062"/>
    <tableColumn id="5401" xr3:uid="{A63E2858-F035-4FF7-BF56-439E1C6FB7F7}" name="Kolonna5063"/>
    <tableColumn id="5402" xr3:uid="{DE0A162A-807D-4669-ADC4-291F25A0D6B0}" name="Kolonna5064"/>
    <tableColumn id="5403" xr3:uid="{900AF9AF-9E4C-4BA0-BEC3-C51189215594}" name="Kolonna5065"/>
    <tableColumn id="5404" xr3:uid="{4ABC3C93-A219-44F0-8645-7097BE52EA50}" name="Kolonna5066"/>
    <tableColumn id="5405" xr3:uid="{4E44F5E5-952D-46C8-886F-091890F68864}" name="Kolonna5067"/>
    <tableColumn id="5406" xr3:uid="{CB0261B0-E0CE-4D8F-84EC-8DEE0675CD52}" name="Kolonna5068"/>
    <tableColumn id="5407" xr3:uid="{676E9512-8627-4F5D-ABD6-BF4E37C5643E}" name="Kolonna5069"/>
    <tableColumn id="5408" xr3:uid="{8852FB3C-E935-402B-BC5F-F6F156E4B158}" name="Kolonna5070"/>
    <tableColumn id="5409" xr3:uid="{DACCD978-111C-4FAA-9D07-2CAFAD60CE4D}" name="Kolonna5071"/>
    <tableColumn id="5410" xr3:uid="{73BAD4A9-F9CA-47C2-A33D-1D8728D75201}" name="Kolonna5072"/>
    <tableColumn id="5411" xr3:uid="{11A3B27F-1155-4C42-9C33-DB962B174189}" name="Kolonna5073"/>
    <tableColumn id="5412" xr3:uid="{966DD04B-D758-4C06-8AD3-271581EDA4A5}" name="Kolonna5074"/>
    <tableColumn id="5413" xr3:uid="{E913B2DD-8F05-426C-988F-B55C940222E8}" name="Kolonna5075"/>
    <tableColumn id="5414" xr3:uid="{B1B32C2E-3AA7-4C9A-8926-488CD9CAFDB8}" name="Kolonna5076"/>
    <tableColumn id="5415" xr3:uid="{D31333AF-B951-4EED-B92C-3AF65182E376}" name="Kolonna5077"/>
    <tableColumn id="5416" xr3:uid="{31BFBBD8-DFA6-42A1-8A1A-C5C241CE421B}" name="Kolonna5078"/>
    <tableColumn id="5417" xr3:uid="{0D22E4C0-94A2-49F3-8A88-2F1430D11CA5}" name="Kolonna5079"/>
    <tableColumn id="5418" xr3:uid="{1A60E4D5-0FF7-4009-977A-9D44D9A5C7DB}" name="Kolonna5080"/>
    <tableColumn id="5419" xr3:uid="{14FD550B-4C97-4705-834F-62AA2D39D71A}" name="Kolonna5081"/>
    <tableColumn id="5420" xr3:uid="{B8D076EC-237F-4D4B-A212-8C85C5A02D83}" name="Kolonna5082"/>
    <tableColumn id="5421" xr3:uid="{59899AB3-DE79-4AB2-99F5-D6A324D898FB}" name="Kolonna5083"/>
    <tableColumn id="5422" xr3:uid="{47465A4A-5F33-4773-9266-BB5904E264FC}" name="Kolonna5084"/>
    <tableColumn id="5423" xr3:uid="{32921625-ABD2-4001-B3F0-5D8F77720A30}" name="Kolonna5085"/>
    <tableColumn id="5424" xr3:uid="{0E9C5A92-5FA6-4C23-BACE-D075DF0DFAA2}" name="Kolonna5086"/>
    <tableColumn id="5425" xr3:uid="{AC228BF9-0F48-4135-B388-51BC7C6CD350}" name="Kolonna5087"/>
    <tableColumn id="5426" xr3:uid="{2A4345DA-5FA6-43A9-B2B4-0C2FD4F183FE}" name="Kolonna5088"/>
    <tableColumn id="5427" xr3:uid="{78BADCB6-FA78-4083-9E8F-4F75298E583E}" name="Kolonna5089"/>
    <tableColumn id="5428" xr3:uid="{DF676AAC-76AC-4203-B584-A5E0D1B43654}" name="Kolonna5090"/>
    <tableColumn id="5429" xr3:uid="{B6E70D6D-B367-406E-AC58-E0C8FF82DA1A}" name="Kolonna5091"/>
    <tableColumn id="5430" xr3:uid="{E63AB426-7B24-4AD6-9BD6-F1EFF54BF468}" name="Kolonna5092"/>
    <tableColumn id="5431" xr3:uid="{E82B5ED0-B155-440F-A0AB-FE0D2CF54E3A}" name="Kolonna5093"/>
    <tableColumn id="5432" xr3:uid="{D50EB490-0CE1-4DE1-9D84-BE9D1698C940}" name="Kolonna5094"/>
    <tableColumn id="5433" xr3:uid="{07E5F6D3-D7B3-47BB-A2D5-6BEEA976FFD2}" name="Kolonna5095"/>
    <tableColumn id="5434" xr3:uid="{0A218E8B-8952-4E60-A42C-E6222EEF3E5B}" name="Kolonna5096"/>
    <tableColumn id="5435" xr3:uid="{3EE44D4B-8EF9-48F3-A014-3B4C4DD2B516}" name="Kolonna5097"/>
    <tableColumn id="5436" xr3:uid="{4FBE7BE8-8C1A-40B0-89D3-0A1D14413267}" name="Kolonna5098"/>
    <tableColumn id="5437" xr3:uid="{17E2F0E5-D36D-4768-A001-80C4C60F9430}" name="Kolonna5099"/>
    <tableColumn id="5438" xr3:uid="{90D14BD9-B06E-4D63-B642-9EEA59A76221}" name="Kolonna5100"/>
    <tableColumn id="5439" xr3:uid="{F1FA6A4A-B8A7-464F-AA4D-1C950B76DA70}" name="Kolonna5101"/>
    <tableColumn id="5440" xr3:uid="{215FE174-FBE1-46A4-BEAF-302EE760888C}" name="Kolonna5102"/>
    <tableColumn id="5441" xr3:uid="{95B75AE6-4C77-48CE-B4B4-B504C9B7F0CF}" name="Kolonna5103"/>
    <tableColumn id="5442" xr3:uid="{AFD4F8AF-4862-4FCF-A277-677FA090F5F3}" name="Kolonna5104"/>
    <tableColumn id="5443" xr3:uid="{A0586687-CFB3-4F37-9DD7-681350703BCC}" name="Kolonna5105"/>
    <tableColumn id="5444" xr3:uid="{FE1B7A27-45AE-49E7-97F5-0B134C4ED52F}" name="Kolonna5106"/>
    <tableColumn id="5445" xr3:uid="{4E6FAD42-0421-48B1-A230-E3B41A3BA57B}" name="Kolonna5107"/>
    <tableColumn id="5446" xr3:uid="{BC2D90BC-0CFA-4D10-9D88-50E8E657C3CE}" name="Kolonna5108"/>
    <tableColumn id="5447" xr3:uid="{7FCA0799-30C2-4373-9A63-E5D418C88B5C}" name="Kolonna5109"/>
    <tableColumn id="5448" xr3:uid="{EB4D0BF2-6EEC-4DEE-8065-D36695345B29}" name="Kolonna5110"/>
    <tableColumn id="5449" xr3:uid="{C2020107-53C1-4F8C-B27A-D401AAF212C7}" name="Kolonna5111"/>
    <tableColumn id="5450" xr3:uid="{0BC1A15E-6649-438F-A160-500B28E77C94}" name="Kolonna5112"/>
    <tableColumn id="5451" xr3:uid="{1458FFFC-37F3-49F2-A195-94DD34F6D3AE}" name="Kolonna5113"/>
    <tableColumn id="5452" xr3:uid="{F206FC17-7197-4E4F-8C1F-A47FFB3F5343}" name="Kolonna5114"/>
    <tableColumn id="5453" xr3:uid="{402D78DF-D801-4011-B073-3EB3325E9858}" name="Kolonna5115"/>
    <tableColumn id="5454" xr3:uid="{53ABBA18-E63C-4FF0-B07A-F0458F66A30D}" name="Kolonna5116"/>
    <tableColumn id="5455" xr3:uid="{367B453E-68F8-4A3E-874E-E38919D9E1F7}" name="Kolonna5117"/>
    <tableColumn id="5456" xr3:uid="{DCFCCFCA-4EFD-4627-B2B4-C52E6A631FDC}" name="Kolonna5118"/>
    <tableColumn id="5457" xr3:uid="{9577238F-2BD7-4F94-8606-2DB35D353369}" name="Kolonna5119"/>
    <tableColumn id="5458" xr3:uid="{CC1354B6-E320-4DC0-A643-466980BE6F1F}" name="Kolonna5120"/>
    <tableColumn id="5459" xr3:uid="{4E438AA8-BA15-48F6-B5F6-8A5AAAA2A849}" name="Kolonna5121"/>
    <tableColumn id="5460" xr3:uid="{383E58FC-0662-48FF-B381-D9F52D356DD3}" name="Kolonna5122"/>
    <tableColumn id="5461" xr3:uid="{8E8A5388-4C99-4A74-8E0D-6BD301E7983B}" name="Kolonna5123"/>
    <tableColumn id="5462" xr3:uid="{2501E3A0-8F2C-4F32-B4A8-1BE45517DE3A}" name="Kolonna5124"/>
    <tableColumn id="5463" xr3:uid="{FE991BC9-F010-4E68-9802-8A4059B28064}" name="Kolonna5125"/>
    <tableColumn id="5464" xr3:uid="{6E684649-8B12-4674-BBBB-54B26CDD07E6}" name="Kolonna5126"/>
    <tableColumn id="5465" xr3:uid="{512DE88E-79CC-4E6B-B303-CA92A47CE58E}" name="Kolonna5127"/>
    <tableColumn id="5466" xr3:uid="{D46C83E1-144A-4CE0-9E16-E2A0F09020CB}" name="Kolonna5128"/>
    <tableColumn id="5467" xr3:uid="{7B559300-9907-4AB1-8C46-36924776FE50}" name="Kolonna5129"/>
    <tableColumn id="5468" xr3:uid="{BDA2D8CC-598F-484C-A6C4-BE9C45BCB5B4}" name="Kolonna5130"/>
    <tableColumn id="5469" xr3:uid="{B8819A62-8CD5-476A-BB59-8ADCFB87D632}" name="Kolonna5131"/>
    <tableColumn id="5470" xr3:uid="{5C0A5F5A-6289-4693-8A18-F993DF27E438}" name="Kolonna5132"/>
    <tableColumn id="5471" xr3:uid="{4A55E349-1335-415B-B796-5446CD974CAA}" name="Kolonna5133"/>
    <tableColumn id="5472" xr3:uid="{1909DF1D-06C3-48AF-A248-923151A1CB4B}" name="Kolonna5134"/>
    <tableColumn id="5473" xr3:uid="{70C9C0FB-0418-49CA-A7E4-5EA371BB1DEB}" name="Kolonna5135"/>
    <tableColumn id="5474" xr3:uid="{84C11A62-5554-49F8-92F9-C24E89EEDC48}" name="Kolonna5136"/>
    <tableColumn id="5475" xr3:uid="{A9F05B30-5576-4CA9-BBF9-1718A197A427}" name="Kolonna5137"/>
    <tableColumn id="5476" xr3:uid="{900D53A5-CE10-47BB-8D25-70298569B418}" name="Kolonna5138"/>
    <tableColumn id="5477" xr3:uid="{F6D87336-A998-48DA-A2DB-74858DF9CD0A}" name="Kolonna5139"/>
    <tableColumn id="5478" xr3:uid="{391E6CC1-B251-49F6-986B-34AC6569115C}" name="Kolonna5140"/>
    <tableColumn id="5479" xr3:uid="{F7F5DBF3-508D-49D5-85EE-813B9E96D94E}" name="Kolonna5141"/>
    <tableColumn id="5480" xr3:uid="{6564FD28-BC92-4470-ACFF-D2BCA878CDC9}" name="Kolonna5142"/>
    <tableColumn id="5481" xr3:uid="{0864DEA5-564D-47A8-B356-17F73F0C0336}" name="Kolonna5143"/>
    <tableColumn id="5482" xr3:uid="{E1F0B3D0-F303-4247-80BC-1EB5CC8A7A04}" name="Kolonna5144"/>
    <tableColumn id="5483" xr3:uid="{309065DC-90FC-46A1-8C85-D150315482F9}" name="Kolonna5145"/>
    <tableColumn id="5484" xr3:uid="{C5B0A647-4F01-4FD0-97FD-0DB2853B931D}" name="Kolonna5146"/>
    <tableColumn id="5485" xr3:uid="{2B95CB17-4DFF-4500-B381-524FB281EBEC}" name="Kolonna5147"/>
    <tableColumn id="5486" xr3:uid="{1FDA69E5-05B6-4858-A88D-2C060878D922}" name="Kolonna5148"/>
    <tableColumn id="5487" xr3:uid="{0AD85C49-8101-479E-9839-529D29060CCE}" name="Kolonna5149"/>
    <tableColumn id="5488" xr3:uid="{0491EC2E-5849-473C-B090-C5AF9E28B738}" name="Kolonna5150"/>
    <tableColumn id="5489" xr3:uid="{5A9476E7-3F38-4BC0-B415-369822DE64B4}" name="Kolonna5151"/>
    <tableColumn id="5490" xr3:uid="{9EE25D7A-A880-4DBC-BEA2-2AC70A911F00}" name="Kolonna5152"/>
    <tableColumn id="5491" xr3:uid="{1559EB2C-B8B5-422C-B489-CAF02D30B188}" name="Kolonna5153"/>
    <tableColumn id="5492" xr3:uid="{0D990558-5439-4077-B716-726E3F853DBE}" name="Kolonna5154"/>
    <tableColumn id="5493" xr3:uid="{891EF5AF-E7A6-490E-BD09-5FB74A26B878}" name="Kolonna5155"/>
    <tableColumn id="5494" xr3:uid="{12CAA1A4-2913-4D24-A978-FA3B20C6E6E5}" name="Kolonna5156"/>
    <tableColumn id="5495" xr3:uid="{32BD876B-392C-4F5F-AE15-2D726B94527D}" name="Kolonna5157"/>
    <tableColumn id="5496" xr3:uid="{FBA11A4E-F641-4130-A1F1-387D9E89AECA}" name="Kolonna5158"/>
    <tableColumn id="5497" xr3:uid="{C6DB3AE2-4CDD-42F4-9ACE-80322395275F}" name="Kolonna5159"/>
    <tableColumn id="5498" xr3:uid="{B4472CB9-48B7-411D-B499-1800263FD667}" name="Kolonna5160"/>
    <tableColumn id="5499" xr3:uid="{82DEB483-09F7-49F0-A8F5-52FF3D929254}" name="Kolonna5161"/>
    <tableColumn id="5500" xr3:uid="{14AB74E4-9AA0-48EF-8612-064CD5B78D2B}" name="Kolonna5162"/>
    <tableColumn id="5501" xr3:uid="{F004B5AC-DE10-44CD-9D76-2153F3CBF317}" name="Kolonna5163"/>
    <tableColumn id="5502" xr3:uid="{CB0ED3DC-E08D-456B-B423-7605F48255D5}" name="Kolonna5164"/>
    <tableColumn id="5503" xr3:uid="{A238CB05-DDC7-43EE-AA2B-3F7F48D15429}" name="Kolonna5165"/>
    <tableColumn id="5504" xr3:uid="{30D488A8-95E1-45A8-9BDE-8D0D7715117A}" name="Kolonna5166"/>
    <tableColumn id="5505" xr3:uid="{20B6970E-EB62-4268-91B6-CF57174F17B0}" name="Kolonna5167"/>
    <tableColumn id="5506" xr3:uid="{5A2E12B4-A2CA-4444-94F2-BAA8F3CEB08F}" name="Kolonna5168"/>
    <tableColumn id="5507" xr3:uid="{B83F469D-B3A1-4AFC-AAE1-C27C1FA48164}" name="Kolonna5169"/>
    <tableColumn id="5508" xr3:uid="{0732D590-0CE8-44BA-9E70-6BCA2C1962C2}" name="Kolonna5170"/>
    <tableColumn id="5509" xr3:uid="{42E75DAC-A832-4164-8DDD-F38527F494C7}" name="Kolonna5171"/>
    <tableColumn id="5510" xr3:uid="{771B8E03-4551-4213-BCF0-5DC2C2000D77}" name="Kolonna5172"/>
    <tableColumn id="5511" xr3:uid="{430CA6B3-2F18-49DA-AD7F-3646085D4217}" name="Kolonna5173"/>
    <tableColumn id="5512" xr3:uid="{7D7F301F-D08F-4367-A8CD-9F1EAC54373A}" name="Kolonna5174"/>
    <tableColumn id="5513" xr3:uid="{4AA5A7F3-E5AC-429A-932D-43CF926BDF8A}" name="Kolonna5175"/>
    <tableColumn id="5514" xr3:uid="{5CB0A110-1CCC-403D-A493-5E9D3ED94D39}" name="Kolonna5176"/>
    <tableColumn id="5515" xr3:uid="{ED8DA1FA-A00F-48A9-A2C1-A8A8BDCE81FB}" name="Kolonna5177"/>
    <tableColumn id="5516" xr3:uid="{51D2BB6F-5948-4D21-9F7A-43C66E34BD28}" name="Kolonna5178"/>
    <tableColumn id="5517" xr3:uid="{7C20E533-D2EF-4521-9B1C-442E866A8183}" name="Kolonna5179"/>
    <tableColumn id="5518" xr3:uid="{6FD17193-04B1-4BC5-9548-321E71B99A32}" name="Kolonna5180"/>
    <tableColumn id="5519" xr3:uid="{1DFC47BC-FA9E-4B2C-8266-9E3D36112A82}" name="Kolonna5181"/>
    <tableColumn id="5520" xr3:uid="{5638527C-FC17-4856-9948-E3E26C8648E3}" name="Kolonna5182"/>
    <tableColumn id="5521" xr3:uid="{7409A7BE-9AD9-4DCA-92DD-8B14433D511D}" name="Kolonna5183"/>
    <tableColumn id="5522" xr3:uid="{4CBA07DB-050D-49F8-8605-F2FE99AB1210}" name="Kolonna5184"/>
    <tableColumn id="5523" xr3:uid="{985FD8DA-AD85-4FD5-AD7C-C4F0FCC7BBDA}" name="Kolonna5185"/>
    <tableColumn id="5524" xr3:uid="{2EF6CDCB-1668-4B69-B783-588B950AE927}" name="Kolonna5186"/>
    <tableColumn id="5525" xr3:uid="{34B5F03E-B02A-4E1E-9798-F288457CD3A3}" name="Kolonna5187"/>
    <tableColumn id="5526" xr3:uid="{83B4A238-AB86-44D7-B1C3-DB2ED182796E}" name="Kolonna5188"/>
    <tableColumn id="5527" xr3:uid="{0FF31C4A-D11B-42B8-A0D2-75FA4632F616}" name="Kolonna5189"/>
    <tableColumn id="5528" xr3:uid="{6206C577-F1F4-4F32-801B-E6917E941491}" name="Kolonna5190"/>
    <tableColumn id="5529" xr3:uid="{8F2C78C3-356A-42E1-9ABB-19F794C06398}" name="Kolonna5191"/>
    <tableColumn id="5530" xr3:uid="{6AC11CFE-A02E-4849-85A3-9319DDA2B76F}" name="Kolonna5192"/>
    <tableColumn id="5531" xr3:uid="{25E28064-1258-4A69-A14E-031217658BD2}" name="Kolonna5193"/>
    <tableColumn id="5532" xr3:uid="{9392CD2D-2BDF-45F4-886D-B413CAE05E04}" name="Kolonna5194"/>
    <tableColumn id="5533" xr3:uid="{38B665A7-CEA4-4E81-B1B2-B4B9C4B95296}" name="Kolonna5195"/>
    <tableColumn id="5534" xr3:uid="{FCF8F8EA-F652-4A9A-9FE3-97E108E57696}" name="Kolonna5196"/>
    <tableColumn id="5535" xr3:uid="{E45A55D3-9F50-4A3D-81F3-E0006F7BAD0E}" name="Kolonna5197"/>
    <tableColumn id="5536" xr3:uid="{C089B267-1303-4C35-B5FF-AF672E37D66F}" name="Kolonna5198"/>
    <tableColumn id="5537" xr3:uid="{E79BED06-F89D-4EF2-96BF-FBFC5BAD8302}" name="Kolonna5199"/>
    <tableColumn id="5538" xr3:uid="{C702558D-974C-45C5-BE48-0BCC28B91D49}" name="Kolonna5200"/>
    <tableColumn id="5539" xr3:uid="{739D9462-C982-4E24-8EB7-09ECA520B6A1}" name="Kolonna5201"/>
    <tableColumn id="5540" xr3:uid="{74B2D1E5-2CFB-4CB1-97BE-6A9649092F91}" name="Kolonna5202"/>
    <tableColumn id="5541" xr3:uid="{3C0D1665-AB13-4BC7-B962-9385E8F77A7D}" name="Kolonna5203"/>
    <tableColumn id="5542" xr3:uid="{4CEF873F-5B0E-4B19-95FD-97610F5B5D5C}" name="Kolonna5204"/>
    <tableColumn id="5543" xr3:uid="{90FDBC90-0DB8-4563-B8A2-BDF7EFFD6271}" name="Kolonna5205"/>
    <tableColumn id="5544" xr3:uid="{899891C2-8B26-4B8B-B5F9-A7F8AA117B6C}" name="Kolonna5206"/>
    <tableColumn id="5545" xr3:uid="{3E954304-68AC-4C36-919F-5929900DF515}" name="Kolonna5207"/>
    <tableColumn id="5546" xr3:uid="{42D5520F-0E27-4770-8874-8BA0FF0ED153}" name="Kolonna5208"/>
    <tableColumn id="5547" xr3:uid="{598BC7FD-3C44-4714-91C5-80DB883E4315}" name="Kolonna5209"/>
    <tableColumn id="5548" xr3:uid="{CF7372B2-9C94-486C-B8CD-0A2AE89560E4}" name="Kolonna5210"/>
    <tableColumn id="5549" xr3:uid="{B2AA5ACD-F78E-4617-912E-C6FA614C3601}" name="Kolonna5211"/>
    <tableColumn id="5550" xr3:uid="{7A048ABE-0DD5-4DC7-8D9E-4728C957D5A6}" name="Kolonna5212"/>
    <tableColumn id="5551" xr3:uid="{52E544A0-E84D-4EFB-9246-7FD36D10E422}" name="Kolonna5213"/>
    <tableColumn id="5552" xr3:uid="{50942382-A766-4678-846A-A95330B61C87}" name="Kolonna5214"/>
    <tableColumn id="5553" xr3:uid="{A0019E28-A432-4D40-9FA9-1909C94A354D}" name="Kolonna5215"/>
    <tableColumn id="5554" xr3:uid="{4F61E60C-DE91-4F10-BBC1-FA36F14D31BE}" name="Kolonna5216"/>
    <tableColumn id="5555" xr3:uid="{3ABB4401-C55B-42BB-809A-8FBD7D1D2CFB}" name="Kolonna5217"/>
    <tableColumn id="5556" xr3:uid="{200E36BD-FE6D-4C21-9504-78DD4B8AC74D}" name="Kolonna5218"/>
    <tableColumn id="5557" xr3:uid="{4DD413B2-D0E1-4617-8967-AEBC57FE3BEA}" name="Kolonna5219"/>
    <tableColumn id="5558" xr3:uid="{429A88F4-6344-4CCE-8BA5-BF2345B54922}" name="Kolonna5220"/>
    <tableColumn id="5559" xr3:uid="{F3EDCBF0-24E3-4C6A-BCFF-5BA9851BFD23}" name="Kolonna5221"/>
    <tableColumn id="5560" xr3:uid="{5AA4C549-3B45-4B16-9A47-75B38D52CA62}" name="Kolonna5222"/>
    <tableColumn id="5561" xr3:uid="{860338C9-15BA-4F41-B780-0FE6A41DF518}" name="Kolonna5223"/>
    <tableColumn id="5562" xr3:uid="{0A5F84D1-C647-4B0F-B003-7C7F93E4C257}" name="Kolonna5224"/>
    <tableColumn id="5563" xr3:uid="{4B46AC0D-5681-481C-9BDD-F4E05D736722}" name="Kolonna5225"/>
    <tableColumn id="5564" xr3:uid="{C7823AA8-47AB-476B-8840-FEE0FA4C5193}" name="Kolonna5226"/>
    <tableColumn id="5565" xr3:uid="{5E1987C1-52BD-4875-8E55-9644A0CAC91D}" name="Kolonna5227"/>
    <tableColumn id="5566" xr3:uid="{E443E730-CA9E-461F-86D2-2B77798D5F27}" name="Kolonna5228"/>
    <tableColumn id="5567" xr3:uid="{AF736956-8A6A-4205-A830-0FEE028B24DB}" name="Kolonna5229"/>
    <tableColumn id="5568" xr3:uid="{9857607C-6A5A-46F5-86C1-13574B9FB5D9}" name="Kolonna5230"/>
    <tableColumn id="5569" xr3:uid="{EBFA8100-2C5F-4C00-B00E-CD9FD8E76851}" name="Kolonna5231"/>
    <tableColumn id="5570" xr3:uid="{BB5734C7-D2AE-432D-A79C-DDAFA3A6A40C}" name="Kolonna5232"/>
    <tableColumn id="5571" xr3:uid="{81D02F71-5E7C-4E3C-BC30-D0371A1F8518}" name="Kolonna5233"/>
    <tableColumn id="5572" xr3:uid="{318C1CDE-D98D-42B0-987D-B87FEB0366EF}" name="Kolonna5234"/>
    <tableColumn id="5573" xr3:uid="{4C0A1FA6-C919-4060-836E-400D3BEACF46}" name="Kolonna5235"/>
    <tableColumn id="5574" xr3:uid="{9AC8190E-8B9B-45A7-83D5-BE0C3E1E3AAF}" name="Kolonna5236"/>
    <tableColumn id="5575" xr3:uid="{CD361B3A-D207-469D-8EBD-E34F10F0034D}" name="Kolonna5237"/>
    <tableColumn id="5576" xr3:uid="{963D1597-73D7-48C1-8AF2-5A0F802C8933}" name="Kolonna5238"/>
    <tableColumn id="5577" xr3:uid="{2D8396FB-CA9A-49EE-80A2-259906535994}" name="Kolonna5239"/>
    <tableColumn id="5578" xr3:uid="{CA111098-53D6-41A2-A08C-58376F09105E}" name="Kolonna5240"/>
    <tableColumn id="5579" xr3:uid="{388BD587-69AA-47AF-86CC-7E3E6B71DFF5}" name="Kolonna5241"/>
    <tableColumn id="5580" xr3:uid="{3513FE21-5F51-47F4-8A1D-1D6BC5A16881}" name="Kolonna5242"/>
    <tableColumn id="5581" xr3:uid="{7BF0BD7F-B752-46BB-A683-A252FF90B833}" name="Kolonna5243"/>
    <tableColumn id="5582" xr3:uid="{6F2AAE78-52BE-4F69-9E5B-F7F077AA82E8}" name="Kolonna5244"/>
    <tableColumn id="5583" xr3:uid="{556F2CEF-8F24-482B-BD9D-5B3DE109F07A}" name="Kolonna5245"/>
    <tableColumn id="5584" xr3:uid="{A80D9EEB-C37E-40ED-BCEE-33D89A5C1946}" name="Kolonna5246"/>
    <tableColumn id="5585" xr3:uid="{36987ED6-0AB7-4360-807F-C1EA2B991F82}" name="Kolonna5247"/>
    <tableColumn id="5586" xr3:uid="{2CA303DB-7BAE-4C4C-BEC9-493600C3712B}" name="Kolonna5248"/>
    <tableColumn id="5587" xr3:uid="{BB2776D0-D7F6-4C5C-A15A-EF3CEF9126AD}" name="Kolonna5249"/>
    <tableColumn id="5588" xr3:uid="{6F29AB91-B60B-435A-AF52-2F2F07A160EC}" name="Kolonna5250"/>
    <tableColumn id="5589" xr3:uid="{DC88794B-F1ED-41D3-B269-2E33972CFA9C}" name="Kolonna5251"/>
    <tableColumn id="5590" xr3:uid="{BDBB0AF2-F8EF-4D38-8E7F-24D0B25EE244}" name="Kolonna5252"/>
    <tableColumn id="5591" xr3:uid="{5580A10C-5963-426B-B6B1-3F363E8C0FF2}" name="Kolonna5253"/>
    <tableColumn id="5592" xr3:uid="{3208A884-AAF7-4022-A51A-0274C67C5983}" name="Kolonna5254"/>
    <tableColumn id="5593" xr3:uid="{D385438D-0908-4135-9846-7C67197020C0}" name="Kolonna5255"/>
    <tableColumn id="5594" xr3:uid="{E45A8329-1767-42CA-BC5B-948CB84B5057}" name="Kolonna5256"/>
    <tableColumn id="5595" xr3:uid="{B566624A-EEC8-4DB3-A390-FCC770B4CFE8}" name="Kolonna5257"/>
    <tableColumn id="5596" xr3:uid="{53B59DDE-2E4D-4D64-9E9C-1E815F21AD4C}" name="Kolonna5258"/>
    <tableColumn id="5597" xr3:uid="{433216F0-9BCB-4916-8656-F31FA63C93B4}" name="Kolonna5259"/>
    <tableColumn id="5598" xr3:uid="{ED19509F-FFCA-4561-AA00-B6D0C513F11E}" name="Kolonna5260"/>
    <tableColumn id="5599" xr3:uid="{0BF834EC-A0E5-4C3A-AF21-3D09D1D95BCF}" name="Kolonna5261"/>
    <tableColumn id="5600" xr3:uid="{04C851FD-06AA-4D23-BEE5-B5B2FB87C6D7}" name="Kolonna5262"/>
    <tableColumn id="5601" xr3:uid="{65A87CFF-EF80-4AF3-A269-E8A6FA9931A8}" name="Kolonna5263"/>
    <tableColumn id="5602" xr3:uid="{8BCF85CB-5EBF-478B-8B7D-66C6301F8147}" name="Kolonna5264"/>
    <tableColumn id="5603" xr3:uid="{78701C5D-FA26-4627-BCA2-0F6429FA224D}" name="Kolonna5265"/>
    <tableColumn id="5604" xr3:uid="{E22C1F86-4F1D-45C5-9517-219CF93CC872}" name="Kolonna5266"/>
    <tableColumn id="5605" xr3:uid="{E2D12A3B-8D85-454E-BE5F-51F8F3238C41}" name="Kolonna5267"/>
    <tableColumn id="5606" xr3:uid="{AF2AF6FD-AA57-49A7-A61A-FE99B6184FCA}" name="Kolonna5268"/>
    <tableColumn id="5607" xr3:uid="{DB061241-44CF-4E24-ADFA-42F9F9DB8FEF}" name="Kolonna5269"/>
    <tableColumn id="5608" xr3:uid="{4C608093-592A-44F6-BC7B-91DDE5651052}" name="Kolonna5270"/>
    <tableColumn id="5609" xr3:uid="{ECF8FFB4-1984-420A-8064-4756AC8C93E7}" name="Kolonna5271"/>
    <tableColumn id="5610" xr3:uid="{E95693FB-42CB-40F0-B273-A51273E40A6B}" name="Kolonna5272"/>
    <tableColumn id="5611" xr3:uid="{0219FA3B-D714-40A3-91C8-B137F22DC05A}" name="Kolonna5273"/>
    <tableColumn id="5612" xr3:uid="{316689FB-B6E7-4495-B590-ED3BFDBB007B}" name="Kolonna5274"/>
    <tableColumn id="5613" xr3:uid="{E01C8098-7F33-484A-8EEF-5E605785C083}" name="Kolonna5275"/>
    <tableColumn id="5614" xr3:uid="{52B9264F-D967-4C6C-BE20-2E89112DEF00}" name="Kolonna5276"/>
    <tableColumn id="5615" xr3:uid="{C634BFB8-D784-43A4-8C74-7839ECE66A46}" name="Kolonna5277"/>
    <tableColumn id="5616" xr3:uid="{8A444343-D586-47FC-A8E5-096D386CF657}" name="Kolonna5278"/>
    <tableColumn id="5617" xr3:uid="{3E4187E2-4812-4A4E-8F42-59E00BCFFE51}" name="Kolonna5279"/>
    <tableColumn id="5618" xr3:uid="{F3264D4E-7555-4754-8F44-E865AFB62B85}" name="Kolonna5280"/>
    <tableColumn id="5619" xr3:uid="{925D4653-B1E1-4285-B0D4-A693CDB9704B}" name="Kolonna5281"/>
    <tableColumn id="5620" xr3:uid="{CDBB5D59-557B-43C8-88A2-2F44D96D8035}" name="Kolonna5282"/>
    <tableColumn id="5621" xr3:uid="{A1D9F1F8-494F-4EE1-BF7B-94D6BA874D0B}" name="Kolonna5283"/>
    <tableColumn id="5622" xr3:uid="{D82D1BDD-1ECD-420C-BB22-5A94F0ACA89D}" name="Kolonna5284"/>
    <tableColumn id="5623" xr3:uid="{0D93ECF0-3614-48A3-9F53-417AB970DE6E}" name="Kolonna5285"/>
    <tableColumn id="5624" xr3:uid="{A11A3DE0-2986-48ED-8355-DA0EA6A3C8BB}" name="Kolonna5286"/>
    <tableColumn id="5625" xr3:uid="{D39DD6F5-DD1A-4B87-84B2-F1DA2B15AE09}" name="Kolonna5287"/>
    <tableColumn id="5626" xr3:uid="{9854F573-1D18-4B78-A717-3BCB1CCD4113}" name="Kolonna5288"/>
    <tableColumn id="5627" xr3:uid="{F692B5E9-B1F2-408B-9359-F3400F0DE423}" name="Kolonna5289"/>
    <tableColumn id="5628" xr3:uid="{95290E95-CA81-43FF-8C2B-0911789CA2CC}" name="Kolonna5290"/>
    <tableColumn id="5629" xr3:uid="{3136EA3F-C1D4-41CF-A564-6A4FFC1D01EB}" name="Kolonna5291"/>
    <tableColumn id="5630" xr3:uid="{797E923E-EBEF-4D77-8785-4D6FE5C5EC60}" name="Kolonna5292"/>
    <tableColumn id="5631" xr3:uid="{56D705F3-7DE6-4A1C-B6B2-70446DE6A31B}" name="Kolonna5293"/>
    <tableColumn id="5632" xr3:uid="{2D26C174-330E-4180-9D42-ECAA38014B86}" name="Kolonna5294"/>
    <tableColumn id="5633" xr3:uid="{A67C586D-63E6-406E-90A7-BFCA995B93EE}" name="Kolonna5295"/>
    <tableColumn id="5634" xr3:uid="{3902DA23-AA8A-4A21-B07F-5A671BDE6D26}" name="Kolonna5296"/>
    <tableColumn id="5635" xr3:uid="{BBBA806B-DF9A-42EB-AA55-9074B26D646E}" name="Kolonna5297"/>
    <tableColumn id="5636" xr3:uid="{C7F15532-16AB-4D84-9F12-F7F3EAEA3041}" name="Kolonna5298"/>
    <tableColumn id="5637" xr3:uid="{A7CE62E6-6C3E-40FA-88FA-B9258D1BF3E8}" name="Kolonna5299"/>
    <tableColumn id="5638" xr3:uid="{103CB4AC-1ADD-414C-9C2D-E8A4F92718EB}" name="Kolonna5300"/>
    <tableColumn id="5639" xr3:uid="{DBFBD0BF-1E3D-486D-B048-8A683A5B8EF4}" name="Kolonna5301"/>
    <tableColumn id="5640" xr3:uid="{48742306-0818-4079-9A88-EC6B83C509FC}" name="Kolonna5302"/>
    <tableColumn id="5641" xr3:uid="{1B6761F2-7EA6-4221-B4A0-85C42B981146}" name="Kolonna5303"/>
    <tableColumn id="5642" xr3:uid="{F59342E6-2167-4FDE-AE89-3EFA86656913}" name="Kolonna5304"/>
    <tableColumn id="5643" xr3:uid="{BA2A75AD-146E-4C93-ABDB-0BBC9DE92B32}" name="Kolonna5305"/>
    <tableColumn id="5644" xr3:uid="{B0EDC2B2-7660-4838-9EF4-93D6C0C10019}" name="Kolonna5306"/>
    <tableColumn id="5645" xr3:uid="{80D585B6-7DB4-49E5-B666-C644335D0AA7}" name="Kolonna5307"/>
    <tableColumn id="5646" xr3:uid="{22CB60FB-C297-48A1-960D-4EC2EF92CD2C}" name="Kolonna5308"/>
    <tableColumn id="5647" xr3:uid="{F4CA3053-91A8-47FF-86A3-9F5C837420D3}" name="Kolonna5309"/>
    <tableColumn id="5648" xr3:uid="{F8489787-E7ED-400F-85F6-0963FDAE08F3}" name="Kolonna5310"/>
    <tableColumn id="5649" xr3:uid="{875CA6B5-9093-4B81-9B04-78D0788890F7}" name="Kolonna5311"/>
    <tableColumn id="5650" xr3:uid="{8A192C69-CDA4-4A2C-83B7-7D769DA516C7}" name="Kolonna5312"/>
    <tableColumn id="5651" xr3:uid="{5CE473E3-419A-40B9-9C62-607255582758}" name="Kolonna5313"/>
    <tableColumn id="5652" xr3:uid="{03E72017-76F8-4A8D-8279-0A0CA8A4CF63}" name="Kolonna5314"/>
    <tableColumn id="5653" xr3:uid="{1FBAA414-1A7A-4F5C-8CB0-95559D93434B}" name="Kolonna5315"/>
    <tableColumn id="5654" xr3:uid="{391B6A2B-9F05-4A54-ADEF-E954813D976E}" name="Kolonna5316"/>
    <tableColumn id="5655" xr3:uid="{34BDC0BB-31D8-49B6-82C0-F01DB49EE7B7}" name="Kolonna5317"/>
    <tableColumn id="5656" xr3:uid="{20ED55E5-4C0C-4559-BD04-164B7BA521C8}" name="Kolonna5318"/>
    <tableColumn id="5657" xr3:uid="{0186CCB6-9413-4A49-96B8-C10679E211EF}" name="Kolonna5319"/>
    <tableColumn id="5658" xr3:uid="{67E423DA-09B4-4576-BF38-8B50A2815039}" name="Kolonna5320"/>
    <tableColumn id="5659" xr3:uid="{868128F3-28BB-438D-AF42-41EE3E45DCB5}" name="Kolonna5321"/>
    <tableColumn id="5660" xr3:uid="{D5B2F22D-5317-4A52-B45A-2C779D884D3F}" name="Kolonna5322"/>
    <tableColumn id="5661" xr3:uid="{5AB94340-DB78-4DDA-8992-5A003F8F2FC3}" name="Kolonna5323"/>
    <tableColumn id="5662" xr3:uid="{857D2B09-04F9-422E-A9A1-FD69AD4448E0}" name="Kolonna5324"/>
    <tableColumn id="5663" xr3:uid="{5E19945A-0486-4247-A131-7CF56874E2F4}" name="Kolonna5325"/>
    <tableColumn id="5664" xr3:uid="{A43F2639-C125-49B7-86CB-B84FB58D2C76}" name="Kolonna5326"/>
    <tableColumn id="5665" xr3:uid="{9997E2F2-C63E-4FF8-ADA2-E780544AAD57}" name="Kolonna5327"/>
    <tableColumn id="5666" xr3:uid="{4AA67B7C-2500-4807-A17A-EA71A2FCFBF1}" name="Kolonna5328"/>
    <tableColumn id="5667" xr3:uid="{2AC6B67D-16C5-4AA4-A516-8A1733D71AF8}" name="Kolonna5329"/>
    <tableColumn id="5668" xr3:uid="{1B44AB98-5462-46DF-ABCD-F2F073B2C1F6}" name="Kolonna5330"/>
    <tableColumn id="5669" xr3:uid="{301B4253-92E1-48D9-A076-B33CE89EDE77}" name="Kolonna5331"/>
    <tableColumn id="5670" xr3:uid="{BA6A0048-02AD-4730-9E4D-67F09C74694E}" name="Kolonna5332"/>
    <tableColumn id="5671" xr3:uid="{F681D582-EBC1-479D-80E0-450276496AD9}" name="Kolonna5333"/>
    <tableColumn id="5672" xr3:uid="{28E47087-003C-4ECF-82E6-3985F8E3DBC6}" name="Kolonna5334"/>
    <tableColumn id="5673" xr3:uid="{8D1C8348-2BC6-4B0B-94BA-FF06E9AB83E6}" name="Kolonna5335"/>
    <tableColumn id="5674" xr3:uid="{433FBFC6-C015-479E-B35E-789EE16CB634}" name="Kolonna5336"/>
    <tableColumn id="5675" xr3:uid="{ACFBD25B-C42C-4C1B-946A-919E5F6E0EC4}" name="Kolonna5337"/>
    <tableColumn id="5676" xr3:uid="{4CB99957-A1F4-4579-A7E5-97EF9EDBAC8E}" name="Kolonna5338"/>
    <tableColumn id="5677" xr3:uid="{97406123-C4FF-4369-BD9A-0B4089F21148}" name="Kolonna5339"/>
    <tableColumn id="5678" xr3:uid="{BB7D3C64-613A-4527-80A2-B78C471D18EA}" name="Kolonna5340"/>
    <tableColumn id="5679" xr3:uid="{8124CB05-9FC0-4EE4-B3C3-ED493D7F6FEC}" name="Kolonna5341"/>
    <tableColumn id="5680" xr3:uid="{6480DF4A-B7EE-4E10-9F48-69B2ED9A7596}" name="Kolonna5342"/>
    <tableColumn id="5681" xr3:uid="{855AE187-24ED-4308-BC49-7C78E2A9D223}" name="Kolonna5343"/>
    <tableColumn id="5682" xr3:uid="{4241057C-F32D-4045-90FF-1AF8A9F8E063}" name="Kolonna5344"/>
    <tableColumn id="5683" xr3:uid="{69AF30D3-1212-4A1E-8BA1-EED7A8567197}" name="Kolonna5345"/>
    <tableColumn id="5684" xr3:uid="{5475FA7B-09C0-4229-B5D6-4A885721EBD5}" name="Kolonna5346"/>
    <tableColumn id="5685" xr3:uid="{4A57EC6A-D3C1-41D4-87CB-11870E1B49F1}" name="Kolonna5347"/>
    <tableColumn id="5686" xr3:uid="{E65FAEF3-B90B-4AFA-A8C2-BE16AD208751}" name="Kolonna5348"/>
    <tableColumn id="5687" xr3:uid="{6FF5968C-128B-404F-A2CB-E0FCF368D074}" name="Kolonna5349"/>
    <tableColumn id="5688" xr3:uid="{720EBF3E-8436-4101-A978-7550848A031A}" name="Kolonna5350"/>
    <tableColumn id="5689" xr3:uid="{BDFFD0E9-3806-4526-95AF-E6F637806019}" name="Kolonna5351"/>
    <tableColumn id="5690" xr3:uid="{226591A1-8865-4439-A8EB-744CB589CA69}" name="Kolonna5352"/>
    <tableColumn id="5691" xr3:uid="{6FAB10ED-6418-4A07-9FCE-AB361993E769}" name="Kolonna5353"/>
    <tableColumn id="5692" xr3:uid="{4A8173AF-6FF8-4B4A-A436-A1921D92F981}" name="Kolonna5354"/>
    <tableColumn id="5693" xr3:uid="{454C01DE-A0A2-4BA7-AC3E-151B8FD2612E}" name="Kolonna5355"/>
    <tableColumn id="5694" xr3:uid="{C081058F-5357-4E87-90FA-F962F85B0754}" name="Kolonna5356"/>
    <tableColumn id="5695" xr3:uid="{2AA48A6C-0EC3-49F8-9AFB-00F3E8890FFD}" name="Kolonna5357"/>
    <tableColumn id="5696" xr3:uid="{5A6FABCA-340A-403A-A21B-185F394831D0}" name="Kolonna5358"/>
    <tableColumn id="5697" xr3:uid="{3B994406-D27E-40F1-B8A6-FDC7D7D0720C}" name="Kolonna5359"/>
    <tableColumn id="5698" xr3:uid="{CA86C80A-E245-4829-99C0-1367495CCA1B}" name="Kolonna5360"/>
    <tableColumn id="5699" xr3:uid="{DE76A887-E4AB-4F7B-8B45-BB5CFC93BA7C}" name="Kolonna5361"/>
    <tableColumn id="5700" xr3:uid="{566503EF-1572-4AA5-AE60-02E777A71F26}" name="Kolonna5362"/>
    <tableColumn id="5701" xr3:uid="{C6E397AB-15AD-4C67-B2BF-1AD27DB8F0A2}" name="Kolonna5363"/>
    <tableColumn id="5702" xr3:uid="{B6C069A8-E989-4355-A3B4-8F4BD15CD211}" name="Kolonna5364"/>
    <tableColumn id="5703" xr3:uid="{E5920867-4562-4642-82B6-3EF9812EAC63}" name="Kolonna5365"/>
    <tableColumn id="5704" xr3:uid="{BB49B8D5-1ABD-43C0-9F74-37B9B7442074}" name="Kolonna5366"/>
    <tableColumn id="5705" xr3:uid="{6C71740F-80AE-40D4-ABB0-EE0BB5F97F5D}" name="Kolonna5367"/>
    <tableColumn id="5706" xr3:uid="{72813621-7990-472F-95DC-720017CD3271}" name="Kolonna5368"/>
    <tableColumn id="5707" xr3:uid="{81C77E05-5B55-483D-926E-B2264B092679}" name="Kolonna5369"/>
    <tableColumn id="5708" xr3:uid="{8E8A39F1-B6AC-41E7-9B82-F04F4E839B6A}" name="Kolonna5370"/>
    <tableColumn id="5709" xr3:uid="{FD710BE8-EE4D-4C23-AD7E-2377E7E662D4}" name="Kolonna5371"/>
    <tableColumn id="5710" xr3:uid="{D0809B4E-5580-4994-A9D2-F6FC66156BFC}" name="Kolonna5372"/>
    <tableColumn id="5711" xr3:uid="{B349C2FF-59E1-47E7-83E9-55D98F8783F6}" name="Kolonna5373"/>
    <tableColumn id="5712" xr3:uid="{2DEBBFB5-7D3B-4247-98F3-7DA0864A9C5F}" name="Kolonna5374"/>
    <tableColumn id="5713" xr3:uid="{56673970-03FE-49B0-A4B3-57504B9BE8CD}" name="Kolonna5375"/>
    <tableColumn id="5714" xr3:uid="{C512F0B8-4DFC-4C69-9983-8FF8AEBCA245}" name="Kolonna5376"/>
    <tableColumn id="5715" xr3:uid="{512E072F-0EFF-4A1F-8C6D-B17ADA3E9C34}" name="Kolonna5377"/>
    <tableColumn id="5716" xr3:uid="{C50AC725-85CE-4FC7-AE21-650B34C9F3FC}" name="Kolonna5378"/>
    <tableColumn id="5717" xr3:uid="{13807D7C-A45E-4469-9AD8-7262E5013203}" name="Kolonna5379"/>
    <tableColumn id="5718" xr3:uid="{B03DA73A-B7E9-432A-8496-7631ECB6D4D7}" name="Kolonna5380"/>
    <tableColumn id="5719" xr3:uid="{6CEEF1AF-6177-42C6-AF1C-2C9C2AE36E37}" name="Kolonna5381"/>
    <tableColumn id="5720" xr3:uid="{1D819303-C160-4548-8DD6-DC1816C58CEE}" name="Kolonna5382"/>
    <tableColumn id="5721" xr3:uid="{478B4264-41AA-47C5-B126-6244C905FDA8}" name="Kolonna5383"/>
    <tableColumn id="5722" xr3:uid="{92A1B402-B154-4CD5-AB21-B481463D48DB}" name="Kolonna5384"/>
    <tableColumn id="5723" xr3:uid="{ECC2A7FA-AE60-4B80-99B4-E04646144860}" name="Kolonna5385"/>
    <tableColumn id="5724" xr3:uid="{E1375849-77EB-410C-A6F0-E8E69AF1AD14}" name="Kolonna5386"/>
    <tableColumn id="5725" xr3:uid="{8A27624C-87D7-404C-A97F-DD816CE9E4BA}" name="Kolonna5387"/>
    <tableColumn id="5726" xr3:uid="{F77E7E27-3E0D-4A28-B6FF-98DEAC271851}" name="Kolonna5388"/>
    <tableColumn id="5727" xr3:uid="{EED37846-617B-482C-9C3C-A23232AF99F0}" name="Kolonna5389"/>
    <tableColumn id="5728" xr3:uid="{3269FB87-D546-4162-A922-B42D6AA23451}" name="Kolonna5390"/>
    <tableColumn id="5729" xr3:uid="{22F72659-4F2E-4327-AF6A-97EBF74E8286}" name="Kolonna5391"/>
    <tableColumn id="5730" xr3:uid="{A2F1EF64-563B-49F9-8D77-C797388749BB}" name="Kolonna5392"/>
    <tableColumn id="5731" xr3:uid="{93C730B2-E702-40FD-BB7D-B7C72C548ADA}" name="Kolonna5393"/>
    <tableColumn id="5732" xr3:uid="{E81BAFC4-7E68-484D-B837-A2EF421F2A21}" name="Kolonna5394"/>
    <tableColumn id="5733" xr3:uid="{156B682C-3AA6-47C7-ACE3-0D5FF5B14450}" name="Kolonna5395"/>
    <tableColumn id="5734" xr3:uid="{54D74711-0A83-4456-9B43-81CFD6E827E5}" name="Kolonna5396"/>
    <tableColumn id="5735" xr3:uid="{1AB49292-7715-44AD-84F4-B5538B6C4341}" name="Kolonna5397"/>
    <tableColumn id="5736" xr3:uid="{562777C0-7418-4D8E-A9D1-375706E334E5}" name="Kolonna5398"/>
    <tableColumn id="5737" xr3:uid="{1772A332-B671-47FF-AA49-5376DE4A2DC6}" name="Kolonna5399"/>
    <tableColumn id="5738" xr3:uid="{1DE466F3-F750-49EB-912F-9CDA8661F44F}" name="Kolonna5400"/>
    <tableColumn id="5739" xr3:uid="{D8E86CA7-18E3-486F-9FAA-9338134C34FE}" name="Kolonna5401"/>
    <tableColumn id="5740" xr3:uid="{0376F766-1B37-41A4-AC6D-C2DD7816A8CC}" name="Kolonna5402"/>
    <tableColumn id="5741" xr3:uid="{787D8A40-844F-4B56-8820-800CDD57ABD6}" name="Kolonna5403"/>
    <tableColumn id="5742" xr3:uid="{ADD4707B-846A-478C-AFC4-36DD6ECE37AB}" name="Kolonna5404"/>
    <tableColumn id="5743" xr3:uid="{9F4EE396-5112-45AD-B24B-07A519F6C69E}" name="Kolonna5405"/>
    <tableColumn id="5744" xr3:uid="{050AF825-0E9D-4A42-97E8-7410D04FE766}" name="Kolonna5406"/>
    <tableColumn id="5745" xr3:uid="{1C66ABDA-403E-4C12-B232-9998112F1086}" name="Kolonna5407"/>
    <tableColumn id="5746" xr3:uid="{4ACFED4C-0A7C-47AA-BA72-358467537C2A}" name="Kolonna5408"/>
    <tableColumn id="5747" xr3:uid="{3552BFD6-90CC-4C87-9FC5-DCCA0E12947C}" name="Kolonna5409"/>
    <tableColumn id="5748" xr3:uid="{7BEF5427-892C-41E6-9069-21453950ADD9}" name="Kolonna5410"/>
    <tableColumn id="5749" xr3:uid="{9218A41F-A511-456A-8F1F-03F4F74514C5}" name="Kolonna5411"/>
    <tableColumn id="5750" xr3:uid="{152A2BFF-66D2-4EBF-AC30-18D31CBFEAE4}" name="Kolonna5412"/>
    <tableColumn id="5751" xr3:uid="{2A255DB1-4887-4F61-9F62-D56688E5AFBD}" name="Kolonna5413"/>
    <tableColumn id="5752" xr3:uid="{855EE415-1565-4E35-82DD-127CD3531426}" name="Kolonna5414"/>
    <tableColumn id="5753" xr3:uid="{FA508A0A-9590-4D08-B40D-602DBE58CB34}" name="Kolonna5415"/>
    <tableColumn id="5754" xr3:uid="{0C9A4AA1-031F-4F49-9E6E-31692F3333ED}" name="Kolonna5416"/>
    <tableColumn id="5755" xr3:uid="{314F3DD4-6B5D-4BDB-9363-EF205B915732}" name="Kolonna5417"/>
    <tableColumn id="5756" xr3:uid="{EB95B5F3-12BE-4AC9-B65A-62454100CBF1}" name="Kolonna5418"/>
    <tableColumn id="5757" xr3:uid="{ED018678-EF56-4850-9990-D369AA42A924}" name="Kolonna5419"/>
    <tableColumn id="5758" xr3:uid="{7812F77B-9B92-46C1-B820-E2220D64FB9D}" name="Kolonna5420"/>
    <tableColumn id="5759" xr3:uid="{7C77FD61-4665-4663-8F20-803D579B6CE3}" name="Kolonna5421"/>
    <tableColumn id="5760" xr3:uid="{CD7A5CD8-C9D9-46C5-9939-F64FBAA86032}" name="Kolonna5422"/>
    <tableColumn id="5761" xr3:uid="{6D90D830-5123-4CBD-8263-04BD4B324C82}" name="Kolonna5423"/>
    <tableColumn id="5762" xr3:uid="{D2B753CF-88D1-4CE9-B397-977BDB3F008E}" name="Kolonna5424"/>
    <tableColumn id="5763" xr3:uid="{F2183479-F8B4-493B-9694-EDE6EA07C7C6}" name="Kolonna5425"/>
    <tableColumn id="5764" xr3:uid="{CB9B3D96-17DF-40AA-BE6A-1F1F605ADA28}" name="Kolonna5426"/>
    <tableColumn id="5765" xr3:uid="{C06E9AEA-53A5-4E80-99EB-728AC4E073FD}" name="Kolonna5427"/>
    <tableColumn id="5766" xr3:uid="{0C5A7AFB-D4E3-493B-9D24-C5BDBA8E7929}" name="Kolonna5428"/>
    <tableColumn id="5767" xr3:uid="{AD2999B3-9AC1-43AC-8D46-83BE0D88843A}" name="Kolonna5429"/>
    <tableColumn id="5768" xr3:uid="{3B7C38D5-D30B-434D-A43D-63500A7378AF}" name="Kolonna5430"/>
    <tableColumn id="5769" xr3:uid="{8A0BCAEA-28BA-445E-A57A-55679858C285}" name="Kolonna5431"/>
    <tableColumn id="5770" xr3:uid="{3FE9E52F-B4F4-4D7C-B6FE-8684FC6243CF}" name="Kolonna5432"/>
    <tableColumn id="5771" xr3:uid="{D7C6994F-73EB-4EA9-BE60-181D53F1A363}" name="Kolonna5433"/>
    <tableColumn id="5772" xr3:uid="{380163CE-DA02-4C3C-9877-795E6641A5AE}" name="Kolonna5434"/>
    <tableColumn id="5773" xr3:uid="{2B224B4B-2A5D-4DFC-AC5B-FCCEE6BC333C}" name="Kolonna5435"/>
    <tableColumn id="5774" xr3:uid="{A7BB6E8D-766F-4B0B-A0FA-76B09FA28BC9}" name="Kolonna5436"/>
    <tableColumn id="5775" xr3:uid="{01D1B75C-D359-49C7-89CB-8773CBCB56DA}" name="Kolonna5437"/>
    <tableColumn id="5776" xr3:uid="{2E1F8BBB-BE0C-498C-A0E1-55A0139D02F0}" name="Kolonna5438"/>
    <tableColumn id="5777" xr3:uid="{4E602422-A066-4087-BCD8-65065FDB9E0D}" name="Kolonna5439"/>
    <tableColumn id="5778" xr3:uid="{C526A386-54ED-458B-9209-3CDDC527E2D2}" name="Kolonna5440"/>
    <tableColumn id="5779" xr3:uid="{08057979-1106-4BA8-8654-0C778473396C}" name="Kolonna5441"/>
    <tableColumn id="5780" xr3:uid="{D2DC286D-D33D-4000-89DD-DB31226C031E}" name="Kolonna5442"/>
    <tableColumn id="5781" xr3:uid="{FEF70791-4A96-42BA-8F33-ED646DEA0682}" name="Kolonna5443"/>
    <tableColumn id="5782" xr3:uid="{D36266DB-0E73-4AC5-A461-92A98491B394}" name="Kolonna5444"/>
    <tableColumn id="5783" xr3:uid="{D39543F4-B2AA-4658-858E-4AC8A2CE02DA}" name="Kolonna5445"/>
    <tableColumn id="5784" xr3:uid="{E2EA8F28-AB09-4C30-91CE-CC73DF6AAD83}" name="Kolonna5446"/>
    <tableColumn id="5785" xr3:uid="{FF32423C-EFBB-40DF-8517-CCDF8568A5C2}" name="Kolonna5447"/>
    <tableColumn id="5786" xr3:uid="{78C3E3F9-5446-4A54-AC12-E2A6C823376B}" name="Kolonna5448"/>
    <tableColumn id="5787" xr3:uid="{5DDEC95F-985C-40C0-A2FB-800114C12A8E}" name="Kolonna5449"/>
    <tableColumn id="5788" xr3:uid="{BBF9E4EE-70B5-4073-9C33-A6088027AB4E}" name="Kolonna5450"/>
    <tableColumn id="5789" xr3:uid="{ACDAA36C-0FE0-48EF-AD0E-5E8ADF32E36F}" name="Kolonna5451"/>
    <tableColumn id="5790" xr3:uid="{D17AB935-44D7-49D6-A987-B2EAA1CC079D}" name="Kolonna5452"/>
    <tableColumn id="5791" xr3:uid="{DC5B1D53-EA76-4225-8AEE-A05AC35E7946}" name="Kolonna5453"/>
    <tableColumn id="5792" xr3:uid="{F2264824-1517-4CF3-97FF-B268EF8A6D60}" name="Kolonna5454"/>
    <tableColumn id="5793" xr3:uid="{35A26D49-3B4B-492B-BDD6-1A95080FDABF}" name="Kolonna5455"/>
    <tableColumn id="5794" xr3:uid="{90293709-DA23-4BFB-B6F4-E149995A0876}" name="Kolonna5456"/>
    <tableColumn id="5795" xr3:uid="{489C803D-C6F2-4E5F-A50A-EFA4A389FCAC}" name="Kolonna5457"/>
    <tableColumn id="5796" xr3:uid="{5D9E9123-D7B6-44C3-9EBE-0D72D4E85C3B}" name="Kolonna5458"/>
    <tableColumn id="5797" xr3:uid="{EFFEB48F-D4EE-4123-A680-EFC5F379B9E1}" name="Kolonna5459"/>
    <tableColumn id="5798" xr3:uid="{B74A1F89-F368-494B-B180-420BCB68ADE5}" name="Kolonna5460"/>
    <tableColumn id="5799" xr3:uid="{C3F356C6-7BCB-4AF0-A43D-55B241DF8DA8}" name="Kolonna5461"/>
    <tableColumn id="5800" xr3:uid="{A442E129-2565-43A9-8200-234D98AD6051}" name="Kolonna5462"/>
    <tableColumn id="5801" xr3:uid="{CB02648F-03FD-45EA-99E9-714B7258F266}" name="Kolonna5463"/>
    <tableColumn id="5802" xr3:uid="{D7A1D95F-854B-4D97-AAC9-CCE2EE89D7CD}" name="Kolonna5464"/>
    <tableColumn id="5803" xr3:uid="{DC168FB7-63AD-4114-B687-8E1F79A51744}" name="Kolonna5465"/>
    <tableColumn id="5804" xr3:uid="{CDFC03B0-41B9-4E10-B31E-35FA0BA80878}" name="Kolonna5466"/>
    <tableColumn id="5805" xr3:uid="{9C86BC50-8C58-47B2-8D57-B0E16BFF65BB}" name="Kolonna5467"/>
    <tableColumn id="5806" xr3:uid="{F2079F5A-5E35-45B7-B54D-101A14A06625}" name="Kolonna5468"/>
    <tableColumn id="5807" xr3:uid="{163449B3-A4E2-4C87-9D9A-A57952335F8B}" name="Kolonna5469"/>
    <tableColumn id="5808" xr3:uid="{6E9F93F7-4B7D-47FA-950A-1D69915BDE4E}" name="Kolonna5470"/>
    <tableColumn id="5809" xr3:uid="{A38E6685-732D-42E3-89EF-1F6864C9C36E}" name="Kolonna5471"/>
    <tableColumn id="5810" xr3:uid="{BDEED32F-EF04-4342-BDAB-321D39ABE7C2}" name="Kolonna5472"/>
    <tableColumn id="5811" xr3:uid="{6EBE42AC-2E2B-4310-A7FB-7DE16F21B091}" name="Kolonna5473"/>
    <tableColumn id="5812" xr3:uid="{C99335FA-D4E2-4018-99D0-DEEBFAD01FE3}" name="Kolonna5474"/>
    <tableColumn id="5813" xr3:uid="{99ECCA42-C932-4846-A894-B4A47B583ED1}" name="Kolonna5475"/>
    <tableColumn id="5814" xr3:uid="{0E9025F8-60B6-4719-873E-2869CB8BB9A0}" name="Kolonna5476"/>
    <tableColumn id="5815" xr3:uid="{E33BF0C1-B18B-4DC7-9BC1-CC9889DCCF1E}" name="Kolonna5477"/>
    <tableColumn id="5816" xr3:uid="{AA7E57FE-BD56-4A81-AB57-EB8ACABD83A7}" name="Kolonna5478"/>
    <tableColumn id="5817" xr3:uid="{2F416FF9-2628-48E3-940E-A237C6414BF4}" name="Kolonna5479"/>
    <tableColumn id="5818" xr3:uid="{0930842D-8890-4DC4-8777-CF772D9140E4}" name="Kolonna5480"/>
    <tableColumn id="5819" xr3:uid="{893E7278-5C1A-4C77-B5C8-2704AF2FC987}" name="Kolonna5481"/>
    <tableColumn id="5820" xr3:uid="{836F264D-8CCC-49FB-8919-F1A3B5C6D683}" name="Kolonna5482"/>
    <tableColumn id="5821" xr3:uid="{922A5317-2E83-456A-A307-C6933EE70B71}" name="Kolonna5483"/>
    <tableColumn id="5822" xr3:uid="{2AB8C17E-8940-4EDA-B8DB-797E08459F26}" name="Kolonna5484"/>
    <tableColumn id="5823" xr3:uid="{D93A6776-C1C9-420A-B4BE-F03E80E309D8}" name="Kolonna5485"/>
    <tableColumn id="5824" xr3:uid="{33FD4AD7-70EF-40C1-B65F-7EA4CC035674}" name="Kolonna5486"/>
    <tableColumn id="5825" xr3:uid="{E3F4FAB6-8DB7-4C0E-8172-670FC36D8143}" name="Kolonna5487"/>
    <tableColumn id="5826" xr3:uid="{C4568BEF-157A-481E-A330-BA1CE0E00729}" name="Kolonna5488"/>
    <tableColumn id="5827" xr3:uid="{8310A21C-7502-4FDD-BD71-0923D32D6E8D}" name="Kolonna5489"/>
    <tableColumn id="5828" xr3:uid="{F778F795-78EB-465C-B27E-905CF104A6C2}" name="Kolonna5490"/>
    <tableColumn id="5829" xr3:uid="{C95A9BB6-4206-4841-AF13-3323A5A94972}" name="Kolonna5491"/>
    <tableColumn id="5830" xr3:uid="{6FA9B4C5-1222-488F-BD94-371547F2BB14}" name="Kolonna5492"/>
    <tableColumn id="5831" xr3:uid="{0F7A98D8-18C8-4C00-A371-95535F632FD5}" name="Kolonna5493"/>
    <tableColumn id="5832" xr3:uid="{4C2C9F00-ECC9-476C-B9A1-6DB8C9B5E2F5}" name="Kolonna5494"/>
    <tableColumn id="5833" xr3:uid="{07AB9226-5009-4932-8EA4-E923F7C700EE}" name="Kolonna5495"/>
    <tableColumn id="5834" xr3:uid="{905686F0-C310-484B-B306-4C6BF87644FB}" name="Kolonna5496"/>
    <tableColumn id="5835" xr3:uid="{D62A600E-5526-4669-AAAC-07D91BFA1E3B}" name="Kolonna5497"/>
    <tableColumn id="5836" xr3:uid="{30060135-33E2-4493-92BC-06738AB722A2}" name="Kolonna5498"/>
    <tableColumn id="5837" xr3:uid="{C6D252C3-E3EB-48F2-A995-FFD64728829B}" name="Kolonna5499"/>
    <tableColumn id="5838" xr3:uid="{24DE5A10-0EDA-4945-B854-1B25D9546896}" name="Kolonna5500"/>
    <tableColumn id="5839" xr3:uid="{05D493D8-5D95-4D19-9168-5A6D4162D0D8}" name="Kolonna5501"/>
    <tableColumn id="5840" xr3:uid="{13466155-CD1D-43AA-994B-950E7DCDFB8B}" name="Kolonna5502"/>
    <tableColumn id="5841" xr3:uid="{DE7EF1AB-D296-4D36-998B-9FF981CA2C9E}" name="Kolonna5503"/>
    <tableColumn id="5842" xr3:uid="{9E1BA50B-687C-4E89-8C0F-801B2CEBE875}" name="Kolonna5504"/>
    <tableColumn id="5843" xr3:uid="{241A1644-0119-4B3B-85F5-6E31D5C7DECF}" name="Kolonna5505"/>
    <tableColumn id="5844" xr3:uid="{6E0A865B-5D36-434F-AB37-547C3703478C}" name="Kolonna5506"/>
    <tableColumn id="5845" xr3:uid="{3E46C6FD-1DC8-46C3-ABCE-8083F101BC5F}" name="Kolonna5507"/>
    <tableColumn id="5846" xr3:uid="{3CD5CBBF-3746-4D72-AAF9-516C37DE5490}" name="Kolonna5508"/>
    <tableColumn id="5847" xr3:uid="{C6D8F7C4-16D2-4163-A898-71E9AD1B6593}" name="Kolonna5509"/>
    <tableColumn id="5848" xr3:uid="{D4E08871-3077-4F7A-A9AF-6AC09C0C88B3}" name="Kolonna5510"/>
    <tableColumn id="5849" xr3:uid="{2FFB4AD7-CCE4-4A82-836F-FA246D625FDC}" name="Kolonna5511"/>
    <tableColumn id="5850" xr3:uid="{709FE47B-0E94-4E9E-B63E-2F613371D642}" name="Kolonna5512"/>
    <tableColumn id="5851" xr3:uid="{AE06FE50-E3E2-4503-93F8-35CB8E340761}" name="Kolonna5513"/>
    <tableColumn id="5852" xr3:uid="{6A4C978D-A02B-4453-B67F-8DFFD5E18845}" name="Kolonna5514"/>
    <tableColumn id="5853" xr3:uid="{8252D9BD-5255-452B-A213-711696B67116}" name="Kolonna5515"/>
    <tableColumn id="5854" xr3:uid="{70FF962C-BEEA-4388-8A7D-7B6B3FB57434}" name="Kolonna5516"/>
    <tableColumn id="5855" xr3:uid="{AD60ABE3-6063-447F-8FD7-B56A4F6B2DF4}" name="Kolonna5517"/>
    <tableColumn id="5856" xr3:uid="{2BBE20EB-144A-4CCF-90B1-61A68F2667FE}" name="Kolonna5518"/>
    <tableColumn id="5857" xr3:uid="{DF09ABE7-2D77-49D5-A5FA-FECF2E172251}" name="Kolonna5519"/>
    <tableColumn id="5858" xr3:uid="{9DC8D59E-70D0-47E3-806F-155F53B1FB84}" name="Kolonna5520"/>
    <tableColumn id="5859" xr3:uid="{94EB6711-9BA8-42D5-8A25-6B016006F0F7}" name="Kolonna5521"/>
    <tableColumn id="5860" xr3:uid="{A0AED0F3-9F6E-49F9-ABA9-6A1170E16D74}" name="Kolonna5522"/>
    <tableColumn id="5861" xr3:uid="{BDF69D42-A8A3-4830-B523-B34DC6F2F376}" name="Kolonna5523"/>
    <tableColumn id="5862" xr3:uid="{70E16A48-9B78-4122-99EC-7068AE813915}" name="Kolonna5524"/>
    <tableColumn id="5863" xr3:uid="{B89E520E-C762-45E9-8D9B-20BA2227647C}" name="Kolonna5525"/>
    <tableColumn id="5864" xr3:uid="{6D75718B-59BC-4A2C-AE64-4E8E9D88B947}" name="Kolonna5526"/>
    <tableColumn id="5865" xr3:uid="{CD9F3EFB-B9AD-4815-92A7-3C6489AC8E9E}" name="Kolonna5527"/>
    <tableColumn id="5866" xr3:uid="{182B18A4-A311-4243-BD71-0AE8DC1D07E3}" name="Kolonna5528"/>
    <tableColumn id="5867" xr3:uid="{66CB3E59-4C8C-400B-BD6E-3C45775A81D5}" name="Kolonna5529"/>
    <tableColumn id="5868" xr3:uid="{8A3CE064-9811-48C9-9D76-4D67620B06BA}" name="Kolonna5530"/>
    <tableColumn id="5869" xr3:uid="{DBA7868C-BBD5-46B3-993C-CCD52EB0ABAF}" name="Kolonna5531"/>
    <tableColumn id="5870" xr3:uid="{9E1EFA1B-63CD-4EBC-B238-337ADC252F49}" name="Kolonna5532"/>
    <tableColumn id="5871" xr3:uid="{C08EFBDF-8BDB-42F3-B3FA-4F8F57B88AB3}" name="Kolonna5533"/>
    <tableColumn id="5872" xr3:uid="{54C21223-EBE8-4202-96C0-F066D674D18C}" name="Kolonna5534"/>
    <tableColumn id="5873" xr3:uid="{701CA009-B08E-4467-969A-0BD43B950401}" name="Kolonna5535"/>
    <tableColumn id="5874" xr3:uid="{18552E52-E9C5-4FD2-A3B6-15043A5648B2}" name="Kolonna5536"/>
    <tableColumn id="5875" xr3:uid="{B8E75719-4CD1-4E29-831C-DF87C65A76D3}" name="Kolonna5537"/>
    <tableColumn id="5876" xr3:uid="{C6131E90-2913-4136-AE09-5E1BCE38DECD}" name="Kolonna5538"/>
    <tableColumn id="5877" xr3:uid="{F878E18F-E9D0-4F9B-9152-FBCECDE55760}" name="Kolonna5539"/>
    <tableColumn id="5878" xr3:uid="{27EF983A-E48B-47C8-B1A9-E4C455FE4C6E}" name="Kolonna5540"/>
    <tableColumn id="5879" xr3:uid="{FA2D5B55-427B-4357-954F-2A6A0FBA323E}" name="Kolonna5541"/>
    <tableColumn id="5880" xr3:uid="{386E2035-7A54-44E7-A4CA-28FE4D41E935}" name="Kolonna5542"/>
    <tableColumn id="5881" xr3:uid="{DEC1634A-ED90-4504-9727-04A2EAB94248}" name="Kolonna5543"/>
    <tableColumn id="5882" xr3:uid="{B81B8755-E932-445D-ACDB-C4ED90AC6122}" name="Kolonna5544"/>
    <tableColumn id="5883" xr3:uid="{91399D52-B500-4B90-87EF-52ECFEC31C4F}" name="Kolonna5545"/>
    <tableColumn id="5884" xr3:uid="{70C59C69-3CF9-4FBB-8AD1-4AA608AC1A57}" name="Kolonna5546"/>
    <tableColumn id="5885" xr3:uid="{B4B2FB4C-EF37-4524-B6DB-70C7BBF647BE}" name="Kolonna5547"/>
    <tableColumn id="5886" xr3:uid="{166BD010-C385-44C1-A483-01F6451C4EE6}" name="Kolonna5548"/>
    <tableColumn id="5887" xr3:uid="{48B3D65D-7BA9-4586-A251-CE2CC5FCFE9D}" name="Kolonna5549"/>
    <tableColumn id="5888" xr3:uid="{FCAAF298-A533-4F30-A31E-9878AFD5F54B}" name="Kolonna5550"/>
    <tableColumn id="5889" xr3:uid="{29861071-BCD4-41FC-B2E1-60478A4F9932}" name="Kolonna5551"/>
    <tableColumn id="5890" xr3:uid="{EB5F7328-DDCF-43FC-89E8-8A0C9E19EF98}" name="Kolonna5552"/>
    <tableColumn id="5891" xr3:uid="{3701C6DF-1083-4F78-9E93-A9C43288C799}" name="Kolonna5553"/>
    <tableColumn id="5892" xr3:uid="{9A09053F-AC06-47D3-BD14-5E89BFC91404}" name="Kolonna5554"/>
    <tableColumn id="5893" xr3:uid="{88853850-DADE-4E53-B70F-359A67953293}" name="Kolonna5555"/>
    <tableColumn id="5894" xr3:uid="{5442D762-FF1B-4CDC-BEC0-7ECFF3680DB5}" name="Kolonna5556"/>
    <tableColumn id="5895" xr3:uid="{3D963110-7D09-4E00-8402-4658A59C8F68}" name="Kolonna5557"/>
    <tableColumn id="5896" xr3:uid="{E4656B2A-E302-40DC-8E36-63AC20ADDCCF}" name="Kolonna5558"/>
    <tableColumn id="5897" xr3:uid="{6225AB2D-7A65-462B-BFD0-51CB8611BCA2}" name="Kolonna5559"/>
    <tableColumn id="5898" xr3:uid="{0E9230C0-B58C-4D3B-8CC7-8835686323FD}" name="Kolonna5560"/>
    <tableColumn id="5899" xr3:uid="{128DE0DC-7696-4AA2-8B86-8069A6F4F475}" name="Kolonna5561"/>
    <tableColumn id="5900" xr3:uid="{CBC82434-12A3-42EF-9521-6152A114BA8B}" name="Kolonna5562"/>
    <tableColumn id="5901" xr3:uid="{F0ED2B85-DDBA-4FBE-9DA9-2DC00C3315FD}" name="Kolonna5563"/>
    <tableColumn id="5902" xr3:uid="{43285F68-05F7-4FE1-83FB-41C9B4A8432F}" name="Kolonna5564"/>
    <tableColumn id="5903" xr3:uid="{6063676D-CEA0-4DDB-A1F3-D5972745DC0D}" name="Kolonna5565"/>
    <tableColumn id="5904" xr3:uid="{5551775B-EB05-43E6-9143-B0C852D0A427}" name="Kolonna5566"/>
    <tableColumn id="5905" xr3:uid="{08F9C8C9-CAA0-4960-B3C5-E1ABAAC800DE}" name="Kolonna5567"/>
    <tableColumn id="5906" xr3:uid="{6F387917-ADCF-4365-90A9-4449F77ED917}" name="Kolonna5568"/>
    <tableColumn id="5907" xr3:uid="{6487AE49-61E8-4391-B8E5-C8F808B4395E}" name="Kolonna5569"/>
    <tableColumn id="5908" xr3:uid="{07CDFA12-7707-468E-8423-6A9C70FCD39F}" name="Kolonna5570"/>
    <tableColumn id="5909" xr3:uid="{972F4A36-F9A3-47BE-ADF9-9D65055B348F}" name="Kolonna5571"/>
    <tableColumn id="5910" xr3:uid="{5EF40250-280E-4946-ACB9-E88E0DE751EB}" name="Kolonna5572"/>
    <tableColumn id="5911" xr3:uid="{4EC2C70D-D937-4AF9-B8C9-7F3118B0B599}" name="Kolonna5573"/>
    <tableColumn id="5912" xr3:uid="{029E329F-8EE9-4BB4-B99D-32652D93601B}" name="Kolonna5574"/>
    <tableColumn id="5913" xr3:uid="{DFA9C687-7E3E-49C9-A950-441D5E7FA0BD}" name="Kolonna5575"/>
    <tableColumn id="5914" xr3:uid="{DE97CCD9-EEB7-4C1C-AAE2-5D5D6E2CB896}" name="Kolonna5576"/>
    <tableColumn id="5915" xr3:uid="{ECF552C4-E2EF-4212-92B1-A2FFC194CEDF}" name="Kolonna5577"/>
    <tableColumn id="5916" xr3:uid="{DB5BB565-193B-4846-9A64-BCC94A339529}" name="Kolonna5578"/>
    <tableColumn id="5917" xr3:uid="{E7243F08-E1B8-4124-BF9D-83FC34CDEDF3}" name="Kolonna5579"/>
    <tableColumn id="5918" xr3:uid="{5C25CB6A-4DBE-4165-A90B-33CE45DAE947}" name="Kolonna5580"/>
    <tableColumn id="5919" xr3:uid="{D3C5AA22-A4D2-4522-BFBD-1600640E8B0A}" name="Kolonna5581"/>
    <tableColumn id="5920" xr3:uid="{22ABD2D2-E489-4D60-951F-1237CB68B103}" name="Kolonna5582"/>
    <tableColumn id="5921" xr3:uid="{996B2D0D-6E16-43F2-A2A6-9C4CD214E260}" name="Kolonna5583"/>
    <tableColumn id="5922" xr3:uid="{3D0B8FAB-D6AF-4F4E-82B0-1A12D86B2503}" name="Kolonna5584"/>
    <tableColumn id="5923" xr3:uid="{37B664C4-51CA-4B9B-A5D8-8CD7E554B492}" name="Kolonna5585"/>
    <tableColumn id="5924" xr3:uid="{F0367509-DB04-44F4-8D25-1ED05BAFB83B}" name="Kolonna5586"/>
    <tableColumn id="5925" xr3:uid="{9CF45C1A-F3C6-47CA-9A58-C93DB7FC52D7}" name="Kolonna5587"/>
    <tableColumn id="5926" xr3:uid="{ECF3435B-3037-4659-82E6-0AF3ED93CA39}" name="Kolonna5588"/>
    <tableColumn id="5927" xr3:uid="{77E32CD5-D724-41FC-AB0C-5DAEA62C800E}" name="Kolonna5589"/>
    <tableColumn id="5928" xr3:uid="{FC09A6FF-1760-4137-B3F7-B0C0B984D1FD}" name="Kolonna5590"/>
    <tableColumn id="5929" xr3:uid="{8A8592F3-C827-4240-8A07-69FD2F363DC2}" name="Kolonna5591"/>
    <tableColumn id="5930" xr3:uid="{3EDBC915-8300-4425-8040-F223C984031F}" name="Kolonna5592"/>
    <tableColumn id="5931" xr3:uid="{1E63EDB9-E23F-43A2-A274-01B6F22F26C5}" name="Kolonna5593"/>
    <tableColumn id="5932" xr3:uid="{78B1DB8F-4082-4004-856C-6E42B671DAF7}" name="Kolonna5594"/>
    <tableColumn id="5933" xr3:uid="{B29B90F8-1375-40F0-BBFF-F2F27028B96B}" name="Kolonna5595"/>
    <tableColumn id="5934" xr3:uid="{C1EE7E4F-BC55-430F-943C-933AB5003569}" name="Kolonna5596"/>
    <tableColumn id="5935" xr3:uid="{CBDB7636-4E3F-4E0A-86C5-E0CAAF573945}" name="Kolonna5597"/>
    <tableColumn id="5936" xr3:uid="{9761C6CE-B329-4F66-A81B-C605236D366C}" name="Kolonna5598"/>
    <tableColumn id="5937" xr3:uid="{A4FADFDA-78A8-4EC8-9CFC-FEE99439998D}" name="Kolonna5599"/>
    <tableColumn id="5938" xr3:uid="{ED6965CC-1154-4D29-8438-5E4D479DA959}" name="Kolonna5600"/>
    <tableColumn id="5939" xr3:uid="{4554F3BC-5A3D-438B-8DBE-4A32974EB6E6}" name="Kolonna5601"/>
    <tableColumn id="5940" xr3:uid="{7A590219-A11B-4D64-8A73-A5DFD913ECDD}" name="Kolonna5602"/>
    <tableColumn id="5941" xr3:uid="{EF2E3540-0D37-4A2F-9C31-29E672931BA7}" name="Kolonna5603"/>
    <tableColumn id="5942" xr3:uid="{CD93B679-1141-4E07-894A-406291BBAEC7}" name="Kolonna5604"/>
    <tableColumn id="5943" xr3:uid="{B6492FAC-F62F-47CF-B836-E4D4671E4179}" name="Kolonna5605"/>
    <tableColumn id="5944" xr3:uid="{0BFDD997-1766-4F6C-93C2-A1A40A5B8163}" name="Kolonna5606"/>
    <tableColumn id="5945" xr3:uid="{92D57045-7706-4E9B-8C60-1C21B096B5FE}" name="Kolonna5607"/>
    <tableColumn id="5946" xr3:uid="{8F9AE45B-6CDF-43C7-A209-E107429529F0}" name="Kolonna5608"/>
    <tableColumn id="5947" xr3:uid="{C0C80954-0F7D-458B-A639-1A133FFED810}" name="Kolonna5609"/>
    <tableColumn id="5948" xr3:uid="{7AE02C27-39FB-4F1C-AE8B-A4F07A2DE9E4}" name="Kolonna5610"/>
    <tableColumn id="5949" xr3:uid="{6115ED48-257C-44E8-BBBC-7B8DDEF02DDE}" name="Kolonna5611"/>
    <tableColumn id="5950" xr3:uid="{DBC8BB9E-96FE-4C48-9897-445CD5D405F1}" name="Kolonna5612"/>
    <tableColumn id="5951" xr3:uid="{8D40C3EE-0EA0-47A2-A66B-98C2108F95A8}" name="Kolonna5613"/>
    <tableColumn id="5952" xr3:uid="{4C8E8061-6D03-4C3B-9521-84A7EFB0CC73}" name="Kolonna5614"/>
    <tableColumn id="5953" xr3:uid="{87BB7140-93BA-4151-B2E7-690132CDD3E6}" name="Kolonna5615"/>
    <tableColumn id="5954" xr3:uid="{2C72F48E-6C9F-4D27-82C6-E1C7CB39CA44}" name="Kolonna5616"/>
    <tableColumn id="5955" xr3:uid="{EF8ACFDA-0953-4B2A-B20A-461778610E8A}" name="Kolonna5617"/>
    <tableColumn id="5956" xr3:uid="{4A9213CA-156C-4945-8636-78DD8E16B212}" name="Kolonna5618"/>
    <tableColumn id="5957" xr3:uid="{3CB67520-F63D-4304-A8EC-F91F2824D125}" name="Kolonna5619"/>
    <tableColumn id="5958" xr3:uid="{03D22036-0BA8-4C88-B5D7-EE93C56F87EF}" name="Kolonna5620"/>
    <tableColumn id="5959" xr3:uid="{E198AE9E-C938-4485-B8D0-9505DA187024}" name="Kolonna5621"/>
    <tableColumn id="5960" xr3:uid="{9173FE5D-E7C7-466A-9555-1E34FFC57A99}" name="Kolonna5622"/>
    <tableColumn id="5961" xr3:uid="{AADAAA6A-6BF1-4A8D-A19A-6C644F7B1421}" name="Kolonna5623"/>
    <tableColumn id="5962" xr3:uid="{264C2363-989F-4653-9253-21CE3A1E376B}" name="Kolonna5624"/>
    <tableColumn id="5963" xr3:uid="{F405BDC1-0098-4B03-A2F5-B0F39B150A28}" name="Kolonna5625"/>
    <tableColumn id="5964" xr3:uid="{49158AAE-AB93-4196-9EC7-64451AF49FD5}" name="Kolonna5626"/>
    <tableColumn id="5965" xr3:uid="{2A960135-271A-41E7-A359-0DA1E8C1CCF3}" name="Kolonna5627"/>
    <tableColumn id="5966" xr3:uid="{8E8FDAF4-A538-46A5-AF19-AE0D73484187}" name="Kolonna5628"/>
    <tableColumn id="5967" xr3:uid="{A9B19A46-7B67-40EF-B985-931C637EB5BF}" name="Kolonna5629"/>
    <tableColumn id="5968" xr3:uid="{AD05D93A-7910-40C5-8952-E69FAC03F20C}" name="Kolonna5630"/>
    <tableColumn id="5969" xr3:uid="{1C272BAD-1823-4950-A60F-E27B8F4BC478}" name="Kolonna5631"/>
    <tableColumn id="5970" xr3:uid="{9582E253-17B2-4CAA-ACAB-4F8B2024B3F6}" name="Kolonna5632"/>
    <tableColumn id="5971" xr3:uid="{BD3063E1-53D7-4A9B-B19A-079570B21EB1}" name="Kolonna5633"/>
    <tableColumn id="5972" xr3:uid="{F79B3304-3373-48C2-9A1A-500089C36D8E}" name="Kolonna5634"/>
    <tableColumn id="5973" xr3:uid="{799EB910-D680-4588-9ED1-D0B506DFFB11}" name="Kolonna5635"/>
    <tableColumn id="5974" xr3:uid="{2D7727AF-6B52-4E0E-9350-3A15B4104591}" name="Kolonna5636"/>
    <tableColumn id="5975" xr3:uid="{D0ED55BD-47E2-4E9E-9A28-9F18097C0797}" name="Kolonna5637"/>
    <tableColumn id="5976" xr3:uid="{77BC7B43-9AFD-4CC3-8E46-AF202DF94A6D}" name="Kolonna5638"/>
    <tableColumn id="5977" xr3:uid="{CFD3EBAD-2D4E-4D0E-90CF-EEF8EDE35966}" name="Kolonna5639"/>
    <tableColumn id="5978" xr3:uid="{4C2401EC-21D4-4F32-8F25-CF4A2671E1ED}" name="Kolonna5640"/>
    <tableColumn id="5979" xr3:uid="{436C99A1-BB2B-4A66-AA1C-0DE8350641C0}" name="Kolonna5641"/>
    <tableColumn id="5980" xr3:uid="{81B8F385-311F-4EE9-83A0-1308EA7B6FD7}" name="Kolonna5642"/>
    <tableColumn id="5981" xr3:uid="{A7A965D6-A4B8-4D40-B490-5F63EFE02BA7}" name="Kolonna5643"/>
    <tableColumn id="5982" xr3:uid="{3D69CC55-AB03-4748-AD81-8B806A249AEC}" name="Kolonna5644"/>
    <tableColumn id="5983" xr3:uid="{4FE1B1C7-9629-4F9A-A2B7-BFFD8EC43355}" name="Kolonna5645"/>
    <tableColumn id="5984" xr3:uid="{40469033-A590-4876-BA0B-59B13305E242}" name="Kolonna5646"/>
    <tableColumn id="5985" xr3:uid="{228B63B8-0B61-4ADF-978B-5B5922D84B80}" name="Kolonna5647"/>
    <tableColumn id="5986" xr3:uid="{BC20E249-5456-4C3C-B7DE-7F8B12C912E7}" name="Kolonna5648"/>
    <tableColumn id="5987" xr3:uid="{1D59B0D0-768D-4F42-8410-7CA791D8F53A}" name="Kolonna5649"/>
    <tableColumn id="5988" xr3:uid="{210E1632-4AEF-4398-9598-2D0A1B11BC6E}" name="Kolonna5650"/>
    <tableColumn id="5989" xr3:uid="{B0569563-4B1D-4F4A-BBD6-E9BC9AE9A23D}" name="Kolonna5651"/>
    <tableColumn id="5990" xr3:uid="{36D6E2F3-32DE-4BCA-9B6D-4CD6B7093A49}" name="Kolonna5652"/>
    <tableColumn id="5991" xr3:uid="{3299847F-C1F1-42E3-9E76-C7805A63AA26}" name="Kolonna5653"/>
    <tableColumn id="5992" xr3:uid="{4EB9D624-09A7-43BC-A4A8-8CFB5BF68BA2}" name="Kolonna5654"/>
    <tableColumn id="5993" xr3:uid="{9AEE3C12-4A71-4516-8E7C-44A0102EBC79}" name="Kolonna5655"/>
    <tableColumn id="5994" xr3:uid="{D4C25168-3388-406E-9EE0-DEF6593743BE}" name="Kolonna5656"/>
    <tableColumn id="5995" xr3:uid="{625F1BEE-D41F-4340-AFF5-B5FFF9316319}" name="Kolonna5657"/>
    <tableColumn id="5996" xr3:uid="{D9237947-CE06-4BBC-8E62-66BADE18B01A}" name="Kolonna5658"/>
    <tableColumn id="5997" xr3:uid="{976E1205-E61F-4B1B-A69A-62AD04032F32}" name="Kolonna5659"/>
    <tableColumn id="5998" xr3:uid="{D6D251A6-4D4A-494C-946C-996DD912E011}" name="Kolonna5660"/>
    <tableColumn id="5999" xr3:uid="{1F1DA10E-6720-466A-BA21-80866020D8EA}" name="Kolonna5661"/>
    <tableColumn id="6000" xr3:uid="{2D7083BB-042D-4A1C-9D9D-526E2AECABC7}" name="Kolonna5662"/>
    <tableColumn id="6001" xr3:uid="{9938D531-3124-4A18-B09E-D914D1FB725C}" name="Kolonna5663"/>
    <tableColumn id="6002" xr3:uid="{17CF524F-8FC0-4086-843D-2883F5BF35C3}" name="Kolonna5664"/>
    <tableColumn id="6003" xr3:uid="{57E8CA8B-B543-4986-BB24-A61CCE6875AA}" name="Kolonna5665"/>
    <tableColumn id="6004" xr3:uid="{83468589-8A74-4765-B786-4CF80AB56F6E}" name="Kolonna5666"/>
    <tableColumn id="6005" xr3:uid="{FC06B033-05A2-4F81-A182-748BF5D33695}" name="Kolonna5667"/>
    <tableColumn id="6006" xr3:uid="{4B6EC8E6-43B3-4D9C-803D-C347A7CA6365}" name="Kolonna5668"/>
    <tableColumn id="6007" xr3:uid="{CFD9C5F7-5958-4C53-BDFA-0897F31E32B4}" name="Kolonna5669"/>
    <tableColumn id="6008" xr3:uid="{5735F746-A346-48A4-BC98-89F19F855AD6}" name="Kolonna5670"/>
    <tableColumn id="6009" xr3:uid="{62485294-1542-406A-A8D8-804A5F9B9D7C}" name="Kolonna5671"/>
    <tableColumn id="6010" xr3:uid="{F5875FEB-230B-42F3-8982-AE2FCC092967}" name="Kolonna5672"/>
    <tableColumn id="6011" xr3:uid="{FD77189F-B757-4A7E-9C02-550B89185066}" name="Kolonna5673"/>
    <tableColumn id="6012" xr3:uid="{9B8AD47A-6B4E-4A28-ACFB-DC008620DFBE}" name="Kolonna5674"/>
    <tableColumn id="6013" xr3:uid="{E6B1807C-9A21-43B3-8250-BABE4F5F51BB}" name="Kolonna5675"/>
    <tableColumn id="6014" xr3:uid="{42FCD925-7D31-4397-B878-25EA5CF3E367}" name="Kolonna5676"/>
    <tableColumn id="6015" xr3:uid="{E011F763-CA9A-44E2-BAD8-74C2A96E18BB}" name="Kolonna5677"/>
    <tableColumn id="6016" xr3:uid="{9C87E065-A2B8-4A34-9E9A-997DDB7BE2F8}" name="Kolonna5678"/>
    <tableColumn id="6017" xr3:uid="{46A5C015-5688-46A9-AC4F-B2A60BD7FEDE}" name="Kolonna5679"/>
    <tableColumn id="6018" xr3:uid="{8D1E53FA-CA5A-4AB9-9BC9-08BEA62F03B7}" name="Kolonna5680"/>
    <tableColumn id="6019" xr3:uid="{CAFD87F0-1C8B-407E-A3E1-FAC131EB776D}" name="Kolonna5681"/>
    <tableColumn id="6020" xr3:uid="{BD44FA30-7E40-401C-842A-AD78E1B1F255}" name="Kolonna5682"/>
    <tableColumn id="6021" xr3:uid="{AF11A008-EF23-4B11-8E0F-CD2490F16FE5}" name="Kolonna5683"/>
    <tableColumn id="6022" xr3:uid="{C19FAA59-9DDE-47D8-80C3-2C2A050A84FD}" name="Kolonna5684"/>
    <tableColumn id="6023" xr3:uid="{E5C0E1AF-C6D0-46ED-A7A9-50ADAE46C308}" name="Kolonna5685"/>
    <tableColumn id="6024" xr3:uid="{01B557C2-9778-4575-99B1-B15611CEC487}" name="Kolonna5686"/>
    <tableColumn id="6025" xr3:uid="{6C6D4248-C176-45EF-AF5E-BBE7A5BCBA73}" name="Kolonna5687"/>
    <tableColumn id="6026" xr3:uid="{BB2BAD34-01FE-426A-BD05-8420903E786C}" name="Kolonna5688"/>
    <tableColumn id="6027" xr3:uid="{A4B15AD0-5721-4301-BAC2-2E3F67E50651}" name="Kolonna5689"/>
    <tableColumn id="6028" xr3:uid="{885B48EC-50A9-4A15-B774-6FA59B0F55CE}" name="Kolonna5690"/>
    <tableColumn id="6029" xr3:uid="{B4153BF1-2BA8-444D-850B-08A70DA0C6D9}" name="Kolonna5691"/>
    <tableColumn id="6030" xr3:uid="{9CE57CD5-F647-4FE4-A004-B038991DCDFE}" name="Kolonna5692"/>
    <tableColumn id="6031" xr3:uid="{FF860578-888D-4F23-B9D8-0CAF40E5A1D2}" name="Kolonna5693"/>
    <tableColumn id="6032" xr3:uid="{5B7CAC3B-15DF-4024-AC16-3C6BD7C2F80B}" name="Kolonna5694"/>
    <tableColumn id="6033" xr3:uid="{80F4E1BF-37A8-4782-B0E8-0A01ADD41DEE}" name="Kolonna5695"/>
    <tableColumn id="6034" xr3:uid="{EFD15451-5CFA-47F1-8449-DE4DADEDEBF6}" name="Kolonna5696"/>
    <tableColumn id="6035" xr3:uid="{5B4CF566-4C96-4833-BC1B-CBA9571052F6}" name="Kolonna5697"/>
    <tableColumn id="6036" xr3:uid="{F29097C7-6317-45A1-9B7F-C925658004FC}" name="Kolonna5698"/>
    <tableColumn id="6037" xr3:uid="{A288721A-4A34-4305-A4B0-B1DF43A9A859}" name="Kolonna5699"/>
    <tableColumn id="6038" xr3:uid="{B31B195C-9E91-43A9-8E8A-5C7E3CF9CF54}" name="Kolonna5700"/>
    <tableColumn id="6039" xr3:uid="{602AD86B-746D-4F0E-935D-255D786E1E25}" name="Kolonna5701"/>
    <tableColumn id="6040" xr3:uid="{A3BFACB7-7597-41AD-89EA-BD411DFAB4A9}" name="Kolonna5702"/>
    <tableColumn id="6041" xr3:uid="{85D72513-A6D1-479B-AA95-FDABB6D2AD09}" name="Kolonna5703"/>
    <tableColumn id="6042" xr3:uid="{D454A5AA-FBF0-4840-AB6F-484AAC47890F}" name="Kolonna5704"/>
    <tableColumn id="6043" xr3:uid="{18F4575B-3B6B-4745-8F10-3CE5F9FA938F}" name="Kolonna5705"/>
    <tableColumn id="6044" xr3:uid="{CF204326-CC08-429E-A758-9CFADC2C40A0}" name="Kolonna5706"/>
    <tableColumn id="6045" xr3:uid="{F423AA45-E464-4338-81BC-BF65FE17EA44}" name="Kolonna5707"/>
    <tableColumn id="6046" xr3:uid="{698757FE-FA25-4C38-B755-2781C8374399}" name="Kolonna5708"/>
    <tableColumn id="6047" xr3:uid="{35E17465-C791-4F7D-9B6C-4A54FE038F4D}" name="Kolonna5709"/>
    <tableColumn id="6048" xr3:uid="{C8FAF83F-7DC2-4979-991F-6D2BE1B9C089}" name="Kolonna5710"/>
    <tableColumn id="6049" xr3:uid="{4CE501F3-0080-473D-AA1A-AC70C8EAB70B}" name="Kolonna5711"/>
    <tableColumn id="6050" xr3:uid="{78AE3167-4E48-4A9E-A6E4-2AB08AFA0C99}" name="Kolonna5712"/>
    <tableColumn id="6051" xr3:uid="{18401105-56BF-46B2-BDDC-AF09A1CCA689}" name="Kolonna5713"/>
    <tableColumn id="6052" xr3:uid="{BAD03B53-34E4-4AD3-B762-92A844D1A726}" name="Kolonna5714"/>
    <tableColumn id="6053" xr3:uid="{7CD9581D-68B4-477C-B065-3434289D34A9}" name="Kolonna5715"/>
    <tableColumn id="6054" xr3:uid="{EFAF9744-40E2-4E52-9D11-DB49F0D97E3C}" name="Kolonna5716"/>
    <tableColumn id="6055" xr3:uid="{7A68B98A-0D03-4571-8FCB-3BF9F36E9465}" name="Kolonna5717"/>
    <tableColumn id="6056" xr3:uid="{25447C11-FB64-4E8E-B615-5910B41F21C9}" name="Kolonna5718"/>
    <tableColumn id="6057" xr3:uid="{7C5C52E6-FF1E-4286-9E35-1C272C5F745B}" name="Kolonna5719"/>
    <tableColumn id="6058" xr3:uid="{D5E3B469-223D-4378-99D1-BB17BB148219}" name="Kolonna5720"/>
    <tableColumn id="6059" xr3:uid="{247E0A20-EE59-4D42-A5FF-33D315CC4881}" name="Kolonna5721"/>
    <tableColumn id="6060" xr3:uid="{AEC22C98-30F3-4548-B56B-BEC4E2BCE1BA}" name="Kolonna5722"/>
    <tableColumn id="6061" xr3:uid="{6D3D6C95-C73D-40D5-A045-3E362A64D188}" name="Kolonna5723"/>
    <tableColumn id="6062" xr3:uid="{4373D7DB-6B60-4986-BF5B-7B0F8DCD5A3A}" name="Kolonna5724"/>
    <tableColumn id="6063" xr3:uid="{ED337E54-38A9-4245-920C-8493E8DEF449}" name="Kolonna5725"/>
    <tableColumn id="6064" xr3:uid="{31794794-E6A5-435E-B6F3-CBC1436D6083}" name="Kolonna5726"/>
    <tableColumn id="6065" xr3:uid="{B956FDB3-DB1E-4AA4-8A52-B64455D811A7}" name="Kolonna5727"/>
    <tableColumn id="6066" xr3:uid="{51F7ADBB-460B-4F82-A42A-621838B0B94B}" name="Kolonna5728"/>
    <tableColumn id="6067" xr3:uid="{BC2B6756-AA03-41BA-BAB5-5FF5ABF27EC0}" name="Kolonna5729"/>
    <tableColumn id="6068" xr3:uid="{7C9532AC-073A-4319-B974-99E391E2978C}" name="Kolonna5730"/>
    <tableColumn id="6069" xr3:uid="{EBEAEF0C-50DD-487D-B131-C3A8595946BC}" name="Kolonna5731"/>
    <tableColumn id="6070" xr3:uid="{97773BAB-1A35-484E-885D-8C2801597439}" name="Kolonna5732"/>
    <tableColumn id="6071" xr3:uid="{9FA95A2C-29EA-443E-8D9F-77AEDDC542D0}" name="Kolonna5733"/>
    <tableColumn id="6072" xr3:uid="{2DA7121C-2A79-4300-82BA-E81412895B70}" name="Kolonna5734"/>
    <tableColumn id="6073" xr3:uid="{3CCD2597-5DFE-4893-B4EC-CD0988CCC822}" name="Kolonna5735"/>
    <tableColumn id="6074" xr3:uid="{870BF313-509C-4108-A322-D050E5A74453}" name="Kolonna5736"/>
    <tableColumn id="6075" xr3:uid="{5042E49F-6037-4885-9205-2749E306AE93}" name="Kolonna5737"/>
    <tableColumn id="6076" xr3:uid="{CF038E5F-BDBC-4445-A12E-62B65B5023CE}" name="Kolonna5738"/>
    <tableColumn id="6077" xr3:uid="{D20C04F3-DE71-4545-A731-3371C954202A}" name="Kolonna5739"/>
    <tableColumn id="6078" xr3:uid="{7254F24F-B304-4326-9545-07D700FC608F}" name="Kolonna5740"/>
    <tableColumn id="6079" xr3:uid="{2A59E0FF-9EBA-4CCA-B033-FA08788A126A}" name="Kolonna5741"/>
    <tableColumn id="6080" xr3:uid="{10E19558-B101-46D5-BCF0-FA59E94F9E91}" name="Kolonna5742"/>
    <tableColumn id="6081" xr3:uid="{F1C12D82-C5B8-4E30-ADB5-0DB32B901C3C}" name="Kolonna5743"/>
    <tableColumn id="6082" xr3:uid="{B339E468-5DF9-4E25-9831-023E411A5567}" name="Kolonna5744"/>
    <tableColumn id="6083" xr3:uid="{8580A7B0-BF54-4461-ACF1-6CAEE9D531A8}" name="Kolonna5745"/>
    <tableColumn id="6084" xr3:uid="{8EBC4599-FB53-44D9-942F-3394FD944B3A}" name="Kolonna5746"/>
    <tableColumn id="6085" xr3:uid="{1C40CDE9-3DFA-497E-8ABC-0BE3CF1D373A}" name="Kolonna5747"/>
    <tableColumn id="6086" xr3:uid="{B67CA8E6-35A5-4294-9C8F-0B68CD8EA51D}" name="Kolonna5748"/>
    <tableColumn id="6087" xr3:uid="{4A3669E9-5D2C-4A74-8F96-EA5040744E0E}" name="Kolonna5749"/>
    <tableColumn id="6088" xr3:uid="{8FCC6A76-9B44-42B1-8EEB-A35A34390000}" name="Kolonna5750"/>
    <tableColumn id="6089" xr3:uid="{A392A5DE-0D79-456F-9928-FE4943D81E2F}" name="Kolonna5751"/>
    <tableColumn id="6090" xr3:uid="{EFD49BE7-69C4-4DCC-B5AA-8BE498E1BC89}" name="Kolonna5752"/>
    <tableColumn id="6091" xr3:uid="{B1E41F98-88B7-4BF1-9ABD-1CE3DADC66C7}" name="Kolonna5753"/>
    <tableColumn id="6092" xr3:uid="{D3EF8301-0343-413D-B620-4ABBFDED9010}" name="Kolonna5754"/>
    <tableColumn id="6093" xr3:uid="{75F786CC-DEA2-44C6-8848-FE88A8949215}" name="Kolonna5755"/>
    <tableColumn id="6094" xr3:uid="{B64D485D-9644-486D-8FE7-E1AB4E01604B}" name="Kolonna5756"/>
    <tableColumn id="6095" xr3:uid="{72390531-3306-4931-8FAB-79BF1E7A076D}" name="Kolonna5757"/>
    <tableColumn id="6096" xr3:uid="{E4051C22-DEC1-49DF-B52A-4EDCA8211013}" name="Kolonna5758"/>
    <tableColumn id="6097" xr3:uid="{A26FAFDA-ECC5-422E-8021-3433FCE4107F}" name="Kolonna5759"/>
    <tableColumn id="6098" xr3:uid="{8121CC45-7C35-4107-9037-B7E473571804}" name="Kolonna5760"/>
    <tableColumn id="6099" xr3:uid="{6ADFBAFC-42F3-49FB-94AA-DE77DFD77081}" name="Kolonna5761"/>
    <tableColumn id="6100" xr3:uid="{85B2DC81-1AA3-4C4A-BFF7-27F44421AF56}" name="Kolonna5762"/>
    <tableColumn id="6101" xr3:uid="{EB205DB3-21AE-4886-BCF7-06981F4CF5A1}" name="Kolonna5763"/>
    <tableColumn id="6102" xr3:uid="{94F4F2B1-681B-48E4-A8C0-C40392E41CA3}" name="Kolonna5764"/>
    <tableColumn id="6103" xr3:uid="{21873E5A-F6E9-46C2-B40D-F8B3402A74BC}" name="Kolonna5765"/>
    <tableColumn id="6104" xr3:uid="{AB2DE89F-049A-433E-8EDD-C7375DD8A644}" name="Kolonna5766"/>
    <tableColumn id="6105" xr3:uid="{B837EC53-C62C-4EC5-B91D-2B17F661B271}" name="Kolonna5767"/>
    <tableColumn id="6106" xr3:uid="{68584B0B-663F-42D1-A939-67C0571747D6}" name="Kolonna5768"/>
    <tableColumn id="6107" xr3:uid="{CF45D511-1E3A-4B63-B143-24D274178A2A}" name="Kolonna5769"/>
    <tableColumn id="6108" xr3:uid="{25BB094F-DB32-4A11-BC88-81F25EDB0673}" name="Kolonna5770"/>
    <tableColumn id="6109" xr3:uid="{5CF4B2E1-9B82-49EC-B13C-E6C4B54F6295}" name="Kolonna5771"/>
    <tableColumn id="6110" xr3:uid="{A7C5EDB9-F25B-4A49-B4F6-745C2786B8CD}" name="Kolonna5772"/>
    <tableColumn id="6111" xr3:uid="{7A58AA4C-8994-43F6-90FC-36E9A623E8DA}" name="Kolonna5773"/>
    <tableColumn id="6112" xr3:uid="{31C0C73B-BC83-45A1-8DE8-1B20314BCF5F}" name="Kolonna5774"/>
    <tableColumn id="6113" xr3:uid="{BB1D548A-7679-46A9-862E-84FFF2A34990}" name="Kolonna5775"/>
    <tableColumn id="6114" xr3:uid="{8749C70B-FE30-483C-8217-C03398960EFA}" name="Kolonna5776"/>
    <tableColumn id="6115" xr3:uid="{4F6AD0C4-0C39-4344-80DD-54348549AC19}" name="Kolonna5777"/>
    <tableColumn id="6116" xr3:uid="{738CCCF1-DFF5-43DE-9916-9E4FCE5A6583}" name="Kolonna5778"/>
    <tableColumn id="6117" xr3:uid="{8179B1DF-9A79-4556-89C4-980CB39EB737}" name="Kolonna5779"/>
    <tableColumn id="6118" xr3:uid="{D3CCE893-FD9D-4D98-9620-C7346E55B361}" name="Kolonna5780"/>
    <tableColumn id="6119" xr3:uid="{4E0543D4-725E-43C3-B75F-D25748D927B6}" name="Kolonna5781"/>
    <tableColumn id="6120" xr3:uid="{9A1C5CC0-7EBC-4D81-BFB0-5112E8FC32AF}" name="Kolonna5782"/>
    <tableColumn id="6121" xr3:uid="{E9E4F43B-72A8-4B1D-86C2-678AA9EAF182}" name="Kolonna5783"/>
    <tableColumn id="6122" xr3:uid="{9505CF7C-D971-4C4E-85BB-BE85C792F9AF}" name="Kolonna5784"/>
    <tableColumn id="6123" xr3:uid="{4D13D689-F072-4277-8AEF-DBB87182BE60}" name="Kolonna5785"/>
    <tableColumn id="6124" xr3:uid="{47DEA162-3C0E-4138-A00D-007960C732BA}" name="Kolonna5786"/>
    <tableColumn id="6125" xr3:uid="{47A95BAE-0497-496E-BB28-1194747F4AD3}" name="Kolonna5787"/>
    <tableColumn id="6126" xr3:uid="{738E45A6-912C-42B0-A48D-5A322FCB667C}" name="Kolonna5788"/>
    <tableColumn id="6127" xr3:uid="{8256D494-3D8E-4829-8335-3116FD5E8540}" name="Kolonna5789"/>
    <tableColumn id="6128" xr3:uid="{1EBB9A5F-C933-4D1E-80A5-D8E6ADAE0092}" name="Kolonna5790"/>
    <tableColumn id="6129" xr3:uid="{7F7E31D1-6392-4C37-B83D-BC19AC5E46F1}" name="Kolonna5791"/>
    <tableColumn id="6130" xr3:uid="{EE169EC1-C314-4036-9F86-8EE52E9BFA35}" name="Kolonna5792"/>
    <tableColumn id="6131" xr3:uid="{11983A8A-5134-4C54-8DF0-AE921B82C522}" name="Kolonna5793"/>
    <tableColumn id="6132" xr3:uid="{C58ECE6C-3E5C-498E-A015-EE01CA8B842F}" name="Kolonna5794"/>
    <tableColumn id="6133" xr3:uid="{24B3B4B2-D1AC-4161-8D20-4E2666484A93}" name="Kolonna5795"/>
    <tableColumn id="6134" xr3:uid="{1B216AE5-8172-44CC-A8B2-88BE40CBB788}" name="Kolonna5796"/>
    <tableColumn id="6135" xr3:uid="{07367AFE-66AE-4CD8-BBFA-C4DF267276A4}" name="Kolonna5797"/>
    <tableColumn id="6136" xr3:uid="{37F855A1-F2B1-423F-AD69-99E220B9755C}" name="Kolonna5798"/>
    <tableColumn id="6137" xr3:uid="{72FAFD05-3A9E-4BF7-BBCB-775DE3902A66}" name="Kolonna5799"/>
    <tableColumn id="6138" xr3:uid="{343248DD-24CF-4FF5-B143-079AA5AFF7D0}" name="Kolonna5800"/>
    <tableColumn id="6139" xr3:uid="{053A6408-3B73-436F-BD7A-560185AA364B}" name="Kolonna5801"/>
    <tableColumn id="6140" xr3:uid="{285727E8-1CBB-497D-ADA2-1B5CD2FF67BD}" name="Kolonna5802"/>
    <tableColumn id="6141" xr3:uid="{51E1410D-7020-4C53-A932-5E7132D108BD}" name="Kolonna5803"/>
    <tableColumn id="6142" xr3:uid="{5EAA138B-FE7E-4C44-AE22-00679207F16A}" name="Kolonna5804"/>
    <tableColumn id="6143" xr3:uid="{4D6CEA1E-09BF-491B-97E2-2A20F766AA7F}" name="Kolonna5805"/>
    <tableColumn id="6144" xr3:uid="{E01683C1-8BD6-4481-A5D5-08FE373692EC}" name="Kolonna5806"/>
    <tableColumn id="6145" xr3:uid="{40679510-13EA-4760-B78A-6DD3D624ED3E}" name="Kolonna5807"/>
    <tableColumn id="6146" xr3:uid="{EFD12F44-2A2D-49EE-AD0E-3882972124CD}" name="Kolonna5808"/>
    <tableColumn id="6147" xr3:uid="{67EFEF9A-6533-4F5A-9E86-34D790205A28}" name="Kolonna5809"/>
    <tableColumn id="6148" xr3:uid="{6F90B2E6-AE42-44AC-AB4A-FF26EDD920F1}" name="Kolonna5810"/>
    <tableColumn id="6149" xr3:uid="{B785F05D-B3A7-4844-AD08-E2FA0A88A7FD}" name="Kolonna5811"/>
    <tableColumn id="6150" xr3:uid="{0CC6939A-3BF8-43C2-BE68-A5E7ADB0C895}" name="Kolonna5812"/>
    <tableColumn id="6151" xr3:uid="{65411F1A-AE42-4EAE-9720-2663E72EAD1F}" name="Kolonna5813"/>
    <tableColumn id="6152" xr3:uid="{430CCEF0-974F-40E5-9FC4-05494D77BFE8}" name="Kolonna5814"/>
    <tableColumn id="6153" xr3:uid="{9B4A3666-7BF6-4B7F-876D-D42CFD6C95D1}" name="Kolonna5815"/>
    <tableColumn id="6154" xr3:uid="{CD52C84C-50B4-43AB-9B0A-8C67EED860C7}" name="Kolonna5816"/>
    <tableColumn id="6155" xr3:uid="{D89FD4F8-C778-4108-B643-E9F26F8223D8}" name="Kolonna5817"/>
    <tableColumn id="6156" xr3:uid="{0E03E580-2AD4-4031-846E-023E8D104A14}" name="Kolonna5818"/>
    <tableColumn id="6157" xr3:uid="{18DC3114-1845-4480-AD43-5EBD6CA132B1}" name="Kolonna5819"/>
    <tableColumn id="6158" xr3:uid="{8ABDC2AF-3F47-4DE4-93CE-C955E91E65DA}" name="Kolonna5820"/>
    <tableColumn id="6159" xr3:uid="{D71DBEFB-FC71-45EC-86BB-9EF1703AB6D5}" name="Kolonna5821"/>
    <tableColumn id="6160" xr3:uid="{1B8771B2-9248-4DDD-A683-32FDFD1F7862}" name="Kolonna5822"/>
    <tableColumn id="6161" xr3:uid="{76500FA8-2EC5-454F-83ED-A91DCF7047FA}" name="Kolonna5823"/>
    <tableColumn id="6162" xr3:uid="{0D4E76AB-E23A-4407-BADD-F232AC1A27A3}" name="Kolonna5824"/>
    <tableColumn id="6163" xr3:uid="{4E79DB76-8C77-42B1-9918-C94EA0B767AC}" name="Kolonna5825"/>
    <tableColumn id="6164" xr3:uid="{9FA61FD3-4ED0-4BE7-B9B7-FEEDE91036CF}" name="Kolonna5826"/>
    <tableColumn id="6165" xr3:uid="{AA0B3F38-64F7-4F8E-B8B5-2CF2DE5BFBC5}" name="Kolonna5827"/>
    <tableColumn id="6166" xr3:uid="{667A2459-1FE7-4705-B3FE-CA5D342EC2EF}" name="Kolonna5828"/>
    <tableColumn id="6167" xr3:uid="{7DC2B07D-257C-4701-AC00-90BD2861E14D}" name="Kolonna5829"/>
    <tableColumn id="6168" xr3:uid="{864B2C4A-D263-4609-94BE-9320FA5BAD96}" name="Kolonna5830"/>
    <tableColumn id="6169" xr3:uid="{DFF6ABFA-4BAE-440D-AFF0-DD5A0BA93A35}" name="Kolonna5831"/>
    <tableColumn id="6170" xr3:uid="{1A66784E-616E-44CE-826A-763591F8E118}" name="Kolonna5832"/>
    <tableColumn id="6171" xr3:uid="{8F2852FF-9573-4B9A-9F2A-121ED0531AE0}" name="Kolonna5833"/>
    <tableColumn id="6172" xr3:uid="{C67126F6-8854-4569-A376-0ADF4B768FC6}" name="Kolonna5834"/>
    <tableColumn id="6173" xr3:uid="{D9747F1E-E371-436E-AC60-E2B5B8E3A9A5}" name="Kolonna5835"/>
    <tableColumn id="6174" xr3:uid="{72CFC74A-A768-488E-81A6-B181F7EAE8B9}" name="Kolonna5836"/>
    <tableColumn id="6175" xr3:uid="{4BD814A7-EE4C-4675-97D7-470449BD2634}" name="Kolonna5837"/>
    <tableColumn id="6176" xr3:uid="{5FE89150-95D3-41E6-9FA0-A710493EDD6B}" name="Kolonna5838"/>
    <tableColumn id="6177" xr3:uid="{C89F3E5A-EF11-41BF-B11E-4D5EE2AB4223}" name="Kolonna5839"/>
    <tableColumn id="6178" xr3:uid="{7C08A58B-14B3-4722-8096-00BC1487A81C}" name="Kolonna5840"/>
    <tableColumn id="6179" xr3:uid="{00FD1615-1174-49A1-B3A7-DEAD1FFE021A}" name="Kolonna5841"/>
    <tableColumn id="6180" xr3:uid="{9764B56C-6BB2-48FC-9FB6-4A89DE734A98}" name="Kolonna5842"/>
    <tableColumn id="6181" xr3:uid="{A6F7EE7F-8EB4-4FB1-9A43-316897FB145F}" name="Kolonna5843"/>
    <tableColumn id="6182" xr3:uid="{3854A046-E9D3-468C-988A-B6B12E74D7C8}" name="Kolonna5844"/>
    <tableColumn id="6183" xr3:uid="{17A9DF2B-66F3-41DA-BA28-4035DFFACE60}" name="Kolonna5845"/>
    <tableColumn id="6184" xr3:uid="{FA0DCB0F-5E7A-4446-B8CD-6EAFDECBF427}" name="Kolonna5846"/>
    <tableColumn id="6185" xr3:uid="{0D5B1969-A9E4-4C80-A4C9-1E4C9A7D80B3}" name="Kolonna5847"/>
    <tableColumn id="6186" xr3:uid="{8A7FCDAC-90EC-402E-A2AD-4240A38A5F66}" name="Kolonna5848"/>
    <tableColumn id="6187" xr3:uid="{F68D24CE-F892-40B8-A6DE-27A8F9D858F8}" name="Kolonna5849"/>
    <tableColumn id="6188" xr3:uid="{C103762E-4723-4AC7-82D3-92813C173D26}" name="Kolonna5850"/>
    <tableColumn id="6189" xr3:uid="{0F73046C-C523-405C-9B8F-2EE4EC55DABF}" name="Kolonna5851"/>
    <tableColumn id="6190" xr3:uid="{24CB7760-52C6-4AE7-9C5C-87061D85271F}" name="Kolonna5852"/>
    <tableColumn id="6191" xr3:uid="{9537A660-3B40-418D-9F2D-56A0CAD257A5}" name="Kolonna5853"/>
    <tableColumn id="6192" xr3:uid="{904DD078-887D-4085-BF93-EFBAE8E037F1}" name="Kolonna5854"/>
    <tableColumn id="6193" xr3:uid="{FF738BC0-2AA1-4BB7-B6A8-0C9C9D77EC33}" name="Kolonna5855"/>
    <tableColumn id="6194" xr3:uid="{15F582D4-293E-4EB2-83B9-CBD389EAC94F}" name="Kolonna5856"/>
    <tableColumn id="6195" xr3:uid="{C7AD675E-BA65-4B86-9481-FEB453F699F5}" name="Kolonna5857"/>
    <tableColumn id="6196" xr3:uid="{82157EDF-8CB3-4728-9350-0FAEABE5EA97}" name="Kolonna5858"/>
    <tableColumn id="6197" xr3:uid="{760C519D-80C3-40E8-8C32-4FAC75B568B0}" name="Kolonna5859"/>
    <tableColumn id="6198" xr3:uid="{05224E73-6AEE-44E5-903B-83DF796287D8}" name="Kolonna5860"/>
    <tableColumn id="6199" xr3:uid="{2B73DA23-9D24-4111-ADAD-25A3067492B0}" name="Kolonna5861"/>
    <tableColumn id="6200" xr3:uid="{5411DB70-8350-40F5-B125-C5FC325B7604}" name="Kolonna5862"/>
    <tableColumn id="6201" xr3:uid="{05B11241-A056-4E59-9CBB-B0197FF39FC2}" name="Kolonna5863"/>
    <tableColumn id="6202" xr3:uid="{A984475D-6256-4230-9326-A581567F7B66}" name="Kolonna5864"/>
    <tableColumn id="6203" xr3:uid="{F792A05B-CAA7-481E-AA5E-AA48AA857108}" name="Kolonna5865"/>
    <tableColumn id="6204" xr3:uid="{14770CE7-328F-44E6-94E3-7CEB413F020F}" name="Kolonna5866"/>
    <tableColumn id="6205" xr3:uid="{BF19BA6B-1386-46EB-8E94-D97E56624B0E}" name="Kolonna5867"/>
    <tableColumn id="6206" xr3:uid="{91BF497D-48A9-4CEC-867A-7F514443E393}" name="Kolonna5868"/>
    <tableColumn id="6207" xr3:uid="{71D2999D-1234-44EB-886E-739FFDA02BCF}" name="Kolonna5869"/>
    <tableColumn id="6208" xr3:uid="{17BF4B9B-DC62-4844-9804-83B9D19FFF1A}" name="Kolonna5870"/>
    <tableColumn id="6209" xr3:uid="{3DF2C657-4D46-499E-BD32-3988185F75E6}" name="Kolonna5871"/>
    <tableColumn id="6210" xr3:uid="{5226EA15-92C0-4ED4-9296-E6D0523D3EE7}" name="Kolonna5872"/>
    <tableColumn id="6211" xr3:uid="{35A4FF94-1B24-4F07-934A-9E72B6A524E2}" name="Kolonna5873"/>
    <tableColumn id="6212" xr3:uid="{C03101C6-DE25-480B-8E05-8F6F80C26010}" name="Kolonna5874"/>
    <tableColumn id="6213" xr3:uid="{02AEBBCB-43E6-466E-8CE0-3E7FB6D1B868}" name="Kolonna5875"/>
    <tableColumn id="6214" xr3:uid="{C71D81FE-A803-46EC-93E8-840267DC2CB9}" name="Kolonna5876"/>
    <tableColumn id="6215" xr3:uid="{DE970440-3873-4237-B516-BE09468E0477}" name="Kolonna5877"/>
    <tableColumn id="6216" xr3:uid="{A1A27EF4-2290-4EEC-B1DB-32C8F0AB92E1}" name="Kolonna5878"/>
    <tableColumn id="6217" xr3:uid="{EE988A34-BB8C-41AC-814B-B8E5779E9ADE}" name="Kolonna5879"/>
    <tableColumn id="6218" xr3:uid="{E4119478-A90B-40B1-B22A-06A77B7C686A}" name="Kolonna5880"/>
    <tableColumn id="6219" xr3:uid="{2BC32C57-6DBF-43A6-88F7-1FD5122E9083}" name="Kolonna5881"/>
    <tableColumn id="6220" xr3:uid="{7A271D01-D95C-4FD8-97E5-89323AD103FE}" name="Kolonna5882"/>
    <tableColumn id="6221" xr3:uid="{6655033A-3BA8-4BCD-B3BF-79989ED46043}" name="Kolonna5883"/>
    <tableColumn id="6222" xr3:uid="{717874C7-4B04-49A6-B0E5-F5ECBD3BAE92}" name="Kolonna5884"/>
    <tableColumn id="6223" xr3:uid="{A0A9400E-E3A9-4684-B27A-BA7F6CE5CC49}" name="Kolonna5885"/>
    <tableColumn id="6224" xr3:uid="{ABDE6B27-0FF2-45B0-8C4F-CB255BCA2752}" name="Kolonna5886"/>
    <tableColumn id="6225" xr3:uid="{3CD31CFC-9D93-48EE-9306-8ED0BD414262}" name="Kolonna5887"/>
    <tableColumn id="6226" xr3:uid="{96489C25-82BF-417C-8C13-230018B4A2C0}" name="Kolonna5888"/>
    <tableColumn id="6227" xr3:uid="{6636D058-87C1-4248-AE31-8CB65A3E40E5}" name="Kolonna5889"/>
    <tableColumn id="6228" xr3:uid="{15B48EBB-C709-43E5-B452-DEB37E6AE1D7}" name="Kolonna5890"/>
    <tableColumn id="6229" xr3:uid="{F7BACD49-FD62-46E4-8424-A16A8D31F425}" name="Kolonna5891"/>
    <tableColumn id="6230" xr3:uid="{479216F4-2597-4B5D-8EF6-924AFCDC6188}" name="Kolonna5892"/>
    <tableColumn id="6231" xr3:uid="{008F4AFF-6283-4080-B4FF-2B30A6127002}" name="Kolonna5893"/>
    <tableColumn id="6232" xr3:uid="{4CFF4DF3-36EE-4FBE-91A3-34D05AFEF996}" name="Kolonna5894"/>
    <tableColumn id="6233" xr3:uid="{8D7025B9-EB95-4475-8420-841126EBA1FB}" name="Kolonna5895"/>
    <tableColumn id="6234" xr3:uid="{993F127E-AC67-40B5-9451-C4CE29173FDA}" name="Kolonna5896"/>
    <tableColumn id="6235" xr3:uid="{4B010DB5-BABF-475B-9B03-0EBC86D2EEAA}" name="Kolonna5897"/>
    <tableColumn id="6236" xr3:uid="{EF0A5A35-A37D-4ED4-AB7B-D7DEA2370E6E}" name="Kolonna5898"/>
    <tableColumn id="6237" xr3:uid="{06AF8E1F-A005-4CB0-8614-C737BE32217C}" name="Kolonna5899"/>
    <tableColumn id="6238" xr3:uid="{DD3CF115-A3BC-4BED-B09F-483D47C88226}" name="Kolonna5900"/>
    <tableColumn id="6239" xr3:uid="{2713845C-FE06-47CD-A0F4-A7CD642C68A1}" name="Kolonna5901"/>
    <tableColumn id="6240" xr3:uid="{F58BCB7C-FE3E-4C90-B7B5-BC3216F35120}" name="Kolonna5902"/>
    <tableColumn id="6241" xr3:uid="{6263EF3D-0EFA-44EA-A50A-4BE5D63033EE}" name="Kolonna5903"/>
    <tableColumn id="6242" xr3:uid="{431C468D-88EB-419B-AA91-B10982A93D29}" name="Kolonna5904"/>
    <tableColumn id="6243" xr3:uid="{CB25418E-6B33-4ACC-A398-8DB8A2872AB4}" name="Kolonna5905"/>
    <tableColumn id="6244" xr3:uid="{DC2F1DEC-9C15-4D72-99E2-D865D4D4E7E9}" name="Kolonna5906"/>
    <tableColumn id="6245" xr3:uid="{3152EC9D-CB37-4D4C-A5FE-A444D8B86778}" name="Kolonna5907"/>
    <tableColumn id="6246" xr3:uid="{98E7C9E6-C245-435C-AA16-290EF927CD52}" name="Kolonna5908"/>
    <tableColumn id="6247" xr3:uid="{2F0FF002-897A-4AD0-9C81-BFA7665EEE85}" name="Kolonna5909"/>
    <tableColumn id="6248" xr3:uid="{55D86E6F-24EB-4F80-B847-11E0B8E4D564}" name="Kolonna5910"/>
    <tableColumn id="6249" xr3:uid="{86068F01-4D67-4BD8-BC64-6B37FB4E8C60}" name="Kolonna5911"/>
    <tableColumn id="6250" xr3:uid="{80E1FFE7-B199-4B59-BF24-6188D483802E}" name="Kolonna5912"/>
    <tableColumn id="6251" xr3:uid="{B1BF4620-AC96-4297-ACDF-28E3D639D2C1}" name="Kolonna5913"/>
    <tableColumn id="6252" xr3:uid="{25C8A591-ECBD-4B36-A05E-E781768CEF08}" name="Kolonna5914"/>
    <tableColumn id="6253" xr3:uid="{C7B008F0-A6D2-4C16-9C9D-A8A1AA2D5931}" name="Kolonna5915"/>
    <tableColumn id="6254" xr3:uid="{E5E80EA9-EDB3-4079-AA40-A833E9F72687}" name="Kolonna5916"/>
    <tableColumn id="6255" xr3:uid="{36E10EE2-BE1C-452F-83ED-338A09620E8B}" name="Kolonna5917"/>
    <tableColumn id="6256" xr3:uid="{C12D1B4C-A439-43ED-B5A4-A005D8970919}" name="Kolonna5918"/>
    <tableColumn id="6257" xr3:uid="{43017633-C93D-4F27-A78D-5A9F874AA56F}" name="Kolonna5919"/>
    <tableColumn id="6258" xr3:uid="{05188542-5E6F-40E6-884D-46DDEB5C6BAC}" name="Kolonna5920"/>
    <tableColumn id="6259" xr3:uid="{3BDFFB17-DD84-4738-BD5D-03642E4B9900}" name="Kolonna5921"/>
    <tableColumn id="6260" xr3:uid="{2A57AE90-FA93-43FF-8EBB-BDCD247CB00D}" name="Kolonna5922"/>
    <tableColumn id="6261" xr3:uid="{C297CD7C-EE29-4A4B-954D-D0EF021FB4F1}" name="Kolonna5923"/>
    <tableColumn id="6262" xr3:uid="{5F99CEE3-401F-492F-893D-3202F785B3BD}" name="Kolonna5924"/>
    <tableColumn id="6263" xr3:uid="{95C52B32-390F-475F-8F25-EC12017C54FE}" name="Kolonna5925"/>
    <tableColumn id="6264" xr3:uid="{041381FB-282A-4921-9B05-B5773D127C1F}" name="Kolonna5926"/>
    <tableColumn id="6265" xr3:uid="{FB815D04-52CA-4E03-A77E-2538AA1075AD}" name="Kolonna5927"/>
    <tableColumn id="6266" xr3:uid="{2EDF9F74-2DAA-4930-A19D-26E528E0A716}" name="Kolonna5928"/>
    <tableColumn id="6267" xr3:uid="{69B498A5-91B3-4FB1-92F5-B186A7BD48FC}" name="Kolonna5929"/>
    <tableColumn id="6268" xr3:uid="{587AAE0E-B2A7-427A-ABBE-B8C8621FE290}" name="Kolonna5930"/>
    <tableColumn id="6269" xr3:uid="{8BD40EDE-FA75-4F39-8C72-4A967C36FCFA}" name="Kolonna5931"/>
    <tableColumn id="6270" xr3:uid="{E3A8A1D4-5A71-4B3A-B598-CFF1E34348FB}" name="Kolonna5932"/>
    <tableColumn id="6271" xr3:uid="{7C6B887A-8BC1-4EC3-A27C-8977CEF00AA9}" name="Kolonna5933"/>
    <tableColumn id="6272" xr3:uid="{14242E2D-AE9F-40DB-8889-39B334E433D3}" name="Kolonna5934"/>
    <tableColumn id="6273" xr3:uid="{5E51F1F2-3A99-459A-B1CD-F1E4AC701A49}" name="Kolonna5935"/>
    <tableColumn id="6274" xr3:uid="{B3D85A6E-B759-40D9-844C-A248144A3452}" name="Kolonna5936"/>
    <tableColumn id="6275" xr3:uid="{299C335F-D812-4C35-BBEC-FDE37F2414FB}" name="Kolonna5937"/>
    <tableColumn id="6276" xr3:uid="{0D55D6A5-9711-42B9-A7E7-5A7736366F23}" name="Kolonna5938"/>
    <tableColumn id="6277" xr3:uid="{BA7FC10D-AE00-43C8-B0D2-F009CB0EDDE4}" name="Kolonna5939"/>
    <tableColumn id="6278" xr3:uid="{CE1D60C9-D449-4602-874C-4AE1E9FC4FDA}" name="Kolonna5940"/>
    <tableColumn id="6279" xr3:uid="{1633A0EF-D520-40D1-B1CF-63FE090AAE65}" name="Kolonna5941"/>
    <tableColumn id="6280" xr3:uid="{F592826F-E285-4687-A994-E8C802BE0B9D}" name="Kolonna5942"/>
    <tableColumn id="6281" xr3:uid="{9C1350CD-FFF7-4EB8-807D-4EB4F2E1ADC5}" name="Kolonna5943"/>
    <tableColumn id="6282" xr3:uid="{29FA1BAB-4688-4A8B-98E2-B1F3599D6E24}" name="Kolonna5944"/>
    <tableColumn id="6283" xr3:uid="{C12F308C-80C0-4BCC-8BFD-2DB311EA9016}" name="Kolonna5945"/>
    <tableColumn id="6284" xr3:uid="{31863905-6FD7-4272-9992-7672FB9575DF}" name="Kolonna5946"/>
    <tableColumn id="6285" xr3:uid="{C8605B48-FFFE-4610-AFFC-2506F757D3A8}" name="Kolonna5947"/>
    <tableColumn id="6286" xr3:uid="{546A899A-EA55-467B-BDFE-1008B7BB5C20}" name="Kolonna5948"/>
    <tableColumn id="6287" xr3:uid="{3D93AB69-13F3-4F9E-9F20-65DB3A95F2DF}" name="Kolonna5949"/>
    <tableColumn id="6288" xr3:uid="{67E6D625-DF35-4B48-8D91-7459D0CD66D2}" name="Kolonna5950"/>
    <tableColumn id="6289" xr3:uid="{31DEBEDA-F161-4F84-86E4-836D79F331D3}" name="Kolonna5951"/>
    <tableColumn id="6290" xr3:uid="{35A8C46D-C035-4A73-997D-0D9221336BF0}" name="Kolonna5952"/>
    <tableColumn id="6291" xr3:uid="{7F5574B0-4805-47C7-81B6-6CAB44ECFD32}" name="Kolonna5953"/>
    <tableColumn id="6292" xr3:uid="{43532B47-35E6-4A1F-BC4F-22C3956962C7}" name="Kolonna5954"/>
    <tableColumn id="6293" xr3:uid="{0AB90D7F-C5A7-4072-A407-FBD4ACE1FE54}" name="Kolonna5955"/>
    <tableColumn id="6294" xr3:uid="{9183E81C-FC97-4CFB-BF4F-BF6B273ACB31}" name="Kolonna5956"/>
    <tableColumn id="6295" xr3:uid="{137996FE-E3CE-4B80-83DC-EE2F8247D18D}" name="Kolonna5957"/>
    <tableColumn id="6296" xr3:uid="{CB4A7B39-701F-456D-B70E-B5F1B3DA60AE}" name="Kolonna5958"/>
    <tableColumn id="6297" xr3:uid="{72576A52-4BBD-42FD-AE6A-8396471C4463}" name="Kolonna5959"/>
    <tableColumn id="6298" xr3:uid="{321E0ED2-D648-476B-80D7-DD12625A1954}" name="Kolonna5960"/>
    <tableColumn id="6299" xr3:uid="{6CB6A7C1-6BA9-4EE0-9619-D58746C2F709}" name="Kolonna5961"/>
    <tableColumn id="6300" xr3:uid="{24B15918-661A-4D85-A6FB-DB3741527C0A}" name="Kolonna5962"/>
    <tableColumn id="6301" xr3:uid="{E4F3ED1F-5C99-41C1-A627-C363E2358FB8}" name="Kolonna5963"/>
    <tableColumn id="6302" xr3:uid="{11486C79-6C2F-4FF5-A86F-7F079E609D52}" name="Kolonna5964"/>
    <tableColumn id="6303" xr3:uid="{05A09D6F-8138-41D5-B237-DC3C0594ED31}" name="Kolonna5965"/>
    <tableColumn id="6304" xr3:uid="{A5511AF7-E4D3-4A98-87B9-B823797FB6CF}" name="Kolonna5966"/>
    <tableColumn id="6305" xr3:uid="{5C4F9DCD-5279-4928-A1FC-3B10726A4839}" name="Kolonna5967"/>
    <tableColumn id="6306" xr3:uid="{068A388C-0D28-4E4E-B0F3-D1EFB5F190F3}" name="Kolonna5968"/>
    <tableColumn id="6307" xr3:uid="{15B5FF30-6ACF-4E39-AA8F-98FC45DBE68C}" name="Kolonna5969"/>
    <tableColumn id="6308" xr3:uid="{E752199F-EF25-472E-A5AB-A9CABE87C249}" name="Kolonna5970"/>
    <tableColumn id="6309" xr3:uid="{C8B08097-8228-489F-98AA-BC9614BF9C4B}" name="Kolonna5971"/>
    <tableColumn id="6310" xr3:uid="{C60F812C-8385-4535-9AF8-0F4FF53C2EF7}" name="Kolonna5972"/>
    <tableColumn id="6311" xr3:uid="{3D54291E-6B70-4A4A-98C5-A34554AAE616}" name="Kolonna5973"/>
    <tableColumn id="6312" xr3:uid="{54690806-FF09-4506-AAC9-C98DDF5D38A3}" name="Kolonna5974"/>
    <tableColumn id="6313" xr3:uid="{8E0D457F-F119-4BFB-8A86-4F06D3A32D34}" name="Kolonna5975"/>
    <tableColumn id="6314" xr3:uid="{F7A7325C-48A9-48EA-BA02-E300D121D9B8}" name="Kolonna5976"/>
    <tableColumn id="6315" xr3:uid="{51B5F72C-0447-48A3-AA39-343B85B6F7C1}" name="Kolonna5977"/>
    <tableColumn id="6316" xr3:uid="{89E9E988-F099-4782-BDE3-AE4E3378F835}" name="Kolonna5978"/>
    <tableColumn id="6317" xr3:uid="{5B591E4D-CF50-45C7-9AEB-BE62C0094D98}" name="Kolonna5979"/>
    <tableColumn id="6318" xr3:uid="{05380CAF-032A-4266-9D05-5D92D09C0023}" name="Kolonna5980"/>
    <tableColumn id="6319" xr3:uid="{CB2AD19C-E40E-435C-A726-00EE32C1F0A8}" name="Kolonna5981"/>
    <tableColumn id="6320" xr3:uid="{3EA4A5EC-A25F-4F1B-AD8A-8629EC0EF64B}" name="Kolonna5982"/>
    <tableColumn id="6321" xr3:uid="{912667B1-2AB9-4CBB-A0D9-363C6B499722}" name="Kolonna5983"/>
    <tableColumn id="6322" xr3:uid="{5E8F593A-750C-4199-A6F2-A91845AF4F8B}" name="Kolonna5984"/>
    <tableColumn id="6323" xr3:uid="{DA064701-8332-46B7-8CA0-3807DC1B41FC}" name="Kolonna5985"/>
    <tableColumn id="6324" xr3:uid="{9FEAD687-7573-4AD7-BFD7-8F24BA4F372A}" name="Kolonna5986"/>
    <tableColumn id="6325" xr3:uid="{BD100153-8AA9-4A72-8F4B-4FB6F60DE499}" name="Kolonna5987"/>
    <tableColumn id="6326" xr3:uid="{B304BDD2-9334-4AF4-A803-789FA33D297B}" name="Kolonna5988"/>
    <tableColumn id="6327" xr3:uid="{F78CDFAC-0000-42AA-BC4D-E7E02902B97D}" name="Kolonna5989"/>
    <tableColumn id="6328" xr3:uid="{6CA763F2-366D-4EBD-BCEF-C65FC3800F20}" name="Kolonna5990"/>
    <tableColumn id="6329" xr3:uid="{A12B2C05-203E-48AE-8A02-427319445657}" name="Kolonna5991"/>
    <tableColumn id="6330" xr3:uid="{0C973ECC-8979-48FE-9FE8-D901C4855D57}" name="Kolonna5992"/>
    <tableColumn id="6331" xr3:uid="{3AF540F6-D264-4D6A-97DE-7803CF513004}" name="Kolonna5993"/>
    <tableColumn id="6332" xr3:uid="{99CDADCC-4C86-464A-BF9F-9C454DB7D45F}" name="Kolonna5994"/>
    <tableColumn id="6333" xr3:uid="{8D9AA82C-FF2D-4516-9AF4-F7625C75066B}" name="Kolonna5995"/>
    <tableColumn id="6334" xr3:uid="{CD19855D-CBED-4F1D-B888-C9DA3B546E20}" name="Kolonna5996"/>
    <tableColumn id="6335" xr3:uid="{24A53C60-7E9D-4554-A3F7-E76EBAEF0E0F}" name="Kolonna5997"/>
    <tableColumn id="6336" xr3:uid="{B01B3C93-D79B-4DA1-9386-61CD49810F6B}" name="Kolonna5998"/>
    <tableColumn id="6337" xr3:uid="{FCB8425C-2834-4DEB-A7B7-2C09DF7F5204}" name="Kolonna5999"/>
    <tableColumn id="6338" xr3:uid="{9DC21543-B1F7-4F30-993B-F55E9BEBEA04}" name="Kolonna6000"/>
    <tableColumn id="6339" xr3:uid="{4F5EE846-A9AC-464C-8293-4F93538E93D9}" name="Kolonna6001"/>
    <tableColumn id="6340" xr3:uid="{D3831753-46F8-49F4-AAA7-5AE3DEB20B49}" name="Kolonna6002"/>
    <tableColumn id="6341" xr3:uid="{5F99B4BF-3930-47B3-8C7B-F6EDAD9D6B30}" name="Kolonna6003"/>
    <tableColumn id="6342" xr3:uid="{9A92DE71-7C1E-4386-A5F7-127B0AD9B123}" name="Kolonna6004"/>
    <tableColumn id="6343" xr3:uid="{CBBE3E63-BD21-45AD-848C-1CB9A4E60F29}" name="Kolonna6005"/>
    <tableColumn id="6344" xr3:uid="{A3E01C42-F271-4B09-8A23-F251412B0FA2}" name="Kolonna6006"/>
    <tableColumn id="6345" xr3:uid="{E87F10E4-4559-49E9-9CD7-40D6A86388D3}" name="Kolonna6007"/>
    <tableColumn id="6346" xr3:uid="{97D78EE8-BEA2-4C0D-8600-B018DDF9E4BC}" name="Kolonna6008"/>
    <tableColumn id="6347" xr3:uid="{478A3E80-EF31-426E-97C8-92E273FFAA14}" name="Kolonna6009"/>
    <tableColumn id="6348" xr3:uid="{86A024C6-EE91-4013-AB76-338F7F988BCE}" name="Kolonna6010"/>
    <tableColumn id="6349" xr3:uid="{B4692FCB-8967-4102-ABC8-7A86AC068F00}" name="Kolonna6011"/>
    <tableColumn id="6350" xr3:uid="{41A1C44E-D562-4DE9-84BA-28A109614477}" name="Kolonna6012"/>
    <tableColumn id="6351" xr3:uid="{CF8D7375-8A26-4643-B155-C211791D9430}" name="Kolonna6013"/>
    <tableColumn id="6352" xr3:uid="{DA97EE9E-C7C2-4B47-AFD3-2D5A09E3E7C3}" name="Kolonna6014"/>
    <tableColumn id="6353" xr3:uid="{9B764A99-90D4-414D-86F6-D2CB62EB954F}" name="Kolonna6015"/>
    <tableColumn id="6354" xr3:uid="{28A1FB69-2192-4C5E-B4E7-1479ADBC714E}" name="Kolonna6016"/>
    <tableColumn id="6355" xr3:uid="{B4550146-E0D2-40F7-A419-FDD5FB9E608F}" name="Kolonna6017"/>
    <tableColumn id="6356" xr3:uid="{366AEEF3-F353-471A-8640-6FFDCB5BCDDD}" name="Kolonna6018"/>
    <tableColumn id="6357" xr3:uid="{B672A05A-D316-48D1-9FEC-53D9EA6E5F59}" name="Kolonna6019"/>
    <tableColumn id="6358" xr3:uid="{F6930D1F-0B7F-47D2-851F-2C418DD579A3}" name="Kolonna6020"/>
    <tableColumn id="6359" xr3:uid="{B0C87EB7-7FD0-452A-A984-A91A14A244DF}" name="Kolonna6021"/>
    <tableColumn id="6360" xr3:uid="{A20D0BFF-69C3-48E3-A5B9-8215F2EB0D53}" name="Kolonna6022"/>
    <tableColumn id="6361" xr3:uid="{58BDA23D-BB4E-424E-B759-38354CD3C78A}" name="Kolonna6023"/>
    <tableColumn id="6362" xr3:uid="{A4394C22-685A-482B-A882-1A3A8FDB15FD}" name="Kolonna6024"/>
    <tableColumn id="6363" xr3:uid="{FFD3C449-D793-4479-BEE5-265F684170D0}" name="Kolonna6025"/>
    <tableColumn id="6364" xr3:uid="{C1E8E252-3F44-4707-849A-B91FC71B6E99}" name="Kolonna6026"/>
    <tableColumn id="6365" xr3:uid="{6A2AE17E-2BBD-4CD9-BC65-ED362EFEB10C}" name="Kolonna6027"/>
    <tableColumn id="6366" xr3:uid="{92777477-0EA1-4306-843C-857A8BB853A9}" name="Kolonna6028"/>
    <tableColumn id="6367" xr3:uid="{1624A9F4-7A57-4D00-B188-094E2D6BF578}" name="Kolonna6029"/>
    <tableColumn id="6368" xr3:uid="{B041B752-398A-4620-BAA9-E3BD9D9D80A8}" name="Kolonna6030"/>
    <tableColumn id="6369" xr3:uid="{9AEFD823-9309-4D76-A033-00BE3E3D078B}" name="Kolonna6031"/>
    <tableColumn id="6370" xr3:uid="{122FEEEB-F0DD-4E2E-8FD9-77AE1FE4BDC1}" name="Kolonna6032"/>
    <tableColumn id="6371" xr3:uid="{D050AE60-A009-4E28-B65E-6DFDE139DA4A}" name="Kolonna6033"/>
    <tableColumn id="6372" xr3:uid="{655CD9E7-521D-40D0-89FF-F5F8FCE4070F}" name="Kolonna6034"/>
    <tableColumn id="6373" xr3:uid="{3FA1C8F3-9CD9-4963-9E4D-2A94A5BD3CA5}" name="Kolonna6035"/>
    <tableColumn id="6374" xr3:uid="{9544CD74-43FB-4EBB-AA78-F3E345A7B1F1}" name="Kolonna6036"/>
    <tableColumn id="6375" xr3:uid="{BC09010F-CE5C-45A9-B5BD-EE7FD53964F5}" name="Kolonna6037"/>
    <tableColumn id="6376" xr3:uid="{DF648A6D-B8DD-4CBA-93E0-73D42366B030}" name="Kolonna6038"/>
    <tableColumn id="6377" xr3:uid="{39A8C9D2-CE60-4CBB-BC8E-EAA312766441}" name="Kolonna6039"/>
    <tableColumn id="6378" xr3:uid="{80219132-63B0-4E2A-9A0A-BCB4BAB2F653}" name="Kolonna6040"/>
    <tableColumn id="6379" xr3:uid="{88BA3AA8-B64C-433E-B642-2D73B94E58F3}" name="Kolonna6041"/>
    <tableColumn id="6380" xr3:uid="{8AED39C3-9221-496F-944D-08D592D204CC}" name="Kolonna6042"/>
    <tableColumn id="6381" xr3:uid="{91E83A58-000F-4ECA-A660-0459D4FFA14F}" name="Kolonna6043"/>
    <tableColumn id="6382" xr3:uid="{9552F309-88E4-4878-BFFE-94D55FF1814C}" name="Kolonna6044"/>
    <tableColumn id="6383" xr3:uid="{454F593E-F145-4471-AAA7-1A3485D05912}" name="Kolonna6045"/>
    <tableColumn id="6384" xr3:uid="{89DCB65D-E132-4C0F-918A-7C87D3FF95E1}" name="Kolonna6046"/>
    <tableColumn id="6385" xr3:uid="{1A01D696-5E65-48B8-AA1A-C48F8F73D9C9}" name="Kolonna6047"/>
    <tableColumn id="6386" xr3:uid="{A0A7456C-FF66-460D-8186-A29702DB3D8F}" name="Kolonna6048"/>
    <tableColumn id="6387" xr3:uid="{F98102CB-79C5-460C-92C3-7EE54F649C34}" name="Kolonna6049"/>
    <tableColumn id="6388" xr3:uid="{9D6A4ED4-35AD-4988-8561-2C13884AE319}" name="Kolonna6050"/>
    <tableColumn id="6389" xr3:uid="{ABA7F95C-7249-4D34-8F2A-9E03CFF48E30}" name="Kolonna6051"/>
    <tableColumn id="6390" xr3:uid="{F6F620A9-7A9A-41DD-B9B1-6A4052C06F2C}" name="Kolonna6052"/>
    <tableColumn id="6391" xr3:uid="{B1D20113-5235-49A9-91DA-B7EF6AA05C68}" name="Kolonna6053"/>
    <tableColumn id="6392" xr3:uid="{7C1B9AF1-B9DF-4363-AD06-9728075F21AE}" name="Kolonna6054"/>
    <tableColumn id="6393" xr3:uid="{68441826-8C69-44C1-BB05-1F37B2C0A808}" name="Kolonna6055"/>
    <tableColumn id="6394" xr3:uid="{8E7B51C0-E1BC-4EDA-B82E-2FC9345B9AFA}" name="Kolonna6056"/>
    <tableColumn id="6395" xr3:uid="{AC442B52-1F7F-49E0-B321-8C82C1498F58}" name="Kolonna6057"/>
    <tableColumn id="6396" xr3:uid="{EF5B2206-77C3-485B-9D04-FD8DA21E20D5}" name="Kolonna6058"/>
    <tableColumn id="6397" xr3:uid="{B11784F7-7261-449B-9E56-E48B2B2FDDC2}" name="Kolonna6059"/>
    <tableColumn id="6398" xr3:uid="{BBF595E5-27B6-40BA-A345-8C5A01C02122}" name="Kolonna6060"/>
    <tableColumn id="6399" xr3:uid="{ED85CC57-B497-410B-A606-800FB1A284B9}" name="Kolonna6061"/>
    <tableColumn id="6400" xr3:uid="{1EB43A91-9684-40E3-BE2F-C89AED06EC8F}" name="Kolonna6062"/>
    <tableColumn id="6401" xr3:uid="{BA040B63-D0A9-4003-9128-0CC482DD3167}" name="Kolonna6063"/>
    <tableColumn id="6402" xr3:uid="{11625959-C9A6-430A-B5AE-DBF5EE66214E}" name="Kolonna6064"/>
    <tableColumn id="6403" xr3:uid="{2C564D34-933A-432F-9C52-B591EE9FF7A8}" name="Kolonna6065"/>
    <tableColumn id="6404" xr3:uid="{B66DBB4E-2DE7-4051-971E-91BFC848621C}" name="Kolonna6066"/>
    <tableColumn id="6405" xr3:uid="{10BF9FAC-9A1B-4ABA-A814-E008554BD14D}" name="Kolonna6067"/>
    <tableColumn id="6406" xr3:uid="{76F95544-9B10-4DCC-941C-8B9EE8A45675}" name="Kolonna6068"/>
    <tableColumn id="6407" xr3:uid="{A5FE0CCC-E28D-47DB-868B-6774CC658202}" name="Kolonna6069"/>
    <tableColumn id="6408" xr3:uid="{91C83A22-6BD6-4709-ADDD-272F59D98F4B}" name="Kolonna6070"/>
    <tableColumn id="6409" xr3:uid="{23FB92B8-5E38-4622-AB64-796449B180DD}" name="Kolonna6071"/>
    <tableColumn id="6410" xr3:uid="{8D1B8027-9DF5-4D80-90A7-B5F221790DA6}" name="Kolonna6072"/>
    <tableColumn id="6411" xr3:uid="{D3837292-CC50-45F6-8138-573A5CC912AA}" name="Kolonna6073"/>
    <tableColumn id="6412" xr3:uid="{1544A852-61CF-46EB-80C5-F02BD6EAAF62}" name="Kolonna6074"/>
    <tableColumn id="6413" xr3:uid="{8BC2E83F-E67D-4BF3-A4B6-733CA6BF8399}" name="Kolonna6075"/>
    <tableColumn id="6414" xr3:uid="{FE214D75-1B2F-44D9-BC6D-F22A81AAE46C}" name="Kolonna6076"/>
    <tableColumn id="6415" xr3:uid="{7AB0AF9B-6BDF-4844-BD1A-D24FD0F5851C}" name="Kolonna6077"/>
    <tableColumn id="6416" xr3:uid="{B0C0C30A-9DFB-4C91-9CDC-08A03F122034}" name="Kolonna6078"/>
    <tableColumn id="6417" xr3:uid="{69F1EFC4-DEEF-40A7-A3F2-736D13EF0DA1}" name="Kolonna6079"/>
    <tableColumn id="6418" xr3:uid="{D605E1BC-B94F-4DBF-96B4-C5E063773309}" name="Kolonna6080"/>
    <tableColumn id="6419" xr3:uid="{CB7DEA8A-F450-49C9-82C5-2F08D459B54B}" name="Kolonna6081"/>
    <tableColumn id="6420" xr3:uid="{7C75447B-4C63-4FB0-A15A-C5F9A717E285}" name="Kolonna6082"/>
    <tableColumn id="6421" xr3:uid="{48ED7334-7B03-46CC-A93E-4D97B6B340D5}" name="Kolonna6083"/>
    <tableColumn id="6422" xr3:uid="{26F667B6-AA78-4869-9239-EA7556297A98}" name="Kolonna6084"/>
    <tableColumn id="6423" xr3:uid="{EA18D910-A780-444F-836E-2BBF5ED71FCC}" name="Kolonna6085"/>
    <tableColumn id="6424" xr3:uid="{77DBABC2-62B3-42F2-BA99-531A53F685E4}" name="Kolonna6086"/>
    <tableColumn id="6425" xr3:uid="{1A7FC71A-13C4-49D4-96D9-9FF525DBD37C}" name="Kolonna6087"/>
    <tableColumn id="6426" xr3:uid="{6A6F5C10-1236-4C11-8049-4CA80616BED7}" name="Kolonna6088"/>
    <tableColumn id="6427" xr3:uid="{F6242945-6326-4C71-A22A-38499974180D}" name="Kolonna6089"/>
    <tableColumn id="6428" xr3:uid="{CC9AA62C-0BDF-47C9-ABB6-4D201F3EF4F9}" name="Kolonna6090"/>
    <tableColumn id="6429" xr3:uid="{AD4D7530-3E74-4B8E-B9C6-657252394531}" name="Kolonna6091"/>
    <tableColumn id="6430" xr3:uid="{72816F8B-310A-4D54-8D3A-4EC496065051}" name="Kolonna6092"/>
    <tableColumn id="6431" xr3:uid="{92EF8441-2249-4BFC-A3E6-51D2A5A46BB2}" name="Kolonna6093"/>
    <tableColumn id="6432" xr3:uid="{BE119B8E-34C6-4F40-AFDA-F17A8748D89A}" name="Kolonna6094"/>
    <tableColumn id="6433" xr3:uid="{F8BC29C5-EA93-41A3-9363-26D361A26EDA}" name="Kolonna6095"/>
    <tableColumn id="6434" xr3:uid="{52D23C44-BE2F-437C-8A7A-EFB9D5789EC4}" name="Kolonna6096"/>
    <tableColumn id="6435" xr3:uid="{F3E68629-D9DA-425B-B04D-BFD517B2CF9A}" name="Kolonna6097"/>
    <tableColumn id="6436" xr3:uid="{F99543C4-C1F8-420A-AAD9-E170F497A820}" name="Kolonna6098"/>
    <tableColumn id="6437" xr3:uid="{D0E5C920-4D4A-4F0A-A9DD-EA0280FB9C90}" name="Kolonna6099"/>
    <tableColumn id="6438" xr3:uid="{BFA49E6F-6E74-4BB5-81CF-174F8094D15D}" name="Kolonna6100"/>
    <tableColumn id="6439" xr3:uid="{453492DA-E6DC-4CAB-8423-007CE5D7A919}" name="Kolonna6101"/>
    <tableColumn id="6440" xr3:uid="{EA884613-29C7-4339-BC5D-DBE2BAB197F8}" name="Kolonna6102"/>
    <tableColumn id="6441" xr3:uid="{8200FEE6-69CE-4B74-ABA1-2742B5AA1EA0}" name="Kolonna6103"/>
    <tableColumn id="6442" xr3:uid="{3C5E6313-D549-4A57-8266-D4CF1B30D8D4}" name="Kolonna6104"/>
    <tableColumn id="6443" xr3:uid="{4C360564-BC3A-480C-9EC2-1F2AD1D80613}" name="Kolonna6105"/>
    <tableColumn id="6444" xr3:uid="{551BBA15-0B34-4025-A998-771DC4DA6359}" name="Kolonna6106"/>
    <tableColumn id="6445" xr3:uid="{1DDEB7F0-94D9-4777-9DE6-8281ABC1B2B6}" name="Kolonna6107"/>
    <tableColumn id="6446" xr3:uid="{20F37A4F-16BD-4013-A901-BCA137AA918B}" name="Kolonna6108"/>
    <tableColumn id="6447" xr3:uid="{D07B9955-3B51-4CB3-A9A5-81079CCBB097}" name="Kolonna6109"/>
    <tableColumn id="6448" xr3:uid="{C601E694-86A5-46B0-B235-CF3C865E0C10}" name="Kolonna6110"/>
    <tableColumn id="6449" xr3:uid="{EFE65CCA-3FE3-43C7-82C1-397558E6DC1D}" name="Kolonna6111"/>
    <tableColumn id="6450" xr3:uid="{BA5A8B16-A658-4DB0-9590-FBD6C1B08B0E}" name="Kolonna6112"/>
    <tableColumn id="6451" xr3:uid="{E4057A61-E34D-4F72-B014-A214983AC071}" name="Kolonna6113"/>
    <tableColumn id="6452" xr3:uid="{20D12F46-06FD-41E0-9B3A-D51DF5B681AC}" name="Kolonna6114"/>
    <tableColumn id="6453" xr3:uid="{6D437367-DD0F-49FC-90E2-53EB3AAF2E4A}" name="Kolonna6115"/>
    <tableColumn id="6454" xr3:uid="{4F414BA0-6BD5-4E4B-9988-8B1A3FDB58C5}" name="Kolonna6116"/>
    <tableColumn id="6455" xr3:uid="{095ACD35-2CD8-4454-9B38-BA3222FBC52B}" name="Kolonna6117"/>
    <tableColumn id="6456" xr3:uid="{45291854-05A1-4779-84BA-A2E4BFC2F067}" name="Kolonna6118"/>
    <tableColumn id="6457" xr3:uid="{86375A74-9DB2-4599-AFD2-827D11147CA8}" name="Kolonna6119"/>
    <tableColumn id="6458" xr3:uid="{F90F066D-0AFE-49BD-8B96-484929C716CC}" name="Kolonna6120"/>
    <tableColumn id="6459" xr3:uid="{DF252334-C240-45BE-BFFC-994C12E469DD}" name="Kolonna6121"/>
    <tableColumn id="6460" xr3:uid="{BAACAB59-351E-49EF-BAEF-59AEADED9A6F}" name="Kolonna6122"/>
    <tableColumn id="6461" xr3:uid="{FC4091D4-4D99-4CFC-A6FC-0B89CFA61622}" name="Kolonna6123"/>
    <tableColumn id="6462" xr3:uid="{8E9794D2-79EA-422A-B797-8C3C6741B65A}" name="Kolonna6124"/>
    <tableColumn id="6463" xr3:uid="{2206C848-23CC-4105-876F-65015A091E25}" name="Kolonna6125"/>
    <tableColumn id="6464" xr3:uid="{0CB09F78-D906-4D2C-8DA5-57F82017BFDE}" name="Kolonna6126"/>
    <tableColumn id="6465" xr3:uid="{9E543887-CF22-4B4E-B0CF-F944A9E33BA9}" name="Kolonna6127"/>
    <tableColumn id="6466" xr3:uid="{49C4BE11-A655-4547-83AC-5758B1BD1489}" name="Kolonna6128"/>
    <tableColumn id="6467" xr3:uid="{0F9F25ED-A727-4C46-BA36-B3AE6A1EE03B}" name="Kolonna6129"/>
    <tableColumn id="6468" xr3:uid="{E5FC519B-3243-4321-A8D8-B871A1019D80}" name="Kolonna6130"/>
    <tableColumn id="6469" xr3:uid="{1F4D3DF0-51F8-40D0-9595-FA19B19B4895}" name="Kolonna6131"/>
    <tableColumn id="6470" xr3:uid="{EDDFBC47-F3DE-4AC9-87EB-441649C70CB9}" name="Kolonna6132"/>
    <tableColumn id="6471" xr3:uid="{40AFAD66-B4E0-4D73-9A81-0A9FF5C807AD}" name="Kolonna6133"/>
    <tableColumn id="6472" xr3:uid="{A42772BA-BCD2-4C4D-8311-D33097F01B56}" name="Kolonna6134"/>
    <tableColumn id="6473" xr3:uid="{7178D1A9-47BC-42A0-9DED-AB066F5E414D}" name="Kolonna6135"/>
    <tableColumn id="6474" xr3:uid="{EAD2C747-1341-4847-82D2-0EAAA0DEAD35}" name="Kolonna6136"/>
    <tableColumn id="6475" xr3:uid="{458A6E7F-9F5E-4C38-9067-95A244534510}" name="Kolonna6137"/>
    <tableColumn id="6476" xr3:uid="{999C9C5D-69B4-4A44-A580-42D8A7E34B55}" name="Kolonna6138"/>
    <tableColumn id="6477" xr3:uid="{997C537D-0EE6-4C8F-A562-FAE9783970F6}" name="Kolonna6139"/>
    <tableColumn id="6478" xr3:uid="{7218BD31-F8B3-4A23-8BAA-9CEDE619ABF6}" name="Kolonna6140"/>
    <tableColumn id="6479" xr3:uid="{23E800B1-5125-42F1-8708-999B4ABDF0A4}" name="Kolonna6141"/>
    <tableColumn id="6480" xr3:uid="{8693CABF-8C35-4EC8-917A-10D100407838}" name="Kolonna6142"/>
    <tableColumn id="6481" xr3:uid="{A4D37318-06D7-474D-84BD-5200EE588E6E}" name="Kolonna6143"/>
    <tableColumn id="6482" xr3:uid="{4AA76917-3E76-4A18-B660-572CE9A59772}" name="Kolonna6144"/>
    <tableColumn id="6483" xr3:uid="{5125026E-09B0-4134-A86E-12E86C63D734}" name="Kolonna6145"/>
    <tableColumn id="6484" xr3:uid="{A621D93F-AC4E-49A3-ACB3-2D28D0C3ADB2}" name="Kolonna6146"/>
    <tableColumn id="6485" xr3:uid="{9F9D9730-D12F-4541-871A-67291F27703B}" name="Kolonna6147"/>
    <tableColumn id="6486" xr3:uid="{794C729E-8557-45EA-9DC5-0E0669FC6803}" name="Kolonna6148"/>
    <tableColumn id="6487" xr3:uid="{24C93944-CCFD-41D2-B4A0-0BB04801BB21}" name="Kolonna6149"/>
    <tableColumn id="6488" xr3:uid="{501C4F83-E325-4C91-8EAE-1EB0F8AE8B65}" name="Kolonna6150"/>
    <tableColumn id="6489" xr3:uid="{6D96405C-A1A0-4FD7-B45D-AF12BE7BC798}" name="Kolonna6151"/>
    <tableColumn id="6490" xr3:uid="{5CE35306-80D0-4950-AC54-22718284C561}" name="Kolonna6152"/>
    <tableColumn id="6491" xr3:uid="{448B9CCF-468F-487B-9BDD-AC57514063EE}" name="Kolonna6153"/>
    <tableColumn id="6492" xr3:uid="{EE57EDC3-0556-4F44-A14F-E2B379641714}" name="Kolonna6154"/>
    <tableColumn id="6493" xr3:uid="{9540B523-85AA-42AA-8FE7-9BF224A64EDE}" name="Kolonna6155"/>
    <tableColumn id="6494" xr3:uid="{E5359F86-548C-4157-83C4-D8089B4B14F4}" name="Kolonna6156"/>
    <tableColumn id="6495" xr3:uid="{588B7A43-F4C1-46FF-B061-B6860AA207B0}" name="Kolonna6157"/>
    <tableColumn id="6496" xr3:uid="{65BC8923-2126-4B41-B7EE-2ED5E736786E}" name="Kolonna6158"/>
    <tableColumn id="6497" xr3:uid="{AAB43E7B-48C3-46EA-8A8D-111B3839E3C2}" name="Kolonna6159"/>
    <tableColumn id="6498" xr3:uid="{78F58E50-F07D-4E95-924C-99DDCA35BE48}" name="Kolonna6160"/>
    <tableColumn id="6499" xr3:uid="{286E7AE5-ECD3-4F60-9ACA-19663314519D}" name="Kolonna6161"/>
    <tableColumn id="6500" xr3:uid="{9CD40D91-84DA-400A-AAAD-2FF576DD1694}" name="Kolonna6162"/>
    <tableColumn id="6501" xr3:uid="{8D0080E9-885D-4EBD-B22E-70EFCF5996EA}" name="Kolonna6163"/>
    <tableColumn id="6502" xr3:uid="{5509F965-A098-40DB-9259-FF74D26E0DAF}" name="Kolonna6164"/>
    <tableColumn id="6503" xr3:uid="{0B15ADC8-DE7F-49A7-8B43-1BB427EABF90}" name="Kolonna6165"/>
    <tableColumn id="6504" xr3:uid="{3F557908-919C-4126-8B87-198FD77F9F80}" name="Kolonna6166"/>
    <tableColumn id="6505" xr3:uid="{BD71FDA1-408F-426D-B44A-1DD77A38A074}" name="Kolonna6167"/>
    <tableColumn id="6506" xr3:uid="{C63DC7E1-90BB-48D4-A6A5-7919C4FBC8FA}" name="Kolonna6168"/>
    <tableColumn id="6507" xr3:uid="{E53D8375-1F10-43E8-A393-2536EAED9565}" name="Kolonna6169"/>
    <tableColumn id="6508" xr3:uid="{09C4B671-9CE4-4FD5-A349-0B7899A4F89C}" name="Kolonna6170"/>
    <tableColumn id="6509" xr3:uid="{BE29BC23-7DBB-46F9-A466-2696CCC7D0CE}" name="Kolonna6171"/>
    <tableColumn id="6510" xr3:uid="{F58F3D11-DB6B-4526-AAAB-7313873AFD22}" name="Kolonna6172"/>
    <tableColumn id="6511" xr3:uid="{5EF7ED92-05A4-4CBD-9222-62B13454A223}" name="Kolonna6173"/>
    <tableColumn id="6512" xr3:uid="{4D089BF8-AADC-4846-887B-EC0EC47D2D88}" name="Kolonna6174"/>
    <tableColumn id="6513" xr3:uid="{A9230A37-31C3-44A6-9221-A6AA3B0956AC}" name="Kolonna6175"/>
    <tableColumn id="6514" xr3:uid="{B82D62C9-C8FA-4790-98EE-C67B22352F67}" name="Kolonna6176"/>
    <tableColumn id="6515" xr3:uid="{D9A7929F-17F1-468F-8A4A-B395159C7D34}" name="Kolonna6177"/>
    <tableColumn id="6516" xr3:uid="{DB1129A9-B154-4227-A19A-F32A25EAC113}" name="Kolonna6178"/>
    <tableColumn id="6517" xr3:uid="{2EFE1A00-811F-4D74-ACCA-E64ADBFBC88E}" name="Kolonna6179"/>
    <tableColumn id="6518" xr3:uid="{2C387592-83B1-4310-A831-890434337A14}" name="Kolonna6180"/>
    <tableColumn id="6519" xr3:uid="{7C4AF19B-A53F-4699-93E3-05702A3AA268}" name="Kolonna6181"/>
    <tableColumn id="6520" xr3:uid="{7BF4F53C-ABC5-4CAF-B739-A3FD7B3B1C25}" name="Kolonna6182"/>
    <tableColumn id="6521" xr3:uid="{01B6558F-3B9D-4724-A1DB-AF4850D88369}" name="Kolonna6183"/>
    <tableColumn id="6522" xr3:uid="{72C9CB26-2176-4DE5-959F-208EA7B1DF54}" name="Kolonna6184"/>
    <tableColumn id="6523" xr3:uid="{1C3D940D-D94A-45F0-8DC2-2BA1EA1339C2}" name="Kolonna6185"/>
    <tableColumn id="6524" xr3:uid="{1787472A-BF41-4640-A976-BA3EC81B0B88}" name="Kolonna6186"/>
    <tableColumn id="6525" xr3:uid="{69A1504A-FDD7-4233-88FF-0620064FEFC0}" name="Kolonna6187"/>
    <tableColumn id="6526" xr3:uid="{8F143967-D96A-456D-AADE-EBABBC731B95}" name="Kolonna6188"/>
    <tableColumn id="6527" xr3:uid="{CE3FEF68-2771-4EA4-956E-BA24E90DDE71}" name="Kolonna6189"/>
    <tableColumn id="6528" xr3:uid="{80D07FB8-C8F1-4411-8735-566E00937FDE}" name="Kolonna6190"/>
    <tableColumn id="6529" xr3:uid="{59F07F03-8F56-4D56-95E6-B413DE73FC07}" name="Kolonna6191"/>
    <tableColumn id="6530" xr3:uid="{C10BD8ED-49C5-499F-A214-51E7A8B5678A}" name="Kolonna6192"/>
    <tableColumn id="6531" xr3:uid="{F27B0B96-A4E6-478B-8485-A338BC69FA28}" name="Kolonna6193"/>
    <tableColumn id="6532" xr3:uid="{5BF87F88-63E4-482F-9CFD-9A5589E7830C}" name="Kolonna6194"/>
    <tableColumn id="6533" xr3:uid="{EBCEF980-2088-4AE2-9BDE-B63910EDE470}" name="Kolonna6195"/>
    <tableColumn id="6534" xr3:uid="{96AE792F-AF92-4053-8F57-57114D853B03}" name="Kolonna6196"/>
    <tableColumn id="6535" xr3:uid="{93CA5AE7-52F4-4B13-80AC-991E11DF635E}" name="Kolonna6197"/>
    <tableColumn id="6536" xr3:uid="{71FAE81B-2B6E-465A-B465-1686AD622B17}" name="Kolonna6198"/>
    <tableColumn id="6537" xr3:uid="{22343DC2-2890-40B7-8439-C7334112F70B}" name="Kolonna6199"/>
    <tableColumn id="6538" xr3:uid="{78E871FC-225B-497F-87B3-A554AD96F0A4}" name="Kolonna6200"/>
    <tableColumn id="6539" xr3:uid="{36C54DC3-BB6E-4B63-8181-7C30176100BD}" name="Kolonna6201"/>
    <tableColumn id="6540" xr3:uid="{2D9F7D92-03A6-421F-8EF1-D19A69A80246}" name="Kolonna6202"/>
    <tableColumn id="6541" xr3:uid="{FF309B0B-E1B5-4D7B-A816-6499B5ACD69A}" name="Kolonna6203"/>
    <tableColumn id="6542" xr3:uid="{8CBE9A5B-6063-40A4-911C-E8BC372EBB86}" name="Kolonna6204"/>
    <tableColumn id="6543" xr3:uid="{6A991691-7330-4587-99BE-6E1EB8B256A6}" name="Kolonna6205"/>
    <tableColumn id="6544" xr3:uid="{D748AB40-2A6E-410B-A2F5-B78054610305}" name="Kolonna6206"/>
    <tableColumn id="6545" xr3:uid="{40018C3D-7FCD-4469-BEAC-336EC20D002A}" name="Kolonna6207"/>
    <tableColumn id="6546" xr3:uid="{AB46A514-4D19-4D37-AAE9-D4B49C1C6B2B}" name="Kolonna6208"/>
    <tableColumn id="6547" xr3:uid="{29271649-BCA3-4207-9EB0-8AD27E04015E}" name="Kolonna6209"/>
    <tableColumn id="6548" xr3:uid="{F31FC313-F1CA-4351-B1E9-99A3F89F8207}" name="Kolonna6210"/>
    <tableColumn id="6549" xr3:uid="{E7691B8C-6C33-446A-B72A-97D817439A86}" name="Kolonna6211"/>
    <tableColumn id="6550" xr3:uid="{66B8061D-2012-458A-ADFA-58BDA5A9DB5C}" name="Kolonna6212"/>
    <tableColumn id="6551" xr3:uid="{8B46E2D2-761D-4054-82FD-8867382FDD8A}" name="Kolonna6213"/>
    <tableColumn id="6552" xr3:uid="{2F77BC69-A7C8-4C2C-B59C-E6AB341A700F}" name="Kolonna6214"/>
    <tableColumn id="6553" xr3:uid="{7B2ADEA2-1437-4CFB-AE8D-2E493F93A1E3}" name="Kolonna6215"/>
    <tableColumn id="6554" xr3:uid="{73EBBF27-5AB3-41EE-8045-D6F1EEBD3E03}" name="Kolonna6216"/>
    <tableColumn id="6555" xr3:uid="{A2E8D35E-524E-4CA5-9A5A-6175B19F61B7}" name="Kolonna6217"/>
    <tableColumn id="6556" xr3:uid="{7723B941-ABA2-4404-A334-4F71E01213B6}" name="Kolonna6218"/>
    <tableColumn id="6557" xr3:uid="{13216A0E-1934-4B27-8A86-C93FC0B96DBE}" name="Kolonna6219"/>
    <tableColumn id="6558" xr3:uid="{E354A37E-C30D-45E0-BC90-1FA533BCCE68}" name="Kolonna6220"/>
    <tableColumn id="6559" xr3:uid="{3330FE10-3075-4974-9E5C-551FB881A70C}" name="Kolonna6221"/>
    <tableColumn id="6560" xr3:uid="{26199CBD-C9CB-4C37-B7F1-FB2C9DB835F1}" name="Kolonna6222"/>
    <tableColumn id="6561" xr3:uid="{88D4A622-58A2-46FB-B47F-DBBE4B6CDA04}" name="Kolonna6223"/>
    <tableColumn id="6562" xr3:uid="{7AF5F7B0-43B3-4277-B687-E3A5945BEB0B}" name="Kolonna6224"/>
    <tableColumn id="6563" xr3:uid="{36515CBA-E229-4A90-A45B-E2BABB956BA0}" name="Kolonna6225"/>
    <tableColumn id="6564" xr3:uid="{9B6D9EAB-A226-4348-8605-BD1E102984E5}" name="Kolonna6226"/>
    <tableColumn id="6565" xr3:uid="{4F9743FB-549E-408D-A4DA-F2493D6DD231}" name="Kolonna6227"/>
    <tableColumn id="6566" xr3:uid="{B701EF30-C6EC-4D18-8BF3-24B32E35C372}" name="Kolonna6228"/>
    <tableColumn id="6567" xr3:uid="{C36AD7CC-DE1B-4114-86E3-4D906E9FAC53}" name="Kolonna6229"/>
    <tableColumn id="6568" xr3:uid="{FB0FF17D-9C9D-4C14-A316-A85DB6D46C22}" name="Kolonna6230"/>
    <tableColumn id="6569" xr3:uid="{07F9F7A6-1638-441E-A164-1CEE5646E62B}" name="Kolonna6231"/>
    <tableColumn id="6570" xr3:uid="{A60E9EF8-0FA7-440C-8DD1-766B03E2DD38}" name="Kolonna6232"/>
    <tableColumn id="6571" xr3:uid="{364A6A86-649C-42E8-A7CA-98DA3BCC2DC2}" name="Kolonna6233"/>
    <tableColumn id="6572" xr3:uid="{1D347A7C-18A7-494C-BA5C-9F70CE9D1CB7}" name="Kolonna6234"/>
    <tableColumn id="6573" xr3:uid="{532A33F2-1B91-4AAC-9FAA-1B4EAED6F8FE}" name="Kolonna6235"/>
    <tableColumn id="6574" xr3:uid="{A4913DA0-595A-478E-B786-F16455CE4E98}" name="Kolonna6236"/>
    <tableColumn id="6575" xr3:uid="{B271F69C-ED66-416E-93CB-170692109584}" name="Kolonna6237"/>
    <tableColumn id="6576" xr3:uid="{A48003E3-8DEE-479E-8CA5-2A3C31A705C5}" name="Kolonna6238"/>
    <tableColumn id="6577" xr3:uid="{7082BC62-D8DC-4E64-9657-5B9FB54A51C0}" name="Kolonna6239"/>
    <tableColumn id="6578" xr3:uid="{524A0CCA-AB4A-4AD8-A702-6608392E0FF3}" name="Kolonna6240"/>
    <tableColumn id="6579" xr3:uid="{DA532284-78D1-4B17-843D-71B9A3227973}" name="Kolonna6241"/>
    <tableColumn id="6580" xr3:uid="{21F73F67-5655-4716-8272-7D6229327790}" name="Kolonna6242"/>
    <tableColumn id="6581" xr3:uid="{F3D83662-90D1-4C0A-A08E-6A9B89A79F12}" name="Kolonna6243"/>
    <tableColumn id="6582" xr3:uid="{BC036481-C322-40CE-B736-3A54C9B5C262}" name="Kolonna6244"/>
    <tableColumn id="6583" xr3:uid="{7765C66A-C333-47F2-82B6-BC0331D12221}" name="Kolonna6245"/>
    <tableColumn id="6584" xr3:uid="{6090368F-EA71-4B39-B645-BDE2FC8F41A3}" name="Kolonna6246"/>
    <tableColumn id="6585" xr3:uid="{7D6A5ACA-E937-432F-A6AE-653D1B823067}" name="Kolonna6247"/>
    <tableColumn id="6586" xr3:uid="{3A92266B-DD33-42F5-AB63-7D3343B1D6D4}" name="Kolonna6248"/>
    <tableColumn id="6587" xr3:uid="{063DD7EE-E4BC-453B-A48B-3CF647B34A59}" name="Kolonna6249"/>
    <tableColumn id="6588" xr3:uid="{22AC33F8-7690-43D6-A4F1-C82F8ACE6F2F}" name="Kolonna6250"/>
    <tableColumn id="6589" xr3:uid="{BF3411AA-75A0-4A16-9561-839A1D59E292}" name="Kolonna6251"/>
    <tableColumn id="6590" xr3:uid="{4A7E9008-DCF2-4629-A301-9A06E5262548}" name="Kolonna6252"/>
    <tableColumn id="6591" xr3:uid="{E5E1585B-028C-4FB6-B068-13FD384DD86F}" name="Kolonna6253"/>
    <tableColumn id="6592" xr3:uid="{CA473370-96C8-47AC-8C16-E612A9099070}" name="Kolonna6254"/>
    <tableColumn id="6593" xr3:uid="{DE3EF191-ADE7-49AC-855F-9A784EEA32C2}" name="Kolonna6255"/>
    <tableColumn id="6594" xr3:uid="{4F3D81B1-BEFD-4BAF-B077-383DBF6F8795}" name="Kolonna6256"/>
    <tableColumn id="6595" xr3:uid="{6087544D-BCE8-43ED-A886-6EC6E8718E61}" name="Kolonna6257"/>
    <tableColumn id="6596" xr3:uid="{C9C533FB-ED15-4160-AE14-CD5296D91757}" name="Kolonna6258"/>
    <tableColumn id="6597" xr3:uid="{F4FA013C-3C36-458A-B7F9-40AF57DF7A0F}" name="Kolonna6259"/>
    <tableColumn id="6598" xr3:uid="{4FEDCC5F-D0D5-4067-8694-8C1F5692533E}" name="Kolonna6260"/>
    <tableColumn id="6599" xr3:uid="{BCBEF11F-5C7D-49E5-8E13-5567E76DAD2D}" name="Kolonna6261"/>
    <tableColumn id="6600" xr3:uid="{8F4B529E-542A-483E-A4C3-4C238CB2EC70}" name="Kolonna6262"/>
    <tableColumn id="6601" xr3:uid="{BEEAE8A0-D390-44AA-8FF5-E49706117BAC}" name="Kolonna6263"/>
    <tableColumn id="6602" xr3:uid="{85BF2DF4-067E-4B8D-9754-0AF599F2664F}" name="Kolonna6264"/>
    <tableColumn id="6603" xr3:uid="{98C06D82-DFD5-4072-ABE4-52D4940F0086}" name="Kolonna6265"/>
    <tableColumn id="6604" xr3:uid="{D1E196A3-970F-496F-8F43-FFDB3EE2B50B}" name="Kolonna6266"/>
    <tableColumn id="6605" xr3:uid="{AC3937AB-3D1E-46CB-B100-7784CE6D20A5}" name="Kolonna6267"/>
    <tableColumn id="6606" xr3:uid="{489876B9-D1A8-40FC-B4EF-5719AE15FBAB}" name="Kolonna6268"/>
    <tableColumn id="6607" xr3:uid="{293D4033-6AB8-479C-91A8-02B5AD22E50A}" name="Kolonna6269"/>
    <tableColumn id="6608" xr3:uid="{18E41C50-6CDE-47AE-B0C8-C366FABCD955}" name="Kolonna6270"/>
    <tableColumn id="6609" xr3:uid="{BDAE84E9-7497-4E46-B9CA-412F03E1345E}" name="Kolonna6271"/>
    <tableColumn id="6610" xr3:uid="{A9C05C21-2A85-4971-BAC0-EBBD31F9EA60}" name="Kolonna6272"/>
    <tableColumn id="6611" xr3:uid="{208EB587-C8E3-4C71-88F7-BB656F1D06C0}" name="Kolonna6273"/>
    <tableColumn id="6612" xr3:uid="{CA6F9481-515F-4168-BC5A-55E6D0831EFF}" name="Kolonna6274"/>
    <tableColumn id="6613" xr3:uid="{17F07B35-C33C-48BD-93F8-5A968AE9978C}" name="Kolonna6275"/>
    <tableColumn id="6614" xr3:uid="{58510016-8E1B-4036-B337-3108EB2AA6D0}" name="Kolonna6276"/>
    <tableColumn id="6615" xr3:uid="{4C9DD542-B061-4C8F-995E-6106B48B6A55}" name="Kolonna6277"/>
    <tableColumn id="6616" xr3:uid="{2A89975F-F407-4F7C-B76A-813A13319458}" name="Kolonna6278"/>
    <tableColumn id="6617" xr3:uid="{00C586BC-DB07-4F3A-8D11-7816908A82F8}" name="Kolonna6279"/>
    <tableColumn id="6618" xr3:uid="{C4BB794B-91F1-43BD-8DA5-A2D721C07A27}" name="Kolonna6280"/>
    <tableColumn id="6619" xr3:uid="{F16AAB34-9234-4F5E-8F7E-86254470E0EC}" name="Kolonna6281"/>
    <tableColumn id="6620" xr3:uid="{67D20593-78E6-413D-8174-751B4BB0315C}" name="Kolonna6282"/>
    <tableColumn id="6621" xr3:uid="{361137B1-2899-458D-86DC-BC3060568471}" name="Kolonna6283"/>
    <tableColumn id="6622" xr3:uid="{EA23D1C8-51B8-46C6-ACDA-9BED022F3360}" name="Kolonna6284"/>
    <tableColumn id="6623" xr3:uid="{99B2D117-3D20-437F-A31D-89A5FD14FA34}" name="Kolonna6285"/>
    <tableColumn id="6624" xr3:uid="{A13D7BAF-368D-4D5D-9718-8DD57DCA0205}" name="Kolonna6286"/>
    <tableColumn id="6625" xr3:uid="{0BE40834-3296-4714-A656-DE507B7D0856}" name="Kolonna6287"/>
    <tableColumn id="6626" xr3:uid="{18593619-5F62-4557-894E-70EEEBE786B8}" name="Kolonna6288"/>
    <tableColumn id="6627" xr3:uid="{8C381BC6-6D72-472D-927A-DCEA60C57239}" name="Kolonna6289"/>
    <tableColumn id="6628" xr3:uid="{EC720EB3-D2B7-4B3D-B55C-D1084EFD36D8}" name="Kolonna6290"/>
    <tableColumn id="6629" xr3:uid="{4DC5DA9A-2272-463B-A769-83DF1515A698}" name="Kolonna6291"/>
    <tableColumn id="6630" xr3:uid="{26CAEAE1-66FF-415E-990D-B4F2D179150A}" name="Kolonna6292"/>
    <tableColumn id="6631" xr3:uid="{67FAFB78-64C5-4C25-A4AE-83CF11657739}" name="Kolonna6293"/>
    <tableColumn id="6632" xr3:uid="{5515CA49-03B4-4C9E-B7A8-74CD2861D23D}" name="Kolonna6294"/>
    <tableColumn id="6633" xr3:uid="{C4B4C80B-8EC5-4CA5-B33E-1DADA3025803}" name="Kolonna6295"/>
    <tableColumn id="6634" xr3:uid="{7D54DEC1-299B-408E-AC4C-EC91B90A8140}" name="Kolonna6296"/>
    <tableColumn id="6635" xr3:uid="{43AD90F1-A140-445D-8F1E-47134F164691}" name="Kolonna6297"/>
    <tableColumn id="6636" xr3:uid="{A5D11650-0BB4-41CD-9F91-79BFD2ECAE64}" name="Kolonna6298"/>
    <tableColumn id="6637" xr3:uid="{D98DBC90-75B2-4AB8-854C-6EB2D54CBAD3}" name="Kolonna6299"/>
    <tableColumn id="6638" xr3:uid="{69FA7584-F999-43C5-A25B-7713FD37C959}" name="Kolonna6300"/>
    <tableColumn id="6639" xr3:uid="{21AFC06C-384C-4E65-8EC4-DD30535FFFE2}" name="Kolonna6301"/>
    <tableColumn id="6640" xr3:uid="{C926BD4E-0EE0-484F-ABF5-C0779B77F2FF}" name="Kolonna6302"/>
    <tableColumn id="6641" xr3:uid="{1F117573-720C-48D8-AA15-80C0FD064FD9}" name="Kolonna6303"/>
    <tableColumn id="6642" xr3:uid="{AA7AA4C0-C819-4419-B68B-8BF6FE8625A1}" name="Kolonna6304"/>
    <tableColumn id="6643" xr3:uid="{47F53F12-2795-4AED-9371-0FEA49266343}" name="Kolonna6305"/>
    <tableColumn id="6644" xr3:uid="{FA53E6AE-3231-4FFD-9E93-0D4E71BA02BF}" name="Kolonna6306"/>
    <tableColumn id="6645" xr3:uid="{555C932C-711B-4493-8793-69EB28FC8977}" name="Kolonna6307"/>
    <tableColumn id="6646" xr3:uid="{7FAE50D4-97A7-4309-81C6-514E054FCCC4}" name="Kolonna6308"/>
    <tableColumn id="6647" xr3:uid="{611FB2EE-5776-416E-B706-FCFBD1A58196}" name="Kolonna6309"/>
    <tableColumn id="6648" xr3:uid="{F9B43AD4-1B84-4499-803B-AD7E1F366994}" name="Kolonna6310"/>
    <tableColumn id="6649" xr3:uid="{33E5D2B3-86FE-4A09-98A0-187710561B73}" name="Kolonna6311"/>
    <tableColumn id="6650" xr3:uid="{21CB4D7B-60E4-45DD-B867-0AF962D66834}" name="Kolonna6312"/>
    <tableColumn id="6651" xr3:uid="{D1F2FFF6-E31D-40B0-B7B5-D0100CC26277}" name="Kolonna6313"/>
    <tableColumn id="6652" xr3:uid="{01548103-28F8-46AE-B1F9-BA17DD016243}" name="Kolonna6314"/>
    <tableColumn id="6653" xr3:uid="{191EDE50-7578-4057-9394-FABF568C6C76}" name="Kolonna6315"/>
    <tableColumn id="6654" xr3:uid="{F4A9917F-BE90-4049-94BF-7A129DD97C7D}" name="Kolonna6316"/>
    <tableColumn id="6655" xr3:uid="{DA2A78DC-A263-43AD-B7A5-7C225014C2C3}" name="Kolonna6317"/>
    <tableColumn id="6656" xr3:uid="{6DC3BB7C-7973-42C4-9B3D-E103EAC9EBF8}" name="Kolonna6318"/>
    <tableColumn id="6657" xr3:uid="{E260921F-1D80-4CC3-B2F0-38B24BB8F243}" name="Kolonna6319"/>
    <tableColumn id="6658" xr3:uid="{208088CA-5223-4B71-BBF2-5A101D0EBDB8}" name="Kolonna6320"/>
    <tableColumn id="6659" xr3:uid="{B7440034-DAE0-47D4-86DD-2F0DCABC15CA}" name="Kolonna6321"/>
    <tableColumn id="6660" xr3:uid="{AB05D015-4AF9-4227-9151-8DD7AB2CAC89}" name="Kolonna6322"/>
    <tableColumn id="6661" xr3:uid="{B2CAC9AA-F988-4FFB-8742-DB0457F02C5D}" name="Kolonna6323"/>
    <tableColumn id="6662" xr3:uid="{BFACCE37-5AC5-4513-B529-9CEAC546B8A3}" name="Kolonna6324"/>
    <tableColumn id="6663" xr3:uid="{1418F78A-1B1A-4513-B2D1-AD77145BB73D}" name="Kolonna6325"/>
    <tableColumn id="6664" xr3:uid="{355EFDCA-2157-4AC3-B72F-F7C76A9DB6D7}" name="Kolonna6326"/>
    <tableColumn id="6665" xr3:uid="{E0C35A4E-F8D7-4B45-9C79-DC2B811A8D13}" name="Kolonna6327"/>
    <tableColumn id="6666" xr3:uid="{DDB6A4B3-54BB-4723-8056-A6B351B959E7}" name="Kolonna6328"/>
    <tableColumn id="6667" xr3:uid="{92B09A02-6FFC-492A-A239-9C62B52CDF0D}" name="Kolonna6329"/>
    <tableColumn id="6668" xr3:uid="{6E963BFD-C4EC-451E-AA8C-A03ADFAFF8DB}" name="Kolonna6330"/>
    <tableColumn id="6669" xr3:uid="{C5A7DDBB-B57B-4BA8-A204-63D3C1A79962}" name="Kolonna6331"/>
    <tableColumn id="6670" xr3:uid="{831D91D6-74A0-4DDF-BB1C-012DBB3FF3FF}" name="Kolonna6332"/>
    <tableColumn id="6671" xr3:uid="{A88152B9-3880-49F7-BB49-D798B08D1332}" name="Kolonna6333"/>
    <tableColumn id="6672" xr3:uid="{EDC92AD6-3AD4-4C45-A788-D5824062DD43}" name="Kolonna6334"/>
    <tableColumn id="6673" xr3:uid="{406254BF-6EA0-4979-BF18-C6200DED3B03}" name="Kolonna6335"/>
    <tableColumn id="6674" xr3:uid="{62F2EE4E-FBEC-42E9-9726-1BBF7F7F71CD}" name="Kolonna6336"/>
    <tableColumn id="6675" xr3:uid="{B8F2220D-E014-4809-A191-1B2DD6505F17}" name="Kolonna6337"/>
    <tableColumn id="6676" xr3:uid="{3FC53BF4-EA03-47A9-A475-2C0676E5C490}" name="Kolonna6338"/>
    <tableColumn id="6677" xr3:uid="{8C49EDDE-4912-4C28-8F10-F49A6C6CD529}" name="Kolonna6339"/>
    <tableColumn id="6678" xr3:uid="{8DECFF0F-9F16-495E-9608-3806032067EC}" name="Kolonna6340"/>
    <tableColumn id="6679" xr3:uid="{F407F72B-0FA5-4501-9F52-D2831471194E}" name="Kolonna6341"/>
    <tableColumn id="6680" xr3:uid="{E69B735C-B768-487D-9E00-C648871C2C70}" name="Kolonna6342"/>
    <tableColumn id="6681" xr3:uid="{A14F8C8A-C85C-4C09-B6F8-7CF6F59902C7}" name="Kolonna6343"/>
    <tableColumn id="6682" xr3:uid="{6365FF11-1BB1-4E63-BFC1-438CDB76DD96}" name="Kolonna6344"/>
    <tableColumn id="6683" xr3:uid="{CE850280-449D-4D49-ABB0-E3F6C160ED5D}" name="Kolonna6345"/>
    <tableColumn id="6684" xr3:uid="{7A6E908D-53AB-425A-B225-46FA4728DE4D}" name="Kolonna6346"/>
    <tableColumn id="6685" xr3:uid="{2167BC49-9167-450F-91AC-795A6332184E}" name="Kolonna6347"/>
    <tableColumn id="6686" xr3:uid="{7549528B-59A1-4C96-9C8F-5D880EE328F0}" name="Kolonna6348"/>
    <tableColumn id="6687" xr3:uid="{073549ED-E7CC-43FD-8D5C-F6166FC83750}" name="Kolonna6349"/>
    <tableColumn id="6688" xr3:uid="{019BC9C0-C4A7-435D-8D49-402BEFB14694}" name="Kolonna6350"/>
    <tableColumn id="6689" xr3:uid="{8B083586-7206-48A1-BEC5-30E05E0A482D}" name="Kolonna6351"/>
    <tableColumn id="6690" xr3:uid="{8E2E6C14-BB83-4689-92D9-06F4EE52C6BE}" name="Kolonna6352"/>
    <tableColumn id="6691" xr3:uid="{5DE8564A-55F0-4CA7-AD76-72ABF9954811}" name="Kolonna6353"/>
    <tableColumn id="6692" xr3:uid="{9CB4C77C-D9AD-4FF8-9878-441F6B5FC3FF}" name="Kolonna6354"/>
    <tableColumn id="6693" xr3:uid="{C5316B73-48AD-42AD-AAC2-B24EA13B9D5E}" name="Kolonna6355"/>
    <tableColumn id="6694" xr3:uid="{112B4476-54D5-499C-A335-CFF4FF44A5D7}" name="Kolonna6356"/>
    <tableColumn id="6695" xr3:uid="{D01C1448-57BF-49C2-A1CE-FE23B685813D}" name="Kolonna6357"/>
    <tableColumn id="6696" xr3:uid="{2680E3AC-0A6A-46B8-B30D-0236B2145213}" name="Kolonna6358"/>
    <tableColumn id="6697" xr3:uid="{DA240E23-9168-4819-A950-8EA4D20B7691}" name="Kolonna6359"/>
    <tableColumn id="6698" xr3:uid="{6B9E01CC-8946-491F-A9D7-B118A486C7A4}" name="Kolonna6360"/>
    <tableColumn id="6699" xr3:uid="{6C90782F-A072-4D14-BF93-F2C40E395483}" name="Kolonna6361"/>
    <tableColumn id="6700" xr3:uid="{B406EDB4-B6E6-456A-AEF3-8F53225FF00D}" name="Kolonna6362"/>
    <tableColumn id="6701" xr3:uid="{90525371-3F41-4F60-A092-8AD80D4EB34A}" name="Kolonna6363"/>
    <tableColumn id="6702" xr3:uid="{86020068-FE5E-4560-AD9A-DA02D5FD7503}" name="Kolonna6364"/>
    <tableColumn id="6703" xr3:uid="{A08C79F3-F895-4FB2-9E9B-81154109A49F}" name="Kolonna6365"/>
    <tableColumn id="6704" xr3:uid="{5919AE4F-9B04-4402-B12D-6FBC213FA4A5}" name="Kolonna6366"/>
    <tableColumn id="6705" xr3:uid="{D0E27734-6390-4A58-97DB-2660A17F0A54}" name="Kolonna6367"/>
    <tableColumn id="6706" xr3:uid="{BB23EE8D-250C-4F87-95A5-C02CB9D9408E}" name="Kolonna6368"/>
    <tableColumn id="6707" xr3:uid="{D2C30FBE-9E5B-4E0C-8232-6C35000B7B4A}" name="Kolonna6369"/>
    <tableColumn id="6708" xr3:uid="{9C965062-1909-412E-AFB9-C11136A1E510}" name="Kolonna6370"/>
    <tableColumn id="6709" xr3:uid="{4BFCE047-02A4-4BD5-B00D-23EFCD9B9877}" name="Kolonna6371"/>
    <tableColumn id="6710" xr3:uid="{A1EC59D3-52CE-4DC1-8891-435D1CDCDEAA}" name="Kolonna6372"/>
    <tableColumn id="6711" xr3:uid="{8CBD9509-2294-4C7C-B2C9-3D81BDFD01E4}" name="Kolonna6373"/>
    <tableColumn id="6712" xr3:uid="{6CD57FEF-47CF-4FF8-AC56-C7D545C55908}" name="Kolonna6374"/>
    <tableColumn id="6713" xr3:uid="{09F5BEB5-15F9-44A4-A149-433CA85E16E9}" name="Kolonna6375"/>
    <tableColumn id="6714" xr3:uid="{56D0311A-F0A6-468A-AB43-98EBD816C251}" name="Kolonna6376"/>
    <tableColumn id="6715" xr3:uid="{243EE954-263E-475E-A198-B739CE2949C3}" name="Kolonna6377"/>
    <tableColumn id="6716" xr3:uid="{AF819BC2-9CD7-48B7-8CAB-68351D519813}" name="Kolonna6378"/>
    <tableColumn id="6717" xr3:uid="{C0A11A23-A581-4E3C-80C6-1D2768F595A7}" name="Kolonna6379"/>
    <tableColumn id="6718" xr3:uid="{A53F6AAF-03DD-49FE-8A4A-3330A9167AA0}" name="Kolonna6380"/>
    <tableColumn id="6719" xr3:uid="{6BD90505-ABA8-44E8-B838-6858C6A12C62}" name="Kolonna6381"/>
    <tableColumn id="6720" xr3:uid="{7A618AD0-41C4-4E37-A7B6-329B4058AC08}" name="Kolonna6382"/>
    <tableColumn id="6721" xr3:uid="{0D70EC99-D671-40C4-A568-357A28E47E39}" name="Kolonna6383"/>
    <tableColumn id="6722" xr3:uid="{F3A0908A-9539-430B-BB8B-84579D46EF1B}" name="Kolonna6384"/>
    <tableColumn id="6723" xr3:uid="{F59B8BA4-E5C9-41A2-9DAE-F6E08A9F0781}" name="Kolonna6385"/>
    <tableColumn id="6724" xr3:uid="{AE4E6EB0-6C72-4974-A526-5B61E1062EF7}" name="Kolonna6386"/>
    <tableColumn id="6725" xr3:uid="{0E11406F-A3D5-4CD2-B5D5-53BACC47DF84}" name="Kolonna6387"/>
    <tableColumn id="6726" xr3:uid="{030B4D51-612B-4F93-B923-EFDCB6CD546A}" name="Kolonna6388"/>
    <tableColumn id="6727" xr3:uid="{402298C7-CC92-46B3-85E3-7EED4C0E18FE}" name="Kolonna6389"/>
    <tableColumn id="6728" xr3:uid="{5BA8CC86-E9C6-4757-A46B-5BB83134502A}" name="Kolonna6390"/>
    <tableColumn id="6729" xr3:uid="{43460E27-30A0-4373-AA29-E5FB17293E31}" name="Kolonna6391"/>
    <tableColumn id="6730" xr3:uid="{254C6E11-B300-4ACE-8BE0-813106148768}" name="Kolonna6392"/>
    <tableColumn id="6731" xr3:uid="{95153585-CC5E-43F9-AE0D-760DD6D86A11}" name="Kolonna6393"/>
    <tableColumn id="6732" xr3:uid="{92F6B9D0-D055-472B-B421-978A161A2F7D}" name="Kolonna6394"/>
    <tableColumn id="6733" xr3:uid="{8B0C9EFB-B060-49BA-9265-640639F14D84}" name="Kolonna6395"/>
    <tableColumn id="6734" xr3:uid="{36FC858B-F955-40D9-985B-90D0F27FB6B7}" name="Kolonna6396"/>
    <tableColumn id="6735" xr3:uid="{86146E24-D2F4-4291-B778-3D68DE9885FD}" name="Kolonna6397"/>
    <tableColumn id="6736" xr3:uid="{BC7E7B02-A2F4-421A-BADE-0FE8B4FBD8AA}" name="Kolonna6398"/>
    <tableColumn id="6737" xr3:uid="{E1F648AB-5DB2-4FD2-83A8-3E609664853C}" name="Kolonna6399"/>
    <tableColumn id="6738" xr3:uid="{40EB6949-83CF-4DC0-9A87-CBB2617CD4F0}" name="Kolonna6400"/>
    <tableColumn id="6739" xr3:uid="{5D59C908-9997-475B-9B5B-C8A29B30D2D4}" name="Kolonna6401"/>
    <tableColumn id="6740" xr3:uid="{EAC9E072-9EB1-4419-8534-8296C8447EBD}" name="Kolonna6402"/>
    <tableColumn id="6741" xr3:uid="{40ACC804-C183-410A-B5EE-A3A2EA9A25F8}" name="Kolonna6403"/>
    <tableColumn id="6742" xr3:uid="{E396789F-DB4B-41FA-91E1-3A81423FFEF6}" name="Kolonna6404"/>
    <tableColumn id="6743" xr3:uid="{E56D6395-3E57-4A1C-ADE6-1C77002138A9}" name="Kolonna6405"/>
    <tableColumn id="6744" xr3:uid="{6E349BB2-43B6-49C1-9111-DD28B7C6E0D4}" name="Kolonna6406"/>
    <tableColumn id="6745" xr3:uid="{9898AE15-1725-48CF-AE60-ADC42797C579}" name="Kolonna6407"/>
    <tableColumn id="6746" xr3:uid="{2F1830D9-DA57-49CB-9317-F125B6C19F05}" name="Kolonna6408"/>
    <tableColumn id="6747" xr3:uid="{EB14D7D4-3D53-4456-9B0C-D1AF6255AE51}" name="Kolonna6409"/>
    <tableColumn id="6748" xr3:uid="{89CC2962-E48E-4DA3-BCAC-112728CD5F4D}" name="Kolonna6410"/>
    <tableColumn id="6749" xr3:uid="{9F063FF4-1537-41A1-8E6C-DB399623D3E3}" name="Kolonna6411"/>
    <tableColumn id="6750" xr3:uid="{DACFC1DB-AE17-462D-8C0D-409BC1B44E68}" name="Kolonna6412"/>
    <tableColumn id="6751" xr3:uid="{DB4B6C40-AC63-49EE-907E-4E04DAF1ED35}" name="Kolonna6413"/>
    <tableColumn id="6752" xr3:uid="{3E4DF813-0B0A-436C-A731-57EB57D798F9}" name="Kolonna6414"/>
    <tableColumn id="6753" xr3:uid="{8033B260-41DC-4099-BAD0-4A4D7E01FA40}" name="Kolonna6415"/>
    <tableColumn id="6754" xr3:uid="{ED820145-AEE8-446F-919E-6E6E31120FE7}" name="Kolonna6416"/>
    <tableColumn id="6755" xr3:uid="{B97B478C-5D6E-4172-ADDD-912982E4B136}" name="Kolonna6417"/>
    <tableColumn id="6756" xr3:uid="{32366EC4-7EE7-4831-B172-46693A686836}" name="Kolonna6418"/>
    <tableColumn id="6757" xr3:uid="{6460BABA-9010-4D07-B3D9-25E4E2553D5F}" name="Kolonna6419"/>
    <tableColumn id="6758" xr3:uid="{FB0F56AD-726A-46FE-98EA-1F941B5FEB97}" name="Kolonna6420"/>
    <tableColumn id="6759" xr3:uid="{129047C0-57DB-4542-9C91-1F0F9812F356}" name="Kolonna6421"/>
    <tableColumn id="6760" xr3:uid="{9CCCA0BA-3DF9-42A3-9447-1F9A88016000}" name="Kolonna6422"/>
    <tableColumn id="6761" xr3:uid="{9C3A5947-27C1-4378-AAC8-DE2B30DE7EB5}" name="Kolonna6423"/>
    <tableColumn id="6762" xr3:uid="{764C58BD-32B0-4745-9321-F0810FEB041D}" name="Kolonna6424"/>
    <tableColumn id="6763" xr3:uid="{FF50ADE0-5365-4262-B14D-8D9C30D9635D}" name="Kolonna6425"/>
    <tableColumn id="6764" xr3:uid="{72E024FE-C0D7-4460-B605-04364AB5CDF1}" name="Kolonna6426"/>
    <tableColumn id="6765" xr3:uid="{A4DAF10E-4BF0-4727-8F52-1E5CEBDD2080}" name="Kolonna6427"/>
    <tableColumn id="6766" xr3:uid="{B9DD042F-32EC-40D1-9E90-51FEB2D6A3A7}" name="Kolonna6428"/>
    <tableColumn id="6767" xr3:uid="{0CB0D17C-2C0A-47B7-BC7A-8595FF29751E}" name="Kolonna6429"/>
    <tableColumn id="6768" xr3:uid="{1287F79A-C432-48DA-8F95-75D6443112D5}" name="Kolonna6430"/>
    <tableColumn id="6769" xr3:uid="{71DD203C-EC9D-4F37-B49C-B325F6EB1669}" name="Kolonna6431"/>
    <tableColumn id="6770" xr3:uid="{4438F051-12CC-481C-8AD1-27BF9A766985}" name="Kolonna6432"/>
    <tableColumn id="6771" xr3:uid="{45F4BF04-57C7-4804-90A6-6C5D1EDE6B11}" name="Kolonna6433"/>
    <tableColumn id="6772" xr3:uid="{695965D7-CA57-4269-B048-042B3596F587}" name="Kolonna6434"/>
    <tableColumn id="6773" xr3:uid="{65468B76-36FC-437F-A1C7-CD3A0E160CF0}" name="Kolonna6435"/>
    <tableColumn id="6774" xr3:uid="{98E9471E-9838-4CB7-A6C6-8186A8653049}" name="Kolonna6436"/>
    <tableColumn id="6775" xr3:uid="{77ED0936-63B3-41D7-8390-F3BFC38B456F}" name="Kolonna6437"/>
    <tableColumn id="6776" xr3:uid="{267F8D9D-2FE1-4A8A-9725-99C6BEE25D20}" name="Kolonna6438"/>
    <tableColumn id="6777" xr3:uid="{5423BB07-7EC5-4071-88CF-20AE48352025}" name="Kolonna6439"/>
    <tableColumn id="6778" xr3:uid="{D546B53B-66E8-4A0A-8D26-81607BF46F9C}" name="Kolonna6440"/>
    <tableColumn id="6779" xr3:uid="{3E0410E4-C686-479E-95AE-75E4B4E567C4}" name="Kolonna6441"/>
    <tableColumn id="6780" xr3:uid="{5E7C7A67-5BAA-43FA-AD66-793B3B1C109C}" name="Kolonna6442"/>
    <tableColumn id="6781" xr3:uid="{FC0A2772-45B5-4ECA-94AA-CF6A57071DC5}" name="Kolonna6443"/>
    <tableColumn id="6782" xr3:uid="{DF0843B7-51A7-401C-9F52-A9DA9CE5B5CC}" name="Kolonna6444"/>
    <tableColumn id="6783" xr3:uid="{C1387DB9-DC5B-4133-947A-D15D2665055B}" name="Kolonna6445"/>
    <tableColumn id="6784" xr3:uid="{BFDE6B64-E030-49CC-9DDD-E91503AFAB2D}" name="Kolonna6446"/>
    <tableColumn id="6785" xr3:uid="{BD8CCDDB-EB42-4F65-AA8F-03B206804BA5}" name="Kolonna6447"/>
    <tableColumn id="6786" xr3:uid="{03EFC351-D88A-489A-A6EC-7660DC61FB0A}" name="Kolonna6448"/>
    <tableColumn id="6787" xr3:uid="{2958A479-E0DE-4053-8734-080A58229D18}" name="Kolonna6449"/>
    <tableColumn id="6788" xr3:uid="{449E2B87-89B0-4261-83F2-66556A7A7600}" name="Kolonna6450"/>
    <tableColumn id="6789" xr3:uid="{38556B6D-A257-4B3A-A73D-FDD3D4AC5F16}" name="Kolonna6451"/>
    <tableColumn id="6790" xr3:uid="{477960C1-5947-49C6-8DF2-EDEEEFC82BCC}" name="Kolonna6452"/>
    <tableColumn id="6791" xr3:uid="{D48CC4A2-6A6D-44B1-AC54-47C8A1518FF2}" name="Kolonna6453"/>
    <tableColumn id="6792" xr3:uid="{DF450DCF-D2DE-4F0E-8759-7812C5D6C199}" name="Kolonna6454"/>
    <tableColumn id="6793" xr3:uid="{5B7C1ECB-05C6-4FC3-9504-BCD29360BAC9}" name="Kolonna6455"/>
    <tableColumn id="6794" xr3:uid="{6E5B347B-1595-49F7-B621-32B2DAC72472}" name="Kolonna6456"/>
    <tableColumn id="6795" xr3:uid="{B144B2C9-AF4A-405F-BE56-C69946DA1711}" name="Kolonna6457"/>
    <tableColumn id="6796" xr3:uid="{5FF202AE-8579-4A04-9075-092C1AB4B443}" name="Kolonna6458"/>
    <tableColumn id="6797" xr3:uid="{C28991B3-3B8E-4B29-B986-0BA36C805C28}" name="Kolonna6459"/>
    <tableColumn id="6798" xr3:uid="{049EDFE8-4EF5-4304-9282-4192EACE1DB3}" name="Kolonna6460"/>
    <tableColumn id="6799" xr3:uid="{A26E9B1B-D6F7-4E32-9C14-986F9B1F958B}" name="Kolonna6461"/>
    <tableColumn id="6800" xr3:uid="{2D8B0F8D-AA3B-4B15-9F8E-96CDF14DE7A7}" name="Kolonna6462"/>
    <tableColumn id="6801" xr3:uid="{CA4F6799-D4CE-4A9B-A205-61407B634B2C}" name="Kolonna6463"/>
    <tableColumn id="6802" xr3:uid="{D7248885-0AE3-44AF-9A19-D2C6E3E9AB0A}" name="Kolonna6464"/>
    <tableColumn id="6803" xr3:uid="{9C133E98-BAF5-4BD3-A635-118D3A5B0428}" name="Kolonna6465"/>
    <tableColumn id="6804" xr3:uid="{BDCC7B58-B5D6-4173-BAD7-57CFB7A133D9}" name="Kolonna6466"/>
    <tableColumn id="6805" xr3:uid="{6D35ADF0-3E18-4A67-8748-AFDFB6EE56A8}" name="Kolonna6467"/>
    <tableColumn id="6806" xr3:uid="{995D929C-F892-4DC3-BFCA-62C15B4AC3F4}" name="Kolonna6468"/>
    <tableColumn id="6807" xr3:uid="{5D952F00-FCF4-4240-BBDC-A926E8637BAF}" name="Kolonna6469"/>
    <tableColumn id="6808" xr3:uid="{08876053-2024-4F6D-995F-ED12B9FA3437}" name="Kolonna6470"/>
    <tableColumn id="6809" xr3:uid="{C3868980-08A9-49D9-BFB1-C45F9A83A41A}" name="Kolonna6471"/>
    <tableColumn id="6810" xr3:uid="{10002698-9A6F-4F21-929B-B5DB3071C9C1}" name="Kolonna6472"/>
    <tableColumn id="6811" xr3:uid="{07270F99-6325-4BC4-B5BB-DB9A3D5CCB6D}" name="Kolonna6473"/>
    <tableColumn id="6812" xr3:uid="{8B834767-5BF5-412F-A37E-88016A446686}" name="Kolonna6474"/>
    <tableColumn id="6813" xr3:uid="{26DF2249-7F23-4C9C-A207-716608514021}" name="Kolonna6475"/>
    <tableColumn id="6814" xr3:uid="{49302088-AF0A-41EF-9A69-BB25C0B5F91F}" name="Kolonna6476"/>
    <tableColumn id="6815" xr3:uid="{F5AE6D03-9A69-4178-8F04-504F9346B152}" name="Kolonna6477"/>
    <tableColumn id="6816" xr3:uid="{2417EDCE-1A20-48B4-AB88-DEDE6566309D}" name="Kolonna6478"/>
    <tableColumn id="6817" xr3:uid="{39D0534F-FB2C-4FD5-9D42-22B6AF09145E}" name="Kolonna6479"/>
    <tableColumn id="6818" xr3:uid="{B5874D80-F2B8-4DAF-8F03-8819C5EC1EED}" name="Kolonna6480"/>
    <tableColumn id="6819" xr3:uid="{317F4459-4D07-4852-9F7C-5E3B47F40020}" name="Kolonna6481"/>
    <tableColumn id="6820" xr3:uid="{DFDCA209-7960-48B8-80F5-4B25BB44FAB4}" name="Kolonna6482"/>
    <tableColumn id="6821" xr3:uid="{86230DFC-1F83-47DC-B583-4FB1F1A200C6}" name="Kolonna6483"/>
    <tableColumn id="6822" xr3:uid="{4D215DA8-F430-4517-8BB8-8F0F008C4EE8}" name="Kolonna6484"/>
    <tableColumn id="6823" xr3:uid="{2F568FB3-BD89-4FBD-9645-690DA60D9195}" name="Kolonna6485"/>
    <tableColumn id="6824" xr3:uid="{78A72226-F1D1-4061-AEE0-B0A4F92A7733}" name="Kolonna6486"/>
    <tableColumn id="6825" xr3:uid="{CA0038CA-876F-4498-B492-8770D7C8FFFA}" name="Kolonna6487"/>
    <tableColumn id="6826" xr3:uid="{61CC07E0-8ED8-4B38-9441-0B13E9877B24}" name="Kolonna6488"/>
    <tableColumn id="6827" xr3:uid="{1B5B3CEE-6BAE-42D7-A7A3-8E74AD6B5225}" name="Kolonna6489"/>
    <tableColumn id="6828" xr3:uid="{B363CA83-D8A4-4D1E-A4C1-8E711256C585}" name="Kolonna6490"/>
    <tableColumn id="6829" xr3:uid="{995A8CBC-0DA4-4E50-B52D-CDBC6B9B030D}" name="Kolonna6491"/>
    <tableColumn id="6830" xr3:uid="{8735ECEE-4E8B-4F12-B75F-B0BCB42D3939}" name="Kolonna6492"/>
    <tableColumn id="6831" xr3:uid="{9616A900-6204-44F8-BD95-B98139DD1BB1}" name="Kolonna6493"/>
    <tableColumn id="6832" xr3:uid="{900B7461-AA5B-4496-9960-4A21935A5257}" name="Kolonna6494"/>
    <tableColumn id="6833" xr3:uid="{21C3A35E-229B-4423-B324-1CF2998A4CD1}" name="Kolonna6495"/>
    <tableColumn id="6834" xr3:uid="{D10C1ABF-C7AE-44CE-A6EE-9D4384952423}" name="Kolonna6496"/>
    <tableColumn id="6835" xr3:uid="{2CFB87EB-8D5D-4EEC-8D59-48A9562FB157}" name="Kolonna6497"/>
    <tableColumn id="6836" xr3:uid="{A9B75301-BD03-45C3-94C1-5D63E32D20BD}" name="Kolonna6498"/>
    <tableColumn id="6837" xr3:uid="{AD54949A-94C6-4605-8278-AE7509776888}" name="Kolonna6499"/>
    <tableColumn id="6838" xr3:uid="{67FD3F70-12E9-4967-8E14-D4A1738B764B}" name="Kolonna6500"/>
    <tableColumn id="6839" xr3:uid="{7CD0E3AE-DE51-40A5-87F6-6A674A428C5D}" name="Kolonna6501"/>
    <tableColumn id="6840" xr3:uid="{2FACF075-0F5E-49AD-8F4D-B1457691A678}" name="Kolonna6502"/>
    <tableColumn id="6841" xr3:uid="{0B656AEB-D3DD-4078-8E61-47DB3DE912AB}" name="Kolonna6503"/>
    <tableColumn id="6842" xr3:uid="{740682CD-B3F0-4638-BED4-F933C43C0B6E}" name="Kolonna6504"/>
    <tableColumn id="6843" xr3:uid="{2797AC79-42A3-4308-A6D6-CDEA6B55B120}" name="Kolonna6505"/>
    <tableColumn id="6844" xr3:uid="{5BE8E633-EBBB-4A0C-8B61-371C824B9991}" name="Kolonna6506"/>
    <tableColumn id="6845" xr3:uid="{FD931119-3747-4E83-9700-E23987E4C8EB}" name="Kolonna6507"/>
    <tableColumn id="6846" xr3:uid="{7C492508-EE8C-463D-A620-79F7C24520C3}" name="Kolonna6508"/>
    <tableColumn id="6847" xr3:uid="{0D2F051A-BC56-44C9-B262-B014C21AAEBD}" name="Kolonna6509"/>
    <tableColumn id="6848" xr3:uid="{76C47F04-73A1-485E-9F35-90FD42BF6E94}" name="Kolonna6510"/>
    <tableColumn id="6849" xr3:uid="{D0170E78-1120-40DF-845C-DF8B877C2916}" name="Kolonna6511"/>
    <tableColumn id="6850" xr3:uid="{B83619A8-4FF0-48A5-B06B-44DC518D9A8D}" name="Kolonna6512"/>
    <tableColumn id="6851" xr3:uid="{76780E3A-CA01-477B-9E65-2F8798FA55FC}" name="Kolonna6513"/>
    <tableColumn id="6852" xr3:uid="{99638EEB-E2DD-4878-9E2A-D1E5A4E75DF3}" name="Kolonna6514"/>
    <tableColumn id="6853" xr3:uid="{22A4EF8A-0E6E-4050-BE56-25BD9AF42E08}" name="Kolonna6515"/>
    <tableColumn id="6854" xr3:uid="{8AAAF0DF-B518-4654-92FE-8CCE8247E0AA}" name="Kolonna6516"/>
    <tableColumn id="6855" xr3:uid="{8BE8A601-CCDD-43B8-AE07-E68748443393}" name="Kolonna6517"/>
    <tableColumn id="6856" xr3:uid="{F131EDAA-D7D0-4C6F-8BBE-803B8A421E50}" name="Kolonna6518"/>
    <tableColumn id="6857" xr3:uid="{42F91F7E-8FF0-47E6-A06A-0832DAB9B713}" name="Kolonna6519"/>
    <tableColumn id="6858" xr3:uid="{6C58C236-225F-44D1-8956-C17A2C9DB93D}" name="Kolonna6520"/>
    <tableColumn id="6859" xr3:uid="{42C3137B-B1CE-4A06-A073-EE21573526C4}" name="Kolonna6521"/>
    <tableColumn id="6860" xr3:uid="{325284C2-DFA2-4F37-AE12-CC533D7754C6}" name="Kolonna6522"/>
    <tableColumn id="6861" xr3:uid="{3B03CC3F-9E2E-4BC0-A9BF-BF0686007F0E}" name="Kolonna6523"/>
    <tableColumn id="6862" xr3:uid="{A4041CA4-1F43-4482-AA09-43E860406C84}" name="Kolonna6524"/>
    <tableColumn id="6863" xr3:uid="{DF3CDEB9-908D-469D-BD4D-6B4A7FB4690B}" name="Kolonna6525"/>
    <tableColumn id="6864" xr3:uid="{95F83C28-A029-412E-AE44-4ACCB53F167F}" name="Kolonna6526"/>
    <tableColumn id="6865" xr3:uid="{C4604219-9FB1-4A30-B861-B9D3B3A3D316}" name="Kolonna6527"/>
    <tableColumn id="6866" xr3:uid="{F1753967-9ECC-45A2-B157-330DDF628307}" name="Kolonna6528"/>
    <tableColumn id="6867" xr3:uid="{6C6ECA1F-F380-45C2-9D5F-8FA223CBE8D2}" name="Kolonna6529"/>
    <tableColumn id="6868" xr3:uid="{92651B73-479C-4842-B21A-F7DE898B5504}" name="Kolonna6530"/>
    <tableColumn id="6869" xr3:uid="{7FB9841C-6103-4BC3-B882-4F10B7F6DB12}" name="Kolonna6531"/>
    <tableColumn id="6870" xr3:uid="{325632CA-770F-4904-A03D-32E5CDB0401D}" name="Kolonna6532"/>
    <tableColumn id="6871" xr3:uid="{89FDB918-0C0A-44A5-8768-C1F39F13954D}" name="Kolonna6533"/>
    <tableColumn id="6872" xr3:uid="{C93860EE-DFF8-4598-BAC6-7EBD664F4026}" name="Kolonna6534"/>
    <tableColumn id="6873" xr3:uid="{002F41A2-1AC9-4E9C-BC60-0F394CB927FE}" name="Kolonna6535"/>
    <tableColumn id="6874" xr3:uid="{4A167590-15ED-495B-B9BA-77F707D96FE6}" name="Kolonna6536"/>
    <tableColumn id="6875" xr3:uid="{8214D242-EF22-4BC2-B788-8778F01C9C1D}" name="Kolonna6537"/>
    <tableColumn id="6876" xr3:uid="{36B44702-DDBB-4F15-8257-B41FCA9E42C4}" name="Kolonna6538"/>
    <tableColumn id="6877" xr3:uid="{AEABC771-6FD6-4A0A-B822-0C9A30041630}" name="Kolonna6539"/>
    <tableColumn id="6878" xr3:uid="{EE21E750-691A-4843-A68B-988DE71204F8}" name="Kolonna6540"/>
    <tableColumn id="6879" xr3:uid="{C3ABF5E4-12E6-4409-A531-F37E8D24CD62}" name="Kolonna6541"/>
    <tableColumn id="6880" xr3:uid="{C71AE4E1-42C9-4EDC-9EAE-CEEF730E425B}" name="Kolonna6542"/>
    <tableColumn id="6881" xr3:uid="{E4039C36-9864-4529-9290-695F5BF09461}" name="Kolonna6543"/>
    <tableColumn id="6882" xr3:uid="{5BEE2356-D740-4D5F-9A98-D3542D1E10D1}" name="Kolonna6544"/>
    <tableColumn id="6883" xr3:uid="{A4F485BA-2F28-440E-9F7B-B5272345C73D}" name="Kolonna6545"/>
    <tableColumn id="6884" xr3:uid="{9808C78B-CCD0-40A9-B6A2-DB08E3384BD4}" name="Kolonna6546"/>
    <tableColumn id="6885" xr3:uid="{7B14EEB8-E5F7-4C8B-93E8-0952D2B9C674}" name="Kolonna6547"/>
    <tableColumn id="6886" xr3:uid="{0A8EA10A-2154-44FA-ADA5-6835859515D6}" name="Kolonna6548"/>
    <tableColumn id="6887" xr3:uid="{8C4CBB3A-E89A-41AF-A25D-81E80178D194}" name="Kolonna6549"/>
    <tableColumn id="6888" xr3:uid="{7615B9CB-6CED-4F2B-8244-C0581918DE6C}" name="Kolonna6550"/>
    <tableColumn id="6889" xr3:uid="{2FD0FDAA-0E94-43CE-B3CE-00847E56FC39}" name="Kolonna6551"/>
    <tableColumn id="6890" xr3:uid="{C9975818-68CD-4070-90EF-890E899D0A1F}" name="Kolonna6552"/>
    <tableColumn id="6891" xr3:uid="{5E3F8F59-1C95-4A7A-A68B-11A0A5BF6754}" name="Kolonna6553"/>
    <tableColumn id="6892" xr3:uid="{03B6E541-49EA-4064-974A-F4D1B157EBBF}" name="Kolonna6554"/>
    <tableColumn id="6893" xr3:uid="{E5358296-CCA5-471C-AD88-E70498E3D69B}" name="Kolonna6555"/>
    <tableColumn id="6894" xr3:uid="{1AAD7E1B-0B3C-4D9D-8588-5C90E87F8DD8}" name="Kolonna6556"/>
    <tableColumn id="6895" xr3:uid="{51B9D415-1730-45C6-BDE6-9674F0C171E7}" name="Kolonna6557"/>
    <tableColumn id="6896" xr3:uid="{A93EE87D-85F7-4FB7-88DB-D8B57A7E24A1}" name="Kolonna6558"/>
    <tableColumn id="6897" xr3:uid="{92C6132E-08A6-46CC-8A7B-2C00B26B6A2F}" name="Kolonna6559"/>
    <tableColumn id="6898" xr3:uid="{DC1713BC-549C-4852-B6D1-81BF50C1A7A1}" name="Kolonna6560"/>
    <tableColumn id="6899" xr3:uid="{B227A96C-FA3B-4B40-89F8-EA2AF07B85DB}" name="Kolonna6561"/>
    <tableColumn id="6900" xr3:uid="{8D67CC35-CDE3-4029-815E-B0715B8B0D97}" name="Kolonna6562"/>
    <tableColumn id="6901" xr3:uid="{5EB51D8D-6578-46A7-8F05-3E3E39F9A6CF}" name="Kolonna6563"/>
    <tableColumn id="6902" xr3:uid="{0E9FC8DD-FEC6-4495-AA57-783CA1E333F7}" name="Kolonna6564"/>
    <tableColumn id="6903" xr3:uid="{CE23916C-C395-4F72-977D-3D00E875E0B1}" name="Kolonna6565"/>
    <tableColumn id="6904" xr3:uid="{CA39B91E-E445-4860-B271-638CBF33BE3C}" name="Kolonna6566"/>
    <tableColumn id="6905" xr3:uid="{7E2F5BC6-4DCD-418D-9AE6-FCF8E7462A3D}" name="Kolonna6567"/>
    <tableColumn id="6906" xr3:uid="{1A281E68-4B6A-4ED5-B740-8063F5CE78E4}" name="Kolonna6568"/>
    <tableColumn id="6907" xr3:uid="{EBD84B95-0226-49E4-ABDB-66CBD9F0E390}" name="Kolonna6569"/>
    <tableColumn id="6908" xr3:uid="{2E4CA81A-AC69-4361-A26C-60C1C5434B69}" name="Kolonna6570"/>
    <tableColumn id="6909" xr3:uid="{13CD183B-3AF9-4F01-9B2A-3A398F82F193}" name="Kolonna6571"/>
    <tableColumn id="6910" xr3:uid="{D12B2DC3-AF93-409C-B02E-59376EE93F3D}" name="Kolonna6572"/>
    <tableColumn id="6911" xr3:uid="{CBB52856-B954-4D7E-B767-66D1728E6D6A}" name="Kolonna6573"/>
    <tableColumn id="6912" xr3:uid="{59C027F0-9F45-4526-86F5-079726E9F369}" name="Kolonna6574"/>
    <tableColumn id="6913" xr3:uid="{2635AC59-1790-48B1-9C64-4EEFDC539697}" name="Kolonna6575"/>
    <tableColumn id="6914" xr3:uid="{ADCC8480-1062-4C62-B428-5057ADFD0AC2}" name="Kolonna6576"/>
    <tableColumn id="6915" xr3:uid="{D163C251-246D-4F74-B9A8-2614CE0317EB}" name="Kolonna6577"/>
    <tableColumn id="6916" xr3:uid="{25E40373-229F-419C-82D7-5020072D4AD9}" name="Kolonna6578"/>
    <tableColumn id="6917" xr3:uid="{A0766F82-01B6-49DC-AB4D-22A2374D263F}" name="Kolonna6579"/>
    <tableColumn id="6918" xr3:uid="{5F47611D-69B7-497E-9C98-C4B8D74327F2}" name="Kolonna6580"/>
    <tableColumn id="6919" xr3:uid="{4BD24F3F-9148-4A3B-BB81-91047B4FBEDF}" name="Kolonna6581"/>
    <tableColumn id="6920" xr3:uid="{FA22EBF1-E61F-409D-A521-9E50D4BF89AE}" name="Kolonna6582"/>
    <tableColumn id="6921" xr3:uid="{3932C537-FD86-4F13-924E-1E73DFEDD492}" name="Kolonna6583"/>
    <tableColumn id="6922" xr3:uid="{EE370D17-18C6-4CEB-AB96-B4673C443D50}" name="Kolonna6584"/>
    <tableColumn id="6923" xr3:uid="{E525395A-B1B9-4010-9549-706C2EB9E48B}" name="Kolonna6585"/>
    <tableColumn id="6924" xr3:uid="{37601325-6635-4BAF-BE11-BB0A92C72D11}" name="Kolonna6586"/>
    <tableColumn id="6925" xr3:uid="{B831BE5F-64F8-41F2-8159-8AB9AC38B75A}" name="Kolonna6587"/>
    <tableColumn id="6926" xr3:uid="{4B9F4BD9-2FBA-4D60-8C11-2930D9E3B778}" name="Kolonna6588"/>
    <tableColumn id="6927" xr3:uid="{ECB7200B-BFC0-4274-92D0-645766EAB3F3}" name="Kolonna6589"/>
    <tableColumn id="6928" xr3:uid="{942F648B-185B-4E87-8764-3035FC5150EF}" name="Kolonna6590"/>
    <tableColumn id="6929" xr3:uid="{744479D2-C04D-4C50-8A36-09BD60B10766}" name="Kolonna6591"/>
    <tableColumn id="6930" xr3:uid="{6B01FFC5-BE8B-4645-9A17-80A813160E41}" name="Kolonna6592"/>
    <tableColumn id="6931" xr3:uid="{37694941-2183-4E25-901F-78C6F00238F9}" name="Kolonna6593"/>
    <tableColumn id="6932" xr3:uid="{2C6D5D04-B51B-4379-8B1C-C51AC979D1CB}" name="Kolonna6594"/>
    <tableColumn id="6933" xr3:uid="{BD038DAD-4A94-42D5-99BC-E640012874D4}" name="Kolonna6595"/>
    <tableColumn id="6934" xr3:uid="{B8F12F79-7A9D-44F8-B718-5D5C9D4F58DD}" name="Kolonna6596"/>
    <tableColumn id="6935" xr3:uid="{ED38E0C0-BB2C-4F77-8B77-0F46A8E235B2}" name="Kolonna6597"/>
    <tableColumn id="6936" xr3:uid="{B7FC4A02-F670-4244-9C79-A2F9D3F59F63}" name="Kolonna6598"/>
    <tableColumn id="6937" xr3:uid="{096EBBDB-6412-46E4-89CD-76E4856D9811}" name="Kolonna6599"/>
    <tableColumn id="6938" xr3:uid="{2EBD7A1B-CF41-47D2-BB3E-AEEC7BCA687F}" name="Kolonna6600"/>
    <tableColumn id="6939" xr3:uid="{2A3E8925-4DDE-4D8D-80FB-78B1744D1658}" name="Kolonna6601"/>
    <tableColumn id="6940" xr3:uid="{B970F1B7-45B8-473B-9EFD-424A070A5A4D}" name="Kolonna6602"/>
    <tableColumn id="6941" xr3:uid="{7CC2C984-7AA1-4D5A-BFFF-79E2B0D9C7D8}" name="Kolonna6603"/>
    <tableColumn id="6942" xr3:uid="{5461B3E7-F226-4790-BE73-1C17A8C882D3}" name="Kolonna6604"/>
    <tableColumn id="6943" xr3:uid="{97459DDB-6C37-4412-AD53-25C7E7EA0FE4}" name="Kolonna6605"/>
    <tableColumn id="6944" xr3:uid="{E83FD542-4B79-4F21-8AF2-D5AD38250663}" name="Kolonna6606"/>
    <tableColumn id="6945" xr3:uid="{A6A6AD38-822F-4932-AEF1-6C9422B1EDAF}" name="Kolonna6607"/>
    <tableColumn id="6946" xr3:uid="{2F3ECCC1-7533-4B78-958F-7C17D4839C78}" name="Kolonna6608"/>
    <tableColumn id="6947" xr3:uid="{BFA5570C-EF67-4C60-8FDD-0C83A1F38D3F}" name="Kolonna6609"/>
    <tableColumn id="6948" xr3:uid="{6DABCEA2-D53A-4A77-A912-F2BD8D28C7C0}" name="Kolonna6610"/>
    <tableColumn id="6949" xr3:uid="{A0692A5C-71C5-4F41-BC9F-F851E2B2B2EA}" name="Kolonna6611"/>
    <tableColumn id="6950" xr3:uid="{021AFD26-BF98-4F0A-9B25-EF852DD0158E}" name="Kolonna6612"/>
    <tableColumn id="6951" xr3:uid="{237FAD90-54AC-46EF-AF08-6538788F5C8D}" name="Kolonna6613"/>
    <tableColumn id="6952" xr3:uid="{1A4690DB-0CEE-4E40-AE2C-67163022C986}" name="Kolonna6614"/>
    <tableColumn id="6953" xr3:uid="{1A3B4F92-1ACC-4615-A438-98133829AB20}" name="Kolonna6615"/>
    <tableColumn id="6954" xr3:uid="{A1C6EF0D-627F-4996-ABBD-10EEF4296437}" name="Kolonna6616"/>
    <tableColumn id="6955" xr3:uid="{F51C8ABF-C632-4F61-B919-A34137F04BB7}" name="Kolonna6617"/>
    <tableColumn id="6956" xr3:uid="{2239BB5E-B928-4186-9DAB-CC439C5B294C}" name="Kolonna6618"/>
    <tableColumn id="6957" xr3:uid="{445ACB71-F206-46FE-8A36-F82D577E370C}" name="Kolonna6619"/>
    <tableColumn id="6958" xr3:uid="{C09B693A-3BEA-4DD3-8873-02288CDFFDF0}" name="Kolonna6620"/>
    <tableColumn id="6959" xr3:uid="{2927490A-E89D-429D-8550-8D459B196336}" name="Kolonna6621"/>
    <tableColumn id="6960" xr3:uid="{4FBFCE3C-6345-401B-AC22-A2FD5AAD903F}" name="Kolonna6622"/>
    <tableColumn id="6961" xr3:uid="{184AA830-2272-42C2-926A-9F5B57F3556C}" name="Kolonna6623"/>
    <tableColumn id="6962" xr3:uid="{4FFEE655-4343-4F6A-B43A-FD6646EF9E45}" name="Kolonna6624"/>
    <tableColumn id="6963" xr3:uid="{36BBB74F-28A2-47FE-BF82-FE495CE6B25E}" name="Kolonna6625"/>
    <tableColumn id="6964" xr3:uid="{A8094A86-7C38-4BA3-85AA-30E8BC2E8084}" name="Kolonna6626"/>
    <tableColumn id="6965" xr3:uid="{FCB17FEC-DD67-459F-B30C-37F9E9FFD262}" name="Kolonna6627"/>
    <tableColumn id="6966" xr3:uid="{139B1E3B-9410-4F0B-854E-5075DC15F8EA}" name="Kolonna6628"/>
    <tableColumn id="6967" xr3:uid="{C44195F9-6735-4629-B5F1-78DC6D47DBBE}" name="Kolonna6629"/>
    <tableColumn id="6968" xr3:uid="{B942900B-1480-4872-846A-31148463419E}" name="Kolonna6630"/>
    <tableColumn id="6969" xr3:uid="{06F94177-6F73-4CDA-8AF8-288E73FE64FE}" name="Kolonna6631"/>
    <tableColumn id="6970" xr3:uid="{E8ADD475-5B05-44D7-9EC1-51A4B7FBA353}" name="Kolonna6632"/>
    <tableColumn id="6971" xr3:uid="{B41F699A-BD6D-4B60-A44B-C03D949A6EB7}" name="Kolonna6633"/>
    <tableColumn id="6972" xr3:uid="{DD022497-D7F2-4940-8CDB-A3035F49DF2C}" name="Kolonna6634"/>
    <tableColumn id="6973" xr3:uid="{FD4AA748-C464-4D97-8C00-8BAF20849FBE}" name="Kolonna6635"/>
    <tableColumn id="6974" xr3:uid="{2A2E1E73-AEF5-4031-BFA3-41C3EF28ED58}" name="Kolonna6636"/>
    <tableColumn id="6975" xr3:uid="{3E46B2EC-A835-4764-9040-633A9325F4BD}" name="Kolonna6637"/>
    <tableColumn id="6976" xr3:uid="{112B7468-4CC6-43EF-8D11-9724B821D2F6}" name="Kolonna6638"/>
    <tableColumn id="6977" xr3:uid="{2D32DF5F-DE3E-423D-8A1B-F00739BD942A}" name="Kolonna6639"/>
    <tableColumn id="6978" xr3:uid="{5493875D-A236-47B0-9B1B-09541700EA72}" name="Kolonna6640"/>
    <tableColumn id="6979" xr3:uid="{C7FEC3B9-AAA7-4278-B501-337C99011343}" name="Kolonna6641"/>
    <tableColumn id="6980" xr3:uid="{299D5EFD-FE59-4603-8B98-7853F9967687}" name="Kolonna6642"/>
    <tableColumn id="6981" xr3:uid="{50E76F8E-8338-43B9-A178-4730E6EAF92C}" name="Kolonna6643"/>
    <tableColumn id="6982" xr3:uid="{ACF2CEB8-7517-4BF5-83AC-E834F20A10F9}" name="Kolonna6644"/>
    <tableColumn id="6983" xr3:uid="{E4553603-1E18-442D-904A-A169738C3CD3}" name="Kolonna6645"/>
    <tableColumn id="6984" xr3:uid="{05480F5D-F16A-431C-A5BE-2B6A54AE287B}" name="Kolonna6646"/>
    <tableColumn id="6985" xr3:uid="{456C3E43-E7B4-4510-A689-8D682A9CCF0D}" name="Kolonna6647"/>
    <tableColumn id="6986" xr3:uid="{4FF674F9-3225-4B18-B9F8-D7D92AA17497}" name="Kolonna6648"/>
    <tableColumn id="6987" xr3:uid="{73EE2CD0-3691-4818-A0ED-464BB5881246}" name="Kolonna6649"/>
    <tableColumn id="6988" xr3:uid="{F6113552-EE9F-4B30-8943-295316362935}" name="Kolonna6650"/>
    <tableColumn id="6989" xr3:uid="{B8E717E8-5099-47F6-ADFB-FF88ED85811A}" name="Kolonna6651"/>
    <tableColumn id="6990" xr3:uid="{3F049A54-9961-4622-8F17-1B0E89CB33A2}" name="Kolonna6652"/>
    <tableColumn id="6991" xr3:uid="{1BD24CC7-D318-4564-AEEF-D14258417E82}" name="Kolonna6653"/>
    <tableColumn id="6992" xr3:uid="{3883BD2F-784A-49FB-A99A-8C4DF3A9E609}" name="Kolonna6654"/>
    <tableColumn id="6993" xr3:uid="{C6B061AD-DAC0-442B-B971-14B8F861E43B}" name="Kolonna6655"/>
    <tableColumn id="6994" xr3:uid="{0FFA2198-6934-483C-B633-B823E7435972}" name="Kolonna6656"/>
    <tableColumn id="6995" xr3:uid="{D2A468C3-C74E-477C-B711-89B7296929B5}" name="Kolonna6657"/>
    <tableColumn id="6996" xr3:uid="{6E4B27E1-0443-455D-890D-5656893BDF10}" name="Kolonna6658"/>
    <tableColumn id="6997" xr3:uid="{E153AF91-6DD7-4BFF-A1A5-B15F29C4C706}" name="Kolonna6659"/>
    <tableColumn id="6998" xr3:uid="{0EDF2373-0F42-45BB-9015-41125EF5E6AA}" name="Kolonna6660"/>
    <tableColumn id="6999" xr3:uid="{F3DD3197-3DBB-4141-9968-20A877192FEA}" name="Kolonna6661"/>
    <tableColumn id="7000" xr3:uid="{514754F5-5BD6-4EF9-B57E-B2E96F09833B}" name="Kolonna6662"/>
    <tableColumn id="7001" xr3:uid="{0574D38A-7884-4E21-8741-78E677B56CFA}" name="Kolonna6663"/>
    <tableColumn id="7002" xr3:uid="{6711782A-BA01-41B5-B9DF-7483037A3098}" name="Kolonna6664"/>
    <tableColumn id="7003" xr3:uid="{53C650A2-76A1-4589-B5D5-FF0AA693AB50}" name="Kolonna6665"/>
    <tableColumn id="7004" xr3:uid="{2450417F-622C-40C7-8C5D-BF4ECC713E54}" name="Kolonna6666"/>
    <tableColumn id="7005" xr3:uid="{55E424AE-1D6F-4D24-BA78-DC98BF4BE467}" name="Kolonna6667"/>
    <tableColumn id="7006" xr3:uid="{5ED48573-4C64-45E6-950B-DCCFBBD0A643}" name="Kolonna6668"/>
    <tableColumn id="7007" xr3:uid="{F12BE3FD-A1F3-4381-B732-F5C2C2C990EA}" name="Kolonna6669"/>
    <tableColumn id="7008" xr3:uid="{8A598D9C-8C68-4881-BA91-C1C4B50024BC}" name="Kolonna6670"/>
    <tableColumn id="7009" xr3:uid="{8CEDE06A-92A6-4263-93A0-172586B341F7}" name="Kolonna6671"/>
    <tableColumn id="7010" xr3:uid="{785C7119-AE96-4460-A242-D12214E798D0}" name="Kolonna6672"/>
    <tableColumn id="7011" xr3:uid="{94CA36F7-01FD-4F79-9196-3781E9A4D73C}" name="Kolonna6673"/>
    <tableColumn id="7012" xr3:uid="{98E13449-3400-4028-BD23-C13A7BDFF892}" name="Kolonna6674"/>
    <tableColumn id="7013" xr3:uid="{7F377BBB-F078-4E8A-BEF8-1F0E3426A82A}" name="Kolonna6675"/>
    <tableColumn id="7014" xr3:uid="{8A1DB51E-7A4B-486D-9365-4FFA0DE1EF9D}" name="Kolonna6676"/>
    <tableColumn id="7015" xr3:uid="{7308E153-62E2-4B90-8E80-8FDD567090C1}" name="Kolonna6677"/>
    <tableColumn id="7016" xr3:uid="{7AF38711-33A6-450B-848C-C124DA987918}" name="Kolonna6678"/>
    <tableColumn id="7017" xr3:uid="{6AA22BBD-B678-4B32-9509-D33A07B68EBD}" name="Kolonna6679"/>
    <tableColumn id="7018" xr3:uid="{39941F73-BAA3-4611-9086-663BD9E3FA57}" name="Kolonna6680"/>
    <tableColumn id="7019" xr3:uid="{6378EF69-B174-4259-A0B0-83AABD1F70C8}" name="Kolonna6681"/>
    <tableColumn id="7020" xr3:uid="{1A013E00-A4D8-41C1-BEC0-8003655E8D6B}" name="Kolonna6682"/>
    <tableColumn id="7021" xr3:uid="{8BF8A7E5-52FA-4871-B367-DA2AFD154A80}" name="Kolonna6683"/>
    <tableColumn id="7022" xr3:uid="{99BA2933-9EB5-4A03-8E60-369D34CE80C8}" name="Kolonna6684"/>
    <tableColumn id="7023" xr3:uid="{710BD073-8F0E-4056-A20E-FB4E8C7E740E}" name="Kolonna6685"/>
    <tableColumn id="7024" xr3:uid="{8023F516-FF64-4BAB-B935-8368DFA99B3B}" name="Kolonna6686"/>
    <tableColumn id="7025" xr3:uid="{19B892CC-CDCE-4AEB-BB37-11FC07FCD9CF}" name="Kolonna6687"/>
    <tableColumn id="7026" xr3:uid="{5EB348A6-0917-414E-87C3-74F51AAE201E}" name="Kolonna6688"/>
    <tableColumn id="7027" xr3:uid="{CCA7B3BF-CF5C-4430-96B2-6693E1B83116}" name="Kolonna6689"/>
    <tableColumn id="7028" xr3:uid="{DBD65FEC-52A9-4B32-B184-44A232D078D8}" name="Kolonna6690"/>
    <tableColumn id="7029" xr3:uid="{8DB8971A-F102-4947-AE83-204E8A8AC3BF}" name="Kolonna6691"/>
    <tableColumn id="7030" xr3:uid="{F8969015-6D2D-4BE1-BC9B-E953DAA8D22A}" name="Kolonna6692"/>
    <tableColumn id="7031" xr3:uid="{D17E1E60-A8F5-4666-B74B-DEB3311DE07A}" name="Kolonna6693"/>
    <tableColumn id="7032" xr3:uid="{AD75AE1C-5D38-4C42-B868-8C422DC1EB81}" name="Kolonna6694"/>
    <tableColumn id="7033" xr3:uid="{87A4D0F5-3922-46B4-9200-6BCBCEF1DC23}" name="Kolonna6695"/>
    <tableColumn id="7034" xr3:uid="{A62341C7-B914-4E8B-A52E-73E3623CE67A}" name="Kolonna6696"/>
    <tableColumn id="7035" xr3:uid="{A9458F85-7848-4B35-9C0E-0DFF33640503}" name="Kolonna6697"/>
    <tableColumn id="7036" xr3:uid="{F686F7EE-1896-45AC-A786-D6EA223C12DA}" name="Kolonna6698"/>
    <tableColumn id="7037" xr3:uid="{B24BA39D-68E9-4054-9797-DE015CABCFFF}" name="Kolonna6699"/>
    <tableColumn id="7038" xr3:uid="{7B0F1BD5-6BCF-4CED-8579-87BBA9D97369}" name="Kolonna6700"/>
    <tableColumn id="7039" xr3:uid="{9EF40573-6E8C-4CEA-A377-19C898A963A0}" name="Kolonna6701"/>
    <tableColumn id="7040" xr3:uid="{DC55CC1E-1E0E-4679-8B61-0BF8C8689D62}" name="Kolonna6702"/>
    <tableColumn id="7041" xr3:uid="{7D76DC61-A8D1-4706-9C02-649295CDDF9C}" name="Kolonna6703"/>
    <tableColumn id="7042" xr3:uid="{B72DF089-06A2-4982-87FE-570E01F5E522}" name="Kolonna6704"/>
    <tableColumn id="7043" xr3:uid="{6CDA8846-C640-4ED7-8661-70D1506E58B4}" name="Kolonna6705"/>
    <tableColumn id="7044" xr3:uid="{F7A41114-DBCD-4387-B581-609D040BCA75}" name="Kolonna6706"/>
    <tableColumn id="7045" xr3:uid="{170F4EBF-484E-47C3-B1EF-ADAC511897E6}" name="Kolonna6707"/>
    <tableColumn id="7046" xr3:uid="{E677A463-AE46-4908-87CF-A2954784ADD6}" name="Kolonna6708"/>
    <tableColumn id="7047" xr3:uid="{1650A030-2D36-4785-9431-2DBAACDEF0D3}" name="Kolonna6709"/>
    <tableColumn id="7048" xr3:uid="{41AF19DC-1A13-4799-B734-AE125A2F7654}" name="Kolonna6710"/>
    <tableColumn id="7049" xr3:uid="{474A286F-AB0F-427B-B216-6851776FD0B3}" name="Kolonna6711"/>
    <tableColumn id="7050" xr3:uid="{29518AAB-5BCB-4781-BCB2-E6310C21DABE}" name="Kolonna6712"/>
    <tableColumn id="7051" xr3:uid="{06220772-6F8C-4F58-9C95-4E69E1AD1716}" name="Kolonna6713"/>
    <tableColumn id="7052" xr3:uid="{718F2DE8-33DB-48A0-AF09-4699A38770F5}" name="Kolonna6714"/>
    <tableColumn id="7053" xr3:uid="{7EA5088A-13C4-45D5-A36D-0818DBD2D4CC}" name="Kolonna6715"/>
    <tableColumn id="7054" xr3:uid="{1E798928-B85C-4B73-B83C-A5DBE665C8C6}" name="Kolonna6716"/>
    <tableColumn id="7055" xr3:uid="{F5E8E29E-DF03-4521-A98B-AE35EB471D73}" name="Kolonna6717"/>
    <tableColumn id="7056" xr3:uid="{6CBDA226-2AB7-4EC5-8B2A-2C32EB439337}" name="Kolonna6718"/>
    <tableColumn id="7057" xr3:uid="{F3590E4E-B233-47B9-B124-4A16ACA3B4FE}" name="Kolonna6719"/>
    <tableColumn id="7058" xr3:uid="{41A9E52C-DC40-4BD7-805B-B200BC01DFF7}" name="Kolonna6720"/>
    <tableColumn id="7059" xr3:uid="{A9D08A7D-503C-4D0B-9D24-91CBF1E13988}" name="Kolonna6721"/>
    <tableColumn id="7060" xr3:uid="{B9D7153A-C3B5-4759-BCD6-266B67A7A9CB}" name="Kolonna6722"/>
    <tableColumn id="7061" xr3:uid="{4D1DEC92-FAB6-46A7-B1D4-22762AFCA091}" name="Kolonna6723"/>
    <tableColumn id="7062" xr3:uid="{1B418945-C66B-438E-A477-86A63AFC3C54}" name="Kolonna6724"/>
    <tableColumn id="7063" xr3:uid="{622FBB2B-3F28-44E4-9636-344BF88190C2}" name="Kolonna6725"/>
    <tableColumn id="7064" xr3:uid="{4E3F5B77-A88D-4602-BC4F-195BBFDAC463}" name="Kolonna6726"/>
    <tableColumn id="7065" xr3:uid="{248C541C-5086-4250-8865-EBD06BAA3314}" name="Kolonna6727"/>
    <tableColumn id="7066" xr3:uid="{4C35AF2D-A9E1-4E0B-9820-85462C48EF67}" name="Kolonna6728"/>
    <tableColumn id="7067" xr3:uid="{AD20A6C6-EA76-4B1B-BB22-CF4F10164910}" name="Kolonna6729"/>
    <tableColumn id="7068" xr3:uid="{D1D5A763-09F9-4F32-B525-332A233B8F0C}" name="Kolonna6730"/>
    <tableColumn id="7069" xr3:uid="{D2919814-E056-438B-9F24-ECA4A512638C}" name="Kolonna6731"/>
    <tableColumn id="7070" xr3:uid="{A39A9F9A-8010-4B50-AC30-F16DED8B1A59}" name="Kolonna6732"/>
    <tableColumn id="7071" xr3:uid="{D1CA7506-E643-4CCB-83A3-EC72C8177714}" name="Kolonna6733"/>
    <tableColumn id="7072" xr3:uid="{766EE03A-62E9-4A7E-A7EF-8B017147CF39}" name="Kolonna6734"/>
    <tableColumn id="7073" xr3:uid="{23DA524E-FA15-4FC3-89C1-5D40A8BA15EF}" name="Kolonna6735"/>
    <tableColumn id="7074" xr3:uid="{3139B6D7-0B8B-4E0D-9CCB-BAD5E2584FD8}" name="Kolonna6736"/>
    <tableColumn id="7075" xr3:uid="{E78899BC-1815-4326-B82F-164D2E6CCB3B}" name="Kolonna6737"/>
    <tableColumn id="7076" xr3:uid="{DA3061E2-2EAF-4BB8-A8BF-D877AF0FE26F}" name="Kolonna6738"/>
    <tableColumn id="7077" xr3:uid="{1D3BE8F5-C881-4436-B7FE-1FEB3782FDFD}" name="Kolonna6739"/>
    <tableColumn id="7078" xr3:uid="{DA793FF1-5894-4BCD-BEC8-998A83DC6C4E}" name="Kolonna6740"/>
    <tableColumn id="7079" xr3:uid="{C4AF01F5-B5FA-47F8-9820-91C91C738001}" name="Kolonna6741"/>
    <tableColumn id="7080" xr3:uid="{F4D42517-A5D1-4439-B95F-272AB2D37849}" name="Kolonna6742"/>
    <tableColumn id="7081" xr3:uid="{50450FB2-EA39-4441-AA19-08E11D152A4D}" name="Kolonna6743"/>
    <tableColumn id="7082" xr3:uid="{DECC73B2-AF07-4980-8D8F-EE91C5D79B9F}" name="Kolonna6744"/>
    <tableColumn id="7083" xr3:uid="{D7C3E39A-48A5-4365-8353-31E9AE947DE9}" name="Kolonna6745"/>
    <tableColumn id="7084" xr3:uid="{9B7B3B3E-A44D-4CB8-8805-DD29120021D0}" name="Kolonna6746"/>
    <tableColumn id="7085" xr3:uid="{8F559907-9CF4-407D-8753-7F759F8190BC}" name="Kolonna6747"/>
    <tableColumn id="7086" xr3:uid="{826044BE-1FBF-4287-A8E9-0545880473A7}" name="Kolonna6748"/>
    <tableColumn id="7087" xr3:uid="{2F6EEC29-6A67-4AB4-AE70-C0DFD3C45DC1}" name="Kolonna6749"/>
    <tableColumn id="7088" xr3:uid="{69B77644-3399-4FA2-B299-F40DFE30A70A}" name="Kolonna6750"/>
    <tableColumn id="7089" xr3:uid="{039AB3E9-B188-4DC8-BF0D-408C603897D0}" name="Kolonna6751"/>
    <tableColumn id="7090" xr3:uid="{8E071E11-E54A-405C-A6E3-EB69297E5E6C}" name="Kolonna6752"/>
    <tableColumn id="7091" xr3:uid="{8886D1B4-7F73-466D-A54A-920D75C6B717}" name="Kolonna6753"/>
    <tableColumn id="7092" xr3:uid="{047B82DD-39CA-43DA-ABEE-F2F0F4933B3C}" name="Kolonna6754"/>
    <tableColumn id="7093" xr3:uid="{0898D69A-CF57-4A4C-AA45-D13FC4DC5D92}" name="Kolonna6755"/>
    <tableColumn id="7094" xr3:uid="{36F4D018-24CD-440E-A0AB-9A1AFB7E3F80}" name="Kolonna6756"/>
    <tableColumn id="7095" xr3:uid="{5F481BA0-A91A-4377-8B9D-156113616C69}" name="Kolonna6757"/>
    <tableColumn id="7096" xr3:uid="{C4F27AB6-7C81-4AEA-8EA5-3C5481FF1E94}" name="Kolonna6758"/>
    <tableColumn id="7097" xr3:uid="{C6599F23-2BCB-4F78-BF28-6C601D9EFCA1}" name="Kolonna6759"/>
    <tableColumn id="7098" xr3:uid="{880FFA31-EC0B-496C-8C0E-FB17B3BB031F}" name="Kolonna6760"/>
    <tableColumn id="7099" xr3:uid="{0BDF97C8-3379-4F14-8192-A6E1C1BCF007}" name="Kolonna6761"/>
    <tableColumn id="7100" xr3:uid="{A4323426-5960-47CB-BF54-599D36E0753A}" name="Kolonna6762"/>
    <tableColumn id="7101" xr3:uid="{8E6A9FCD-3A5D-401F-A8E2-A576BBD3707A}" name="Kolonna6763"/>
    <tableColumn id="7102" xr3:uid="{1EE470AB-96B6-4D67-AAC6-90806AA553C2}" name="Kolonna6764"/>
    <tableColumn id="7103" xr3:uid="{2D519A49-023C-4851-9ECC-6FC9ABB75B41}" name="Kolonna6765"/>
    <tableColumn id="7104" xr3:uid="{5ADEB80C-3E5B-4F19-8567-FBF507A623B6}" name="Kolonna6766"/>
    <tableColumn id="7105" xr3:uid="{A034A008-AA05-4E5C-9767-00C5F631A6F9}" name="Kolonna6767"/>
    <tableColumn id="7106" xr3:uid="{E4A9A061-5D96-46CF-821E-DDE80D747BBA}" name="Kolonna6768"/>
    <tableColumn id="7107" xr3:uid="{0770BA5B-188C-40F4-96B7-85D7844C6075}" name="Kolonna6769"/>
    <tableColumn id="7108" xr3:uid="{D00C159F-D0FE-423E-B147-EDBA7DDAEE9A}" name="Kolonna6770"/>
    <tableColumn id="7109" xr3:uid="{32F7F2F6-63CD-47F1-9F5E-420DCBB772CA}" name="Kolonna6771"/>
    <tableColumn id="7110" xr3:uid="{D268E1E6-57D5-41E3-AA7C-299B93B8D985}" name="Kolonna6772"/>
    <tableColumn id="7111" xr3:uid="{BBA92435-8390-4ECB-81FE-CC6F054910C6}" name="Kolonna6773"/>
    <tableColumn id="7112" xr3:uid="{66699B18-7FE5-461F-90AF-54BBED9942F9}" name="Kolonna6774"/>
    <tableColumn id="7113" xr3:uid="{99F27DE3-A112-4C98-BB6F-4F341D37E03B}" name="Kolonna6775"/>
    <tableColumn id="7114" xr3:uid="{AE5E9E77-5899-47D5-B463-39E583317A34}" name="Kolonna6776"/>
    <tableColumn id="7115" xr3:uid="{373731D6-16D3-4E7C-A7DD-E843C7C17CDB}" name="Kolonna6777"/>
    <tableColumn id="7116" xr3:uid="{1FD8F4AB-E187-4BCA-AA5C-E4066D978CD2}" name="Kolonna6778"/>
    <tableColumn id="7117" xr3:uid="{1E0D40F1-4BDB-4C8F-BB16-73FCD67598AB}" name="Kolonna6779"/>
    <tableColumn id="7118" xr3:uid="{30C66F6A-02A0-48D1-ADF2-12D99ED2B118}" name="Kolonna6780"/>
    <tableColumn id="7119" xr3:uid="{83CF8181-5527-45FD-819F-19EED7A33334}" name="Kolonna6781"/>
    <tableColumn id="7120" xr3:uid="{6D8D4386-8FAE-4A78-BF97-29613290E103}" name="Kolonna6782"/>
    <tableColumn id="7121" xr3:uid="{0FC8E6DE-E7B9-4167-BECA-3611ED52811D}" name="Kolonna6783"/>
    <tableColumn id="7122" xr3:uid="{B9194697-B9A3-439E-9B90-177AC352C37A}" name="Kolonna6784"/>
    <tableColumn id="7123" xr3:uid="{93174BD6-19C6-4C1B-8F8A-EE2DE7BDCFFA}" name="Kolonna6785"/>
    <tableColumn id="7124" xr3:uid="{7F27A63B-C59E-49A9-9F43-C3E9208BDCCD}" name="Kolonna6786"/>
    <tableColumn id="7125" xr3:uid="{DA33AEF9-55D1-4DC3-9F69-AA40CCD62736}" name="Kolonna6787"/>
    <tableColumn id="7126" xr3:uid="{C1064CEF-FB78-40A0-9004-A60E2F085DDD}" name="Kolonna6788"/>
    <tableColumn id="7127" xr3:uid="{0AB51685-6E88-42E5-9207-3D170C11A18F}" name="Kolonna6789"/>
    <tableColumn id="7128" xr3:uid="{F4A2D61E-571B-4A5D-AC68-2F29325508CC}" name="Kolonna6790"/>
    <tableColumn id="7129" xr3:uid="{00B505B4-9EE7-4931-B15E-DDA0D398602C}" name="Kolonna6791"/>
    <tableColumn id="7130" xr3:uid="{707469EF-8E6B-4EE3-9BE5-1A01888406C5}" name="Kolonna6792"/>
    <tableColumn id="7131" xr3:uid="{C5737B55-1DB0-409F-A274-2989B370FC32}" name="Kolonna6793"/>
    <tableColumn id="7132" xr3:uid="{9C041668-297C-4583-B146-0C325C56C0F2}" name="Kolonna6794"/>
    <tableColumn id="7133" xr3:uid="{C8DD980A-A5EB-4811-8AD0-7FEDBC1DE25F}" name="Kolonna6795"/>
    <tableColumn id="7134" xr3:uid="{DED31249-C7AF-43F4-9D5B-933466FE536E}" name="Kolonna6796"/>
    <tableColumn id="7135" xr3:uid="{55C29E4A-B1A8-40C2-A3BC-C707D2FC385D}" name="Kolonna6797"/>
    <tableColumn id="7136" xr3:uid="{CD5020C3-4E5D-4B1E-9596-63D94BC80824}" name="Kolonna6798"/>
    <tableColumn id="7137" xr3:uid="{0B07209D-4B6C-43DC-A372-644FC4C17113}" name="Kolonna6799"/>
    <tableColumn id="7138" xr3:uid="{6AE424D8-0380-4CCE-AED6-F123EA21CA08}" name="Kolonna6800"/>
    <tableColumn id="7139" xr3:uid="{702EE4C5-F390-474C-A424-613809D4F631}" name="Kolonna6801"/>
    <tableColumn id="7140" xr3:uid="{4E442590-7F45-47E1-A84F-F1A10AFDD6F3}" name="Kolonna6802"/>
    <tableColumn id="7141" xr3:uid="{BF1ECCF6-A595-4F61-BBF7-73363628AE65}" name="Kolonna6803"/>
    <tableColumn id="7142" xr3:uid="{F03A617F-39E9-4E6D-B6B9-1B249025FFFE}" name="Kolonna6804"/>
    <tableColumn id="7143" xr3:uid="{C81E6AF5-0063-4617-8FC8-6EFEA8FB9069}" name="Kolonna6805"/>
    <tableColumn id="7144" xr3:uid="{7882A1BA-B7E2-46F4-A71B-EB154C314603}" name="Kolonna6806"/>
    <tableColumn id="7145" xr3:uid="{01266B88-557C-4AAE-AC02-44128D4887CB}" name="Kolonna6807"/>
    <tableColumn id="7146" xr3:uid="{8B2F9CA4-8892-4063-A58F-DEE38D6A8A85}" name="Kolonna6808"/>
    <tableColumn id="7147" xr3:uid="{8222D665-441D-411A-80A9-25444DEA0DC7}" name="Kolonna6809"/>
    <tableColumn id="7148" xr3:uid="{BDADFC42-4EED-4733-87C6-896CFF6D8642}" name="Kolonna6810"/>
    <tableColumn id="7149" xr3:uid="{9B2A5B2C-C4C5-4D59-8842-D0F0EF6B6752}" name="Kolonna6811"/>
    <tableColumn id="7150" xr3:uid="{9AB05F6E-0D31-4E61-B115-CD59D51EF759}" name="Kolonna6812"/>
    <tableColumn id="7151" xr3:uid="{E20EFBD8-B3B4-4698-B6E3-8A992331EF81}" name="Kolonna6813"/>
    <tableColumn id="7152" xr3:uid="{4F061558-8094-4FC3-A22B-535882866FB0}" name="Kolonna6814"/>
    <tableColumn id="7153" xr3:uid="{A13D3331-4CAE-4146-ADCF-BC9D24267279}" name="Kolonna6815"/>
    <tableColumn id="7154" xr3:uid="{4278F885-E843-4E45-9C7D-43C6018A0F30}" name="Kolonna6816"/>
    <tableColumn id="7155" xr3:uid="{BA3DAE4A-A0A5-4C4B-9340-53C066508078}" name="Kolonna6817"/>
    <tableColumn id="7156" xr3:uid="{804E0748-AAA8-4993-BA49-8B60D13D37A0}" name="Kolonna6818"/>
    <tableColumn id="7157" xr3:uid="{E88E8A3D-A1EF-48DC-B0BE-D34F52AFB41B}" name="Kolonna6819"/>
    <tableColumn id="7158" xr3:uid="{1803F5FA-09DE-4D50-9C42-EB87C6D5F1E4}" name="Kolonna6820"/>
    <tableColumn id="7159" xr3:uid="{094BBC40-3D26-433A-B462-F68841370542}" name="Kolonna6821"/>
    <tableColumn id="7160" xr3:uid="{72298303-E325-4821-B1E4-C1F29988B2E7}" name="Kolonna6822"/>
    <tableColumn id="7161" xr3:uid="{A861FA75-1C4F-483A-803E-558ACEAC23C4}" name="Kolonna6823"/>
    <tableColumn id="7162" xr3:uid="{4A3D482C-BD82-4829-A8D7-63DF0225AF23}" name="Kolonna6824"/>
    <tableColumn id="7163" xr3:uid="{FFE4E9EF-0E0E-427B-BC13-BE6AE5760BBA}" name="Kolonna6825"/>
    <tableColumn id="7164" xr3:uid="{D95728FC-1A4D-4806-BBD6-F72A4842DAF6}" name="Kolonna6826"/>
    <tableColumn id="7165" xr3:uid="{CFB14584-0C12-4F28-BF7A-EFDD37C05ABB}" name="Kolonna6827"/>
    <tableColumn id="7166" xr3:uid="{DC9E9734-EA8F-4EF5-A049-0BC25490CC6E}" name="Kolonna6828"/>
    <tableColumn id="7167" xr3:uid="{DB360832-9DDC-406C-9FDA-8540EFB3C845}" name="Kolonna6829"/>
    <tableColumn id="7168" xr3:uid="{0D40887A-310A-4A49-933B-B625ACB552F2}" name="Kolonna6830"/>
    <tableColumn id="7169" xr3:uid="{70C10935-A412-4226-9555-019252C9532E}" name="Kolonna6831"/>
    <tableColumn id="7170" xr3:uid="{561645FB-FF1C-4341-855B-368A762D35FF}" name="Kolonna6832"/>
    <tableColumn id="7171" xr3:uid="{02A27756-C337-49EF-AA84-D1A82A4195BE}" name="Kolonna6833"/>
    <tableColumn id="7172" xr3:uid="{E25228C3-853A-44B6-85BE-61BFB7439109}" name="Kolonna6834"/>
    <tableColumn id="7173" xr3:uid="{835A0A73-3B5A-40D6-90BF-23B833C24408}" name="Kolonna6835"/>
    <tableColumn id="7174" xr3:uid="{E5FC1034-E140-4269-A4FF-E4B40C536F75}" name="Kolonna6836"/>
    <tableColumn id="7175" xr3:uid="{5A30A2AF-F2B1-4500-9976-10B84C80ED8E}" name="Kolonna6837"/>
    <tableColumn id="7176" xr3:uid="{96C08CED-D88D-4298-BA11-1773E112F896}" name="Kolonna6838"/>
    <tableColumn id="7177" xr3:uid="{7BDEA8B2-67DD-43B7-9F0C-025BDDD41988}" name="Kolonna6839"/>
    <tableColumn id="7178" xr3:uid="{F154AB31-FD29-4DE2-98DB-EC58E8221048}" name="Kolonna6840"/>
    <tableColumn id="7179" xr3:uid="{DC47CACD-6D31-46F9-B386-CB028170D26A}" name="Kolonna6841"/>
    <tableColumn id="7180" xr3:uid="{6DFAA7DC-EEA9-4D84-B239-96A64CCB740F}" name="Kolonna6842"/>
    <tableColumn id="7181" xr3:uid="{9ABFBDA0-4824-43EA-8B85-1618439BA769}" name="Kolonna6843"/>
    <tableColumn id="7182" xr3:uid="{B5D111A6-3DA2-4EDC-83BB-C7894E19ED79}" name="Kolonna6844"/>
    <tableColumn id="7183" xr3:uid="{57BB7338-7E7B-499A-A8AE-D8C8FB9E5744}" name="Kolonna6845"/>
    <tableColumn id="7184" xr3:uid="{AA533EB6-5BE1-4D24-9E35-2E67BADE4B94}" name="Kolonna6846"/>
    <tableColumn id="7185" xr3:uid="{079AA28F-5F57-4B18-A184-38D406E8DC10}" name="Kolonna6847"/>
    <tableColumn id="7186" xr3:uid="{28FE8230-56E1-4759-BBD9-6A8770931E0E}" name="Kolonna6848"/>
    <tableColumn id="7187" xr3:uid="{A813FD80-D931-445A-A454-993073C36024}" name="Kolonna6849"/>
    <tableColumn id="7188" xr3:uid="{3D0A7443-B0AF-471A-9BA8-529EAEC37AC1}" name="Kolonna6850"/>
    <tableColumn id="7189" xr3:uid="{E062DA94-5511-4D03-8FFD-70105E0552C7}" name="Kolonna6851"/>
    <tableColumn id="7190" xr3:uid="{CE65A61C-2C07-4230-AA61-763C84B4B24C}" name="Kolonna6852"/>
    <tableColumn id="7191" xr3:uid="{FB041B44-9D30-4657-9A1E-C88E7D06FA1F}" name="Kolonna6853"/>
    <tableColumn id="7192" xr3:uid="{5F388110-6E5B-42B0-989D-6852D94F1CE0}" name="Kolonna6854"/>
    <tableColumn id="7193" xr3:uid="{11B22B16-A41F-45F8-AC10-5EF9F3ECBDC4}" name="Kolonna6855"/>
    <tableColumn id="7194" xr3:uid="{BBB42101-3E84-4DD6-814E-5BB8181931AE}" name="Kolonna6856"/>
    <tableColumn id="7195" xr3:uid="{87CF805D-5860-45B4-A993-E22D7638C23B}" name="Kolonna6857"/>
    <tableColumn id="7196" xr3:uid="{B5031247-C88D-4EBC-9861-1ACDCFD41B9E}" name="Kolonna6858"/>
    <tableColumn id="7197" xr3:uid="{572A80F7-6CE2-4C37-89AB-B6311A2FB299}" name="Kolonna6859"/>
    <tableColumn id="7198" xr3:uid="{36E62AAB-1FE2-40E4-957A-D9DEC3096A5C}" name="Kolonna6860"/>
    <tableColumn id="7199" xr3:uid="{7A02FD11-FFBC-42EE-A774-9113484100FE}" name="Kolonna6861"/>
    <tableColumn id="7200" xr3:uid="{60E6C798-73DC-4338-93E4-864561917D98}" name="Kolonna6862"/>
    <tableColumn id="7201" xr3:uid="{F89BB743-3F54-4982-9794-4996456E1DFE}" name="Kolonna6863"/>
    <tableColumn id="7202" xr3:uid="{E21A40B8-378E-4A0E-BF2D-655719E6AD75}" name="Kolonna6864"/>
    <tableColumn id="7203" xr3:uid="{F85C742C-4ABB-40EE-9BA1-EA31D9DA0D16}" name="Kolonna6865"/>
    <tableColumn id="7204" xr3:uid="{2EE93457-3C96-42BA-99DD-2EDBBA60A246}" name="Kolonna6866"/>
    <tableColumn id="7205" xr3:uid="{41F0A06E-AF4C-416E-BB1D-8AE15325D847}" name="Kolonna6867"/>
    <tableColumn id="7206" xr3:uid="{0ECF3CE1-4C70-47D2-B4C8-40D0D02D716B}" name="Kolonna6868"/>
    <tableColumn id="7207" xr3:uid="{27D16467-AD0F-4EC4-A3C5-8C7DD0059BE1}" name="Kolonna6869"/>
    <tableColumn id="7208" xr3:uid="{C883AC1B-05A3-4E80-9CA2-1E55A8E06DF1}" name="Kolonna6870"/>
    <tableColumn id="7209" xr3:uid="{F4BE7DB0-701F-4E1C-A56A-09DC5D401A7B}" name="Kolonna6871"/>
    <tableColumn id="7210" xr3:uid="{D6C57C05-8EDF-46C9-A32B-1F0A6FA62A11}" name="Kolonna6872"/>
    <tableColumn id="7211" xr3:uid="{E3BB3278-6257-4E8D-A58A-F83C83A3B781}" name="Kolonna6873"/>
    <tableColumn id="7212" xr3:uid="{619A2AC3-DE99-480C-8EA9-5D85FB934205}" name="Kolonna6874"/>
    <tableColumn id="7213" xr3:uid="{A145193D-CF74-4B75-ACBC-A365CA5F3D12}" name="Kolonna6875"/>
    <tableColumn id="7214" xr3:uid="{4F7C1996-1F33-4A73-8F1E-5E051E4CD5E6}" name="Kolonna6876"/>
    <tableColumn id="7215" xr3:uid="{3A4C0A1C-BD94-4F21-9546-2FD764E54F10}" name="Kolonna6877"/>
    <tableColumn id="7216" xr3:uid="{83F83BA7-7998-4B77-AF1D-94D26E311171}" name="Kolonna6878"/>
    <tableColumn id="7217" xr3:uid="{A06A9908-9C4D-40D1-8BE3-0DA4C49C64BB}" name="Kolonna6879"/>
    <tableColumn id="7218" xr3:uid="{8BA5109F-8E8B-402B-9F6F-B66CD15A08CE}" name="Kolonna6880"/>
    <tableColumn id="7219" xr3:uid="{A8760C9F-BFE0-42ED-A436-D0BDF07D365D}" name="Kolonna6881"/>
    <tableColumn id="7220" xr3:uid="{320E3011-6A87-406B-8EEF-599CA7DC8A7A}" name="Kolonna6882"/>
    <tableColumn id="7221" xr3:uid="{14AC31A4-835A-4100-A1B0-8851E3CBE0C2}" name="Kolonna6883"/>
    <tableColumn id="7222" xr3:uid="{0C20C6D4-AED0-4886-901B-6C11639C0180}" name="Kolonna6884"/>
    <tableColumn id="7223" xr3:uid="{94F3C3FC-60CC-4918-818C-2A33EC5741FA}" name="Kolonna6885"/>
    <tableColumn id="7224" xr3:uid="{0AE39843-7E1B-4D58-B717-0F8C6071F88A}" name="Kolonna6886"/>
    <tableColumn id="7225" xr3:uid="{92CDC195-F8D3-4441-97EC-E208216A8EBE}" name="Kolonna6887"/>
    <tableColumn id="7226" xr3:uid="{B086F78A-7A6C-4BC1-8882-868E65904BF1}" name="Kolonna6888"/>
    <tableColumn id="7227" xr3:uid="{40324F94-00AC-4AF0-B573-679194AE4C63}" name="Kolonna6889"/>
    <tableColumn id="7228" xr3:uid="{42616B6C-CF84-436C-B149-7EE7172D2077}" name="Kolonna6890"/>
    <tableColumn id="7229" xr3:uid="{B48FDC33-5F83-414D-9FF9-57C21040E169}" name="Kolonna6891"/>
    <tableColumn id="7230" xr3:uid="{9D5C9E06-24AB-4415-95AF-0DC7410CEF58}" name="Kolonna6892"/>
    <tableColumn id="7231" xr3:uid="{CC386008-E143-4633-A565-1A2021F7AD39}" name="Kolonna6893"/>
    <tableColumn id="7232" xr3:uid="{33180738-8D1F-49D1-AD17-72D167CDCEC9}" name="Kolonna6894"/>
    <tableColumn id="7233" xr3:uid="{DABBB39F-4496-4CC7-8E6D-4AF515F4734B}" name="Kolonna6895"/>
    <tableColumn id="7234" xr3:uid="{C2993195-3CC2-469D-A371-D7BA856F8ED1}" name="Kolonna6896"/>
    <tableColumn id="7235" xr3:uid="{E236CACE-6FC4-4880-BF3B-DA95BFD786FE}" name="Kolonna6897"/>
    <tableColumn id="7236" xr3:uid="{7EF7A750-8F39-49A5-BD39-F34E2F5C6C09}" name="Kolonna6898"/>
    <tableColumn id="7237" xr3:uid="{A8817164-7448-4EAF-AF42-5D89B52CE121}" name="Kolonna6899"/>
    <tableColumn id="7238" xr3:uid="{6374B50C-8B6E-4166-871D-EC01FDB1BD02}" name="Kolonna6900"/>
    <tableColumn id="7239" xr3:uid="{C2EC58A7-4D1B-4E33-BF9C-17C61A91F6BA}" name="Kolonna6901"/>
    <tableColumn id="7240" xr3:uid="{10334913-EFA5-402C-968C-20D2642B5A4F}" name="Kolonna6902"/>
    <tableColumn id="7241" xr3:uid="{05F38E16-9DD7-4ACE-B943-88B3C412D53D}" name="Kolonna6903"/>
    <tableColumn id="7242" xr3:uid="{4B9A9470-A7F9-47F2-B882-5DAFEC5DC8CE}" name="Kolonna6904"/>
    <tableColumn id="7243" xr3:uid="{D7FEA4D8-BAC4-423E-9730-9A5AB3A0933D}" name="Kolonna6905"/>
    <tableColumn id="7244" xr3:uid="{9E572F05-5457-41C1-AFE6-AC002968B06F}" name="Kolonna6906"/>
    <tableColumn id="7245" xr3:uid="{0E41B843-CBBF-49F1-85A7-EEF6C43356B4}" name="Kolonna6907"/>
    <tableColumn id="7246" xr3:uid="{78814500-BB62-4853-B617-76974FBFA874}" name="Kolonna6908"/>
    <tableColumn id="7247" xr3:uid="{FADE5311-6E82-470B-838D-B55912087BC2}" name="Kolonna6909"/>
    <tableColumn id="7248" xr3:uid="{5DD9FF2A-8C74-44EF-B886-2396857D7216}" name="Kolonna6910"/>
    <tableColumn id="7249" xr3:uid="{704FCDAA-58AA-4698-9F58-16135389D19B}" name="Kolonna6911"/>
    <tableColumn id="7250" xr3:uid="{9B0A3DF2-9A73-424F-A277-E06650092DF8}" name="Kolonna6912"/>
    <tableColumn id="7251" xr3:uid="{2397B2EB-D631-41C2-9665-B02045FF6ADB}" name="Kolonna6913"/>
    <tableColumn id="7252" xr3:uid="{2CAC3945-4AAC-44E9-8AD6-12B52C869FE3}" name="Kolonna6914"/>
    <tableColumn id="7253" xr3:uid="{20D4CAAF-A42C-4045-9AF6-71C1618AF12F}" name="Kolonna6915"/>
    <tableColumn id="7254" xr3:uid="{F3E851A1-F613-40FB-BBE2-B6A50063159B}" name="Kolonna6916"/>
    <tableColumn id="7255" xr3:uid="{B434576A-3952-48AB-8EF1-BCFA1B263EC3}" name="Kolonna6917"/>
    <tableColumn id="7256" xr3:uid="{A061520B-3389-45F8-B117-E3EFFFCF5478}" name="Kolonna6918"/>
    <tableColumn id="7257" xr3:uid="{D60F5CDC-8E24-4257-B3E1-665A46AF01F7}" name="Kolonna6919"/>
    <tableColumn id="7258" xr3:uid="{3EF1C203-D18C-4964-82D1-F7ECD7E83919}" name="Kolonna6920"/>
    <tableColumn id="7259" xr3:uid="{730F422A-DACB-48A9-833A-B81D1D50233F}" name="Kolonna6921"/>
    <tableColumn id="7260" xr3:uid="{9EF8BDB7-3B7D-43CB-AAEA-D676F6DA65A4}" name="Kolonna6922"/>
    <tableColumn id="7261" xr3:uid="{419570B9-6191-4366-B439-C65883F6CC1B}" name="Kolonna6923"/>
    <tableColumn id="7262" xr3:uid="{885B8C54-91E2-4359-8528-890CAC588018}" name="Kolonna6924"/>
    <tableColumn id="7263" xr3:uid="{B83B1222-CB04-4E13-98CE-36E43794C452}" name="Kolonna6925"/>
    <tableColumn id="7264" xr3:uid="{54D5853C-B0B0-4F80-A5DB-33B67105D7C2}" name="Kolonna6926"/>
    <tableColumn id="7265" xr3:uid="{066C3A52-EFB8-4762-84B3-02A06B3B88BA}" name="Kolonna6927"/>
    <tableColumn id="7266" xr3:uid="{1812A954-C801-4059-A499-7CB79A7D7449}" name="Kolonna6928"/>
    <tableColumn id="7267" xr3:uid="{F01C05FA-127D-45AE-8F87-9CFCDBE07FAE}" name="Kolonna6929"/>
    <tableColumn id="7268" xr3:uid="{EDFBB5B4-1FCD-4871-9F47-D9AD30D52D92}" name="Kolonna6930"/>
    <tableColumn id="7269" xr3:uid="{E37C7163-F71D-48DC-85B2-D5FF394087B6}" name="Kolonna6931"/>
    <tableColumn id="7270" xr3:uid="{5B49F839-BB36-4093-9CDA-3870C5AEFE2F}" name="Kolonna6932"/>
    <tableColumn id="7271" xr3:uid="{F2EF4CB2-2DC5-4177-8361-F727BA042567}" name="Kolonna6933"/>
    <tableColumn id="7272" xr3:uid="{77258EE0-58A1-497F-8AC4-A4E55224D071}" name="Kolonna6934"/>
    <tableColumn id="7273" xr3:uid="{59E5A31A-236E-4118-A694-DD00CF3CE3FB}" name="Kolonna6935"/>
    <tableColumn id="7274" xr3:uid="{D371996B-ADE1-47F2-AA79-A936EE9CE395}" name="Kolonna6936"/>
    <tableColumn id="7275" xr3:uid="{C59E69B1-A3C2-4E7B-B2E9-0172D557EE2A}" name="Kolonna6937"/>
    <tableColumn id="7276" xr3:uid="{B28A1C12-EED5-48C6-9E6F-64A2D90AF315}" name="Kolonna6938"/>
    <tableColumn id="7277" xr3:uid="{F268376E-69E5-4860-9EEA-9AAF272E0AE1}" name="Kolonna6939"/>
    <tableColumn id="7278" xr3:uid="{FB95E9E5-1CF4-4132-80BD-2E4A859F9763}" name="Kolonna6940"/>
    <tableColumn id="7279" xr3:uid="{B78DD61F-9C97-4D57-BEA1-1134E087A17E}" name="Kolonna6941"/>
    <tableColumn id="7280" xr3:uid="{0F5C0FA4-35E1-4C17-96EC-97C8E23481E6}" name="Kolonna6942"/>
    <tableColumn id="7281" xr3:uid="{EDEA014C-919F-4C67-900C-EC1591717DDE}" name="Kolonna6943"/>
    <tableColumn id="7282" xr3:uid="{EDBB27E9-FC99-497B-86E8-BBE833260CAF}" name="Kolonna6944"/>
    <tableColumn id="7283" xr3:uid="{7729813A-C622-4A80-93FB-68D77BFA9BF8}" name="Kolonna6945"/>
    <tableColumn id="7284" xr3:uid="{C35DFF16-64DC-42DC-91CD-382C41BD8086}" name="Kolonna6946"/>
    <tableColumn id="7285" xr3:uid="{43CF3263-DD3B-462D-9B4D-80E6B37E8AA2}" name="Kolonna6947"/>
    <tableColumn id="7286" xr3:uid="{5E52EB53-B60B-4B3B-8E13-56E46EA9CB30}" name="Kolonna6948"/>
    <tableColumn id="7287" xr3:uid="{14F8912A-E577-44CF-BEB8-9E58E63CC084}" name="Kolonna6949"/>
    <tableColumn id="7288" xr3:uid="{2C9881A1-638D-4CF5-AAB3-999862DBC9AE}" name="Kolonna6950"/>
    <tableColumn id="7289" xr3:uid="{2DC88C27-2AED-4236-A29D-69D93C67A36F}" name="Kolonna6951"/>
    <tableColumn id="7290" xr3:uid="{732ED5C7-682B-4C7D-9887-6DBA1B499E99}" name="Kolonna6952"/>
    <tableColumn id="7291" xr3:uid="{F91EDA70-5D31-4490-B0E1-97138A207F83}" name="Kolonna6953"/>
    <tableColumn id="7292" xr3:uid="{4FD9C212-1BE2-442C-9B51-15FCC9ACEA65}" name="Kolonna6954"/>
    <tableColumn id="7293" xr3:uid="{DF58DD26-D8D0-47B2-9C89-3248A3D07719}" name="Kolonna6955"/>
    <tableColumn id="7294" xr3:uid="{469390D6-E990-4CCB-A916-11E44C46DE1A}" name="Kolonna6956"/>
    <tableColumn id="7295" xr3:uid="{9E312560-35E0-4A81-9C21-1C055B737AB5}" name="Kolonna6957"/>
    <tableColumn id="7296" xr3:uid="{B25F6282-B9FE-4708-8CC1-970D51D7AC98}" name="Kolonna6958"/>
    <tableColumn id="7297" xr3:uid="{2AFF9BDE-D9E4-481A-BE75-0F77C6624EC8}" name="Kolonna6959"/>
    <tableColumn id="7298" xr3:uid="{5A204375-46B7-465B-84D9-A3881ADB2014}" name="Kolonna6960"/>
    <tableColumn id="7299" xr3:uid="{8D3993E4-63CA-4062-981E-BF4F27A9D833}" name="Kolonna6961"/>
    <tableColumn id="7300" xr3:uid="{17826751-5252-4C26-9289-ECD6747980F1}" name="Kolonna6962"/>
    <tableColumn id="7301" xr3:uid="{990E01AF-70F6-4C95-B844-EF268AB46D78}" name="Kolonna6963"/>
    <tableColumn id="7302" xr3:uid="{43F6C6F0-7F9C-49CE-8EC8-9E57D20F3657}" name="Kolonna6964"/>
    <tableColumn id="7303" xr3:uid="{3D8E9E34-79A1-4DFC-AC40-E69758CEBB92}" name="Kolonna6965"/>
    <tableColumn id="7304" xr3:uid="{A11F6E97-2D84-4D4D-87A9-22866A28F6E4}" name="Kolonna6966"/>
    <tableColumn id="7305" xr3:uid="{5229C1C8-5ABC-49B9-BA9C-C83DFA8D1C44}" name="Kolonna6967"/>
    <tableColumn id="7306" xr3:uid="{BC17BB20-88B6-4183-BB38-1E379520031F}" name="Kolonna6968"/>
    <tableColumn id="7307" xr3:uid="{A365188F-0B4F-4F4A-8F22-B598F5C8EDFF}" name="Kolonna6969"/>
    <tableColumn id="7308" xr3:uid="{F8FBC105-18E1-4061-A41D-D206759BACA7}" name="Kolonna6970"/>
    <tableColumn id="7309" xr3:uid="{3D8D6EC8-1484-4542-A95E-DC4D32F941A5}" name="Kolonna6971"/>
    <tableColumn id="7310" xr3:uid="{1F918114-A3B9-4E86-8BFC-FC3C37F2C9CF}" name="Kolonna6972"/>
    <tableColumn id="7311" xr3:uid="{E7B160D8-D2AB-4445-AB98-B35E926B16B6}" name="Kolonna6973"/>
    <tableColumn id="7312" xr3:uid="{4B0408B5-0BFF-44C0-A1C5-4321EF8C95DE}" name="Kolonna6974"/>
    <tableColumn id="7313" xr3:uid="{4868E103-2586-49B8-AB18-98DED19EF38B}" name="Kolonna6975"/>
    <tableColumn id="7314" xr3:uid="{A57E6F2F-88C7-42BF-A305-7884A05544E2}" name="Kolonna6976"/>
    <tableColumn id="7315" xr3:uid="{FBE61600-1828-4759-B9F5-6C9D07390DA2}" name="Kolonna6977"/>
    <tableColumn id="7316" xr3:uid="{84C0666E-9026-4549-ABA8-026AA46ACDF2}" name="Kolonna6978"/>
    <tableColumn id="7317" xr3:uid="{0A86B70F-C75F-4936-9538-7896F37AD550}" name="Kolonna6979"/>
    <tableColumn id="7318" xr3:uid="{40092056-0F45-474B-987B-BC5E66A14DBE}" name="Kolonna6980"/>
    <tableColumn id="7319" xr3:uid="{60F36AD2-19CA-41D5-B905-A40B6EA88CC5}" name="Kolonna6981"/>
    <tableColumn id="7320" xr3:uid="{AF680690-FD5B-4E7E-ACE0-36EA5F046BD1}" name="Kolonna6982"/>
    <tableColumn id="7321" xr3:uid="{4C7E06D8-9597-4906-9FF5-9AE0B06F8011}" name="Kolonna6983"/>
    <tableColumn id="7322" xr3:uid="{69881877-D769-4F5E-AA4C-1B73AC141EDF}" name="Kolonna6984"/>
    <tableColumn id="7323" xr3:uid="{31146010-BAA6-4AC3-9839-F9458C3A36D9}" name="Kolonna6985"/>
    <tableColumn id="7324" xr3:uid="{C20708F2-DCFD-4FCB-84A9-FE3E638DDB00}" name="Kolonna6986"/>
    <tableColumn id="7325" xr3:uid="{B16A674D-3C8D-4CDA-AB48-A9C1376C8F6C}" name="Kolonna6987"/>
    <tableColumn id="7326" xr3:uid="{41B221AF-27F6-4460-B9B6-984463270732}" name="Kolonna6988"/>
    <tableColumn id="7327" xr3:uid="{2C8BC3EA-234D-4BC2-AFD2-C11BCDBB9A6A}" name="Kolonna6989"/>
    <tableColumn id="7328" xr3:uid="{A00FCD48-8383-4B38-B294-FEDE3F972BDA}" name="Kolonna6990"/>
    <tableColumn id="7329" xr3:uid="{84311053-BB28-4A0A-A2B4-819F0F2B835B}" name="Kolonna6991"/>
    <tableColumn id="7330" xr3:uid="{18A4F99B-2ED4-400B-BDB9-9490D6F536B5}" name="Kolonna6992"/>
    <tableColumn id="7331" xr3:uid="{5AAF12E5-3025-47E7-B3FF-40C4B995039F}" name="Kolonna6993"/>
    <tableColumn id="7332" xr3:uid="{0B96DA41-217D-4FD5-BF92-21941FC7BB80}" name="Kolonna6994"/>
    <tableColumn id="7333" xr3:uid="{C93D83F7-34D8-45C7-B5B6-7EE5426BF03D}" name="Kolonna6995"/>
    <tableColumn id="7334" xr3:uid="{4F7AB233-28DF-43CB-8B27-9EF1F55BF376}" name="Kolonna6996"/>
    <tableColumn id="7335" xr3:uid="{8EC5C425-32E2-4363-8D3F-9A2E7965E8E8}" name="Kolonna6997"/>
    <tableColumn id="7336" xr3:uid="{4A377280-73CD-481B-BBB1-CBAB8069A58D}" name="Kolonna6998"/>
    <tableColumn id="7337" xr3:uid="{81DF46BA-6D81-424F-839A-295FEAB101EA}" name="Kolonna6999"/>
    <tableColumn id="7338" xr3:uid="{D310DE7B-8E04-4267-A132-BDAAC305A9F3}" name="Kolonna7000"/>
    <tableColumn id="7339" xr3:uid="{6B6A4144-689B-4533-AD36-079022C5669A}" name="Kolonna7001"/>
    <tableColumn id="7340" xr3:uid="{51177B72-72BD-45B0-A794-ACF89E6AA6C3}" name="Kolonna7002"/>
    <tableColumn id="7341" xr3:uid="{4C5341C6-2FBD-4DF7-9813-0AAD803BB808}" name="Kolonna7003"/>
    <tableColumn id="7342" xr3:uid="{0477AC0B-216D-4D9C-9760-BDEAB68DAE08}" name="Kolonna7004"/>
    <tableColumn id="7343" xr3:uid="{F9D503DF-F417-4365-A02B-8AB13A1AC972}" name="Kolonna7005"/>
    <tableColumn id="7344" xr3:uid="{1BA3B530-25CE-4E8E-B9EA-9E924B2DBF13}" name="Kolonna7006"/>
    <tableColumn id="7345" xr3:uid="{DCCBA376-4066-4144-A2DF-6D12F2B987DC}" name="Kolonna7007"/>
    <tableColumn id="7346" xr3:uid="{A0541610-EBB7-41D7-9390-38E7BDC339A4}" name="Kolonna7008"/>
    <tableColumn id="7347" xr3:uid="{625FFE43-105D-4EC3-A48D-DB343CBE514C}" name="Kolonna7009"/>
    <tableColumn id="7348" xr3:uid="{DDE93356-9380-4C8E-8EBB-50414F8F2C3B}" name="Kolonna7010"/>
    <tableColumn id="7349" xr3:uid="{2C38D5AC-319F-4D6C-89EC-0BDFF9732C2C}" name="Kolonna7011"/>
    <tableColumn id="7350" xr3:uid="{C5880D0A-DBD5-4386-B604-5C21B8D22561}" name="Kolonna7012"/>
    <tableColumn id="7351" xr3:uid="{5470B2D7-F3E3-4DE3-9C6C-4EEA07E531E4}" name="Kolonna7013"/>
    <tableColumn id="7352" xr3:uid="{3AF66B1D-9836-4D6D-9E85-3F8458275331}" name="Kolonna7014"/>
    <tableColumn id="7353" xr3:uid="{FB4086FC-2058-4878-BC0F-B40073185CD1}" name="Kolonna7015"/>
    <tableColumn id="7354" xr3:uid="{3017F39B-BD5E-4DB2-8166-A72915C27E88}" name="Kolonna7016"/>
    <tableColumn id="7355" xr3:uid="{B91BEF3C-9A71-4AD7-9DA2-857380342917}" name="Kolonna7017"/>
    <tableColumn id="7356" xr3:uid="{3FE0819B-39DE-4B24-A554-CF1245341689}" name="Kolonna7018"/>
    <tableColumn id="7357" xr3:uid="{C22528D8-AAA7-4A08-99DE-0C360E407947}" name="Kolonna7019"/>
    <tableColumn id="7358" xr3:uid="{E59A52C8-8755-4B19-AC67-E572284F56DA}" name="Kolonna7020"/>
    <tableColumn id="7359" xr3:uid="{F255831B-F5A6-4A0D-A293-5D2455F23570}" name="Kolonna7021"/>
    <tableColumn id="7360" xr3:uid="{9B92ED96-409D-4446-8EE9-06EA033597DF}" name="Kolonna7022"/>
    <tableColumn id="7361" xr3:uid="{F0FD0E44-0597-435E-89C4-07730DF035E0}" name="Kolonna7023"/>
    <tableColumn id="7362" xr3:uid="{120CC00F-6E09-43C3-923C-8A4B564901B1}" name="Kolonna7024"/>
    <tableColumn id="7363" xr3:uid="{8E5E60AE-4FD4-446C-BE7E-894F88271A04}" name="Kolonna7025"/>
    <tableColumn id="7364" xr3:uid="{6ABF1620-102A-4DB4-91A8-A166B4EE9792}" name="Kolonna7026"/>
    <tableColumn id="7365" xr3:uid="{F8775E53-471E-4EE1-9148-FBF99275A571}" name="Kolonna7027"/>
    <tableColumn id="7366" xr3:uid="{0D04AE05-93CF-42EC-8924-5A6DDF265284}" name="Kolonna7028"/>
    <tableColumn id="7367" xr3:uid="{1B6E8308-B74F-4141-8EC5-A6C60902ED2F}" name="Kolonna7029"/>
    <tableColumn id="7368" xr3:uid="{62D42FEE-4BCB-45BE-A01B-BAB0D5ACC207}" name="Kolonna7030"/>
    <tableColumn id="7369" xr3:uid="{C39ACC41-CDC7-4EB0-ADE3-7B355CE489FA}" name="Kolonna7031"/>
    <tableColumn id="7370" xr3:uid="{EFF597FB-E325-4CAF-8709-0E4C8652E5ED}" name="Kolonna7032"/>
    <tableColumn id="7371" xr3:uid="{4F6C52E1-ACDF-48AE-857C-F2295F7B13DD}" name="Kolonna7033"/>
    <tableColumn id="7372" xr3:uid="{42077AB6-1C3B-4443-853C-40B13C5BB628}" name="Kolonna7034"/>
    <tableColumn id="7373" xr3:uid="{E3CBAEB3-8B9F-40D2-B5B0-9C39E8E0F9FF}" name="Kolonna7035"/>
    <tableColumn id="7374" xr3:uid="{FE684E53-D591-4EBF-A5A3-816AD03778C8}" name="Kolonna7036"/>
    <tableColumn id="7375" xr3:uid="{EBE371B7-DCE0-485A-BAB5-548B24266241}" name="Kolonna7037"/>
    <tableColumn id="7376" xr3:uid="{53B2EAAB-2A70-4E0C-9998-63A122A17365}" name="Kolonna7038"/>
    <tableColumn id="7377" xr3:uid="{DA068602-E114-4D3C-B69E-4DFDD9524920}" name="Kolonna7039"/>
    <tableColumn id="7378" xr3:uid="{9704C5E0-6579-482B-A8E5-F6F046B7A193}" name="Kolonna7040"/>
    <tableColumn id="7379" xr3:uid="{B59705FD-1D8D-4CCE-AB1B-E72DFBD22775}" name="Kolonna7041"/>
    <tableColumn id="7380" xr3:uid="{4E061723-15C0-4990-B890-CAAEB8DB53A2}" name="Kolonna7042"/>
    <tableColumn id="7381" xr3:uid="{4C17AA3B-DBF9-4099-867E-9ABBDB6E4684}" name="Kolonna7043"/>
    <tableColumn id="7382" xr3:uid="{7669D1D3-6099-45B7-846E-EA7D4DF48DE8}" name="Kolonna7044"/>
    <tableColumn id="7383" xr3:uid="{0D43FCDB-63A4-4F40-A9F0-AA0292F1794E}" name="Kolonna7045"/>
    <tableColumn id="7384" xr3:uid="{7CBFFBB9-3B3E-4E70-8388-717B763E3A6C}" name="Kolonna7046"/>
    <tableColumn id="7385" xr3:uid="{FAA5BFF0-9179-4894-93D3-B3C3745351DA}" name="Kolonna7047"/>
    <tableColumn id="7386" xr3:uid="{DC7CB172-742D-4C62-A796-77DBA1CB87E1}" name="Kolonna7048"/>
    <tableColumn id="7387" xr3:uid="{87FCEE9E-0F8A-43F7-B92B-EE2EB094727E}" name="Kolonna7049"/>
    <tableColumn id="7388" xr3:uid="{B1D12DC3-ECF4-4552-B730-CEA7F21CFE26}" name="Kolonna7050"/>
    <tableColumn id="7389" xr3:uid="{D97EE1C3-5046-4A8F-A391-2A7E5D5577FA}" name="Kolonna7051"/>
    <tableColumn id="7390" xr3:uid="{9B2DD689-2937-4805-B5E0-E2A0D9B4F57A}" name="Kolonna7052"/>
    <tableColumn id="7391" xr3:uid="{7A9E4A4C-A511-4510-8035-7DAB25602B08}" name="Kolonna7053"/>
    <tableColumn id="7392" xr3:uid="{27D95D29-A965-4654-B525-1210BA4FE0E4}" name="Kolonna7054"/>
    <tableColumn id="7393" xr3:uid="{BF0E0EAD-C589-44F7-8977-C7D10C62F414}" name="Kolonna7055"/>
    <tableColumn id="7394" xr3:uid="{09C7420B-8C72-4836-AB74-66D8E1592FB8}" name="Kolonna7056"/>
    <tableColumn id="7395" xr3:uid="{99AA5615-B520-421A-855D-2152270282B8}" name="Kolonna7057"/>
    <tableColumn id="7396" xr3:uid="{AD2EF665-DC5E-41E8-8F36-3CFA077D710E}" name="Kolonna7058"/>
    <tableColumn id="7397" xr3:uid="{A28FC1FF-C8EF-4396-BF66-E46730CE0A12}" name="Kolonna7059"/>
    <tableColumn id="7398" xr3:uid="{FDC79C9E-4701-4157-91E3-AFFB225F3FCF}" name="Kolonna7060"/>
    <tableColumn id="7399" xr3:uid="{7B86C45C-A9F6-40B8-8CC0-EEFAE43B4CB0}" name="Kolonna7061"/>
    <tableColumn id="7400" xr3:uid="{4B97629D-1638-4A76-8B2B-915BD6A613B2}" name="Kolonna7062"/>
    <tableColumn id="7401" xr3:uid="{B37CB676-DD95-45E6-A6A6-4F6692D26092}" name="Kolonna7063"/>
    <tableColumn id="7402" xr3:uid="{40002A27-67DE-4125-AB18-D5A2534A4916}" name="Kolonna7064"/>
    <tableColumn id="7403" xr3:uid="{255294E7-0CC3-445A-A775-DE8760E9DB00}" name="Kolonna7065"/>
    <tableColumn id="7404" xr3:uid="{F7C9F898-3B3F-428F-BC6F-755A8CE2F6A1}" name="Kolonna7066"/>
    <tableColumn id="7405" xr3:uid="{CA0B0DAE-D905-49BB-A149-A9950664D32C}" name="Kolonna7067"/>
    <tableColumn id="7406" xr3:uid="{79A07CF1-B852-48BA-80EB-A8BF3305BD92}" name="Kolonna7068"/>
    <tableColumn id="7407" xr3:uid="{33C71FDA-AE75-40C4-A388-ED2B7A6647FB}" name="Kolonna7069"/>
    <tableColumn id="7408" xr3:uid="{A7DF09B6-6C2D-4169-B748-E513A7151D27}" name="Kolonna7070"/>
    <tableColumn id="7409" xr3:uid="{A85FB17D-EADC-4521-8EE1-5D194EF7B64A}" name="Kolonna7071"/>
    <tableColumn id="7410" xr3:uid="{E2F4C5A0-85EA-4712-9DDA-4236E1D2E678}" name="Kolonna7072"/>
    <tableColumn id="7411" xr3:uid="{397E01A9-7B3F-4E29-87D3-AC5AB61110F7}" name="Kolonna7073"/>
    <tableColumn id="7412" xr3:uid="{03C03386-B3D4-4A7F-B64E-757C603F6D02}" name="Kolonna7074"/>
    <tableColumn id="7413" xr3:uid="{1923A330-925C-4EB3-B31A-985B27D3881B}" name="Kolonna7075"/>
    <tableColumn id="7414" xr3:uid="{CD1555D5-397D-46FB-B94B-BDA2C659D06D}" name="Kolonna7076"/>
    <tableColumn id="7415" xr3:uid="{27F3F92D-708C-4077-A996-CEA7580F8EE4}" name="Kolonna7077"/>
    <tableColumn id="7416" xr3:uid="{F6F62992-ADBD-4ED1-8BD3-3BD57331647B}" name="Kolonna7078"/>
    <tableColumn id="7417" xr3:uid="{7E193E81-5794-4F40-B345-E88F7ECB2A28}" name="Kolonna7079"/>
    <tableColumn id="7418" xr3:uid="{83099024-CE93-4E1A-8BAC-809E6A23808D}" name="Kolonna7080"/>
    <tableColumn id="7419" xr3:uid="{58211B52-A07E-414C-9B44-C3248F7AE9D6}" name="Kolonna7081"/>
    <tableColumn id="7420" xr3:uid="{FE0722CE-81A0-4727-B790-CFC696F48621}" name="Kolonna7082"/>
    <tableColumn id="7421" xr3:uid="{76541AF8-37E3-43D5-B7CF-88197B856F53}" name="Kolonna7083"/>
    <tableColumn id="7422" xr3:uid="{182E1A60-B82C-4985-A13A-29469B2949D4}" name="Kolonna7084"/>
    <tableColumn id="7423" xr3:uid="{B9E7ACC3-4986-4AC1-A1A3-1B5B68FB4132}" name="Kolonna7085"/>
    <tableColumn id="7424" xr3:uid="{D446753E-284A-4744-90A2-C451ED2CD584}" name="Kolonna7086"/>
    <tableColumn id="7425" xr3:uid="{23CCDBEE-2E1C-4F22-BE4C-95DAE0C41FA1}" name="Kolonna7087"/>
    <tableColumn id="7426" xr3:uid="{DA252379-48C1-43E0-88FC-EE5E54E44DC3}" name="Kolonna7088"/>
    <tableColumn id="7427" xr3:uid="{095EEEE9-06E6-417D-B19C-016DBCD6C5D0}" name="Kolonna7089"/>
    <tableColumn id="7428" xr3:uid="{88994B81-F1E8-4939-8BC7-201AF198D382}" name="Kolonna7090"/>
    <tableColumn id="7429" xr3:uid="{57388F82-3A17-4771-9C88-93B0A99E2757}" name="Kolonna7091"/>
    <tableColumn id="7430" xr3:uid="{DE888EA7-517E-4B4D-819F-34F19EDE429F}" name="Kolonna7092"/>
    <tableColumn id="7431" xr3:uid="{F327CEBB-01D6-4CFC-8448-FE40DF4FB820}" name="Kolonna7093"/>
    <tableColumn id="7432" xr3:uid="{F841F381-AE21-4501-9CE0-12C67CC1B410}" name="Kolonna7094"/>
    <tableColumn id="7433" xr3:uid="{82E3EC21-AE02-46FD-A54C-CFD10D7E9AFD}" name="Kolonna7095"/>
    <tableColumn id="7434" xr3:uid="{3F01F311-6112-4897-AFD8-94A3BB085493}" name="Kolonna7096"/>
    <tableColumn id="7435" xr3:uid="{007A428D-7CB3-43DE-B4C2-1F61B87880A2}" name="Kolonna7097"/>
    <tableColumn id="7436" xr3:uid="{B155F66F-07A7-4AC1-B653-331ED5A501BF}" name="Kolonna7098"/>
    <tableColumn id="7437" xr3:uid="{748E69CC-49DC-4BE6-AAEF-7611558D8C37}" name="Kolonna7099"/>
    <tableColumn id="7438" xr3:uid="{1A93C411-5FA4-4B6F-B851-FB25DD36AFA9}" name="Kolonna7100"/>
    <tableColumn id="7439" xr3:uid="{1CC5FB7F-0DB8-4097-BDF4-2BE1FB8FA969}" name="Kolonna7101"/>
    <tableColumn id="7440" xr3:uid="{7409EE04-CE4F-4780-8EE5-205F9B67B8E4}" name="Kolonna7102"/>
    <tableColumn id="7441" xr3:uid="{3B16956A-980F-414F-8CE5-42E05037A9BB}" name="Kolonna7103"/>
    <tableColumn id="7442" xr3:uid="{865467C0-C8ED-4DF6-9CE3-261A5CD6A719}" name="Kolonna7104"/>
    <tableColumn id="7443" xr3:uid="{80E688D5-D0B2-49F5-9DC1-38AA5903ABC3}" name="Kolonna7105"/>
    <tableColumn id="7444" xr3:uid="{D9CC4486-E444-407D-A63F-4E5502161AFF}" name="Kolonna7106"/>
    <tableColumn id="7445" xr3:uid="{3A92F5DC-2F9E-4133-B50B-A0E03156C341}" name="Kolonna7107"/>
    <tableColumn id="7446" xr3:uid="{906D4AB4-BD30-4C4B-A3B5-7EAB5795AD81}" name="Kolonna7108"/>
    <tableColumn id="7447" xr3:uid="{64493920-D5D9-413F-9852-CB86EA2680E4}" name="Kolonna7109"/>
    <tableColumn id="7448" xr3:uid="{CAB17D4D-B664-4790-9742-B6274F95C47C}" name="Kolonna7110"/>
    <tableColumn id="7449" xr3:uid="{755B9DE4-C55E-4C9C-800D-0B0912436208}" name="Kolonna7111"/>
    <tableColumn id="7450" xr3:uid="{8E60D9D8-42E8-4D9D-AEA6-B1576E0DC5D9}" name="Kolonna7112"/>
    <tableColumn id="7451" xr3:uid="{8297069F-B4A9-4B5C-909D-0BC34937A95F}" name="Kolonna7113"/>
    <tableColumn id="7452" xr3:uid="{14251C6D-07A5-4456-884B-E151825AE57E}" name="Kolonna7114"/>
    <tableColumn id="7453" xr3:uid="{A2A84C18-3BC1-42BA-842E-DBDA735257C9}" name="Kolonna7115"/>
    <tableColumn id="7454" xr3:uid="{7ABC7B5E-B1E2-4E08-99F6-6F3BE5B91AC3}" name="Kolonna7116"/>
    <tableColumn id="7455" xr3:uid="{FD64B051-9614-41CA-B38C-970A2F56421D}" name="Kolonna7117"/>
    <tableColumn id="7456" xr3:uid="{9DC6A95F-CC60-4F63-B8E7-60529384E888}" name="Kolonna7118"/>
    <tableColumn id="7457" xr3:uid="{233C8DA6-E498-4F0A-9F72-F2A557BA6617}" name="Kolonna7119"/>
    <tableColumn id="7458" xr3:uid="{A07BF3D4-7C06-4EAE-A7EE-F8464D74B369}" name="Kolonna7120"/>
    <tableColumn id="7459" xr3:uid="{F38F7740-EBAD-4DA1-9963-1C98D7BBAB92}" name="Kolonna7121"/>
    <tableColumn id="7460" xr3:uid="{316FA96E-1F97-4008-9B54-0C6D3478DB9F}" name="Kolonna7122"/>
    <tableColumn id="7461" xr3:uid="{C5675261-AB87-4DFF-BFFE-7A30FEEEF4E4}" name="Kolonna7123"/>
    <tableColumn id="7462" xr3:uid="{01818EC0-05B9-4AE2-A7D4-D09AA855AFF1}" name="Kolonna7124"/>
    <tableColumn id="7463" xr3:uid="{E1797A90-0F92-4519-B78C-D17BFC5DC77A}" name="Kolonna7125"/>
    <tableColumn id="7464" xr3:uid="{41FF4B78-BD04-4DAA-992E-9455F23B5E04}" name="Kolonna7126"/>
    <tableColumn id="7465" xr3:uid="{C4B99C4F-62CB-4742-B651-4D007188740D}" name="Kolonna7127"/>
    <tableColumn id="7466" xr3:uid="{A22CD3A3-712A-4785-912D-0CC17C972450}" name="Kolonna7128"/>
    <tableColumn id="7467" xr3:uid="{5B9E2DB2-5DF3-46D8-8011-58421447D9EF}" name="Kolonna7129"/>
    <tableColumn id="7468" xr3:uid="{CFFE5301-FCB0-488E-98CC-24AF963E31CE}" name="Kolonna7130"/>
    <tableColumn id="7469" xr3:uid="{57660549-DA40-49D9-A849-95B458BC6682}" name="Kolonna7131"/>
    <tableColumn id="7470" xr3:uid="{6ABCB0AE-ED34-457B-956D-C9005A60F445}" name="Kolonna7132"/>
    <tableColumn id="7471" xr3:uid="{4A2E5A19-A5D7-45AF-B59A-49866D237C34}" name="Kolonna7133"/>
    <tableColumn id="7472" xr3:uid="{CD124835-5F69-4B4F-9DAB-435C59E4A511}" name="Kolonna7134"/>
    <tableColumn id="7473" xr3:uid="{8CFABFC6-8408-4E6D-8D63-E700EA379D7D}" name="Kolonna7135"/>
    <tableColumn id="7474" xr3:uid="{4723E83D-B965-4F73-9E82-88B2EB5C4C3D}" name="Kolonna7136"/>
    <tableColumn id="7475" xr3:uid="{24FDD45D-7642-4658-B119-D0DB28583210}" name="Kolonna7137"/>
    <tableColumn id="7476" xr3:uid="{149A1171-3587-4A8E-BB36-D0D2A522DA42}" name="Kolonna7138"/>
    <tableColumn id="7477" xr3:uid="{1B378A40-DF2B-4177-9F06-C66988BBD4C4}" name="Kolonna7139"/>
    <tableColumn id="7478" xr3:uid="{D1CED267-F1A3-496F-AD26-04E85CFE3D08}" name="Kolonna7140"/>
    <tableColumn id="7479" xr3:uid="{67DA5276-FAC6-473F-B890-4AAE71FC6AEF}" name="Kolonna7141"/>
    <tableColumn id="7480" xr3:uid="{DD10EF30-6C9C-4670-93B6-FEA05E07FAAF}" name="Kolonna7142"/>
    <tableColumn id="7481" xr3:uid="{AF244963-08D2-48D0-B3FC-5DA11500697A}" name="Kolonna7143"/>
    <tableColumn id="7482" xr3:uid="{B52A2663-B4E7-4013-9332-A43491754509}" name="Kolonna7144"/>
    <tableColumn id="7483" xr3:uid="{E797142B-D1B5-4B2A-872E-291644EB64FA}" name="Kolonna7145"/>
    <tableColumn id="7484" xr3:uid="{C586A918-A12D-4019-A297-FD94F060834B}" name="Kolonna7146"/>
    <tableColumn id="7485" xr3:uid="{3F5651E1-11C1-41EA-A9B2-677D1FAEEBAA}" name="Kolonna7147"/>
    <tableColumn id="7486" xr3:uid="{DC9A11CA-4DE0-4975-8EAD-22C5C8DDDB34}" name="Kolonna7148"/>
    <tableColumn id="7487" xr3:uid="{5B79F01F-68E1-478F-86CD-956257F8ECBE}" name="Kolonna7149"/>
    <tableColumn id="7488" xr3:uid="{4B3898B8-B766-429C-836E-966F76FDDF86}" name="Kolonna7150"/>
    <tableColumn id="7489" xr3:uid="{49A6752C-9CCD-46A4-AA20-7D14E34048D7}" name="Kolonna7151"/>
    <tableColumn id="7490" xr3:uid="{C0F8E8ED-1CDA-44B2-BF4D-A956635F2BAA}" name="Kolonna7152"/>
    <tableColumn id="7491" xr3:uid="{E6D72C65-DC82-4640-A888-DC8F71DBB399}" name="Kolonna7153"/>
    <tableColumn id="7492" xr3:uid="{7F0CA158-BE74-48B1-9FEB-5DCBEEA7C7C7}" name="Kolonna7154"/>
    <tableColumn id="7493" xr3:uid="{6D84EC0A-A803-4DA4-9976-86C9D7A1D5FF}" name="Kolonna7155"/>
    <tableColumn id="7494" xr3:uid="{FC7D204B-9DDE-46CD-B21F-064F0982B1C5}" name="Kolonna7156"/>
    <tableColumn id="7495" xr3:uid="{F4FD5FC2-CE6C-44B2-9593-1A47380C42FE}" name="Kolonna7157"/>
    <tableColumn id="7496" xr3:uid="{7C526931-93D3-4598-BEFA-0F399AA06A89}" name="Kolonna7158"/>
    <tableColumn id="7497" xr3:uid="{B13C17BA-954E-4B9D-92DF-F5AE01DE80BD}" name="Kolonna7159"/>
    <tableColumn id="7498" xr3:uid="{32808ECA-6CC5-47A2-8CBB-08F8A0F38254}" name="Kolonna7160"/>
    <tableColumn id="7499" xr3:uid="{6F08D8CE-A2D6-4F39-8345-4A30C5940A39}" name="Kolonna7161"/>
    <tableColumn id="7500" xr3:uid="{CADA283C-8DD1-4478-BB6F-DB605A3E809E}" name="Kolonna7162"/>
    <tableColumn id="7501" xr3:uid="{F57D13B3-8BD4-4557-9107-B4D811134828}" name="Kolonna7163"/>
    <tableColumn id="7502" xr3:uid="{E67BCFBC-3367-455A-89E5-F8EB4FF39A4B}" name="Kolonna7164"/>
    <tableColumn id="7503" xr3:uid="{1E0A4D22-5D1C-4010-8DE9-6884C01B50B9}" name="Kolonna7165"/>
    <tableColumn id="7504" xr3:uid="{CA51565A-D0AC-4F75-80CB-CF9B27A56CAF}" name="Kolonna7166"/>
    <tableColumn id="7505" xr3:uid="{15F10C0E-6125-4EEA-9974-BAD1992C1A73}" name="Kolonna7167"/>
    <tableColumn id="7506" xr3:uid="{63BB9888-0D55-4389-8412-1A4B98FFACB6}" name="Kolonna7168"/>
    <tableColumn id="7507" xr3:uid="{D285056D-2B44-4CBE-B038-816AA7F50263}" name="Kolonna7169"/>
    <tableColumn id="7508" xr3:uid="{1FD456F2-0959-4BC4-9ADE-7316F3870E40}" name="Kolonna7170"/>
    <tableColumn id="7509" xr3:uid="{494611EE-FAE0-4513-BD57-08ADF2881B33}" name="Kolonna7171"/>
    <tableColumn id="7510" xr3:uid="{FE45CA7F-5688-4A80-BB76-D9A9C2202330}" name="Kolonna7172"/>
    <tableColumn id="7511" xr3:uid="{653D4364-1C1B-4D90-872D-5BC25AFE544F}" name="Kolonna7173"/>
    <tableColumn id="7512" xr3:uid="{31669F5F-1F5C-4A79-9348-197E2C8BEE4F}" name="Kolonna7174"/>
    <tableColumn id="7513" xr3:uid="{740513E6-06BF-4B6C-A0C2-0529D15753E3}" name="Kolonna7175"/>
    <tableColumn id="7514" xr3:uid="{0DCB0558-BC88-45CA-B12B-ED9E47B9C192}" name="Kolonna7176"/>
    <tableColumn id="7515" xr3:uid="{27FACCF2-B75B-4133-9C0F-FD1F7BE06446}" name="Kolonna7177"/>
    <tableColumn id="7516" xr3:uid="{7AF0AFCD-C858-4D87-9A62-B88DD3BEA889}" name="Kolonna7178"/>
    <tableColumn id="7517" xr3:uid="{7D2009C3-FCB7-4EE5-AF68-19EE151287F9}" name="Kolonna7179"/>
    <tableColumn id="7518" xr3:uid="{532D2F05-EB39-4FFA-B712-A5614BDA2A01}" name="Kolonna7180"/>
    <tableColumn id="7519" xr3:uid="{82FF3E8A-BD0F-44CB-BDF7-CAD756F977F1}" name="Kolonna7181"/>
    <tableColumn id="7520" xr3:uid="{77FF830F-D2F7-4F69-9D83-180E27938CF0}" name="Kolonna7182"/>
    <tableColumn id="7521" xr3:uid="{5B3281C5-605A-47C3-8587-07349DEC1CCA}" name="Kolonna7183"/>
    <tableColumn id="7522" xr3:uid="{A9D35F90-34BD-4935-AC5C-1A4F1CEC0A56}" name="Kolonna7184"/>
    <tableColumn id="7523" xr3:uid="{9CE9910D-EF59-467D-BC79-BC4A8629160B}" name="Kolonna7185"/>
    <tableColumn id="7524" xr3:uid="{718D8E41-0FA4-47D4-B6E1-10B0DD084128}" name="Kolonna7186"/>
    <tableColumn id="7525" xr3:uid="{B90CD3AA-AA38-47C6-AF1A-09F80EEABD3B}" name="Kolonna7187"/>
    <tableColumn id="7526" xr3:uid="{7EB75B90-E05C-40FC-AE8B-B0A2DF188A51}" name="Kolonna7188"/>
    <tableColumn id="7527" xr3:uid="{C51D5A82-E492-4836-ADF7-A33350A250B2}" name="Kolonna7189"/>
    <tableColumn id="7528" xr3:uid="{96A41992-4F24-4A34-9E80-88EE68A1A61E}" name="Kolonna7190"/>
    <tableColumn id="7529" xr3:uid="{C06FFD3C-1B7A-4B93-8218-7B95C4692270}" name="Kolonna7191"/>
    <tableColumn id="7530" xr3:uid="{3761E2E9-6DC6-4B2A-B5E1-C7E89EFF6DBB}" name="Kolonna7192"/>
    <tableColumn id="7531" xr3:uid="{30420C4C-3B26-403D-9E26-CFD473EA36D7}" name="Kolonna7193"/>
    <tableColumn id="7532" xr3:uid="{D91308DF-C956-4987-97D6-2181DC24CA84}" name="Kolonna7194"/>
    <tableColumn id="7533" xr3:uid="{2C3AC488-A54C-4DE7-A96F-0E097C9B057F}" name="Kolonna7195"/>
    <tableColumn id="7534" xr3:uid="{411029AD-F1B0-4053-8BDF-9C476B2F7FFB}" name="Kolonna7196"/>
    <tableColumn id="7535" xr3:uid="{9F44F833-C4F2-4C11-B525-DE04FAAD7958}" name="Kolonna7197"/>
    <tableColumn id="7536" xr3:uid="{7FFD38F2-0CC2-44BA-90BC-EF6AA12078C6}" name="Kolonna7198"/>
    <tableColumn id="7537" xr3:uid="{4D7CCD59-9096-42F2-B545-6EB4EBBEEB3B}" name="Kolonna7199"/>
    <tableColumn id="7538" xr3:uid="{DFE95EEC-0445-4360-8BA4-F49D87321189}" name="Kolonna7200"/>
    <tableColumn id="7539" xr3:uid="{917F081A-2EF6-4103-9E49-6C9BF2657C99}" name="Kolonna7201"/>
    <tableColumn id="7540" xr3:uid="{8BEDD35B-5F58-4266-B829-4C62D05B60DB}" name="Kolonna7202"/>
    <tableColumn id="7541" xr3:uid="{FAB880EE-B8D7-4C45-B639-26862BA235B7}" name="Kolonna7203"/>
    <tableColumn id="7542" xr3:uid="{E6712EB0-2274-4600-BC2B-BBCF48F5952E}" name="Kolonna7204"/>
    <tableColumn id="7543" xr3:uid="{9C8C7C62-00E5-47BF-B2F0-95B8F8531FE5}" name="Kolonna7205"/>
    <tableColumn id="7544" xr3:uid="{7A41DF01-4224-4A19-B2AE-CA4C1262A930}" name="Kolonna7206"/>
    <tableColumn id="7545" xr3:uid="{DAB4043B-0D00-4777-B68D-4515CFEF1BFE}" name="Kolonna7207"/>
    <tableColumn id="7546" xr3:uid="{AA6978D9-3423-45BD-96A7-96D054E90C2D}" name="Kolonna7208"/>
    <tableColumn id="7547" xr3:uid="{C5410A92-A83E-4672-B89D-97C98EA9776D}" name="Kolonna7209"/>
    <tableColumn id="7548" xr3:uid="{CF16F135-D531-493F-8175-A0CDD4283AF9}" name="Kolonna7210"/>
    <tableColumn id="7549" xr3:uid="{CC16D7C9-4961-4A10-AA21-0158F24F946B}" name="Kolonna7211"/>
    <tableColumn id="7550" xr3:uid="{67EA964D-486E-42AC-936B-F95A15C691B4}" name="Kolonna7212"/>
    <tableColumn id="7551" xr3:uid="{7C5CB4BE-406C-4D46-84F2-CF26253E536E}" name="Kolonna7213"/>
    <tableColumn id="7552" xr3:uid="{DEDB9397-BD99-4C04-BB63-B110ECFEB438}" name="Kolonna7214"/>
    <tableColumn id="7553" xr3:uid="{838F949E-8A71-4D54-B6D7-C949EE667550}" name="Kolonna7215"/>
    <tableColumn id="7554" xr3:uid="{91FF6334-7E59-4728-BC1C-310358088099}" name="Kolonna7216"/>
    <tableColumn id="7555" xr3:uid="{482847EF-1596-4DC4-9ED5-155B74B2B2A8}" name="Kolonna7217"/>
    <tableColumn id="7556" xr3:uid="{2CEE6B25-3F81-4F93-8515-ACB9C9E8BD10}" name="Kolonna7218"/>
    <tableColumn id="7557" xr3:uid="{0167D4DD-DA1E-4481-85F4-65A680FAE53D}" name="Kolonna7219"/>
    <tableColumn id="7558" xr3:uid="{D60DD6B8-5FCE-49C2-A98D-66543EB990C8}" name="Kolonna7220"/>
    <tableColumn id="7559" xr3:uid="{0FAD8D33-158B-44EB-8C70-0642FDD3890A}" name="Kolonna7221"/>
    <tableColumn id="7560" xr3:uid="{6083DA5D-B5AA-4DDD-A57C-A86748DA1C40}" name="Kolonna7222"/>
    <tableColumn id="7561" xr3:uid="{226B6F12-75A4-4ED6-B693-6D7CD1E8F9D1}" name="Kolonna7223"/>
    <tableColumn id="7562" xr3:uid="{3FBF0A57-CFF6-4AD5-9BA2-5A52E5DE1D87}" name="Kolonna7224"/>
    <tableColumn id="7563" xr3:uid="{C1D16531-3627-4916-B441-907135397AE9}" name="Kolonna7225"/>
    <tableColumn id="7564" xr3:uid="{C22039F3-54BA-47D2-8690-3B1161AF578D}" name="Kolonna7226"/>
    <tableColumn id="7565" xr3:uid="{920D147E-7362-46E6-BDE2-9E9921205B45}" name="Kolonna7227"/>
    <tableColumn id="7566" xr3:uid="{102EC163-C2C5-464A-9EBF-385847F23356}" name="Kolonna7228"/>
    <tableColumn id="7567" xr3:uid="{1087FB19-5B03-4ACB-9A78-0AEE5EC77B22}" name="Kolonna7229"/>
    <tableColumn id="7568" xr3:uid="{917F09AB-5C27-4BD0-9628-8C74811D4266}" name="Kolonna7230"/>
    <tableColumn id="7569" xr3:uid="{A45BA9BF-CF5B-416B-A57A-DDC4CF710845}" name="Kolonna7231"/>
    <tableColumn id="7570" xr3:uid="{5174EE9E-EF7A-4AA1-913F-9533B3F61ED6}" name="Kolonna7232"/>
    <tableColumn id="7571" xr3:uid="{01C956BE-EC60-4000-AA21-39AB18010FE2}" name="Kolonna7233"/>
    <tableColumn id="7572" xr3:uid="{4722BFF1-CD19-4445-A0F0-C845AA7437A9}" name="Kolonna7234"/>
    <tableColumn id="7573" xr3:uid="{A4044BEA-4129-42C2-B9AA-068D0FAB0CF3}" name="Kolonna7235"/>
    <tableColumn id="7574" xr3:uid="{2106232C-69AA-402D-8674-AFB18841700C}" name="Kolonna7236"/>
    <tableColumn id="7575" xr3:uid="{C3619423-8905-48B6-BA14-44DB1F56116A}" name="Kolonna7237"/>
    <tableColumn id="7576" xr3:uid="{352B2AB7-2E3D-496E-BA44-ADC4FC45235F}" name="Kolonna7238"/>
    <tableColumn id="7577" xr3:uid="{9FE8840E-7885-47F9-BD31-50317F4AC027}" name="Kolonna7239"/>
    <tableColumn id="7578" xr3:uid="{2D49C8A2-D014-431E-ADD7-DE394FD4FD20}" name="Kolonna7240"/>
    <tableColumn id="7579" xr3:uid="{89906E61-0EE3-460E-9B5F-4291060CBCD0}" name="Kolonna7241"/>
    <tableColumn id="7580" xr3:uid="{A90F871F-CDFA-4E6A-8336-2393CF71F11A}" name="Kolonna7242"/>
    <tableColumn id="7581" xr3:uid="{A093AE80-DB44-4B23-B441-1FBB29929712}" name="Kolonna7243"/>
    <tableColumn id="7582" xr3:uid="{57E89974-C791-44AA-8599-72DC60B53E56}" name="Kolonna7244"/>
    <tableColumn id="7583" xr3:uid="{70DDAF81-B70E-41D4-A0B7-0E92090C49C0}" name="Kolonna7245"/>
    <tableColumn id="7584" xr3:uid="{A360567B-6DF0-4E0F-94B5-1026ACA68158}" name="Kolonna7246"/>
    <tableColumn id="7585" xr3:uid="{63A63E78-C19F-40DC-A1FB-88958DC3F591}" name="Kolonna7247"/>
    <tableColumn id="7586" xr3:uid="{0CD7D3C0-5679-4005-8939-0C1B5E0CF400}" name="Kolonna7248"/>
    <tableColumn id="7587" xr3:uid="{C0EA353A-E0D7-4E68-9E28-5184670AFC1D}" name="Kolonna7249"/>
    <tableColumn id="7588" xr3:uid="{7D85C560-ED8B-469A-BB6C-7F25A6EAF37F}" name="Kolonna7250"/>
    <tableColumn id="7589" xr3:uid="{E386BE57-6C28-42D3-9AAF-BBF55D0F690B}" name="Kolonna7251"/>
    <tableColumn id="7590" xr3:uid="{FEBA54F6-18D1-4932-A8DB-E04EF4E28443}" name="Kolonna7252"/>
    <tableColumn id="7591" xr3:uid="{CEB78824-E1E3-4AE6-9822-FD3F7C349025}" name="Kolonna7253"/>
    <tableColumn id="7592" xr3:uid="{643DB339-7354-4A67-B846-4E6C4851FC72}" name="Kolonna7254"/>
    <tableColumn id="7593" xr3:uid="{2BBA3DAD-754F-4245-A775-A2FFC1220C65}" name="Kolonna7255"/>
    <tableColumn id="7594" xr3:uid="{351DB049-C31A-476B-B26C-23FA3261F6A0}" name="Kolonna7256"/>
    <tableColumn id="7595" xr3:uid="{99E99410-ECD5-49AB-A917-C0D4A238536C}" name="Kolonna7257"/>
    <tableColumn id="7596" xr3:uid="{B8759524-F682-4FBD-A7C4-17FF73DBAC81}" name="Kolonna7258"/>
    <tableColumn id="7597" xr3:uid="{AA758FA6-F09C-4153-A854-44747F0064BE}" name="Kolonna7259"/>
    <tableColumn id="7598" xr3:uid="{6A9F2011-01FA-4021-BB45-B43DD70BCFFF}" name="Kolonna7260"/>
    <tableColumn id="7599" xr3:uid="{11CA22B2-1842-460D-9701-FB09B3EFDA72}" name="Kolonna7261"/>
    <tableColumn id="7600" xr3:uid="{89CB149D-3542-467F-A72C-D12926DAC49B}" name="Kolonna7262"/>
    <tableColumn id="7601" xr3:uid="{A14A4AF0-9798-4137-8206-6A1691D87295}" name="Kolonna7263"/>
    <tableColumn id="7602" xr3:uid="{8B4400DA-9EB3-4D74-A30F-155BB5A5E6D6}" name="Kolonna7264"/>
    <tableColumn id="7603" xr3:uid="{39360AAC-5229-4B5C-B066-B0D5B025D3D2}" name="Kolonna7265"/>
    <tableColumn id="7604" xr3:uid="{FB46D2AC-DA9B-4D02-87FF-8455891B9239}" name="Kolonna7266"/>
    <tableColumn id="7605" xr3:uid="{4BB09DB5-8D4A-4F04-9915-BED6C5A3A28A}" name="Kolonna7267"/>
    <tableColumn id="7606" xr3:uid="{440B681F-8125-4A4A-B02A-B43E66A68B03}" name="Kolonna7268"/>
    <tableColumn id="7607" xr3:uid="{041EA9A4-381D-43C4-A852-DA120B9154F9}" name="Kolonna7269"/>
    <tableColumn id="7608" xr3:uid="{42925923-63B5-4550-A9D0-408CDA2F9343}" name="Kolonna7270"/>
    <tableColumn id="7609" xr3:uid="{716A925E-5CFE-42B1-87DA-43B71235C5F9}" name="Kolonna7271"/>
    <tableColumn id="7610" xr3:uid="{28EA6773-2EBC-4CE1-9826-E1B8A0348D44}" name="Kolonna7272"/>
    <tableColumn id="7611" xr3:uid="{4C9C40AB-13AC-4057-AE69-FE878EDDF71D}" name="Kolonna7273"/>
    <tableColumn id="7612" xr3:uid="{8097FCF5-BE3B-4BFD-BE38-924A970122AD}" name="Kolonna7274"/>
    <tableColumn id="7613" xr3:uid="{BD2BA195-2E25-4D46-853F-DA2728E86697}" name="Kolonna7275"/>
    <tableColumn id="7614" xr3:uid="{A6F365FE-E57D-4E6A-8095-EE31E91E4778}" name="Kolonna7276"/>
    <tableColumn id="7615" xr3:uid="{6F47B03C-1C1E-4677-B858-5D94D6983094}" name="Kolonna7277"/>
    <tableColumn id="7616" xr3:uid="{B5521A9C-7A17-4E0C-8DA3-8C8995227D86}" name="Kolonna7278"/>
    <tableColumn id="7617" xr3:uid="{E44F915D-4329-4DF7-9BFC-05B7F5575FE1}" name="Kolonna7279"/>
    <tableColumn id="7618" xr3:uid="{7EE40336-810A-45FE-A717-34E6FCED982C}" name="Kolonna7280"/>
    <tableColumn id="7619" xr3:uid="{D4C47C40-7129-4A7B-839B-DA5E75D031CE}" name="Kolonna7281"/>
    <tableColumn id="7620" xr3:uid="{D3FB4C76-9708-475E-878B-C15FAB9C7C00}" name="Kolonna7282"/>
    <tableColumn id="7621" xr3:uid="{7DCB8B80-17B5-428A-A221-EE14C33E2D27}" name="Kolonna7283"/>
    <tableColumn id="7622" xr3:uid="{6F1BE0E6-D15E-4E56-BAA1-2C9C326C3D69}" name="Kolonna7284"/>
    <tableColumn id="7623" xr3:uid="{6E406A88-7A02-4FE0-9C0B-5A002704DD54}" name="Kolonna7285"/>
    <tableColumn id="7624" xr3:uid="{A3805876-832B-4C22-845E-3FABA6B736B1}" name="Kolonna7286"/>
    <tableColumn id="7625" xr3:uid="{07B3F77C-0330-4FA8-935C-460E15C15516}" name="Kolonna7287"/>
    <tableColumn id="7626" xr3:uid="{1B2B03F3-9320-43C8-97D1-3F4D51183D7C}" name="Kolonna7288"/>
    <tableColumn id="7627" xr3:uid="{C04A1C5D-ED4F-4014-A895-1E8E344CF603}" name="Kolonna7289"/>
    <tableColumn id="7628" xr3:uid="{50AF8729-663C-486F-A7F7-33D35B9F9F43}" name="Kolonna7290"/>
    <tableColumn id="7629" xr3:uid="{2EB0CA33-542C-44FB-9707-9A0322520C47}" name="Kolonna7291"/>
    <tableColumn id="7630" xr3:uid="{69BE6C2C-EFA7-4B60-BA46-C8981925C456}" name="Kolonna7292"/>
    <tableColumn id="7631" xr3:uid="{76563498-9CBA-445C-AF17-287B18C77C63}" name="Kolonna7293"/>
    <tableColumn id="7632" xr3:uid="{B716BCFB-B923-4D33-8A01-1C93757C850D}" name="Kolonna7294"/>
    <tableColumn id="7633" xr3:uid="{2D28DA8F-15AA-4E20-A1C6-7DC1994C5D58}" name="Kolonna7295"/>
    <tableColumn id="7634" xr3:uid="{76AB837E-6B18-4DA8-9211-D93C616528B5}" name="Kolonna7296"/>
    <tableColumn id="7635" xr3:uid="{7760A656-B961-4F9D-AACE-E35150C9F0C5}" name="Kolonna7297"/>
    <tableColumn id="7636" xr3:uid="{A7B18C37-C72A-4518-B875-FB9D2DA730CB}" name="Kolonna7298"/>
    <tableColumn id="7637" xr3:uid="{6DCBD6E7-29D2-437A-837F-CC1D486AC2C0}" name="Kolonna7299"/>
    <tableColumn id="7638" xr3:uid="{371CDF46-55EA-42D2-992C-8EE060CEBDBD}" name="Kolonna7300"/>
    <tableColumn id="7639" xr3:uid="{0D606C2C-559E-4397-80F3-4C09D9E0D5C7}" name="Kolonna7301"/>
    <tableColumn id="7640" xr3:uid="{99A11ACE-9C81-4432-9C0E-0CDFD8D983D5}" name="Kolonna7302"/>
    <tableColumn id="7641" xr3:uid="{9260CC0C-5D63-4F60-BFCD-B092F6CAE022}" name="Kolonna7303"/>
    <tableColumn id="7642" xr3:uid="{92B8B110-9A42-44F2-B237-DF3F3F05A1CE}" name="Kolonna7304"/>
    <tableColumn id="7643" xr3:uid="{9FF101FA-4807-4029-8E7E-9D8FABF20E7A}" name="Kolonna7305"/>
    <tableColumn id="7644" xr3:uid="{D7C86E15-C387-40ED-A4CA-434F8D9F4870}" name="Kolonna7306"/>
    <tableColumn id="7645" xr3:uid="{96C96D2B-8D5C-462D-A61F-FB21356179D9}" name="Kolonna7307"/>
    <tableColumn id="7646" xr3:uid="{6B5A117F-C971-42A2-A457-A93A494ABAAC}" name="Kolonna7308"/>
    <tableColumn id="7647" xr3:uid="{A25F13D4-B9F3-4E34-870E-E730F3C63509}" name="Kolonna7309"/>
    <tableColumn id="7648" xr3:uid="{84A41CAA-DF51-4B27-A3FD-35CB7B6A75A2}" name="Kolonna7310"/>
    <tableColumn id="7649" xr3:uid="{6ED6F978-276E-4041-A6CA-868B9E7A21A9}" name="Kolonna7311"/>
    <tableColumn id="7650" xr3:uid="{8B72B353-95E0-45B1-A9C2-4E931CD64BDC}" name="Kolonna7312"/>
    <tableColumn id="7651" xr3:uid="{845252E1-96ED-40AD-9E97-F607C2FE6B1F}" name="Kolonna7313"/>
    <tableColumn id="7652" xr3:uid="{F696BBB5-07AF-4D2E-9BA2-3C00FD6DD8F2}" name="Kolonna7314"/>
    <tableColumn id="7653" xr3:uid="{C3BA6BFB-ACAC-434D-A36E-0961101AA882}" name="Kolonna7315"/>
    <tableColumn id="7654" xr3:uid="{D82A1A4A-807D-411A-839B-84C24222B94B}" name="Kolonna7316"/>
    <tableColumn id="7655" xr3:uid="{734AC829-17B9-4BF4-9DCA-5F7E450AD4B6}" name="Kolonna7317"/>
    <tableColumn id="7656" xr3:uid="{835B28F5-E332-4951-ADF1-C787FA9DEC76}" name="Kolonna7318"/>
    <tableColumn id="7657" xr3:uid="{F1794B41-A3AF-490C-83E8-64B3F4289A5C}" name="Kolonna7319"/>
    <tableColumn id="7658" xr3:uid="{23F12BB0-BE42-4B52-8482-98BEE18FD189}" name="Kolonna7320"/>
    <tableColumn id="7659" xr3:uid="{161BAE76-0506-486B-8CA4-F1DBA1B8D3E7}" name="Kolonna7321"/>
    <tableColumn id="7660" xr3:uid="{5500B2D0-0B56-443B-B820-B9CA1F1AC2FF}" name="Kolonna7322"/>
    <tableColumn id="7661" xr3:uid="{B56A81C8-DB24-4693-AC42-22E4FF03AF4A}" name="Kolonna7323"/>
    <tableColumn id="7662" xr3:uid="{A2D6D4DB-2A61-461C-8D4B-C84268FA9905}" name="Kolonna7324"/>
    <tableColumn id="7663" xr3:uid="{4F632C1C-2340-42A2-92D4-DAE34F861AC1}" name="Kolonna7325"/>
    <tableColumn id="7664" xr3:uid="{F2A2950D-BEB3-4C94-8F65-B9D37AEBD724}" name="Kolonna7326"/>
    <tableColumn id="7665" xr3:uid="{199B5A5C-6E22-4836-AF21-C28D5E4159DC}" name="Kolonna7327"/>
    <tableColumn id="7666" xr3:uid="{B3CDBE1F-3333-4C72-B3E5-FDB2F0DDC3AD}" name="Kolonna7328"/>
    <tableColumn id="7667" xr3:uid="{635BB0DC-D5FF-444E-B602-429354D96652}" name="Kolonna7329"/>
    <tableColumn id="7668" xr3:uid="{BFE25FCC-73B0-43FE-BF36-91E8DA00586B}" name="Kolonna7330"/>
    <tableColumn id="7669" xr3:uid="{FDA96FC0-F7BC-473E-AD16-360352C8F1AE}" name="Kolonna7331"/>
    <tableColumn id="7670" xr3:uid="{6433B146-5E15-4C21-844B-4BBC86514C57}" name="Kolonna7332"/>
    <tableColumn id="7671" xr3:uid="{62EB8BA6-8EF4-4247-AD3F-7BF3F777F481}" name="Kolonna7333"/>
    <tableColumn id="7672" xr3:uid="{FCA40A76-1E08-4A97-A80E-FEDFDB6C0959}" name="Kolonna7334"/>
    <tableColumn id="7673" xr3:uid="{130B773D-FCC0-478F-9B70-8EC73E3F5140}" name="Kolonna7335"/>
    <tableColumn id="7674" xr3:uid="{D4FD969F-12A2-49DC-868B-BE0DA8D455AB}" name="Kolonna7336"/>
    <tableColumn id="7675" xr3:uid="{ACDA3274-CF36-4821-B32A-6C8CFC3D51AB}" name="Kolonna7337"/>
    <tableColumn id="7676" xr3:uid="{1A817FAB-D640-4850-ABA9-F59AA4BBDB40}" name="Kolonna7338"/>
    <tableColumn id="7677" xr3:uid="{0138C024-EAFF-47AA-AC0B-1D4430B1DC78}" name="Kolonna7339"/>
    <tableColumn id="7678" xr3:uid="{AF78D2B3-DAAB-47E6-8851-FE52521793D7}" name="Kolonna7340"/>
    <tableColumn id="7679" xr3:uid="{BD2AA58A-2063-4F02-841C-25A5D03172EF}" name="Kolonna7341"/>
    <tableColumn id="7680" xr3:uid="{3DE1F70D-FB82-4392-B1EB-165B88646695}" name="Kolonna7342"/>
    <tableColumn id="7681" xr3:uid="{A470CCCD-20F9-4644-8A5F-8947D0832CFE}" name="Kolonna7343"/>
    <tableColumn id="7682" xr3:uid="{F9DA9E35-EA34-45AF-8124-F30DAE2D2CCA}" name="Kolonna7344"/>
    <tableColumn id="7683" xr3:uid="{E2FEEBCB-0587-4FC3-9633-466FF47619CC}" name="Kolonna7345"/>
    <tableColumn id="7684" xr3:uid="{2A49CDED-7D75-4D09-AE7F-D38C1D29E107}" name="Kolonna7346"/>
    <tableColumn id="7685" xr3:uid="{CBBA1C53-9345-4365-A646-ABA29471CD06}" name="Kolonna7347"/>
    <tableColumn id="7686" xr3:uid="{C7BC10F0-57B8-47B2-AEA8-76AC72490D19}" name="Kolonna7348"/>
    <tableColumn id="7687" xr3:uid="{BAD4865F-EF67-4ACD-B962-18EFD5220B0B}" name="Kolonna7349"/>
    <tableColumn id="7688" xr3:uid="{AC080A67-87E3-45CA-B9E1-36335A036013}" name="Kolonna7350"/>
    <tableColumn id="7689" xr3:uid="{61A5D41D-ED6C-4FD7-AC18-D7F40BE96ADA}" name="Kolonna7351"/>
    <tableColumn id="7690" xr3:uid="{378EAA3B-25B9-4BC8-96A7-ACA7E4D37371}" name="Kolonna7352"/>
    <tableColumn id="7691" xr3:uid="{7345B49C-289A-4D43-B8D0-32E78B937384}" name="Kolonna7353"/>
    <tableColumn id="7692" xr3:uid="{A1CC4039-D60C-4599-996A-C95EE4DDD529}" name="Kolonna7354"/>
    <tableColumn id="7693" xr3:uid="{48F9AB0B-E918-4326-997A-4D47CC681143}" name="Kolonna7355"/>
    <tableColumn id="7694" xr3:uid="{D6456DE0-EC14-4FB1-BADF-112327E6AF49}" name="Kolonna7356"/>
    <tableColumn id="7695" xr3:uid="{0E1D0B21-86F6-4A8B-A8E2-58274F57D91E}" name="Kolonna7357"/>
    <tableColumn id="7696" xr3:uid="{88185564-6495-4361-8C49-25947E4454F6}" name="Kolonna7358"/>
    <tableColumn id="7697" xr3:uid="{99F96ADA-58DC-4894-A66C-50AB0EE00E49}" name="Kolonna7359"/>
    <tableColumn id="7698" xr3:uid="{AE7302AD-25ED-4E4B-8855-7BF03512E4DC}" name="Kolonna7360"/>
    <tableColumn id="7699" xr3:uid="{617C900C-7BA3-460A-B90F-92ABA8322986}" name="Kolonna7361"/>
    <tableColumn id="7700" xr3:uid="{6F2C6B35-66F0-4A9B-9E89-E05C7AB61B87}" name="Kolonna7362"/>
    <tableColumn id="7701" xr3:uid="{ABB773EF-0CA3-4E92-B19A-F2142CB2532F}" name="Kolonna7363"/>
    <tableColumn id="7702" xr3:uid="{B3FA0AD3-412D-4A95-A51B-055C53E67148}" name="Kolonna7364"/>
    <tableColumn id="7703" xr3:uid="{81075DBB-DF5C-4E2F-9262-97A17D6C685F}" name="Kolonna7365"/>
    <tableColumn id="7704" xr3:uid="{40943409-112A-4CAD-BA94-6FE0D7142294}" name="Kolonna7366"/>
    <tableColumn id="7705" xr3:uid="{92E6CF1B-726E-446E-B958-A236D0FE690F}" name="Kolonna7367"/>
    <tableColumn id="7706" xr3:uid="{EB45C30F-A36C-4207-ADAF-F733B6B79152}" name="Kolonna7368"/>
    <tableColumn id="7707" xr3:uid="{476E2A78-6A78-4E86-883C-8045C2C9F6CC}" name="Kolonna7369"/>
    <tableColumn id="7708" xr3:uid="{45F0E145-ADDE-4033-9E96-7159FCCCDBE5}" name="Kolonna7370"/>
    <tableColumn id="7709" xr3:uid="{E4A96BF0-B86F-450F-9B9F-FDC32E3562E5}" name="Kolonna7371"/>
    <tableColumn id="7710" xr3:uid="{5C9E0E2C-96F7-4116-BB8C-725C9C4AF292}" name="Kolonna7372"/>
    <tableColumn id="7711" xr3:uid="{1F4E7569-CCE2-48C4-8BC5-9DFC6599009F}" name="Kolonna7373"/>
    <tableColumn id="7712" xr3:uid="{7DDA6232-4DE7-4B7C-94D1-375BA4031200}" name="Kolonna7374"/>
    <tableColumn id="7713" xr3:uid="{E361F47A-9D75-4FC5-AE85-30898261DF22}" name="Kolonna7375"/>
    <tableColumn id="7714" xr3:uid="{14AEAE73-BFE5-4083-84B4-E495D1792EFD}" name="Kolonna7376"/>
    <tableColumn id="7715" xr3:uid="{BE8C3DCC-91AE-478D-8111-CF0BB3760709}" name="Kolonna7377"/>
    <tableColumn id="7716" xr3:uid="{3B2D1360-BCEC-42AA-9D9D-D9551004177F}" name="Kolonna7378"/>
    <tableColumn id="7717" xr3:uid="{62483686-4EC4-4FAB-A69D-6FE7F0F13A52}" name="Kolonna7379"/>
    <tableColumn id="7718" xr3:uid="{9047F2B1-AEA7-4EAF-B1A5-1FE3C077235A}" name="Kolonna7380"/>
    <tableColumn id="7719" xr3:uid="{23501D6D-1D7E-41C0-84CA-D30DBBE28337}" name="Kolonna7381"/>
    <tableColumn id="7720" xr3:uid="{9A541ED3-9DE8-463B-815A-3F0BA5987F54}" name="Kolonna7382"/>
    <tableColumn id="7721" xr3:uid="{1479913B-61A1-46AA-9027-B32637E6FE6A}" name="Kolonna7383"/>
    <tableColumn id="7722" xr3:uid="{92431559-2A10-49B7-954D-DC639FD91CDE}" name="Kolonna7384"/>
    <tableColumn id="7723" xr3:uid="{769B5EBF-E034-4D4D-8A37-27A7968F3B24}" name="Kolonna7385"/>
    <tableColumn id="7724" xr3:uid="{D5E96221-A104-4E7C-A876-9E1EB3C9EB08}" name="Kolonna7386"/>
    <tableColumn id="7725" xr3:uid="{626B9616-E708-44EC-A463-EAAE015F3643}" name="Kolonna7387"/>
    <tableColumn id="7726" xr3:uid="{9EA278F3-E6AC-417F-BDD3-432578CCC14F}" name="Kolonna7388"/>
    <tableColumn id="7727" xr3:uid="{28C24DA3-A756-4F59-ABD9-79040FD5FCC1}" name="Kolonna7389"/>
    <tableColumn id="7728" xr3:uid="{5E7F4B79-2ECB-4DC2-B588-905AAC40B3EF}" name="Kolonna7390"/>
    <tableColumn id="7729" xr3:uid="{B48F4C98-D801-4EAF-AF1E-27E9D56A0E8F}" name="Kolonna7391"/>
    <tableColumn id="7730" xr3:uid="{C7D02D01-0ACC-435E-A663-CD62D575C22C}" name="Kolonna7392"/>
    <tableColumn id="7731" xr3:uid="{BCB01A14-B836-40F6-930B-767C7D145059}" name="Kolonna7393"/>
    <tableColumn id="7732" xr3:uid="{B415E408-85DF-4B27-9061-EAA65C63909F}" name="Kolonna7394"/>
    <tableColumn id="7733" xr3:uid="{AD6FC06D-AED8-4653-A6CF-F6B8464129EB}" name="Kolonna7395"/>
    <tableColumn id="7734" xr3:uid="{455D8E9D-1AA5-4742-851E-65A88506D822}" name="Kolonna7396"/>
    <tableColumn id="7735" xr3:uid="{10DABB03-FE0A-4BC0-ACE2-07764B45F8CC}" name="Kolonna7397"/>
    <tableColumn id="7736" xr3:uid="{514889CC-8A3A-4121-940B-2BD927FCE2F1}" name="Kolonna7398"/>
    <tableColumn id="7737" xr3:uid="{E9AD2C83-3730-417F-AB86-E9094D7BD146}" name="Kolonna7399"/>
    <tableColumn id="7738" xr3:uid="{9F0839C2-19F7-4191-965C-23CA8DAD8677}" name="Kolonna7400"/>
    <tableColumn id="7739" xr3:uid="{3D5B7C48-F97D-4674-A247-24A90D5C5F7B}" name="Kolonna7401"/>
    <tableColumn id="7740" xr3:uid="{E0AE3B9E-B0E5-473F-B2C2-DBEB4EEA32C1}" name="Kolonna7402"/>
    <tableColumn id="7741" xr3:uid="{BD54834E-3BC2-4563-8757-8085E5C5EA0F}" name="Kolonna7403"/>
    <tableColumn id="7742" xr3:uid="{3369EB84-BBDB-4B9A-A172-B0D24D568FBE}" name="Kolonna7404"/>
    <tableColumn id="7743" xr3:uid="{6C708B8B-7AF2-4662-B951-D36AE65D3FEE}" name="Kolonna7405"/>
    <tableColumn id="7744" xr3:uid="{1EF9C78D-68C1-4402-879E-27957ABE32B9}" name="Kolonna7406"/>
    <tableColumn id="7745" xr3:uid="{B17BA3E0-CEEA-448E-9805-8AAC881CC453}" name="Kolonna7407"/>
    <tableColumn id="7746" xr3:uid="{9316B1EB-DD8B-44BC-B744-3349F91735D6}" name="Kolonna7408"/>
    <tableColumn id="7747" xr3:uid="{C0D28B4A-2F75-4D03-9496-5A996B45E7EE}" name="Kolonna7409"/>
    <tableColumn id="7748" xr3:uid="{CD87E92A-DD9A-405A-93D0-42CA5F8FC201}" name="Kolonna7410"/>
    <tableColumn id="7749" xr3:uid="{84E2652B-2B40-4C9C-84BA-6FC6AB4A57A5}" name="Kolonna7411"/>
    <tableColumn id="7750" xr3:uid="{52C6E137-8A92-4591-9AE4-F890E07CF6C3}" name="Kolonna7412"/>
    <tableColumn id="7751" xr3:uid="{D5A65CAB-82F9-4DEE-B570-F8D96F0C1156}" name="Kolonna7413"/>
    <tableColumn id="7752" xr3:uid="{AA4AD588-5961-490E-B3B6-6161A0986347}" name="Kolonna7414"/>
    <tableColumn id="7753" xr3:uid="{1E5CE3A8-02B5-4E16-A36E-35B008737D19}" name="Kolonna7415"/>
    <tableColumn id="7754" xr3:uid="{3BF7689F-497E-4D90-AA48-3FB9B1C98911}" name="Kolonna7416"/>
    <tableColumn id="7755" xr3:uid="{F10D0D93-75CE-477C-BD36-3458D9F34462}" name="Kolonna7417"/>
    <tableColumn id="7756" xr3:uid="{454ACDB4-BEA5-4853-A726-052EF017D083}" name="Kolonna7418"/>
    <tableColumn id="7757" xr3:uid="{B1C8D4D7-0182-4C1E-A666-51D33F98A7E0}" name="Kolonna7419"/>
    <tableColumn id="7758" xr3:uid="{7F16DBF6-254D-4F75-84B9-36F562709942}" name="Kolonna7420"/>
    <tableColumn id="7759" xr3:uid="{23E05F7C-DCAA-4D94-B87C-1C7A435B7126}" name="Kolonna7421"/>
    <tableColumn id="7760" xr3:uid="{2E35E821-2DD3-4941-BA47-EA7330B02ECF}" name="Kolonna7422"/>
    <tableColumn id="7761" xr3:uid="{1170F4F9-CA2B-4162-A778-443F55BC0F69}" name="Kolonna7423"/>
    <tableColumn id="7762" xr3:uid="{A85263B3-1C78-4FB4-BF97-1729A9E1BBE5}" name="Kolonna7424"/>
    <tableColumn id="7763" xr3:uid="{53D8CA81-5201-46AB-A38F-52E8202F3DF8}" name="Kolonna7425"/>
    <tableColumn id="7764" xr3:uid="{8FADA53A-9EF3-4126-959E-FB142BE9DF88}" name="Kolonna7426"/>
    <tableColumn id="7765" xr3:uid="{0D76E1C1-3CAB-4B15-8A0A-C1F44F62F590}" name="Kolonna7427"/>
    <tableColumn id="7766" xr3:uid="{40E494D7-9457-40DA-9F10-4B9EB98658DC}" name="Kolonna7428"/>
    <tableColumn id="7767" xr3:uid="{CD859BA7-932D-4721-B46C-9ACE108A7961}" name="Kolonna7429"/>
    <tableColumn id="7768" xr3:uid="{7FFA3DA9-BF5E-42EC-A305-0282DCBA4AAC}" name="Kolonna7430"/>
    <tableColumn id="7769" xr3:uid="{FEFFD56D-0CC3-441D-98A5-E75D494AF6D8}" name="Kolonna7431"/>
    <tableColumn id="7770" xr3:uid="{C125E44A-D881-4A64-AD95-94AAE6A8ABD7}" name="Kolonna7432"/>
    <tableColumn id="7771" xr3:uid="{C14FD00E-BF99-4C1F-ABE8-91A6D8E2CF3C}" name="Kolonna7433"/>
    <tableColumn id="7772" xr3:uid="{BB529033-C3B2-40DF-B436-66FA5A6E62AB}" name="Kolonna7434"/>
    <tableColumn id="7773" xr3:uid="{481D9450-8EA5-4BB2-9B91-3718AE1128A6}" name="Kolonna7435"/>
    <tableColumn id="7774" xr3:uid="{F073ACD9-3664-4682-B9D1-D4174CFBBFFA}" name="Kolonna7436"/>
    <tableColumn id="7775" xr3:uid="{0915809B-B11A-4F41-8319-CA5112B8D38F}" name="Kolonna7437"/>
    <tableColumn id="7776" xr3:uid="{7028F0DD-568C-48C3-B45B-0219FF0F9E07}" name="Kolonna7438"/>
    <tableColumn id="7777" xr3:uid="{9A52911F-06FF-434E-9FFF-E6268865B31B}" name="Kolonna7439"/>
    <tableColumn id="7778" xr3:uid="{82115BE4-61D3-43EE-96FB-F1481DC31F0E}" name="Kolonna7440"/>
    <tableColumn id="7779" xr3:uid="{26480424-478D-41BE-828E-2A8415D44050}" name="Kolonna7441"/>
    <tableColumn id="7780" xr3:uid="{04352EFB-D009-4F73-915C-35031B1F836D}" name="Kolonna7442"/>
    <tableColumn id="7781" xr3:uid="{9DDF3BA6-2863-444B-9BF8-4DB303D1642D}" name="Kolonna7443"/>
    <tableColumn id="7782" xr3:uid="{18FD113F-E4C2-493E-B817-3EF7FB907B8E}" name="Kolonna7444"/>
    <tableColumn id="7783" xr3:uid="{80FC4577-86D1-4B25-A894-3C4B533D4A06}" name="Kolonna7445"/>
    <tableColumn id="7784" xr3:uid="{290A2F61-C687-47F6-85F6-86C840AD6AF8}" name="Kolonna7446"/>
    <tableColumn id="7785" xr3:uid="{73631C9E-83AE-4CDF-A3BE-AA6749EF960D}" name="Kolonna7447"/>
    <tableColumn id="7786" xr3:uid="{F0CB3609-80B2-4690-85B5-7D7218790A4F}" name="Kolonna7448"/>
    <tableColumn id="7787" xr3:uid="{4762A5CC-E0DC-4934-ADE0-1FC237B8F30F}" name="Kolonna7449"/>
    <tableColumn id="7788" xr3:uid="{580AAF99-3A0C-46D2-9E41-B585DF8F9F17}" name="Kolonna7450"/>
    <tableColumn id="7789" xr3:uid="{30C60EF4-5E03-4627-8D03-715F44DC0A9C}" name="Kolonna7451"/>
    <tableColumn id="7790" xr3:uid="{A4EC5B5B-43A1-464F-8E01-2AA149AE554A}" name="Kolonna7452"/>
    <tableColumn id="7791" xr3:uid="{C1CD29D0-7171-400D-9EA6-BAFB3D83F0D3}" name="Kolonna7453"/>
    <tableColumn id="7792" xr3:uid="{C32CD8DB-9C72-4C13-B81B-CFE43A7121C2}" name="Kolonna7454"/>
    <tableColumn id="7793" xr3:uid="{2DC009E1-605C-4055-A5F9-576667CBE73D}" name="Kolonna7455"/>
    <tableColumn id="7794" xr3:uid="{CA4A6880-FEC8-451C-9BCF-AA1EEC68E7DE}" name="Kolonna7456"/>
    <tableColumn id="7795" xr3:uid="{3463414B-A814-420D-92B8-9879A9AA7B21}" name="Kolonna7457"/>
    <tableColumn id="7796" xr3:uid="{1EAC0E3F-7840-49DD-ADEC-267D5EA8E3E4}" name="Kolonna7458"/>
    <tableColumn id="7797" xr3:uid="{73034E4A-39F9-4A77-AFCF-B813D67238C0}" name="Kolonna7459"/>
    <tableColumn id="7798" xr3:uid="{3DD2AD90-7931-4BFA-BBBB-247BB71F766E}" name="Kolonna7460"/>
    <tableColumn id="7799" xr3:uid="{19836D77-DAAE-4970-8993-585127948E97}" name="Kolonna7461"/>
    <tableColumn id="7800" xr3:uid="{AF2E645E-3D1E-47E6-938A-9203074625BE}" name="Kolonna7462"/>
    <tableColumn id="7801" xr3:uid="{5E960F2C-3D30-4438-BB2C-AD11DC880E9D}" name="Kolonna7463"/>
    <tableColumn id="7802" xr3:uid="{D862A48F-70FE-43A9-9235-6AD2688F33DB}" name="Kolonna7464"/>
    <tableColumn id="7803" xr3:uid="{4AEE8B87-4275-446C-A8F2-C9C3C80574C4}" name="Kolonna7465"/>
    <tableColumn id="7804" xr3:uid="{D7F6D562-B6D7-4314-93B8-DAF46F9AB950}" name="Kolonna7466"/>
    <tableColumn id="7805" xr3:uid="{97198BDF-ED51-4A04-925E-D07BC959281A}" name="Kolonna7467"/>
    <tableColumn id="7806" xr3:uid="{AB0C1DC0-7D5B-44A0-8128-B7D55D204D54}" name="Kolonna7468"/>
    <tableColumn id="7807" xr3:uid="{DC3F4D77-1DB6-4895-942C-0D7BACAC4CBF}" name="Kolonna7469"/>
    <tableColumn id="7808" xr3:uid="{E18AD5C9-18D6-47A5-A0EB-7174C585A5B9}" name="Kolonna7470"/>
    <tableColumn id="7809" xr3:uid="{050CC726-7D86-4FCF-BCC3-B98F5C67547C}" name="Kolonna7471"/>
    <tableColumn id="7810" xr3:uid="{84BED236-9BAF-4FB8-A8B4-2973FB8FDFF6}" name="Kolonna7472"/>
    <tableColumn id="7811" xr3:uid="{1D89E60C-B94F-4013-BF05-8422BD530341}" name="Kolonna7473"/>
    <tableColumn id="7812" xr3:uid="{3352DE0B-DB37-4F7B-B604-12BA047D835B}" name="Kolonna7474"/>
    <tableColumn id="7813" xr3:uid="{8AE86EE5-409C-4698-B60A-78D66F7DA0F4}" name="Kolonna7475"/>
    <tableColumn id="7814" xr3:uid="{A937D594-1CBC-44DB-9F57-9C9A1D54E9B1}" name="Kolonna7476"/>
    <tableColumn id="7815" xr3:uid="{0190DAE6-BF2A-4CA8-B8F9-5DE4507E0E95}" name="Kolonna7477"/>
    <tableColumn id="7816" xr3:uid="{2E9E5200-60FC-4CC3-A718-70862DB5B370}" name="Kolonna7478"/>
    <tableColumn id="7817" xr3:uid="{DBE7949B-9284-4E83-9946-B487C55870E3}" name="Kolonna7479"/>
    <tableColumn id="7818" xr3:uid="{C215C714-67D5-464E-BD5F-AA0C7C68C3BE}" name="Kolonna7480"/>
    <tableColumn id="7819" xr3:uid="{8D4B192E-BF80-4F42-B7A3-C67D87884B7D}" name="Kolonna7481"/>
    <tableColumn id="7820" xr3:uid="{4AA63FBC-2E1F-4520-A4FD-C6A1526A0EA8}" name="Kolonna7482"/>
    <tableColumn id="7821" xr3:uid="{99BFD942-697C-439A-9677-7B313714482A}" name="Kolonna7483"/>
    <tableColumn id="7822" xr3:uid="{4611C58F-CD40-4196-8F48-695E6DD6817A}" name="Kolonna7484"/>
    <tableColumn id="7823" xr3:uid="{858AEAF4-DA29-492D-9301-3994D66C48E1}" name="Kolonna7485"/>
    <tableColumn id="7824" xr3:uid="{6C64AD17-AA1F-40D4-85C5-7A2C2301B777}" name="Kolonna7486"/>
    <tableColumn id="7825" xr3:uid="{57EC87BA-4049-4AB0-A727-124A1B855A10}" name="Kolonna7487"/>
    <tableColumn id="7826" xr3:uid="{DD66C8F9-9D49-4496-A9C3-551B84AD758A}" name="Kolonna7488"/>
    <tableColumn id="7827" xr3:uid="{6CD33CD5-658F-486B-9692-F4C02A4CA26E}" name="Kolonna7489"/>
    <tableColumn id="7828" xr3:uid="{99BBFAD2-30B6-44CA-AA65-F3F1338A7DE7}" name="Kolonna7490"/>
    <tableColumn id="7829" xr3:uid="{13202E8B-E0EA-4D73-AF25-8BA560939A87}" name="Kolonna7491"/>
    <tableColumn id="7830" xr3:uid="{43164C4B-E6C8-4EB8-9844-78B9542E05EE}" name="Kolonna7492"/>
    <tableColumn id="7831" xr3:uid="{EBFA6B08-F8F2-4BB1-B49B-F7669DC32708}" name="Kolonna7493"/>
    <tableColumn id="7832" xr3:uid="{B63572D3-972D-4E38-9F65-2C69F0F6AF9F}" name="Kolonna7494"/>
    <tableColumn id="7833" xr3:uid="{1574A5C0-ECAE-40DF-AD14-DDCC8AA91E40}" name="Kolonna7495"/>
    <tableColumn id="7834" xr3:uid="{3D8D419D-1B78-49C4-AE36-9451439C394F}" name="Kolonna7496"/>
    <tableColumn id="7835" xr3:uid="{A2CD17E5-7A88-4E67-8A1F-44084F2D62B6}" name="Kolonna7497"/>
    <tableColumn id="7836" xr3:uid="{9DACF901-6A09-4561-BFB6-E65ECE838352}" name="Kolonna7498"/>
    <tableColumn id="7837" xr3:uid="{6F53F25C-15B9-4F2F-84A3-C1EB536CD4D6}" name="Kolonna7499"/>
    <tableColumn id="7838" xr3:uid="{2E9B1C33-8A0D-4CA3-AAA6-627F92CFE4F8}" name="Kolonna7500"/>
    <tableColumn id="7839" xr3:uid="{4D002E14-7F25-4337-9D22-A052254C18CA}" name="Kolonna7501"/>
    <tableColumn id="7840" xr3:uid="{3209D218-021F-4BC6-B565-19B7BF9B5214}" name="Kolonna7502"/>
    <tableColumn id="7841" xr3:uid="{80D66A51-BFE2-4AB3-AA23-FA067AA63EED}" name="Kolonna7503"/>
    <tableColumn id="7842" xr3:uid="{B90D0E9A-EA46-43A5-8F85-4B7268C31D85}" name="Kolonna7504"/>
    <tableColumn id="7843" xr3:uid="{B7CF1D93-7625-44C5-87DA-B834A72AB798}" name="Kolonna7505"/>
    <tableColumn id="7844" xr3:uid="{985CD0E7-815A-40CF-BFBE-846D91F34572}" name="Kolonna7506"/>
    <tableColumn id="7845" xr3:uid="{7CFD3F8B-8655-48A6-8C9E-DC031DAB0A94}" name="Kolonna7507"/>
    <tableColumn id="7846" xr3:uid="{34B152B9-1652-44E2-9613-F0488C71BD04}" name="Kolonna7508"/>
    <tableColumn id="7847" xr3:uid="{2A3A2E3D-3A0B-41C7-827D-78E6D82E36D6}" name="Kolonna7509"/>
    <tableColumn id="7848" xr3:uid="{2A1F082C-C1B8-434F-8A9B-62660D3F8071}" name="Kolonna7510"/>
    <tableColumn id="7849" xr3:uid="{6F1232C1-C6F6-4CCD-B5D3-6C2507F10C31}" name="Kolonna7511"/>
    <tableColumn id="7850" xr3:uid="{A8C82BB8-AEE0-4CC2-B982-035C0DF8A1C4}" name="Kolonna7512"/>
    <tableColumn id="7851" xr3:uid="{7B23CFD4-F65B-4AEB-BC09-D720DAB4A68D}" name="Kolonna7513"/>
    <tableColumn id="7852" xr3:uid="{84A0DC69-F1C0-453F-9F03-F342CDC87515}" name="Kolonna7514"/>
    <tableColumn id="7853" xr3:uid="{7C67A2A6-D732-4E98-9B5B-019920978EA6}" name="Kolonna7515"/>
    <tableColumn id="7854" xr3:uid="{6A22D68D-F0ED-4A41-A4B2-27E6CA54C82C}" name="Kolonna7516"/>
    <tableColumn id="7855" xr3:uid="{6A2AEEA9-9057-4C6E-8BA5-932F96102E18}" name="Kolonna7517"/>
    <tableColumn id="7856" xr3:uid="{7AC9F7F2-0BDD-4FC2-A248-C836726A08A7}" name="Kolonna7518"/>
    <tableColumn id="7857" xr3:uid="{33054BC6-73AA-45CB-96A7-BB2061FF8947}" name="Kolonna7519"/>
    <tableColumn id="7858" xr3:uid="{36025C56-A66D-4642-8E6B-4F2AA064BC9B}" name="Kolonna7520"/>
    <tableColumn id="7859" xr3:uid="{7D089D41-7E6D-44CE-844C-EAC9223DCB98}" name="Kolonna7521"/>
    <tableColumn id="7860" xr3:uid="{CD549A58-2355-473C-BBE4-5F4B3FFBEDD0}" name="Kolonna7522"/>
    <tableColumn id="7861" xr3:uid="{F61981BF-1852-41A0-B9E1-77B09A43E0EE}" name="Kolonna7523"/>
    <tableColumn id="7862" xr3:uid="{3253A8F5-CD6A-4F26-879C-B4B85518455E}" name="Kolonna7524"/>
    <tableColumn id="7863" xr3:uid="{07B9D11A-5D1F-4697-80E3-40B0E45DE931}" name="Kolonna7525"/>
    <tableColumn id="7864" xr3:uid="{0C2B7BE4-3477-4EEA-9453-404904374BF3}" name="Kolonna7526"/>
    <tableColumn id="7865" xr3:uid="{91B650FA-B979-4ECA-8481-966C97A6365B}" name="Kolonna7527"/>
    <tableColumn id="7866" xr3:uid="{A88D9976-3E8E-4BCD-8AE1-F2F0042A4008}" name="Kolonna7528"/>
    <tableColumn id="7867" xr3:uid="{682FF616-8009-4FA6-A2BC-804E19FBF671}" name="Kolonna7529"/>
    <tableColumn id="7868" xr3:uid="{A6FA3584-9DEF-4C65-A9AF-B3EE056ADC40}" name="Kolonna7530"/>
    <tableColumn id="7869" xr3:uid="{7700C18C-E04A-445A-9619-61233EF635CE}" name="Kolonna7531"/>
    <tableColumn id="7870" xr3:uid="{3EFE63F7-3974-44F3-BD46-C5F944042A18}" name="Kolonna7532"/>
    <tableColumn id="7871" xr3:uid="{E5EC367E-ECED-4D19-8172-5F969C5BFDAF}" name="Kolonna7533"/>
    <tableColumn id="7872" xr3:uid="{6894C8F5-4F6D-4866-A62F-48FAE4E3DB0A}" name="Kolonna7534"/>
    <tableColumn id="7873" xr3:uid="{28C33AF9-4141-4CAF-B5C9-991425EFF682}" name="Kolonna7535"/>
    <tableColumn id="7874" xr3:uid="{18523AC7-EE2E-4B4F-9CB6-09029B0E0D45}" name="Kolonna7536"/>
    <tableColumn id="7875" xr3:uid="{F5805580-6141-42C3-AA25-ED62DB14BE08}" name="Kolonna7537"/>
    <tableColumn id="7876" xr3:uid="{9AC8C333-C56F-4511-BBAA-A0904FC7496D}" name="Kolonna7538"/>
    <tableColumn id="7877" xr3:uid="{1E206A5A-69C1-41F0-A15D-B75FCCA25C29}" name="Kolonna7539"/>
    <tableColumn id="7878" xr3:uid="{9E21FBBA-D0EA-4F7D-BE30-9615695BAEB0}" name="Kolonna7540"/>
    <tableColumn id="7879" xr3:uid="{742D217C-1893-4371-8656-787234981826}" name="Kolonna7541"/>
    <tableColumn id="7880" xr3:uid="{6462442D-5962-4198-9B06-54A93884E040}" name="Kolonna7542"/>
    <tableColumn id="7881" xr3:uid="{BD077419-13B6-4C35-BE76-2ED42D44D0C6}" name="Kolonna7543"/>
    <tableColumn id="7882" xr3:uid="{26D16A8E-2BAB-4606-8111-ED2781FFD735}" name="Kolonna7544"/>
    <tableColumn id="7883" xr3:uid="{F39B1C25-71ED-4BF7-A8DD-ED33E2C7F56C}" name="Kolonna7545"/>
    <tableColumn id="7884" xr3:uid="{E8B9F837-5754-45D2-95B0-B60A90EBD8A5}" name="Kolonna7546"/>
    <tableColumn id="7885" xr3:uid="{12B79C87-77B0-4FDC-A547-E92F4A1AE764}" name="Kolonna7547"/>
    <tableColumn id="7886" xr3:uid="{34F38555-0329-4208-8C42-781E3F99B05C}" name="Kolonna7548"/>
    <tableColumn id="7887" xr3:uid="{F599C188-ACE8-4986-9D10-2568E42220CA}" name="Kolonna7549"/>
    <tableColumn id="7888" xr3:uid="{7E200BA5-13B6-40C0-A1A0-68B32163704A}" name="Kolonna7550"/>
    <tableColumn id="7889" xr3:uid="{10E5F42C-E115-44F3-BFBF-31BBCCA7A764}" name="Kolonna7551"/>
    <tableColumn id="7890" xr3:uid="{C2F814C9-F137-490F-91A2-70FF678A1883}" name="Kolonna7552"/>
    <tableColumn id="7891" xr3:uid="{31AC9180-5559-441B-85A5-8514794DAECD}" name="Kolonna7553"/>
    <tableColumn id="7892" xr3:uid="{A38B2680-BFED-488D-8121-1CA00C440FEA}" name="Kolonna7554"/>
    <tableColumn id="7893" xr3:uid="{42086D58-F529-4CA6-869F-C76DBDA7ABAF}" name="Kolonna7555"/>
    <tableColumn id="7894" xr3:uid="{8CC5C22D-8C10-42B0-81F2-DF72245B4982}" name="Kolonna7556"/>
    <tableColumn id="7895" xr3:uid="{3BC03F6B-7976-484F-AE20-30C26E2C499A}" name="Kolonna7557"/>
    <tableColumn id="7896" xr3:uid="{2261C78C-8891-4212-8E72-884AD287BC52}" name="Kolonna7558"/>
    <tableColumn id="7897" xr3:uid="{E59D46CA-745D-46B5-B019-5E492AE0957F}" name="Kolonna7559"/>
    <tableColumn id="7898" xr3:uid="{0EAB571E-4161-4E4C-83FC-42C3AEF8F903}" name="Kolonna7560"/>
    <tableColumn id="7899" xr3:uid="{F3C45717-2CBE-4314-8B94-6811BC850789}" name="Kolonna7561"/>
    <tableColumn id="7900" xr3:uid="{43C17E0D-C020-40D6-BDBB-7441181FD8C6}" name="Kolonna7562"/>
    <tableColumn id="7901" xr3:uid="{E7C973FA-6714-4ECD-9149-3E3C1852A9B4}" name="Kolonna7563"/>
    <tableColumn id="7902" xr3:uid="{2EA6A186-D86F-4F18-8899-1E6966214CD8}" name="Kolonna7564"/>
    <tableColumn id="7903" xr3:uid="{B619D4A9-6ED9-4CDD-B8B6-066DBBF8A3A7}" name="Kolonna7565"/>
    <tableColumn id="7904" xr3:uid="{FFAAA024-8263-4BF7-88C6-65B7B9092D87}" name="Kolonna7566"/>
    <tableColumn id="7905" xr3:uid="{E8437BBB-AA74-445A-BE7B-7974111233F3}" name="Kolonna7567"/>
    <tableColumn id="7906" xr3:uid="{88F012B8-A35F-4031-94E7-BEB3685F61D4}" name="Kolonna7568"/>
    <tableColumn id="7907" xr3:uid="{FBA9D914-4B52-4C29-AFF0-105F7972BA7C}" name="Kolonna7569"/>
    <tableColumn id="7908" xr3:uid="{F78E4411-5D2C-4F97-9358-AEF29FB2F4F4}" name="Kolonna7570"/>
    <tableColumn id="7909" xr3:uid="{622EC4F7-DEC8-4943-A4C8-93EF4933E6C1}" name="Kolonna7571"/>
    <tableColumn id="7910" xr3:uid="{A532786D-E35C-4662-8552-2982A4B203BA}" name="Kolonna7572"/>
    <tableColumn id="7911" xr3:uid="{57AC0D28-6959-4F87-A5C2-E125CA1D1468}" name="Kolonna7573"/>
    <tableColumn id="7912" xr3:uid="{74FAB1E8-17F8-4EA8-81CC-1BFF926C0012}" name="Kolonna7574"/>
    <tableColumn id="7913" xr3:uid="{E1ECE0BD-0784-4BCC-964F-A5543454ACD9}" name="Kolonna7575"/>
    <tableColumn id="7914" xr3:uid="{3AB9CFA4-69DC-48F2-AB7F-43FB4D0251EB}" name="Kolonna7576"/>
    <tableColumn id="7915" xr3:uid="{502C7D7C-37ED-4778-846E-D964E28D5A96}" name="Kolonna7577"/>
    <tableColumn id="7916" xr3:uid="{9A68306E-17B2-4079-986E-2C603A787103}" name="Kolonna7578"/>
    <tableColumn id="7917" xr3:uid="{8BDDFE04-5899-4ED0-AE0B-4FDC9FAD99E5}" name="Kolonna7579"/>
    <tableColumn id="7918" xr3:uid="{5F66E82D-5AB2-471B-B151-D973D979B76A}" name="Kolonna7580"/>
    <tableColumn id="7919" xr3:uid="{D763871A-2930-4608-9F0B-87F40610B454}" name="Kolonna7581"/>
    <tableColumn id="7920" xr3:uid="{0E26DF15-3A68-41E0-8531-FEA3D983771A}" name="Kolonna7582"/>
    <tableColumn id="7921" xr3:uid="{F08A65F6-BEF7-4787-852D-5CED68F5C0CD}" name="Kolonna7583"/>
    <tableColumn id="7922" xr3:uid="{33A42E64-1C51-4408-8B91-C0A7737243CD}" name="Kolonna7584"/>
    <tableColumn id="7923" xr3:uid="{C8FD00E2-F828-441C-B1FC-13F96C4B0E5D}" name="Kolonna7585"/>
    <tableColumn id="7924" xr3:uid="{E664E633-24E3-42C5-946E-BBF653F68C06}" name="Kolonna7586"/>
    <tableColumn id="7925" xr3:uid="{483B763B-237A-4A89-91F3-2D9D9EF4830D}" name="Kolonna7587"/>
    <tableColumn id="7926" xr3:uid="{B7805F98-34E4-4B8D-848D-AAE133C9F9DE}" name="Kolonna7588"/>
    <tableColumn id="7927" xr3:uid="{F5CA29C9-91A7-448B-8C8E-5474A07BE988}" name="Kolonna7589"/>
    <tableColumn id="7928" xr3:uid="{EDF0283F-498B-4589-AD23-79E7DC9CB047}" name="Kolonna7590"/>
    <tableColumn id="7929" xr3:uid="{65866D40-8C10-4289-A9E1-1A4644D2AAF1}" name="Kolonna7591"/>
    <tableColumn id="7930" xr3:uid="{8B1545FA-EA1D-4653-99B8-A3B60283829F}" name="Kolonna7592"/>
    <tableColumn id="7931" xr3:uid="{B90C0D3F-37C6-4A3E-938B-744BFF6DDE2F}" name="Kolonna7593"/>
    <tableColumn id="7932" xr3:uid="{5FA4FA5E-A255-474E-8E70-E0237415F1BE}" name="Kolonna7594"/>
    <tableColumn id="7933" xr3:uid="{C425323B-CDDE-4156-A5A0-4598361EE734}" name="Kolonna7595"/>
    <tableColumn id="7934" xr3:uid="{3C3ADB50-01D9-4F29-98B4-261DB9A1B10E}" name="Kolonna7596"/>
    <tableColumn id="7935" xr3:uid="{8CDB59D4-EF23-4123-A8AC-807400BDD278}" name="Kolonna7597"/>
    <tableColumn id="7936" xr3:uid="{0B3AC8F5-C3AF-4DC1-B757-0C5462141E69}" name="Kolonna7598"/>
    <tableColumn id="7937" xr3:uid="{53060988-EC4B-4B95-94ED-DDF075D16162}" name="Kolonna7599"/>
    <tableColumn id="7938" xr3:uid="{3EDA2D0D-AA84-480D-A6EF-BCDDBD1E6CC4}" name="Kolonna7600"/>
    <tableColumn id="7939" xr3:uid="{DD30D915-0489-423C-9B52-7FE79346B5CD}" name="Kolonna7601"/>
    <tableColumn id="7940" xr3:uid="{33EA1E3E-94CF-47B1-999D-C51795F5D22C}" name="Kolonna7602"/>
    <tableColumn id="7941" xr3:uid="{8A447F63-1753-49CF-A48C-5A9A74BDD635}" name="Kolonna7603"/>
    <tableColumn id="7942" xr3:uid="{609E5893-E983-4086-90E7-9C10F002F6BD}" name="Kolonna7604"/>
    <tableColumn id="7943" xr3:uid="{1FB02569-E3FB-45A6-AC16-8E0FD961F24D}" name="Kolonna7605"/>
    <tableColumn id="7944" xr3:uid="{3ED7D411-9CCA-401D-A4BB-EF0667694A58}" name="Kolonna7606"/>
    <tableColumn id="7945" xr3:uid="{AFD93BEC-CE6B-4CDE-A24F-55F7C7BE8086}" name="Kolonna7607"/>
    <tableColumn id="7946" xr3:uid="{39F76596-8BBC-48A3-9C4E-E082E0C25B46}" name="Kolonna7608"/>
    <tableColumn id="7947" xr3:uid="{C8BFCD64-4096-40AA-89D4-AD8E260BD9A7}" name="Kolonna7609"/>
    <tableColumn id="7948" xr3:uid="{FF7178E9-E27C-402E-B6D5-6B8EDCB83BB2}" name="Kolonna7610"/>
    <tableColumn id="7949" xr3:uid="{E15CF8D5-C679-4B6E-81C7-4A3AFB6E528C}" name="Kolonna7611"/>
    <tableColumn id="7950" xr3:uid="{C911614D-FD14-470F-AC97-32E1C9F85CD3}" name="Kolonna7612"/>
    <tableColumn id="7951" xr3:uid="{0636A0CC-C7AF-477B-9170-072A35E7483F}" name="Kolonna7613"/>
    <tableColumn id="7952" xr3:uid="{59207EDC-7D55-4F1F-8726-6BA19A49B12F}" name="Kolonna7614"/>
    <tableColumn id="7953" xr3:uid="{BD08437D-2799-4F2C-B29C-B2038005E3DE}" name="Kolonna7615"/>
    <tableColumn id="7954" xr3:uid="{004B49E4-EECF-48B2-B66E-7EFEF5250C79}" name="Kolonna7616"/>
    <tableColumn id="7955" xr3:uid="{10F862AE-ED84-48CF-8A69-BEE3CF6DB47D}" name="Kolonna7617"/>
    <tableColumn id="7956" xr3:uid="{37D70DB7-CA43-4233-A28C-F6E0CB027B7D}" name="Kolonna7618"/>
    <tableColumn id="7957" xr3:uid="{13E31502-018E-4F5A-8952-350CD2876D9D}" name="Kolonna7619"/>
    <tableColumn id="7958" xr3:uid="{4C433CB4-9561-47EE-B1F9-ACB205EA5F40}" name="Kolonna7620"/>
    <tableColumn id="7959" xr3:uid="{EBB4000F-82EC-4C54-B3BF-D1E200FD2A9E}" name="Kolonna7621"/>
    <tableColumn id="7960" xr3:uid="{59267CE5-4E08-40A2-914D-73BA087CA79F}" name="Kolonna7622"/>
    <tableColumn id="7961" xr3:uid="{6CB19968-3988-4727-BA0A-C29FBFF877DA}" name="Kolonna7623"/>
    <tableColumn id="7962" xr3:uid="{9420CB19-F260-4764-9FAB-7D8AE0E8699A}" name="Kolonna7624"/>
    <tableColumn id="7963" xr3:uid="{3B87BBCB-8EDE-4521-B3AE-FC47B93A1552}" name="Kolonna7625"/>
    <tableColumn id="7964" xr3:uid="{0C76AE32-DC75-4A1C-BC01-EB0D86813B01}" name="Kolonna7626"/>
    <tableColumn id="7965" xr3:uid="{4B68AC16-65D2-430F-A515-C1081A8E2B2C}" name="Kolonna7627"/>
    <tableColumn id="7966" xr3:uid="{A82DD964-B2B2-4E05-9BFD-ACEEA1BAF1E0}" name="Kolonna7628"/>
    <tableColumn id="7967" xr3:uid="{3EBA16DB-4529-49BF-99AB-2576F0B86C1D}" name="Kolonna7629"/>
    <tableColumn id="7968" xr3:uid="{D5D14428-7BD7-4CAF-9B28-5F05506DA436}" name="Kolonna7630"/>
    <tableColumn id="7969" xr3:uid="{CE847EF7-47A5-4012-B4AD-B811F16EB83E}" name="Kolonna7631"/>
    <tableColumn id="7970" xr3:uid="{DDFF2670-254A-4FD7-83F2-072F8F4B3E2C}" name="Kolonna7632"/>
    <tableColumn id="7971" xr3:uid="{303CC838-FFFB-4269-92E7-6108AC6F8308}" name="Kolonna7633"/>
    <tableColumn id="7972" xr3:uid="{515C69BC-E65A-40CC-B6A1-1875738F2867}" name="Kolonna7634"/>
    <tableColumn id="7973" xr3:uid="{046B6A13-8C91-4B8A-9984-A7B8991DDD40}" name="Kolonna7635"/>
    <tableColumn id="7974" xr3:uid="{C3EA416E-E954-4803-B388-93561D3064F3}" name="Kolonna7636"/>
    <tableColumn id="7975" xr3:uid="{287D23DB-B563-4091-AFDD-096FE66FDBFE}" name="Kolonna7637"/>
    <tableColumn id="7976" xr3:uid="{DBD1E44F-7FBF-4FD6-8250-8B2F4BFC68FA}" name="Kolonna7638"/>
    <tableColumn id="7977" xr3:uid="{F540E610-2A86-4644-837B-BADC9E593201}" name="Kolonna7639"/>
    <tableColumn id="7978" xr3:uid="{0A704DE0-9B81-406C-925D-8426E1A09621}" name="Kolonna7640"/>
    <tableColumn id="7979" xr3:uid="{F25916F1-FCC7-4F56-8D74-95044CD96059}" name="Kolonna7641"/>
    <tableColumn id="7980" xr3:uid="{0ABF5CB1-463F-40D0-AF38-FD57C75479C3}" name="Kolonna7642"/>
    <tableColumn id="7981" xr3:uid="{9EFD94F0-66E8-4A68-B077-86A998472DB8}" name="Kolonna7643"/>
    <tableColumn id="7982" xr3:uid="{3D30A405-1926-4C5C-B90A-6D44D0DB94AA}" name="Kolonna7644"/>
    <tableColumn id="7983" xr3:uid="{B62B3517-55BB-4668-9736-93919310490F}" name="Kolonna7645"/>
    <tableColumn id="7984" xr3:uid="{535DA422-174F-42D1-8A30-823A0B05F8C9}" name="Kolonna7646"/>
    <tableColumn id="7985" xr3:uid="{B9FF2BB4-9CEA-4010-8B5B-5CF7BF08B638}" name="Kolonna7647"/>
    <tableColumn id="7986" xr3:uid="{C1705186-1C35-4847-8612-883F92FBB164}" name="Kolonna7648"/>
    <tableColumn id="7987" xr3:uid="{C3127DD4-CA01-4130-B5CC-6A15B2CB3CD6}" name="Kolonna7649"/>
    <tableColumn id="7988" xr3:uid="{32E0A8D3-FE61-4933-9C92-2413E8ABB0DA}" name="Kolonna7650"/>
    <tableColumn id="7989" xr3:uid="{694E0FF1-9E86-4078-85CB-D4F54821D2CD}" name="Kolonna7651"/>
    <tableColumn id="7990" xr3:uid="{574EFAB3-2795-4E85-8296-2A591B23CB47}" name="Kolonna7652"/>
    <tableColumn id="7991" xr3:uid="{7198C2D0-52E6-4E91-918B-B621215B2609}" name="Kolonna7653"/>
    <tableColumn id="7992" xr3:uid="{87B4F61B-B14B-46C1-ADC2-0BB3A9EA3CE2}" name="Kolonna7654"/>
    <tableColumn id="7993" xr3:uid="{72EF0CF6-5D21-47ED-B1F1-265847BD7E4C}" name="Kolonna7655"/>
    <tableColumn id="7994" xr3:uid="{F0FB3145-077A-4AC2-8F12-90E338E7DB75}" name="Kolonna7656"/>
    <tableColumn id="7995" xr3:uid="{7D957D8A-4BDA-417E-991C-64F3BC2B9B3C}" name="Kolonna7657"/>
    <tableColumn id="7996" xr3:uid="{BD835EAC-702A-4721-9E76-18FFFA8807E4}" name="Kolonna7658"/>
    <tableColumn id="7997" xr3:uid="{49568043-F3DA-4672-BD38-F080539C6BD2}" name="Kolonna7659"/>
    <tableColumn id="7998" xr3:uid="{E51CB674-BF36-4F9F-BD49-DD87D42049DC}" name="Kolonna7660"/>
    <tableColumn id="7999" xr3:uid="{3957BC66-3A40-45F6-8B8F-84BC0F29512C}" name="Kolonna7661"/>
    <tableColumn id="8000" xr3:uid="{EB0D2328-6EBE-4799-AACD-57C88BC368C7}" name="Kolonna7662"/>
    <tableColumn id="8001" xr3:uid="{F56DB009-FFCA-4802-BA24-8E5FF8584EFE}" name="Kolonna7663"/>
    <tableColumn id="8002" xr3:uid="{B4D8AE81-F1E6-41BB-8EAF-807A4B3F59ED}" name="Kolonna7664"/>
    <tableColumn id="8003" xr3:uid="{E605C731-DD65-4E48-AA12-CE2E41695979}" name="Kolonna7665"/>
    <tableColumn id="8004" xr3:uid="{15621EC9-28E5-4166-9360-E8933888B38F}" name="Kolonna7666"/>
    <tableColumn id="8005" xr3:uid="{D295B161-8E5E-4834-93A2-327CD786E494}" name="Kolonna7667"/>
    <tableColumn id="8006" xr3:uid="{2D4C309C-1831-40A2-A251-4A9D44526745}" name="Kolonna7668"/>
    <tableColumn id="8007" xr3:uid="{6CB2DEA9-A473-4618-A37E-4E01233C47D9}" name="Kolonna7669"/>
    <tableColumn id="8008" xr3:uid="{23381135-5336-4C69-ABEE-7C4006DA4854}" name="Kolonna7670"/>
    <tableColumn id="8009" xr3:uid="{062ADBA2-A419-4860-A467-848A74A02D20}" name="Kolonna7671"/>
    <tableColumn id="8010" xr3:uid="{3106B0FB-69AC-4A37-98B2-196417C752AC}" name="Kolonna7672"/>
    <tableColumn id="8011" xr3:uid="{D64960A5-C656-4B1E-8F90-3C6D8A00274C}" name="Kolonna7673"/>
    <tableColumn id="8012" xr3:uid="{86ADEC59-681A-47DA-ADF7-C27DFB37B931}" name="Kolonna7674"/>
    <tableColumn id="8013" xr3:uid="{FBA17484-1A8C-4BDB-85A6-3CEB9A2DCE31}" name="Kolonna7675"/>
    <tableColumn id="8014" xr3:uid="{29569C19-33A2-4828-B39D-6F1776DCAE84}" name="Kolonna7676"/>
    <tableColumn id="8015" xr3:uid="{C8B02FFD-E38E-4F9A-8E27-DCAFBF0B3BA9}" name="Kolonna7677"/>
    <tableColumn id="8016" xr3:uid="{AC02EE6F-C80B-40D3-A06B-E4B5F2BD98F0}" name="Kolonna7678"/>
    <tableColumn id="8017" xr3:uid="{5066A1EC-B933-4D52-A390-9C57FD4F318A}" name="Kolonna7679"/>
    <tableColumn id="8018" xr3:uid="{C69C2FE3-3055-4FD2-954D-C0F25B027992}" name="Kolonna7680"/>
    <tableColumn id="8019" xr3:uid="{1E9BC20F-EDD1-4EA4-A1C0-12546CBF2A20}" name="Kolonna7681"/>
    <tableColumn id="8020" xr3:uid="{963C3FCC-758E-4C71-A652-E3B511B022D0}" name="Kolonna7682"/>
    <tableColumn id="8021" xr3:uid="{CF10AD06-C9BA-4C33-80E1-314AA461561E}" name="Kolonna7683"/>
    <tableColumn id="8022" xr3:uid="{2972268D-7C5C-4669-B6BC-23414F5E0B0D}" name="Kolonna7684"/>
    <tableColumn id="8023" xr3:uid="{0D3F2648-A3FB-440A-A585-4EE934DDB118}" name="Kolonna7685"/>
    <tableColumn id="8024" xr3:uid="{E9B72235-1514-4A91-941A-DE9F4F537F97}" name="Kolonna7686"/>
    <tableColumn id="8025" xr3:uid="{C1AF3249-AD21-41E7-9E9D-29034A952939}" name="Kolonna7687"/>
    <tableColumn id="8026" xr3:uid="{8BB902CC-A9B2-490A-AADD-AC2587DCFBE5}" name="Kolonna7688"/>
    <tableColumn id="8027" xr3:uid="{8E9F22F6-6580-48C4-A855-2CE8A26B22F5}" name="Kolonna7689"/>
    <tableColumn id="8028" xr3:uid="{F612BB04-F78E-4C84-A84F-4653F0B4A072}" name="Kolonna7690"/>
    <tableColumn id="8029" xr3:uid="{427BCC1B-79C4-439C-A142-8376A2732B73}" name="Kolonna7691"/>
    <tableColumn id="8030" xr3:uid="{85B677CB-5011-413F-9030-F2EFA5881733}" name="Kolonna7692"/>
    <tableColumn id="8031" xr3:uid="{A7F5AD17-45DF-4E53-97D2-74B2156CF94F}" name="Kolonna7693"/>
    <tableColumn id="8032" xr3:uid="{E9DBF503-5E8C-4E73-AC86-1FFA94F10817}" name="Kolonna7694"/>
    <tableColumn id="8033" xr3:uid="{363E5707-F252-4291-A082-7670A35D3D21}" name="Kolonna7695"/>
    <tableColumn id="8034" xr3:uid="{384CC29E-EF2E-45C1-BA64-15809C35A849}" name="Kolonna7696"/>
    <tableColumn id="8035" xr3:uid="{ED361634-9FEB-4564-BF87-D8A411653A93}" name="Kolonna7697"/>
    <tableColumn id="8036" xr3:uid="{A13D16DD-3A35-41D9-927C-4A27B94DFA51}" name="Kolonna7698"/>
    <tableColumn id="8037" xr3:uid="{2D1C46D8-1079-4E99-94E6-0DF58E1D0377}" name="Kolonna7699"/>
    <tableColumn id="8038" xr3:uid="{53D87922-2FAB-4DAE-A5F7-52948A719C22}" name="Kolonna7700"/>
    <tableColumn id="8039" xr3:uid="{700CA14B-5D17-4517-8F0E-507264D47E18}" name="Kolonna7701"/>
    <tableColumn id="8040" xr3:uid="{76FA34E2-4A3C-4F73-825D-83C6A67C3135}" name="Kolonna7702"/>
    <tableColumn id="8041" xr3:uid="{3A1AD85C-FE65-405C-A533-DE8F7D1171CF}" name="Kolonna7703"/>
    <tableColumn id="8042" xr3:uid="{AFA67AF5-FE2F-43A7-986A-042B80CBAEB5}" name="Kolonna7704"/>
    <tableColumn id="8043" xr3:uid="{0B20DB7F-73DF-46EE-A405-E6A3CF1A15E1}" name="Kolonna7705"/>
    <tableColumn id="8044" xr3:uid="{DAC8274F-E825-4122-AF6B-E19812AE63F3}" name="Kolonna7706"/>
    <tableColumn id="8045" xr3:uid="{0E5A61B1-F0AB-4B38-88CA-BC6EE33FBF21}" name="Kolonna7707"/>
    <tableColumn id="8046" xr3:uid="{8BCE58AF-7726-4A74-B7F2-606785D4F910}" name="Kolonna7708"/>
    <tableColumn id="8047" xr3:uid="{988903A8-3D05-4A89-A50F-976699FD50FD}" name="Kolonna7709"/>
    <tableColumn id="8048" xr3:uid="{5EBF77F4-3CA1-4749-837D-8AB481F7081B}" name="Kolonna7710"/>
    <tableColumn id="8049" xr3:uid="{AE62BD6D-2A60-4C46-A07B-35D6110BD390}" name="Kolonna7711"/>
    <tableColumn id="8050" xr3:uid="{FE6E7431-5A0B-43AE-8B48-6BEB64C0C45D}" name="Kolonna7712"/>
    <tableColumn id="8051" xr3:uid="{44A59D97-12CD-49C9-AF92-8A58D01CBB8E}" name="Kolonna7713"/>
    <tableColumn id="8052" xr3:uid="{001D7889-21BF-4EB6-B15E-BBED31EBE826}" name="Kolonna7714"/>
    <tableColumn id="8053" xr3:uid="{7ACB727E-23BA-4297-9BA4-96C0A9950365}" name="Kolonna7715"/>
    <tableColumn id="8054" xr3:uid="{8C4FC83B-3976-48F0-83FB-F1B64296FFA9}" name="Kolonna7716"/>
    <tableColumn id="8055" xr3:uid="{C0E39435-EB82-4A62-BE94-9EAF7D5A8E5A}" name="Kolonna7717"/>
    <tableColumn id="8056" xr3:uid="{27BF8E4B-E9CD-46B8-9888-D01298C696EE}" name="Kolonna7718"/>
    <tableColumn id="8057" xr3:uid="{143B1215-CF31-475C-AF7F-B2B6A8DD83F9}" name="Kolonna7719"/>
    <tableColumn id="8058" xr3:uid="{940FE5AB-C6CD-44B1-8C31-610A330B8867}" name="Kolonna7720"/>
    <tableColumn id="8059" xr3:uid="{1227CC4C-AE45-4A50-B5CE-48B00DD88800}" name="Kolonna7721"/>
    <tableColumn id="8060" xr3:uid="{28C8C32C-4D85-4744-A637-148CCF086BA6}" name="Kolonna7722"/>
    <tableColumn id="8061" xr3:uid="{6301D048-1380-4B3B-8D6E-2D58C5BDF2F1}" name="Kolonna7723"/>
    <tableColumn id="8062" xr3:uid="{FC340E99-9974-43B9-A8B7-C8742C843CF5}" name="Kolonna7724"/>
    <tableColumn id="8063" xr3:uid="{8BCE5FBD-B6D8-4B71-B9D1-14E23A9EFF9E}" name="Kolonna7725"/>
    <tableColumn id="8064" xr3:uid="{8B2F849F-5535-4308-92F9-09D8020D2900}" name="Kolonna7726"/>
    <tableColumn id="8065" xr3:uid="{0A8609E7-A44D-4304-A851-E8DEE307EBE6}" name="Kolonna7727"/>
    <tableColumn id="8066" xr3:uid="{C98ABCA5-5E21-4420-905C-6E71B89AC77D}" name="Kolonna7728"/>
    <tableColumn id="8067" xr3:uid="{ACB4F25D-E6AB-4C6F-BDF9-4E69FC0F5151}" name="Kolonna7729"/>
    <tableColumn id="8068" xr3:uid="{B5B81159-82B8-47A7-8A61-BACB1D97A4C4}" name="Kolonna7730"/>
    <tableColumn id="8069" xr3:uid="{598BE124-FE52-41E2-A66E-D6D79A61BF2B}" name="Kolonna7731"/>
    <tableColumn id="8070" xr3:uid="{B89D5EC2-58D2-485D-A901-2876C50334DE}" name="Kolonna7732"/>
    <tableColumn id="8071" xr3:uid="{F8367C9E-E2F1-45FD-8A3E-B1C1B41B6B33}" name="Kolonna7733"/>
    <tableColumn id="8072" xr3:uid="{F6B5129D-C024-4B5A-A1A7-15E42DAA8906}" name="Kolonna7734"/>
    <tableColumn id="8073" xr3:uid="{8276129A-D12A-45F3-8B67-CA92B0A3FFB3}" name="Kolonna7735"/>
    <tableColumn id="8074" xr3:uid="{D0EE9D67-F0D6-497B-A17A-E9A8139A95C7}" name="Kolonna7736"/>
    <tableColumn id="8075" xr3:uid="{BAFA478B-0A1A-47EF-9D62-F472D554FA80}" name="Kolonna7737"/>
    <tableColumn id="8076" xr3:uid="{38C16F90-008C-4669-BD39-608B60C0F18C}" name="Kolonna7738"/>
    <tableColumn id="8077" xr3:uid="{ADF147FC-30DD-4066-BD5B-94C0B2E5CF0D}" name="Kolonna7739"/>
    <tableColumn id="8078" xr3:uid="{4A9ED051-1872-49D8-9BF9-E1D5EDF7B531}" name="Kolonna7740"/>
    <tableColumn id="8079" xr3:uid="{6DBA3107-CACC-4846-B5E5-4C7F8B92E731}" name="Kolonna7741"/>
    <tableColumn id="8080" xr3:uid="{1A75C342-88FC-410B-A206-3F516E886FB8}" name="Kolonna7742"/>
    <tableColumn id="8081" xr3:uid="{FB119C9B-CC6C-4688-8B43-E979A40CD909}" name="Kolonna7743"/>
    <tableColumn id="8082" xr3:uid="{167C9619-9F03-4F7E-AF7D-A2EC73D7FAFB}" name="Kolonna7744"/>
    <tableColumn id="8083" xr3:uid="{235CB6E9-F8C4-4FD6-90F0-95F434462947}" name="Kolonna7745"/>
    <tableColumn id="8084" xr3:uid="{9F66A9D1-EF05-40BF-B735-72FE73E02A60}" name="Kolonna7746"/>
    <tableColumn id="8085" xr3:uid="{BF5E96F5-C2C6-4A23-BFA9-5D3C585B908E}" name="Kolonna7747"/>
    <tableColumn id="8086" xr3:uid="{527CF310-742F-4115-9B04-EFF7BFE619B9}" name="Kolonna7748"/>
    <tableColumn id="8087" xr3:uid="{EC94C702-E8C5-4944-AAD2-DC71E6D77557}" name="Kolonna7749"/>
    <tableColumn id="8088" xr3:uid="{E8D413C5-D7E4-4A0C-9BBE-A5AD65D7936E}" name="Kolonna7750"/>
    <tableColumn id="8089" xr3:uid="{E9BE967A-6978-4E5F-A7FC-6B1A16259868}" name="Kolonna7751"/>
    <tableColumn id="8090" xr3:uid="{FC2A9737-1429-4231-A88A-525741F3136D}" name="Kolonna7752"/>
    <tableColumn id="8091" xr3:uid="{38F03D29-DA2A-4D4B-85FD-E49B0616FDB5}" name="Kolonna7753"/>
    <tableColumn id="8092" xr3:uid="{A7CEFB04-625B-4AB1-B4A2-821CF5E5DA49}" name="Kolonna7754"/>
    <tableColumn id="8093" xr3:uid="{564B71AF-8BB3-4FD0-BF39-16576323FB8A}" name="Kolonna7755"/>
    <tableColumn id="8094" xr3:uid="{260C8BB8-17C8-42A4-8187-5CA050B28D6C}" name="Kolonna7756"/>
    <tableColumn id="8095" xr3:uid="{DDBA6CFA-71FA-43FA-86DF-A0AE2518573D}" name="Kolonna7757"/>
    <tableColumn id="8096" xr3:uid="{E277EFC7-4D2A-4C72-9A50-7D149E0D5239}" name="Kolonna7758"/>
    <tableColumn id="8097" xr3:uid="{0710150B-13A7-4C60-9293-5D35544A20CA}" name="Kolonna7759"/>
    <tableColumn id="8098" xr3:uid="{40B42610-E278-4E33-8C34-D34E97B0BE2A}" name="Kolonna7760"/>
    <tableColumn id="8099" xr3:uid="{02EFEA63-9E93-418F-97F8-917D1921FD8E}" name="Kolonna7761"/>
    <tableColumn id="8100" xr3:uid="{94F88A70-1B46-4D78-82D7-8A45212BFFA2}" name="Kolonna7762"/>
    <tableColumn id="8101" xr3:uid="{E2ADE8D4-9707-480A-B907-B2A3CB97FD2B}" name="Kolonna7763"/>
    <tableColumn id="8102" xr3:uid="{7AFA8C71-0FA4-420F-8109-384E83171936}" name="Kolonna7764"/>
    <tableColumn id="8103" xr3:uid="{E8959DBF-A9F4-47DA-B694-7D013134FF53}" name="Kolonna7765"/>
    <tableColumn id="8104" xr3:uid="{B5E36A5A-8AAC-4EBC-B1A1-1A138E5B6306}" name="Kolonna7766"/>
    <tableColumn id="8105" xr3:uid="{93BAFB0F-8A87-4861-BB2D-04784354CB91}" name="Kolonna7767"/>
    <tableColumn id="8106" xr3:uid="{25D40636-2D3D-4E12-84FE-367E7C8ABDAD}" name="Kolonna7768"/>
    <tableColumn id="8107" xr3:uid="{73B0A175-C5FB-452F-93CD-2B9C8148A1E6}" name="Kolonna7769"/>
    <tableColumn id="8108" xr3:uid="{3DEAD647-CFE8-4180-B1EB-8D85F3319A0D}" name="Kolonna7770"/>
    <tableColumn id="8109" xr3:uid="{CE96630F-D3A0-4164-AE3F-FEB41A70FAE9}" name="Kolonna7771"/>
    <tableColumn id="8110" xr3:uid="{43A828BC-02B9-4A64-8FBE-549F8824EBAB}" name="Kolonna7772"/>
    <tableColumn id="8111" xr3:uid="{D8E52CF5-125C-45C0-B134-8D992840A7FD}" name="Kolonna7773"/>
    <tableColumn id="8112" xr3:uid="{45E15642-AA7A-4C06-ACC1-123101BD4881}" name="Kolonna7774"/>
    <tableColumn id="8113" xr3:uid="{376D4451-988C-4478-AF9E-895138CD727B}" name="Kolonna7775"/>
    <tableColumn id="8114" xr3:uid="{96749A55-C21F-4BEF-9888-788F5E4F05D1}" name="Kolonna7776"/>
    <tableColumn id="8115" xr3:uid="{E6002220-186C-43F3-87FC-47FBCB911A91}" name="Kolonna7777"/>
    <tableColumn id="8116" xr3:uid="{1031CCA3-07EE-4D6C-80BA-44F98390EA70}" name="Kolonna7778"/>
    <tableColumn id="8117" xr3:uid="{F70BB58A-E122-4972-B462-220BA76CA40C}" name="Kolonna7779"/>
    <tableColumn id="8118" xr3:uid="{DDDAC765-83D0-486D-AA94-B28F40670C8F}" name="Kolonna7780"/>
    <tableColumn id="8119" xr3:uid="{86C638AE-D0F4-4EDB-8780-B033B6F1B4DD}" name="Kolonna7781"/>
    <tableColumn id="8120" xr3:uid="{81C0B87C-AB1F-4270-802F-C2D86B3A05DF}" name="Kolonna7782"/>
    <tableColumn id="8121" xr3:uid="{CA7A9726-C91C-4300-A120-96212C588A74}" name="Kolonna7783"/>
    <tableColumn id="8122" xr3:uid="{6DC2DA38-7EAA-4F9D-8726-31F21709189A}" name="Kolonna7784"/>
    <tableColumn id="8123" xr3:uid="{80DC4E13-D253-42A8-BF77-2393A8E14D80}" name="Kolonna7785"/>
    <tableColumn id="8124" xr3:uid="{29862908-1791-4FE8-B597-B679E7F1ED3B}" name="Kolonna7786"/>
    <tableColumn id="8125" xr3:uid="{C81693C9-5217-4AA2-9D89-1AB724830408}" name="Kolonna7787"/>
    <tableColumn id="8126" xr3:uid="{1FDA2716-FB67-4773-96F5-504BEBB7C9A0}" name="Kolonna7788"/>
    <tableColumn id="8127" xr3:uid="{57CEE9C4-AD02-4515-80FE-4D817103FAD6}" name="Kolonna7789"/>
    <tableColumn id="8128" xr3:uid="{2FC6AFD0-FF78-474B-9C3D-F0A8245BB749}" name="Kolonna7790"/>
    <tableColumn id="8129" xr3:uid="{08C91EC2-6665-49A2-AB15-91C11C0850A6}" name="Kolonna7791"/>
    <tableColumn id="8130" xr3:uid="{774036A2-F163-4314-83FF-716B62074EF7}" name="Kolonna7792"/>
    <tableColumn id="8131" xr3:uid="{01CA69CA-2501-4B09-97C4-75FB88E7491D}" name="Kolonna7793"/>
    <tableColumn id="8132" xr3:uid="{C6932441-EC40-4DDC-8755-9808AE0F42D8}" name="Kolonna7794"/>
    <tableColumn id="8133" xr3:uid="{263AE75B-167C-4291-A240-6785C982C657}" name="Kolonna7795"/>
    <tableColumn id="8134" xr3:uid="{B7ACA6B1-18DD-411F-AD17-9E099CC5A8DD}" name="Kolonna7796"/>
    <tableColumn id="8135" xr3:uid="{CE41E01F-53EA-4514-9CCF-92C50FC5E2D2}" name="Kolonna7797"/>
    <tableColumn id="8136" xr3:uid="{18ECD606-C4EA-4F67-92BE-7C7AA6BA4D2A}" name="Kolonna7798"/>
    <tableColumn id="8137" xr3:uid="{DC9AAB27-1749-4751-888C-7E84DCF37A9A}" name="Kolonna7799"/>
    <tableColumn id="8138" xr3:uid="{FA071A7B-B48D-461A-A0B7-0F09A61D9759}" name="Kolonna7800"/>
    <tableColumn id="8139" xr3:uid="{44BFABA0-C53E-4620-9967-26D5BBBF731C}" name="Kolonna7801"/>
    <tableColumn id="8140" xr3:uid="{857AFEEE-96FC-4522-BDED-3328A55B506F}" name="Kolonna7802"/>
    <tableColumn id="8141" xr3:uid="{43697831-7600-4D61-A6DA-7CDDA7B2DE79}" name="Kolonna7803"/>
    <tableColumn id="8142" xr3:uid="{ABF44943-7975-497C-88D4-F380DC0CD09B}" name="Kolonna7804"/>
    <tableColumn id="8143" xr3:uid="{52755C8C-A84B-4188-A0EB-51D9569C4C43}" name="Kolonna7805"/>
    <tableColumn id="8144" xr3:uid="{79BB658C-6582-4970-B61A-935189B28BDF}" name="Kolonna7806"/>
    <tableColumn id="8145" xr3:uid="{C24A0AFB-B418-4E7C-B9EC-9863847B03C9}" name="Kolonna7807"/>
    <tableColumn id="8146" xr3:uid="{919E5C11-EDE5-409F-8FE8-012CC4BFCD93}" name="Kolonna7808"/>
    <tableColumn id="8147" xr3:uid="{0F80B45B-CD0B-4060-8EF8-5F7298CE9F67}" name="Kolonna7809"/>
    <tableColumn id="8148" xr3:uid="{DB14E9BB-FD9A-4666-8009-63CE6A4FCA1E}" name="Kolonna7810"/>
    <tableColumn id="8149" xr3:uid="{4257F596-0CF1-409F-AE70-9B55A0CBCB1D}" name="Kolonna7811"/>
    <tableColumn id="8150" xr3:uid="{A95458B3-85A2-406E-8E56-6F7732893187}" name="Kolonna7812"/>
    <tableColumn id="8151" xr3:uid="{DEB10FE7-942F-4410-956A-B4B08B673449}" name="Kolonna7813"/>
    <tableColumn id="8152" xr3:uid="{B1682987-16CF-445D-BBCE-349E7B80E894}" name="Kolonna7814"/>
    <tableColumn id="8153" xr3:uid="{9F9F52E8-D410-4090-B1CF-1F696DFA902E}" name="Kolonna7815"/>
    <tableColumn id="8154" xr3:uid="{30396E81-891A-4261-838E-3EC18A79528B}" name="Kolonna7816"/>
    <tableColumn id="8155" xr3:uid="{2CFF6E3F-82D7-49CD-995B-444BE4E18969}" name="Kolonna7817"/>
    <tableColumn id="8156" xr3:uid="{21BD53ED-D9A3-4D97-8939-0F34358602DA}" name="Kolonna7818"/>
    <tableColumn id="8157" xr3:uid="{B6206D91-06A2-422A-A924-28954F3EFA45}" name="Kolonna7819"/>
    <tableColumn id="8158" xr3:uid="{987E52C2-4069-4356-94C2-6D5EF9EEF04D}" name="Kolonna7820"/>
    <tableColumn id="8159" xr3:uid="{BB27EFEA-2760-40AF-9951-1F2192609104}" name="Kolonna7821"/>
    <tableColumn id="8160" xr3:uid="{F8639C87-0197-4629-8795-944247E19B93}" name="Kolonna7822"/>
    <tableColumn id="8161" xr3:uid="{22C7162F-D592-4944-AF7E-5F0EDCEBB5AD}" name="Kolonna7823"/>
    <tableColumn id="8162" xr3:uid="{E7A62B7E-8EF5-4769-9314-44E16BEC349A}" name="Kolonna7824"/>
    <tableColumn id="8163" xr3:uid="{6C11E6BE-EB96-44FC-BFBE-271F9C228BBB}" name="Kolonna7825"/>
    <tableColumn id="8164" xr3:uid="{5314F398-41A9-4323-86BA-DED904CD1C21}" name="Kolonna7826"/>
    <tableColumn id="8165" xr3:uid="{5B49A552-BFCA-4005-81D2-72DA485E7A2D}" name="Kolonna7827"/>
    <tableColumn id="8166" xr3:uid="{7E1A084A-697D-4DB0-9A4A-EC0476F27843}" name="Kolonna7828"/>
    <tableColumn id="8167" xr3:uid="{AE678117-6714-45BB-AC58-F22F57D33975}" name="Kolonna7829"/>
    <tableColumn id="8168" xr3:uid="{1DB679FF-F0F7-404E-8A14-546217475615}" name="Kolonna7830"/>
    <tableColumn id="8169" xr3:uid="{09AB742C-E5EE-4D4D-8A4A-E0E188E0BD2C}" name="Kolonna7831"/>
    <tableColumn id="8170" xr3:uid="{F36253A5-6411-4062-B769-E4ADFACAB477}" name="Kolonna7832"/>
    <tableColumn id="8171" xr3:uid="{7A8581C1-8045-46DA-B4A8-18DBD23B9EB3}" name="Kolonna7833"/>
    <tableColumn id="8172" xr3:uid="{CC98114C-2BAB-44C8-A9D5-6B37AED1300C}" name="Kolonna7834"/>
    <tableColumn id="8173" xr3:uid="{0E54965E-EB42-4A32-9F8E-A305E6E6FE68}" name="Kolonna7835"/>
    <tableColumn id="8174" xr3:uid="{E92C6DC0-2D5B-4164-8902-87B6CEE673F7}" name="Kolonna7836"/>
    <tableColumn id="8175" xr3:uid="{668E3B02-417E-4A05-A5CE-8A783CC1B8BF}" name="Kolonna7837"/>
    <tableColumn id="8176" xr3:uid="{80F0DBB1-095F-4592-9689-103ECC118DA8}" name="Kolonna7838"/>
    <tableColumn id="8177" xr3:uid="{0715CE51-8643-487A-8E1E-03C2FABE2311}" name="Kolonna7839"/>
    <tableColumn id="8178" xr3:uid="{CC75C95C-5A6D-42A8-89BD-F2FB3046FA8D}" name="Kolonna7840"/>
    <tableColumn id="8179" xr3:uid="{1068F4EF-DDC7-4B29-BD8E-A72EEC738D97}" name="Kolonna7841"/>
    <tableColumn id="8180" xr3:uid="{B09B4FD3-9AA3-4E74-BC24-22B73DA4EB41}" name="Kolonna7842"/>
    <tableColumn id="8181" xr3:uid="{6AE0ADC3-48FB-425D-B3F3-1C6FA3E27377}" name="Kolonna7843"/>
    <tableColumn id="8182" xr3:uid="{A3F00103-3C58-485E-828F-AB4620C0246B}" name="Kolonna7844"/>
    <tableColumn id="8183" xr3:uid="{346E070D-458C-47AE-BF55-C79EBDBA2848}" name="Kolonna7845"/>
    <tableColumn id="8184" xr3:uid="{15E153A3-AE74-42DF-B36E-32884D0C525F}" name="Kolonna7846"/>
    <tableColumn id="8185" xr3:uid="{ABF34BA6-C2EA-44D8-A0FF-026446676CC7}" name="Kolonna7847"/>
    <tableColumn id="8186" xr3:uid="{226194CA-2C51-4EB4-B3B1-0215A184315F}" name="Kolonna7848"/>
    <tableColumn id="8187" xr3:uid="{1C728444-AA1F-4131-9DA0-C55116879CFF}" name="Kolonna7849"/>
    <tableColumn id="8188" xr3:uid="{0A5772CE-7954-46B0-AAC6-08445AD37072}" name="Kolonna7850"/>
    <tableColumn id="8189" xr3:uid="{FE1361C4-13CD-4E59-A89B-C9547B5701D4}" name="Kolonna7851"/>
    <tableColumn id="8190" xr3:uid="{C44EBBFB-A04D-4C02-8650-FFDA78B82147}" name="Kolonna7852"/>
    <tableColumn id="8191" xr3:uid="{E5CEC416-3C8B-4BB1-B9AA-271017DA53A5}" name="Kolonna7853"/>
    <tableColumn id="8192" xr3:uid="{31AF68CD-C404-4058-BF00-C6754F3E5E03}" name="Kolonna7854"/>
    <tableColumn id="8193" xr3:uid="{70281492-479E-49B9-B936-8C919AD0E406}" name="Kolonna7855"/>
    <tableColumn id="8194" xr3:uid="{0F2245FF-E784-42C2-869E-16540557D356}" name="Kolonna7856"/>
    <tableColumn id="8195" xr3:uid="{BB7DA5CD-00BE-4601-8D97-F7784FCDA343}" name="Kolonna7857"/>
    <tableColumn id="8196" xr3:uid="{EDBC303D-0E93-48EE-9E68-7DB2AB4855CC}" name="Kolonna7858"/>
    <tableColumn id="8197" xr3:uid="{276A0296-4A09-48AE-BC12-B2771BB65A5A}" name="Kolonna7859"/>
    <tableColumn id="8198" xr3:uid="{91D56620-C6C9-40CF-8F7A-6E2FFB0AD402}" name="Kolonna7860"/>
    <tableColumn id="8199" xr3:uid="{4C9C63D5-4392-4E2F-937F-FDEB2ADB5B09}" name="Kolonna7861"/>
    <tableColumn id="8200" xr3:uid="{6EA60B05-080D-459A-9505-792AC5A82D97}" name="Kolonna7862"/>
    <tableColumn id="8201" xr3:uid="{7E9B91CB-4103-4833-9BD4-A3B908B1A78A}" name="Kolonna7863"/>
    <tableColumn id="8202" xr3:uid="{214EB2DD-5BEC-4E27-8136-B5FA16B445A1}" name="Kolonna7864"/>
    <tableColumn id="8203" xr3:uid="{B2B07C1F-0883-49A9-B38C-69B01C56C782}" name="Kolonna7865"/>
    <tableColumn id="8204" xr3:uid="{3C9BF150-4C40-4F45-AFC7-1713C9DF2ACC}" name="Kolonna7866"/>
    <tableColumn id="8205" xr3:uid="{4ED336C0-21D5-44D1-A677-DF6B508C2DAC}" name="Kolonna7867"/>
    <tableColumn id="8206" xr3:uid="{6512C265-43C3-4FBA-BA58-647AA5DB220D}" name="Kolonna7868"/>
    <tableColumn id="8207" xr3:uid="{54CA2992-7CDA-48CA-B5F1-9E4B1DB6D56A}" name="Kolonna7869"/>
    <tableColumn id="8208" xr3:uid="{50FDF639-63CC-47CF-AE6A-EC864CCC257D}" name="Kolonna7870"/>
    <tableColumn id="8209" xr3:uid="{03DC8AA1-A16A-40CD-A3BD-42483372EB3A}" name="Kolonna7871"/>
    <tableColumn id="8210" xr3:uid="{655028BB-7FAF-488F-AFA5-C8BA6A183444}" name="Kolonna7872"/>
    <tableColumn id="8211" xr3:uid="{A37F9FF3-FB2D-43AD-B230-06D0A57D05AF}" name="Kolonna7873"/>
    <tableColumn id="8212" xr3:uid="{226BB77B-B613-4E34-9421-37B6744A4789}" name="Kolonna7874"/>
    <tableColumn id="8213" xr3:uid="{3FFFB534-608F-4EE4-895E-FAA2C8A757B0}" name="Kolonna7875"/>
    <tableColumn id="8214" xr3:uid="{A9F3992F-8C74-45D1-82F9-D36DE2E50234}" name="Kolonna7876"/>
    <tableColumn id="8215" xr3:uid="{9C44C6E6-CF99-451E-9899-A0261E94BC68}" name="Kolonna7877"/>
    <tableColumn id="8216" xr3:uid="{F019131D-A3F5-46CE-BB6F-DF5A05B07343}" name="Kolonna7878"/>
    <tableColumn id="8217" xr3:uid="{B8CADB4C-683F-4F1B-ABAE-177F41DD5CDD}" name="Kolonna7879"/>
    <tableColumn id="8218" xr3:uid="{5BD758A1-830B-499D-AE04-59B162A610F8}" name="Kolonna7880"/>
    <tableColumn id="8219" xr3:uid="{A04B0DBC-FBFD-4D70-B17D-0CDBA484B246}" name="Kolonna7881"/>
    <tableColumn id="8220" xr3:uid="{74ECAB92-BB6E-483D-9694-0D226FF2F182}" name="Kolonna7882"/>
    <tableColumn id="8221" xr3:uid="{71B2394E-F2F3-49B5-83BD-38F4867F1CF5}" name="Kolonna7883"/>
    <tableColumn id="8222" xr3:uid="{20C10146-140A-4AF8-BB46-203C61655EF4}" name="Kolonna7884"/>
    <tableColumn id="8223" xr3:uid="{94B7B583-347B-4B77-913E-3E45CE6A4027}" name="Kolonna7885"/>
    <tableColumn id="8224" xr3:uid="{10B3F592-7B26-4362-A042-0AA817AB3F8A}" name="Kolonna7886"/>
    <tableColumn id="8225" xr3:uid="{39F56FCA-AF6E-4B72-9B6A-276474FFFB08}" name="Kolonna7887"/>
    <tableColumn id="8226" xr3:uid="{20D97CDE-7828-44FD-8108-9C96E0EDB4E7}" name="Kolonna7888"/>
    <tableColumn id="8227" xr3:uid="{673BE39B-04F6-4E69-B814-E70D799D78CA}" name="Kolonna7889"/>
    <tableColumn id="8228" xr3:uid="{D297A06F-5E6C-4C81-A855-E6975AB0A99C}" name="Kolonna7890"/>
    <tableColumn id="8229" xr3:uid="{1A92F2A9-C6E3-47F9-A2B8-A832DA6BA936}" name="Kolonna7891"/>
    <tableColumn id="8230" xr3:uid="{751AFDAB-E1F1-4FE5-89A7-B77D926004B4}" name="Kolonna7892"/>
    <tableColumn id="8231" xr3:uid="{472CB495-B8BC-4FC5-9EB5-06CBC85DC4F1}" name="Kolonna7893"/>
    <tableColumn id="8232" xr3:uid="{4C1A2B0A-3664-4063-ACF8-010CC262F701}" name="Kolonna7894"/>
    <tableColumn id="8233" xr3:uid="{2DD89C22-3F8B-425B-9960-29C08BC805D4}" name="Kolonna7895"/>
    <tableColumn id="8234" xr3:uid="{EB3A64FC-EB0C-4696-AC9B-974B62E5E83F}" name="Kolonna7896"/>
    <tableColumn id="8235" xr3:uid="{DBBF757F-8FAA-4304-A099-4024B7F02952}" name="Kolonna7897"/>
    <tableColumn id="8236" xr3:uid="{5B10B640-377B-47A6-B3A5-5BCF57D3FCFB}" name="Kolonna7898"/>
    <tableColumn id="8237" xr3:uid="{D1BA9E62-2EF1-4741-94D3-300F3134B938}" name="Kolonna7899"/>
    <tableColumn id="8238" xr3:uid="{A3275DA3-103E-489B-A9D3-0514D4A0BC1D}" name="Kolonna7900"/>
    <tableColumn id="8239" xr3:uid="{D7E45478-89DB-4809-A361-3D6BD44A976F}" name="Kolonna7901"/>
    <tableColumn id="8240" xr3:uid="{1789C7F4-FD2B-4397-AC1E-CB1507A13D2C}" name="Kolonna7902"/>
    <tableColumn id="8241" xr3:uid="{E4C5D279-0EEE-47AF-B4D2-9C60BAAED994}" name="Kolonna7903"/>
    <tableColumn id="8242" xr3:uid="{72A65D5C-063F-489E-9926-EEA2B8BC9C96}" name="Kolonna7904"/>
    <tableColumn id="8243" xr3:uid="{32D40ABF-1F63-43EB-BDEA-010C00564904}" name="Kolonna7905"/>
    <tableColumn id="8244" xr3:uid="{F75679F7-D376-47D1-A8A5-AB08E2C67014}" name="Kolonna7906"/>
    <tableColumn id="8245" xr3:uid="{205FCF9F-9868-4DE9-B87C-CE43C0BFC4D7}" name="Kolonna7907"/>
    <tableColumn id="8246" xr3:uid="{8525E6F4-7959-4D8F-96A6-040D8E48C8A6}" name="Kolonna7908"/>
    <tableColumn id="8247" xr3:uid="{9C00E4AB-F14A-4BD1-B25C-D07383D38758}" name="Kolonna7909"/>
    <tableColumn id="8248" xr3:uid="{0679B339-08F3-4485-BC46-CBBD101C8A2D}" name="Kolonna7910"/>
    <tableColumn id="8249" xr3:uid="{83AFF88A-55EF-4159-8D59-DE5DA373FD04}" name="Kolonna7911"/>
    <tableColumn id="8250" xr3:uid="{C8081806-6D5B-42E0-A6AD-4C02855E8AB1}" name="Kolonna7912"/>
    <tableColumn id="8251" xr3:uid="{377C2B45-6079-45AC-BFAD-E640A67ADC16}" name="Kolonna7913"/>
    <tableColumn id="8252" xr3:uid="{F81B7159-33F3-45DB-9E82-38ECEE988C85}" name="Kolonna7914"/>
    <tableColumn id="8253" xr3:uid="{5F5CF6E1-7F31-4B60-A468-17B306AA8851}" name="Kolonna7915"/>
    <tableColumn id="8254" xr3:uid="{62733185-3DD8-4B8A-8578-70356408C09C}" name="Kolonna7916"/>
    <tableColumn id="8255" xr3:uid="{BE2BF3A9-B26A-4FCC-8168-269BAEE2C8DB}" name="Kolonna7917"/>
    <tableColumn id="8256" xr3:uid="{314DB6F4-7D34-4D02-B57D-0751F05AA35A}" name="Kolonna7918"/>
    <tableColumn id="8257" xr3:uid="{1C797316-9AEF-4272-A2E2-90402773BE00}" name="Kolonna7919"/>
    <tableColumn id="8258" xr3:uid="{53567083-9E5B-4853-9077-57E306AF413A}" name="Kolonna7920"/>
    <tableColumn id="8259" xr3:uid="{8885D1AC-8080-40BA-8BA1-595C70394D79}" name="Kolonna7921"/>
    <tableColumn id="8260" xr3:uid="{F5BFFC0B-8EE3-4C3C-A617-59754EE1C9F8}" name="Kolonna7922"/>
    <tableColumn id="8261" xr3:uid="{937C132F-E22F-4244-ACEE-E01AE30C849C}" name="Kolonna7923"/>
    <tableColumn id="8262" xr3:uid="{6CD2BAFF-A87F-4236-A5C7-123550879031}" name="Kolonna7924"/>
    <tableColumn id="8263" xr3:uid="{9CC9E8D2-4970-451F-920B-9F4EFC35926A}" name="Kolonna7925"/>
    <tableColumn id="8264" xr3:uid="{4AA84428-7104-44FE-945A-F984CBBE695E}" name="Kolonna7926"/>
    <tableColumn id="8265" xr3:uid="{C52B3AB5-A402-47B9-A4AB-B1241CDD4F28}" name="Kolonna7927"/>
    <tableColumn id="8266" xr3:uid="{C52376D3-62B2-41C3-A4C9-102A1F3631A2}" name="Kolonna7928"/>
    <tableColumn id="8267" xr3:uid="{9B1B51D0-D127-48EF-AA2A-E35AD61E9D5D}" name="Kolonna7929"/>
    <tableColumn id="8268" xr3:uid="{6A3A1E7E-F233-4A90-BDB8-C952CBFEB4A8}" name="Kolonna7930"/>
    <tableColumn id="8269" xr3:uid="{0F4417D8-35EE-48AE-BD82-78B4F05C9033}" name="Kolonna7931"/>
    <tableColumn id="8270" xr3:uid="{0961BA02-F4B1-4AE1-A928-53262486CEB1}" name="Kolonna7932"/>
    <tableColumn id="8271" xr3:uid="{96F4BA62-1B7A-475F-851D-34645BAB14AD}" name="Kolonna7933"/>
    <tableColumn id="8272" xr3:uid="{F7F2540C-4755-426C-BF77-3DDAEDFB00C9}" name="Kolonna7934"/>
    <tableColumn id="8273" xr3:uid="{109F3361-53CD-4327-B5BD-75E8AA843B3D}" name="Kolonna7935"/>
    <tableColumn id="8274" xr3:uid="{42722F62-F372-42BD-8C2C-BAF967DB83F4}" name="Kolonna7936"/>
    <tableColumn id="8275" xr3:uid="{B0945DE9-A855-477D-AFA9-766C45595412}" name="Kolonna7937"/>
    <tableColumn id="8276" xr3:uid="{D638E50E-046A-4FFC-8374-A88CA946983D}" name="Kolonna7938"/>
    <tableColumn id="8277" xr3:uid="{BDADC593-7D4B-4E78-8BB5-BF84F2A919FE}" name="Kolonna7939"/>
    <tableColumn id="8278" xr3:uid="{34AD4E11-CB0C-4C97-99F9-C095929A7F46}" name="Kolonna7940"/>
    <tableColumn id="8279" xr3:uid="{71A049EE-6665-4A0E-99BA-2AF725A7D4A8}" name="Kolonna7941"/>
    <tableColumn id="8280" xr3:uid="{7EFC7B16-55FD-4190-A327-EEC65BED6606}" name="Kolonna7942"/>
    <tableColumn id="8281" xr3:uid="{2466E97D-328C-4E33-A75F-CE9AC991646A}" name="Kolonna7943"/>
    <tableColumn id="8282" xr3:uid="{7DA61220-1C25-4D75-9C35-C525039D49F9}" name="Kolonna7944"/>
    <tableColumn id="8283" xr3:uid="{AF9EA165-399B-4882-81B0-9270FF4DE919}" name="Kolonna7945"/>
    <tableColumn id="8284" xr3:uid="{7A8485BC-96C4-43FA-AA4F-FCDF5694B164}" name="Kolonna7946"/>
    <tableColumn id="8285" xr3:uid="{36741328-4148-46A3-A899-28E45BEFAB37}" name="Kolonna7947"/>
    <tableColumn id="8286" xr3:uid="{3B9FEA1C-C42E-4FC8-9767-BA263632E9C8}" name="Kolonna7948"/>
    <tableColumn id="8287" xr3:uid="{348DF3D7-DD47-41E5-8429-F72A86CDCA32}" name="Kolonna7949"/>
    <tableColumn id="8288" xr3:uid="{CD811983-9316-4365-B26F-55E80F0AC2F4}" name="Kolonna7950"/>
    <tableColumn id="8289" xr3:uid="{172D716C-74E9-4EBE-B861-D72CF6D143F7}" name="Kolonna7951"/>
    <tableColumn id="8290" xr3:uid="{D917B45C-6980-465A-87CE-ABB7D987BBAA}" name="Kolonna7952"/>
    <tableColumn id="8291" xr3:uid="{616CEA45-3D4E-41A2-BB0E-0AD7FF2816D6}" name="Kolonna7953"/>
    <tableColumn id="8292" xr3:uid="{7EC145E4-2060-4191-A355-50213433D17C}" name="Kolonna7954"/>
    <tableColumn id="8293" xr3:uid="{C4C0B7F4-AB33-40EF-ADA5-4EEEFD8F649C}" name="Kolonna7955"/>
    <tableColumn id="8294" xr3:uid="{27C68BBF-2A7C-4EE1-85D6-411CABB27F95}" name="Kolonna7956"/>
    <tableColumn id="8295" xr3:uid="{64C26334-FB73-4C21-8488-874305AADA0E}" name="Kolonna7957"/>
    <tableColumn id="8296" xr3:uid="{97CF4BE6-2574-4A82-9B1D-3642C19E4FD2}" name="Kolonna7958"/>
    <tableColumn id="8297" xr3:uid="{E81FF5FC-5ECE-4ADD-A73C-D7EAE3A3A16D}" name="Kolonna7959"/>
    <tableColumn id="8298" xr3:uid="{4EDB903D-3C95-4701-B89E-1057116AE4C1}" name="Kolonna7960"/>
    <tableColumn id="8299" xr3:uid="{C02165AF-87B9-43CE-8450-CA9094801994}" name="Kolonna7961"/>
    <tableColumn id="8300" xr3:uid="{402F0D21-E700-4606-822B-09E5FC0EEEA4}" name="Kolonna7962"/>
    <tableColumn id="8301" xr3:uid="{8C8E2AC2-274B-4FD1-BA10-92968765D9B8}" name="Kolonna7963"/>
    <tableColumn id="8302" xr3:uid="{D4EDD390-6838-46A1-9517-75C1CE384B83}" name="Kolonna7964"/>
    <tableColumn id="8303" xr3:uid="{FA07A6FA-3415-467D-B258-F55908E87FC7}" name="Kolonna7965"/>
    <tableColumn id="8304" xr3:uid="{775921DC-2B31-4F58-92EC-C0C5CA8F9F89}" name="Kolonna7966"/>
    <tableColumn id="8305" xr3:uid="{ECAC72C1-E704-4AEA-8EFA-EA45C7B50707}" name="Kolonna7967"/>
    <tableColumn id="8306" xr3:uid="{6263443F-ED83-4F27-B53D-24AD65F4842C}" name="Kolonna7968"/>
    <tableColumn id="8307" xr3:uid="{7DDAD5FB-F856-4206-B4FA-054B0BCC7FF3}" name="Kolonna7969"/>
    <tableColumn id="8308" xr3:uid="{8ED08B49-81AC-4EE7-9BCB-A7C65FFCC48E}" name="Kolonna7970"/>
    <tableColumn id="8309" xr3:uid="{50E994E2-1EFE-4D9C-B0E7-2B81C9D5E556}" name="Kolonna7971"/>
    <tableColumn id="8310" xr3:uid="{A13ED5FC-8AC7-4CD6-A30F-EA0AC88A0980}" name="Kolonna7972"/>
    <tableColumn id="8311" xr3:uid="{3D35010A-669A-42CD-B24D-5FB11AB3D947}" name="Kolonna7973"/>
    <tableColumn id="8312" xr3:uid="{3CB66D18-43A9-4C2C-A230-C28093BEF77A}" name="Kolonna7974"/>
    <tableColumn id="8313" xr3:uid="{8EB3B0C0-8661-4FF2-B8C6-C922735C4748}" name="Kolonna7975"/>
    <tableColumn id="8314" xr3:uid="{078D9D42-B80B-4CE7-895B-7A8DC13FE05B}" name="Kolonna7976"/>
    <tableColumn id="8315" xr3:uid="{21E80A4F-D081-470B-AFDB-A14DC3D9B9E7}" name="Kolonna7977"/>
    <tableColumn id="8316" xr3:uid="{6F946F55-BCA7-43CA-B5B4-B9BB51ED7174}" name="Kolonna7978"/>
    <tableColumn id="8317" xr3:uid="{54C88EA1-8F42-4009-99FA-25B107BDF989}" name="Kolonna7979"/>
    <tableColumn id="8318" xr3:uid="{41988DDA-522C-418E-89CD-3643D7374787}" name="Kolonna7980"/>
    <tableColumn id="8319" xr3:uid="{DCBE794A-31CA-4DF8-9909-F3EBF333FE40}" name="Kolonna7981"/>
    <tableColumn id="8320" xr3:uid="{3DE15690-C69B-4DE7-8DFE-88943398AA63}" name="Kolonna7982"/>
    <tableColumn id="8321" xr3:uid="{3D0FEA48-FEE2-4EFD-ACF7-672B99AD995F}" name="Kolonna7983"/>
    <tableColumn id="8322" xr3:uid="{AD13EAD1-941D-4678-B07B-898FA0F3A7FB}" name="Kolonna7984"/>
    <tableColumn id="8323" xr3:uid="{8D06B109-E390-49A1-898E-CC6F89DB7ADA}" name="Kolonna7985"/>
    <tableColumn id="8324" xr3:uid="{C5C9C6ED-D152-4C7B-9E72-507972F69793}" name="Kolonna7986"/>
    <tableColumn id="8325" xr3:uid="{BFDCA19A-2C26-44FA-981C-1F035C6E04B8}" name="Kolonna7987"/>
    <tableColumn id="8326" xr3:uid="{8BAB906F-4E2F-41A2-9022-3A79FED0D42F}" name="Kolonna7988"/>
    <tableColumn id="8327" xr3:uid="{65256027-D01F-4285-8C3B-DB6E857D9811}" name="Kolonna7989"/>
    <tableColumn id="8328" xr3:uid="{95FC42A7-778F-4500-89A7-C6A1E8084022}" name="Kolonna7990"/>
    <tableColumn id="8329" xr3:uid="{4F2F59EB-9A2E-445A-BF01-BE6DB6F2A696}" name="Kolonna7991"/>
    <tableColumn id="8330" xr3:uid="{335FA094-229B-4C0F-B4EE-BE870EDFAB20}" name="Kolonna7992"/>
    <tableColumn id="8331" xr3:uid="{03403B18-7062-46BE-B9D2-703DE92B2791}" name="Kolonna7993"/>
    <tableColumn id="8332" xr3:uid="{FA78F024-46BA-431A-B3EB-F8E50A27868A}" name="Kolonna7994"/>
    <tableColumn id="8333" xr3:uid="{4754537C-4FAB-4AE6-AF00-B1392CCA463A}" name="Kolonna7995"/>
    <tableColumn id="8334" xr3:uid="{1510B77D-8058-4802-BC50-61FAED8D7D73}" name="Kolonna7996"/>
    <tableColumn id="8335" xr3:uid="{70B920A7-8340-4040-A604-4EB930538F2B}" name="Kolonna7997"/>
    <tableColumn id="8336" xr3:uid="{720AB7A4-B6A2-4D83-A569-C7EBEC00CC49}" name="Kolonna7998"/>
    <tableColumn id="8337" xr3:uid="{EB5FA8D6-8143-4DEF-9215-2FEB5097A2E2}" name="Kolonna7999"/>
    <tableColumn id="8338" xr3:uid="{37D7E492-CF22-40E4-A7C6-26C13306D01B}" name="Kolonna8000"/>
    <tableColumn id="8339" xr3:uid="{1A4617A6-66A2-4B14-AD1B-C3D9070F9DD6}" name="Kolonna8001"/>
    <tableColumn id="8340" xr3:uid="{9BE44249-194C-4487-9DF5-2D057AE7603E}" name="Kolonna8002"/>
    <tableColumn id="8341" xr3:uid="{4AEC2A45-EE03-48D9-9162-A71BE50D39F0}" name="Kolonna8003"/>
    <tableColumn id="8342" xr3:uid="{AFA5A861-979C-4540-902E-D58889C95786}" name="Kolonna8004"/>
    <tableColumn id="8343" xr3:uid="{B0954015-4379-40C6-998A-2C4C39B03FAC}" name="Kolonna8005"/>
    <tableColumn id="8344" xr3:uid="{7E2A56C2-4658-4B76-80AD-E598502327E1}" name="Kolonna8006"/>
    <tableColumn id="8345" xr3:uid="{56355579-4BB8-4B22-9667-DD1C1766F708}" name="Kolonna8007"/>
    <tableColumn id="8346" xr3:uid="{456E17A3-9FA4-44AB-910C-62E3C916F131}" name="Kolonna8008"/>
    <tableColumn id="8347" xr3:uid="{5B9327B5-B533-4964-8C28-61D28B965B51}" name="Kolonna8009"/>
    <tableColumn id="8348" xr3:uid="{D85337E4-6E1F-4E74-922F-4081D71D5BF3}" name="Kolonna8010"/>
    <tableColumn id="8349" xr3:uid="{2D2EBAFA-CC36-4305-B85C-ACF984DB9617}" name="Kolonna8011"/>
    <tableColumn id="8350" xr3:uid="{D0773486-C825-4A05-BD4B-C5B74F44BC79}" name="Kolonna8012"/>
    <tableColumn id="8351" xr3:uid="{CF24E1F2-AB54-4839-8C8D-49DF9370B1D1}" name="Kolonna8013"/>
    <tableColumn id="8352" xr3:uid="{DD5D5D2C-5504-4650-B1DA-A3EE9BA68BD4}" name="Kolonna8014"/>
    <tableColumn id="8353" xr3:uid="{57C159B6-A6ED-420B-A8FF-2E18ED0BBFBF}" name="Kolonna8015"/>
    <tableColumn id="8354" xr3:uid="{59B42F35-31B3-406C-81BF-C68F0AAA501A}" name="Kolonna8016"/>
    <tableColumn id="8355" xr3:uid="{E8C8A7F0-D877-4613-95FD-2AE4386C3C7B}" name="Kolonna8017"/>
    <tableColumn id="8356" xr3:uid="{09F04132-8791-4939-A8AB-2E406A3A3C8C}" name="Kolonna8018"/>
    <tableColumn id="8357" xr3:uid="{E82873C5-EAB8-4676-A2F3-752C8ED7010D}" name="Kolonna8019"/>
    <tableColumn id="8358" xr3:uid="{32CC3792-20C4-4019-AB5C-7634DCEC9E0E}" name="Kolonna8020"/>
    <tableColumn id="8359" xr3:uid="{7785E398-7717-41F8-9BC7-F06DF5B5A206}" name="Kolonna8021"/>
    <tableColumn id="8360" xr3:uid="{66568251-55C5-43A7-AE95-6B4BE3BA4FF7}" name="Kolonna8022"/>
    <tableColumn id="8361" xr3:uid="{25B096B8-953C-4B7F-BA5C-9039C3D6E756}" name="Kolonna8023"/>
    <tableColumn id="8362" xr3:uid="{5A03E863-E9D6-4351-A939-631DB5BC65DD}" name="Kolonna8024"/>
    <tableColumn id="8363" xr3:uid="{E57A19F5-0F82-498A-93F7-02FF00901184}" name="Kolonna8025"/>
    <tableColumn id="8364" xr3:uid="{18B34785-20DC-4B8E-9B1C-68FD4F6542BF}" name="Kolonna8026"/>
    <tableColumn id="8365" xr3:uid="{19F0F451-7F85-4ED0-A679-2E497890E764}" name="Kolonna8027"/>
    <tableColumn id="8366" xr3:uid="{AEFA2F66-AE2D-450F-B6CE-3CD3F4397868}" name="Kolonna8028"/>
    <tableColumn id="8367" xr3:uid="{B298E23F-6AFD-4603-A4FC-703897E20770}" name="Kolonna8029"/>
    <tableColumn id="8368" xr3:uid="{6E42E540-1B97-41D6-9F94-97C4C54B2DCE}" name="Kolonna8030"/>
    <tableColumn id="8369" xr3:uid="{A914106E-6EB4-440D-A76B-52C177B8477A}" name="Kolonna8031"/>
    <tableColumn id="8370" xr3:uid="{B56F428D-EF2B-436A-BCFF-6A92E65B0E24}" name="Kolonna8032"/>
    <tableColumn id="8371" xr3:uid="{45726BA6-8D35-42D8-AB4C-87C42336AEB5}" name="Kolonna8033"/>
    <tableColumn id="8372" xr3:uid="{C84FC2C7-BFEA-4502-9A7E-4A61190E30BE}" name="Kolonna8034"/>
    <tableColumn id="8373" xr3:uid="{D616EA5E-8785-44CF-A0F9-FF9A2F60DB56}" name="Kolonna8035"/>
    <tableColumn id="8374" xr3:uid="{EB05DEF2-062D-4590-8C66-121816CA33FB}" name="Kolonna8036"/>
    <tableColumn id="8375" xr3:uid="{B9D9895C-D16B-405F-8400-FD162FF1F477}" name="Kolonna8037"/>
    <tableColumn id="8376" xr3:uid="{A994A8B9-ACE6-417A-B5B7-43C3EDDA50CD}" name="Kolonna8038"/>
    <tableColumn id="8377" xr3:uid="{013938F4-E5A8-47E7-881A-0FA6A10231FE}" name="Kolonna8039"/>
    <tableColumn id="8378" xr3:uid="{3BDAD46C-A575-4F43-9E7C-8151AB7AECD2}" name="Kolonna8040"/>
    <tableColumn id="8379" xr3:uid="{6C04C973-4CA8-4B31-94C5-E5955C260332}" name="Kolonna8041"/>
    <tableColumn id="8380" xr3:uid="{0536C5CF-7B41-4E3D-B279-036122C205FE}" name="Kolonna8042"/>
    <tableColumn id="8381" xr3:uid="{97183658-628D-4239-BFF9-5C3E47F5B1BC}" name="Kolonna8043"/>
    <tableColumn id="8382" xr3:uid="{2770C871-8B65-4DC0-88A8-6BD239766BC8}" name="Kolonna8044"/>
    <tableColumn id="8383" xr3:uid="{C07A8337-C4CB-431D-94C5-DC6FBBC40F49}" name="Kolonna8045"/>
    <tableColumn id="8384" xr3:uid="{89A932D1-AF74-49F7-8EEF-EB0324DD4E04}" name="Kolonna8046"/>
    <tableColumn id="8385" xr3:uid="{7EEB2D83-E256-4EF2-BA9B-E3CBD023E54C}" name="Kolonna8047"/>
    <tableColumn id="8386" xr3:uid="{A297DD3F-CA9E-4BA2-92AA-12B071AA532D}" name="Kolonna8048"/>
    <tableColumn id="8387" xr3:uid="{D7168B7B-BFEF-4062-B148-9B72745EBD0C}" name="Kolonna8049"/>
    <tableColumn id="8388" xr3:uid="{7047CC91-6632-4C61-96A3-64996EA2A937}" name="Kolonna8050"/>
    <tableColumn id="8389" xr3:uid="{5B08CD93-2AE1-4120-A4EB-61385378C38A}" name="Kolonna8051"/>
    <tableColumn id="8390" xr3:uid="{A4C908BF-49FF-43C3-A29A-049A8C2D6F04}" name="Kolonna8052"/>
    <tableColumn id="8391" xr3:uid="{141BE723-A25D-4246-B94D-EE44A7C4D4DE}" name="Kolonna8053"/>
    <tableColumn id="8392" xr3:uid="{D1A004F5-89D8-40E2-9530-ABB3B08A8F22}" name="Kolonna8054"/>
    <tableColumn id="8393" xr3:uid="{B3451873-0F38-4DCD-8862-2B166465DB33}" name="Kolonna8055"/>
    <tableColumn id="8394" xr3:uid="{6B265131-E902-4C11-B571-3D4BFCCFA384}" name="Kolonna8056"/>
    <tableColumn id="8395" xr3:uid="{51F6FB38-2925-4BA1-A7D6-43539A7C5D9B}" name="Kolonna8057"/>
    <tableColumn id="8396" xr3:uid="{01D400D4-9DFC-4745-84D6-230F6A8664DA}" name="Kolonna8058"/>
    <tableColumn id="8397" xr3:uid="{3B8B9B0B-8F0B-400E-A81A-E8FB86D4D87C}" name="Kolonna8059"/>
    <tableColumn id="8398" xr3:uid="{53D33FD4-55A1-4B90-8B26-367511C61446}" name="Kolonna8060"/>
    <tableColumn id="8399" xr3:uid="{25D324E3-09D1-4BBF-91BA-7D5FA27FCB06}" name="Kolonna8061"/>
    <tableColumn id="8400" xr3:uid="{F1B39878-E5AD-4199-BA50-3AA332AEE0D6}" name="Kolonna8062"/>
    <tableColumn id="8401" xr3:uid="{0CDE56E3-C147-4668-9480-78770EAEB65B}" name="Kolonna8063"/>
    <tableColumn id="8402" xr3:uid="{B9F3FFB1-900E-443B-9573-4A98C9128996}" name="Kolonna8064"/>
    <tableColumn id="8403" xr3:uid="{81651A91-E523-4D14-926F-C008C78CD5DB}" name="Kolonna8065"/>
    <tableColumn id="8404" xr3:uid="{0AEE81CF-C2E7-466E-AE62-98B9743543A3}" name="Kolonna8066"/>
    <tableColumn id="8405" xr3:uid="{A38EE8F3-AD4F-4E20-A7C0-5F01D8BC7551}" name="Kolonna8067"/>
    <tableColumn id="8406" xr3:uid="{AC3FBC16-7893-40C4-B14B-4BA808B69B49}" name="Kolonna8068"/>
    <tableColumn id="8407" xr3:uid="{E7F0786A-18F5-46EC-B9A3-8F7C0C2A7510}" name="Kolonna8069"/>
    <tableColumn id="8408" xr3:uid="{29414F82-5C98-4F91-8CC9-897987A62B2D}" name="Kolonna8070"/>
    <tableColumn id="8409" xr3:uid="{F837B2C8-BB79-44C7-9D7B-A7011284542B}" name="Kolonna8071"/>
    <tableColumn id="8410" xr3:uid="{4AC9DA3E-A27F-4932-B8A5-031A3AFAADFE}" name="Kolonna8072"/>
    <tableColumn id="8411" xr3:uid="{D312B595-77F0-4DD8-A4B1-91C3CA4E51DD}" name="Kolonna8073"/>
    <tableColumn id="8412" xr3:uid="{8E63EED8-214B-4A98-844F-71B7D7C0E8C8}" name="Kolonna8074"/>
    <tableColumn id="8413" xr3:uid="{86877F90-F46C-4C76-A314-DDE991EE5ED2}" name="Kolonna8075"/>
    <tableColumn id="8414" xr3:uid="{73888905-F272-4FFE-91C1-ACC25A82B753}" name="Kolonna8076"/>
    <tableColumn id="8415" xr3:uid="{03554AA6-FC77-47C3-BD2E-D2D9A0E5EE86}" name="Kolonna8077"/>
    <tableColumn id="8416" xr3:uid="{F5F023B7-35D0-497F-B408-EA92F6BB452B}" name="Kolonna8078"/>
    <tableColumn id="8417" xr3:uid="{D0F9413A-0DFC-47C2-89D1-D2C287C39E92}" name="Kolonna8079"/>
    <tableColumn id="8418" xr3:uid="{31FCBA3D-285C-4AA6-AC77-1D58C9AD31EB}" name="Kolonna8080"/>
    <tableColumn id="8419" xr3:uid="{044286B2-4B73-490E-864E-11AD849C24FE}" name="Kolonna8081"/>
    <tableColumn id="8420" xr3:uid="{7A4BA363-4E02-47B1-8B32-C15C9B8B097D}" name="Kolonna8082"/>
    <tableColumn id="8421" xr3:uid="{9DA1CEB4-89EC-4B53-8681-F054F4BE2E26}" name="Kolonna8083"/>
    <tableColumn id="8422" xr3:uid="{505DE211-38B7-4D27-84E9-25A769034B27}" name="Kolonna8084"/>
    <tableColumn id="8423" xr3:uid="{0F74B143-7539-46B1-B21A-191EA7CE5692}" name="Kolonna8085"/>
    <tableColumn id="8424" xr3:uid="{995C8966-A07B-41EE-AFE1-E39EE0EA5959}" name="Kolonna8086"/>
    <tableColumn id="8425" xr3:uid="{9021684F-475E-4B10-9542-753AB17E3FE5}" name="Kolonna8087"/>
    <tableColumn id="8426" xr3:uid="{AF599738-AD01-45F4-8F35-A0D8388C572A}" name="Kolonna8088"/>
    <tableColumn id="8427" xr3:uid="{C599E27A-710E-490B-BBE4-A3B263E691E4}" name="Kolonna8089"/>
    <tableColumn id="8428" xr3:uid="{2F55C14B-41CE-491D-88B2-C097C1B9C8F8}" name="Kolonna8090"/>
    <tableColumn id="8429" xr3:uid="{AF403400-E478-4CD2-AA6B-91CF67D836A0}" name="Kolonna8091"/>
    <tableColumn id="8430" xr3:uid="{C0889403-C073-4C6C-B931-14916F2569D1}" name="Kolonna8092"/>
    <tableColumn id="8431" xr3:uid="{D05AF5C6-9FB7-4BA0-AB80-B85E5299F1DD}" name="Kolonna8093"/>
    <tableColumn id="8432" xr3:uid="{DD552643-A5BD-40AB-B898-7C7ACDD35CBC}" name="Kolonna8094"/>
    <tableColumn id="8433" xr3:uid="{A2F91F7D-FC05-4367-8AAC-17720F94201D}" name="Kolonna8095"/>
    <tableColumn id="8434" xr3:uid="{718FB589-4314-476B-A3E4-093C563E8F50}" name="Kolonna8096"/>
    <tableColumn id="8435" xr3:uid="{3F9CF664-823C-4533-BCDC-114ED9E3FCD4}" name="Kolonna8097"/>
    <tableColumn id="8436" xr3:uid="{4AFD9E1E-4CAA-4F16-ACEC-108F4A940D27}" name="Kolonna8098"/>
    <tableColumn id="8437" xr3:uid="{58812104-5045-43B2-8EE1-32350D780513}" name="Kolonna8099"/>
    <tableColumn id="8438" xr3:uid="{6D3FDC6A-6C3C-4AB7-BE2A-E8D3366E4F85}" name="Kolonna8100"/>
    <tableColumn id="8439" xr3:uid="{95A396A2-84F2-4460-AF0C-F852E3EE32F7}" name="Kolonna8101"/>
    <tableColumn id="8440" xr3:uid="{C0EF8D58-2FDC-4EF4-8C6D-B9551E528B59}" name="Kolonna8102"/>
    <tableColumn id="8441" xr3:uid="{A8517034-9188-4FF0-BE14-0393817645B9}" name="Kolonna8103"/>
    <tableColumn id="8442" xr3:uid="{D07E77D9-DE3C-4C27-AC34-B91449CC493C}" name="Kolonna8104"/>
    <tableColumn id="8443" xr3:uid="{AB38AA09-6385-4734-8059-CD08BA812A8B}" name="Kolonna8105"/>
    <tableColumn id="8444" xr3:uid="{4EAC4FAC-1B4A-4DE6-AE0E-DA0BD4DAA5A0}" name="Kolonna8106"/>
    <tableColumn id="8445" xr3:uid="{C5C092F6-316B-44AC-85CA-2A1C935B0E03}" name="Kolonna8107"/>
    <tableColumn id="8446" xr3:uid="{4F3167C1-D1FC-4F0B-8DBA-F9D5575F6A0A}" name="Kolonna8108"/>
    <tableColumn id="8447" xr3:uid="{34F2A866-B2D0-44B3-A352-7BE863B26168}" name="Kolonna8109"/>
    <tableColumn id="8448" xr3:uid="{21EBC578-F368-4BD3-B376-5FC47E5DADE2}" name="Kolonna8110"/>
    <tableColumn id="8449" xr3:uid="{F6338B2B-50A1-4ECA-B5A6-2D9494CAB4DB}" name="Kolonna8111"/>
    <tableColumn id="8450" xr3:uid="{1120582F-46FA-4F72-A355-0CD3CFABFF6E}" name="Kolonna8112"/>
    <tableColumn id="8451" xr3:uid="{895C65CB-0E97-495E-A44C-38A211ECD3D2}" name="Kolonna8113"/>
    <tableColumn id="8452" xr3:uid="{481D3783-68CC-4124-B341-17367BC3791F}" name="Kolonna8114"/>
    <tableColumn id="8453" xr3:uid="{4BC8D0CC-2B0B-4D58-A50E-B4583730B9AF}" name="Kolonna8115"/>
    <tableColumn id="8454" xr3:uid="{F7CD4589-7E27-40D5-97F4-D94165A10928}" name="Kolonna8116"/>
    <tableColumn id="8455" xr3:uid="{440628F0-E267-42AD-AC93-8B53C4EE2AA3}" name="Kolonna8117"/>
    <tableColumn id="8456" xr3:uid="{7193682D-3741-4E13-A0A2-C3227CAFA485}" name="Kolonna8118"/>
    <tableColumn id="8457" xr3:uid="{851BD071-A55D-44E1-9468-BC8D99FF41F7}" name="Kolonna8119"/>
    <tableColumn id="8458" xr3:uid="{6CDC5C4E-A57E-4D77-90B1-34BE45069C87}" name="Kolonna8120"/>
    <tableColumn id="8459" xr3:uid="{E6405614-C8DC-47FB-AB24-39F5CA815FAB}" name="Kolonna8121"/>
    <tableColumn id="8460" xr3:uid="{19BF579A-F9FD-4C9B-94B4-879644E53FAF}" name="Kolonna8122"/>
    <tableColumn id="8461" xr3:uid="{7F03A5D0-E3E9-4BEE-957A-AD7D0694B053}" name="Kolonna8123"/>
    <tableColumn id="8462" xr3:uid="{0084D0E0-5ED8-437C-86E0-498D9F0C64BC}" name="Kolonna8124"/>
    <tableColumn id="8463" xr3:uid="{2389610A-CA87-47E9-85FD-2DD19B447250}" name="Kolonna8125"/>
    <tableColumn id="8464" xr3:uid="{5B4CB770-D548-44A9-AB1B-7FC7C3EC2064}" name="Kolonna8126"/>
    <tableColumn id="8465" xr3:uid="{65B9479B-BD99-43DC-BD44-52EAEFDE54A0}" name="Kolonna8127"/>
    <tableColumn id="8466" xr3:uid="{E85AD9A4-5085-42A4-BEE7-4EF148F9B134}" name="Kolonna8128"/>
    <tableColumn id="8467" xr3:uid="{D8239ED7-E29B-4B37-95BF-6762FB68BCFC}" name="Kolonna8129"/>
    <tableColumn id="8468" xr3:uid="{D4437C00-BC15-469C-8C76-7E8621D142CA}" name="Kolonna8130"/>
    <tableColumn id="8469" xr3:uid="{DD38EFD8-3956-48E7-8100-9E03EA4AF7E9}" name="Kolonna8131"/>
    <tableColumn id="8470" xr3:uid="{222F0FE9-2867-4416-8881-91A24CA76344}" name="Kolonna8132"/>
    <tableColumn id="8471" xr3:uid="{9E78A814-8CBD-4D99-B306-E2825881578A}" name="Kolonna8133"/>
    <tableColumn id="8472" xr3:uid="{7C726FA3-80DE-47FA-BFA2-0BB318981E3A}" name="Kolonna8134"/>
    <tableColumn id="8473" xr3:uid="{7B9B3CB9-CB34-4B21-BF00-3712B0079F0F}" name="Kolonna8135"/>
    <tableColumn id="8474" xr3:uid="{48D1A91D-1DF6-43F4-8C00-24F2F877B3F9}" name="Kolonna8136"/>
    <tableColumn id="8475" xr3:uid="{446AF082-7E9A-4892-94AC-8E615154019F}" name="Kolonna8137"/>
    <tableColumn id="8476" xr3:uid="{3E04E01E-5B8C-4853-8792-462C6970D367}" name="Kolonna8138"/>
    <tableColumn id="8477" xr3:uid="{85B27A71-136E-4F93-BEA1-5697EA72E857}" name="Kolonna8139"/>
    <tableColumn id="8478" xr3:uid="{64EE1A17-D878-435A-A406-223289A30345}" name="Kolonna8140"/>
    <tableColumn id="8479" xr3:uid="{8D4B3A97-F40B-49CA-9EDB-8576F1D398FC}" name="Kolonna8141"/>
    <tableColumn id="8480" xr3:uid="{6937E856-40DB-48F8-893A-3DAEE132D7FE}" name="Kolonna8142"/>
    <tableColumn id="8481" xr3:uid="{ED195374-541E-4E85-ACA2-23708BDCA92A}" name="Kolonna8143"/>
    <tableColumn id="8482" xr3:uid="{E2590599-DBCB-4629-98C2-AEB7638580EC}" name="Kolonna8144"/>
    <tableColumn id="8483" xr3:uid="{E256DFF2-BA0D-46A9-A004-7A858A6A69EE}" name="Kolonna8145"/>
    <tableColumn id="8484" xr3:uid="{B900749B-6E8C-42FD-8F05-9859F7A92695}" name="Kolonna8146"/>
    <tableColumn id="8485" xr3:uid="{B9BB4B8C-2B52-48F8-8074-FEC47AE20F08}" name="Kolonna8147"/>
    <tableColumn id="8486" xr3:uid="{E6B83AA8-75F8-4944-A74E-192C7E0F5CFF}" name="Kolonna8148"/>
    <tableColumn id="8487" xr3:uid="{59BB59D6-B774-43D2-B2D8-25E1431B94CE}" name="Kolonna8149"/>
    <tableColumn id="8488" xr3:uid="{605A9B12-5876-4D98-B43D-BDA43BD0B9CF}" name="Kolonna8150"/>
    <tableColumn id="8489" xr3:uid="{4C080101-9F3A-4C18-AF72-84AC98ADA5C3}" name="Kolonna8151"/>
    <tableColumn id="8490" xr3:uid="{7F478BEF-4F60-4626-9F2E-658565A5A34E}" name="Kolonna8152"/>
    <tableColumn id="8491" xr3:uid="{975B78F5-4E60-43F6-834B-1C868513C898}" name="Kolonna8153"/>
    <tableColumn id="8492" xr3:uid="{5540C742-9272-4363-A77B-126C0640B9BD}" name="Kolonna8154"/>
    <tableColumn id="8493" xr3:uid="{6CAE7961-B71B-42BE-8256-C54DC67322F9}" name="Kolonna8155"/>
    <tableColumn id="8494" xr3:uid="{2033E7E3-92F8-44D9-882F-42B563CD4A7A}" name="Kolonna8156"/>
    <tableColumn id="8495" xr3:uid="{95019A11-0815-4768-8AA5-01A4EDF7B311}" name="Kolonna8157"/>
    <tableColumn id="8496" xr3:uid="{D1EA0DB4-005A-4E03-A905-7A1CABF47B82}" name="Kolonna8158"/>
    <tableColumn id="8497" xr3:uid="{38FA9D02-E46B-4A1E-9023-E21FBEDF7A44}" name="Kolonna8159"/>
    <tableColumn id="8498" xr3:uid="{D520B282-A181-4256-AFE5-D66B3CB0BF98}" name="Kolonna8160"/>
    <tableColumn id="8499" xr3:uid="{8AF5290E-359E-43D3-9FD5-AADEBE291D10}" name="Kolonna8161"/>
    <tableColumn id="8500" xr3:uid="{3191BDA0-1649-40BF-8F63-08D10CDFD2CB}" name="Kolonna8162"/>
    <tableColumn id="8501" xr3:uid="{288919CD-D142-4A59-84FA-D5EF302BC794}" name="Kolonna8163"/>
    <tableColumn id="8502" xr3:uid="{5E80B499-C42C-4953-A829-08FE2F0FFA81}" name="Kolonna8164"/>
    <tableColumn id="8503" xr3:uid="{7E0E58CC-AA54-4F88-9995-A39649E03F41}" name="Kolonna8165"/>
    <tableColumn id="8504" xr3:uid="{A2BD8A20-8579-4807-975D-8A0BB00D9E6C}" name="Kolonna8166"/>
    <tableColumn id="8505" xr3:uid="{12382B1D-FFE7-4353-AF37-3B8D780E1E79}" name="Kolonna8167"/>
    <tableColumn id="8506" xr3:uid="{73711272-1BA8-4A30-8BFA-D25159CFB562}" name="Kolonna8168"/>
    <tableColumn id="8507" xr3:uid="{5A459D66-774A-4AB7-9DDF-D74EC7CDF70E}" name="Kolonna8169"/>
    <tableColumn id="8508" xr3:uid="{AA546892-4442-4726-BE34-6BA09F34C92C}" name="Kolonna8170"/>
    <tableColumn id="8509" xr3:uid="{E00B2AE0-8AD9-41D8-8ACC-D95054C9E9E0}" name="Kolonna8171"/>
    <tableColumn id="8510" xr3:uid="{B2E6A38D-6A18-4784-8C26-32D3E5B70E2D}" name="Kolonna8172"/>
    <tableColumn id="8511" xr3:uid="{FDCD897C-AA58-4E27-BBA1-15A4D2F5226D}" name="Kolonna8173"/>
    <tableColumn id="8512" xr3:uid="{74EEF246-8CB5-4650-A13D-D113952DA077}" name="Kolonna8174"/>
    <tableColumn id="8513" xr3:uid="{17B60D20-CC28-4B93-AC34-693F948EAAA4}" name="Kolonna8175"/>
    <tableColumn id="8514" xr3:uid="{1E457ED9-0431-4265-9D2D-C4FFAB2F76A5}" name="Kolonna8176"/>
    <tableColumn id="8515" xr3:uid="{37D6617C-7527-4457-9BC6-42243E995C46}" name="Kolonna8177"/>
    <tableColumn id="8516" xr3:uid="{4E1FF5B9-B361-4C1C-B7B9-BBD1244F4495}" name="Kolonna8178"/>
    <tableColumn id="8517" xr3:uid="{F2FC35A2-6A27-420A-8F29-DA1F9350B473}" name="Kolonna8179"/>
    <tableColumn id="8518" xr3:uid="{6466E5AC-3E27-494C-ADF0-800EFCE7D8EA}" name="Kolonna8180"/>
    <tableColumn id="8519" xr3:uid="{2DDBE379-12DF-4168-8495-BD93E81F41DA}" name="Kolonna8181"/>
    <tableColumn id="8520" xr3:uid="{3EF7F187-73B3-46E2-A16D-24BE68B42522}" name="Kolonna8182"/>
    <tableColumn id="8521" xr3:uid="{D7013985-9295-4275-BE6A-972B7DFA88DA}" name="Kolonna8183"/>
    <tableColumn id="8522" xr3:uid="{7E56049F-0125-49CB-BB04-250958FC1D5B}" name="Kolonna8184"/>
    <tableColumn id="8523" xr3:uid="{3BD5AA26-5A29-4292-874E-E4AA3F1D30C0}" name="Kolonna8185"/>
    <tableColumn id="8524" xr3:uid="{BCED96D1-CA90-4369-BDA5-00EFE4585871}" name="Kolonna8186"/>
    <tableColumn id="8525" xr3:uid="{62FB68F5-E878-44BE-BF5D-86CE65484CA4}" name="Kolonna8187"/>
    <tableColumn id="8526" xr3:uid="{9CD4CC70-8C9C-463A-A80F-1E804C219A22}" name="Kolonna8188"/>
    <tableColumn id="8527" xr3:uid="{B37AD537-C971-442E-AB73-82642BCAD331}" name="Kolonna8189"/>
    <tableColumn id="8528" xr3:uid="{5EB2A4F0-DC8D-4200-AD29-706A986E74DD}" name="Kolonna8190"/>
    <tableColumn id="8529" xr3:uid="{8132CE43-A643-49C7-A70A-80B3E6188DB9}" name="Kolonna8191"/>
    <tableColumn id="8530" xr3:uid="{66852F85-7E87-4592-8199-6781BD917498}" name="Kolonna8192"/>
    <tableColumn id="8531" xr3:uid="{A5FF2341-AE14-42C8-8BBD-8D8E583DBFA1}" name="Kolonna8193"/>
    <tableColumn id="8532" xr3:uid="{05757F66-8ECF-4E7C-9C15-BF0244104578}" name="Kolonna8194"/>
    <tableColumn id="8533" xr3:uid="{3667F967-F4C4-49FE-9E9E-C6FB64624646}" name="Kolonna8195"/>
    <tableColumn id="8534" xr3:uid="{6A608428-5228-4656-AF00-DF7D1305607D}" name="Kolonna8196"/>
    <tableColumn id="8535" xr3:uid="{4A7810AF-FAE2-4518-A5EC-13595D30B38E}" name="Kolonna8197"/>
    <tableColumn id="8536" xr3:uid="{723DAF08-F82E-491D-B871-C2F3BE5C8BF7}" name="Kolonna8198"/>
    <tableColumn id="8537" xr3:uid="{4D261002-9314-46F5-B5A8-5610FEC80F50}" name="Kolonna8199"/>
    <tableColumn id="8538" xr3:uid="{B97D2D4F-F8EA-4AFF-8A3E-98AE0A395FFD}" name="Kolonna8200"/>
    <tableColumn id="8539" xr3:uid="{8EDEFFCC-17E6-4BDC-BBBE-AFC8FB0CAC67}" name="Kolonna8201"/>
    <tableColumn id="8540" xr3:uid="{211B18FA-493A-4270-9D51-A1EB54E6099C}" name="Kolonna8202"/>
    <tableColumn id="8541" xr3:uid="{D0E2EAA2-ED16-4EE6-BDBF-7CFD72AC0FD2}" name="Kolonna8203"/>
    <tableColumn id="8542" xr3:uid="{187603C5-8D90-4432-9AB1-AD71AD1A21F2}" name="Kolonna8204"/>
    <tableColumn id="8543" xr3:uid="{D92D11F6-01F2-4C4A-BBE7-410A46B6AD30}" name="Kolonna8205"/>
    <tableColumn id="8544" xr3:uid="{03902F18-86B6-4869-9182-1512FF0E3CAE}" name="Kolonna8206"/>
    <tableColumn id="8545" xr3:uid="{F47DE20C-40DD-47DD-A9A8-93E5F22CCB73}" name="Kolonna8207"/>
    <tableColumn id="8546" xr3:uid="{A45A16A9-F4E0-4628-B8A7-6D644984E07D}" name="Kolonna8208"/>
    <tableColumn id="8547" xr3:uid="{2AA0C0B8-7020-49E1-AEB1-4094FEFF1CD7}" name="Kolonna8209"/>
    <tableColumn id="8548" xr3:uid="{BF85B60F-511B-48F6-8A97-F58B0E877181}" name="Kolonna8210"/>
    <tableColumn id="8549" xr3:uid="{4F71726C-40BA-4465-A050-7AB3E32818BB}" name="Kolonna8211"/>
    <tableColumn id="8550" xr3:uid="{2269CA89-F416-48DD-8295-CCF65636AF6B}" name="Kolonna8212"/>
    <tableColumn id="8551" xr3:uid="{EE2A494C-4C1D-453C-8248-90C604038977}" name="Kolonna8213"/>
    <tableColumn id="8552" xr3:uid="{9ED749E8-EC97-43D0-85A3-CA7B1409E9E7}" name="Kolonna8214"/>
    <tableColumn id="8553" xr3:uid="{E05A72BA-23C3-49ED-8288-023B3A80DF11}" name="Kolonna8215"/>
    <tableColumn id="8554" xr3:uid="{2345A98B-87BC-4F11-96E0-9D0AFA32D024}" name="Kolonna8216"/>
    <tableColumn id="8555" xr3:uid="{83E4ED15-F88B-4929-8F4B-11F26E7DE704}" name="Kolonna8217"/>
    <tableColumn id="8556" xr3:uid="{F119B683-014D-4375-815D-12686D037875}" name="Kolonna8218"/>
    <tableColumn id="8557" xr3:uid="{D74DCBCA-8707-4A26-B872-436131D63A3E}" name="Kolonna8219"/>
    <tableColumn id="8558" xr3:uid="{29088792-BFFD-4040-9032-FD437233DC46}" name="Kolonna8220"/>
    <tableColumn id="8559" xr3:uid="{051EFC5A-DE5A-4615-9D73-1E3FC747F0EB}" name="Kolonna8221"/>
    <tableColumn id="8560" xr3:uid="{912B6EE5-8B3E-4692-84E2-E16B854CCFF9}" name="Kolonna8222"/>
    <tableColumn id="8561" xr3:uid="{1F94F732-ED4D-4C5B-8167-4C8B948A11F7}" name="Kolonna8223"/>
    <tableColumn id="8562" xr3:uid="{7CC0159C-9BA4-4467-B0AF-4CEC2C0A5ED8}" name="Kolonna8224"/>
    <tableColumn id="8563" xr3:uid="{3659B0EA-BDB5-4E82-AA1B-91F2CC136C56}" name="Kolonna8225"/>
    <tableColumn id="8564" xr3:uid="{216A94A7-4000-4D51-91BD-D0CEB7D8CD85}" name="Kolonna8226"/>
    <tableColumn id="8565" xr3:uid="{94841D04-1B09-4149-A4C5-13F5862FC93E}" name="Kolonna8227"/>
    <tableColumn id="8566" xr3:uid="{A4FFCE3B-AEFA-48CD-9690-83958E42F19F}" name="Kolonna8228"/>
    <tableColumn id="8567" xr3:uid="{E72AF67A-86F7-4BBD-BAD4-63DD7359AF0F}" name="Kolonna8229"/>
    <tableColumn id="8568" xr3:uid="{664018CB-5789-49E9-A5A0-421031F7CD9C}" name="Kolonna8230"/>
    <tableColumn id="8569" xr3:uid="{B0F70BD8-0364-484D-A705-522858BF9FF2}" name="Kolonna8231"/>
    <tableColumn id="8570" xr3:uid="{EE664877-7187-404E-95F1-8EBEB7FC8152}" name="Kolonna8232"/>
    <tableColumn id="8571" xr3:uid="{B64F230D-1491-4EF8-9F40-AB2884C94891}" name="Kolonna8233"/>
    <tableColumn id="8572" xr3:uid="{FBC295BF-296A-4C49-B318-6AB208163048}" name="Kolonna8234"/>
    <tableColumn id="8573" xr3:uid="{57F80CF7-D9EA-472C-9A0C-0C9A0983A623}" name="Kolonna8235"/>
    <tableColumn id="8574" xr3:uid="{A0E57486-52AA-4285-87E9-22128AFA5B5C}" name="Kolonna8236"/>
    <tableColumn id="8575" xr3:uid="{99FFC1DE-0FF3-4204-AF5F-3DCCE2EAA4BC}" name="Kolonna8237"/>
    <tableColumn id="8576" xr3:uid="{2CA70FEB-2B27-4444-B472-6A32C97124C0}" name="Kolonna8238"/>
    <tableColumn id="8577" xr3:uid="{CDE60E7C-255D-4D56-A50D-295C4CBE0553}" name="Kolonna8239"/>
    <tableColumn id="8578" xr3:uid="{04A4F3F5-FB62-4444-848B-18A7F89A4DE6}" name="Kolonna8240"/>
    <tableColumn id="8579" xr3:uid="{8F2DA6E8-C303-4B29-B3C2-544156E6063A}" name="Kolonna8241"/>
    <tableColumn id="8580" xr3:uid="{8DCC34B9-9820-4942-8DB7-F85380F97E69}" name="Kolonna8242"/>
    <tableColumn id="8581" xr3:uid="{76BCA6EC-4467-467A-8D67-3D3AC239804A}" name="Kolonna8243"/>
    <tableColumn id="8582" xr3:uid="{9B957538-E180-4B09-8912-69C82BA9F4C0}" name="Kolonna8244"/>
    <tableColumn id="8583" xr3:uid="{1217FBD1-A0B5-4188-9E0A-6549C11AE8F8}" name="Kolonna8245"/>
    <tableColumn id="8584" xr3:uid="{1C2D7859-BCC5-4EE1-8CE9-C10A09DB574C}" name="Kolonna8246"/>
    <tableColumn id="8585" xr3:uid="{A784BB93-435B-44CE-9031-B9437929A76E}" name="Kolonna8247"/>
    <tableColumn id="8586" xr3:uid="{95873AC7-36C5-44C0-974A-76DA5E3D600F}" name="Kolonna8248"/>
    <tableColumn id="8587" xr3:uid="{03856F5D-885F-4A64-AE44-9CC75B3DA45A}" name="Kolonna8249"/>
    <tableColumn id="8588" xr3:uid="{5EE562DD-B67A-40B8-8872-589105A2B3E3}" name="Kolonna8250"/>
    <tableColumn id="8589" xr3:uid="{88816A11-8C31-426B-9DE5-75D92E1F9949}" name="Kolonna8251"/>
    <tableColumn id="8590" xr3:uid="{49A4F099-9164-4DBA-9BEB-A46FECEA9F35}" name="Kolonna8252"/>
    <tableColumn id="8591" xr3:uid="{00E8BE95-5E16-4D45-B969-A52F07FB052B}" name="Kolonna8253"/>
    <tableColumn id="8592" xr3:uid="{61CCAA92-5F18-44CD-BBF0-C792520D2477}" name="Kolonna8254"/>
    <tableColumn id="8593" xr3:uid="{91D9DBEB-3B82-48B3-8AAE-CDA3CD5E5F46}" name="Kolonna8255"/>
    <tableColumn id="8594" xr3:uid="{CD87C9B3-81DB-460D-A566-9DC54AA50047}" name="Kolonna8256"/>
    <tableColumn id="8595" xr3:uid="{CC5CEE4B-50C7-409B-8D64-891062AB5FBE}" name="Kolonna8257"/>
    <tableColumn id="8596" xr3:uid="{C57C0755-470F-416E-A6E8-7799C29A1CE2}" name="Kolonna8258"/>
    <tableColumn id="8597" xr3:uid="{1590C422-E73E-462B-A67E-6E4DD582D0A4}" name="Kolonna8259"/>
    <tableColumn id="8598" xr3:uid="{26861A1C-F925-4AD0-A083-F35E72BB4A0C}" name="Kolonna8260"/>
    <tableColumn id="8599" xr3:uid="{79A77ED5-BA38-420F-8AF0-DE6CF11FD020}" name="Kolonna8261"/>
    <tableColumn id="8600" xr3:uid="{A792A2B8-6087-4306-B481-23F4A059416E}" name="Kolonna8262"/>
    <tableColumn id="8601" xr3:uid="{2B034A85-7045-4F62-98EE-1A298D3FEC52}" name="Kolonna8263"/>
    <tableColumn id="8602" xr3:uid="{46D5F2F1-9BA3-4744-948B-E1C76C4B8845}" name="Kolonna8264"/>
    <tableColumn id="8603" xr3:uid="{D07B6ECF-AE71-4F11-9528-AA945A74AD47}" name="Kolonna8265"/>
    <tableColumn id="8604" xr3:uid="{303B81C2-C412-4D28-82FF-E1137D2C6B4D}" name="Kolonna8266"/>
    <tableColumn id="8605" xr3:uid="{139BF785-C37C-4039-9737-6DBB0E329816}" name="Kolonna8267"/>
    <tableColumn id="8606" xr3:uid="{97480C83-ED5B-4E92-89C9-695BDABF52E4}" name="Kolonna8268"/>
    <tableColumn id="8607" xr3:uid="{65B6228E-5A3C-465E-BA1F-13BEE527C5C8}" name="Kolonna8269"/>
    <tableColumn id="8608" xr3:uid="{86AF59AB-8519-438A-BA0A-53EAE050A8AC}" name="Kolonna8270"/>
    <tableColumn id="8609" xr3:uid="{4AC1470A-5FD0-470B-860B-3BF997F4F48E}" name="Kolonna8271"/>
    <tableColumn id="8610" xr3:uid="{1B863A0C-2975-4CFD-BB84-FF6FADBF7BE2}" name="Kolonna8272"/>
    <tableColumn id="8611" xr3:uid="{AF540F96-F4A7-4A30-B40D-2C82282C0145}" name="Kolonna8273"/>
    <tableColumn id="8612" xr3:uid="{BC384F32-B8A2-494C-A1B8-EF33182B3805}" name="Kolonna8274"/>
    <tableColumn id="8613" xr3:uid="{A0EDA65E-704D-4A55-8BB6-5B48179F72CC}" name="Kolonna8275"/>
    <tableColumn id="8614" xr3:uid="{D942919A-7CE7-4217-B6F0-D18BD7EA658B}" name="Kolonna8276"/>
    <tableColumn id="8615" xr3:uid="{A9C6BC98-6374-4D93-ADE3-1E4EC34D912A}" name="Kolonna8277"/>
    <tableColumn id="8616" xr3:uid="{BF665361-83E3-4ABE-A22D-99AA89DCEA26}" name="Kolonna8278"/>
    <tableColumn id="8617" xr3:uid="{4A647CFE-227E-4332-8A51-ADB8F884B78D}" name="Kolonna8279"/>
    <tableColumn id="8618" xr3:uid="{C15052A3-C2D3-487F-9B36-4A7F17CDDCFC}" name="Kolonna8280"/>
    <tableColumn id="8619" xr3:uid="{467AC07A-4C4E-415A-ADBD-D64A4916C236}" name="Kolonna8281"/>
    <tableColumn id="8620" xr3:uid="{17BA810B-4FD0-4A42-B013-1F0A4E836383}" name="Kolonna8282"/>
    <tableColumn id="8621" xr3:uid="{0AFF26F7-7AD1-40EB-B7A5-5EB1B73C9823}" name="Kolonna8283"/>
    <tableColumn id="8622" xr3:uid="{492A9DE9-7B67-4FCD-AF8F-F819708CF9DE}" name="Kolonna8284"/>
    <tableColumn id="8623" xr3:uid="{567A6CF2-7F37-4E8A-9143-F95817AB54C6}" name="Kolonna8285"/>
    <tableColumn id="8624" xr3:uid="{46B1D0EA-A3F2-44E1-B4F5-42BDE3BD1DC6}" name="Kolonna8286"/>
    <tableColumn id="8625" xr3:uid="{58BB2430-B0A9-47E8-A2F7-F4042CF7976D}" name="Kolonna8287"/>
    <tableColumn id="8626" xr3:uid="{07B82061-1191-4308-B280-D6F298CFBDEF}" name="Kolonna8288"/>
    <tableColumn id="8627" xr3:uid="{C6C8FE41-41A5-46B5-B50B-AFE8CAFDA68F}" name="Kolonna8289"/>
    <tableColumn id="8628" xr3:uid="{B7D23CBF-6BBF-41F7-ADE4-641FEC3FEA16}" name="Kolonna8290"/>
    <tableColumn id="8629" xr3:uid="{AF716AB2-D46F-41A7-BD77-9A35ED90A81B}" name="Kolonna8291"/>
    <tableColumn id="8630" xr3:uid="{8289FBF1-69A9-49DB-9B6B-8E4C25DEA34D}" name="Kolonna8292"/>
    <tableColumn id="8631" xr3:uid="{1340DE39-185C-4603-9573-A3D1BEA6772F}" name="Kolonna8293"/>
    <tableColumn id="8632" xr3:uid="{306A8930-5596-43E7-9E82-BAE7D3B057DA}" name="Kolonna8294"/>
    <tableColumn id="8633" xr3:uid="{6305857A-F51E-4949-82B6-E8937863A132}" name="Kolonna8295"/>
    <tableColumn id="8634" xr3:uid="{6E05B832-025A-42E1-8AAD-221A1B00DC49}" name="Kolonna8296"/>
    <tableColumn id="8635" xr3:uid="{A1588B9D-C221-47C7-A754-F27371B01ED9}" name="Kolonna8297"/>
    <tableColumn id="8636" xr3:uid="{54D2E797-7184-4CEA-AA7B-CFD16499D4AE}" name="Kolonna8298"/>
    <tableColumn id="8637" xr3:uid="{4954ECC5-21D5-4998-B62E-3DC38D3A174B}" name="Kolonna8299"/>
    <tableColumn id="8638" xr3:uid="{574FDB03-EE2B-4402-8492-06C6490A6E51}" name="Kolonna8300"/>
    <tableColumn id="8639" xr3:uid="{68BFC2A9-A221-4BAF-97E5-856D55B4798D}" name="Kolonna8301"/>
    <tableColumn id="8640" xr3:uid="{B0FD45B9-BA2C-4516-BCB8-B23D675AA57A}" name="Kolonna8302"/>
    <tableColumn id="8641" xr3:uid="{73293B1D-9370-4427-B6FD-7B5BE7659AE7}" name="Kolonna8303"/>
    <tableColumn id="8642" xr3:uid="{F3F77695-1ED6-49BD-BA94-8529C1151DB4}" name="Kolonna8304"/>
    <tableColumn id="8643" xr3:uid="{F50250DD-18D1-4D07-B298-946F3348C530}" name="Kolonna8305"/>
    <tableColumn id="8644" xr3:uid="{D17849C5-019D-4CA2-9047-1F66A0E84A7C}" name="Kolonna8306"/>
    <tableColumn id="8645" xr3:uid="{06FFB75C-2C8B-4DED-ADBC-F0BED423C01D}" name="Kolonna8307"/>
    <tableColumn id="8646" xr3:uid="{9CBDB763-9459-4070-93B8-5DF7D8299F2C}" name="Kolonna8308"/>
    <tableColumn id="8647" xr3:uid="{E60B51BA-4470-420A-B474-1FA654EF090C}" name="Kolonna8309"/>
    <tableColumn id="8648" xr3:uid="{18927ACE-59DB-48D6-8C74-3A8B405BCF58}" name="Kolonna8310"/>
    <tableColumn id="8649" xr3:uid="{B72F8FF5-673F-450C-90B6-59208F936E99}" name="Kolonna8311"/>
    <tableColumn id="8650" xr3:uid="{031527FA-F2E6-432B-A048-637F5F993F8A}" name="Kolonna8312"/>
    <tableColumn id="8651" xr3:uid="{2C3A185A-5580-425D-9320-6CDE3B930D58}" name="Kolonna8313"/>
    <tableColumn id="8652" xr3:uid="{F3E1DD9D-3D72-4A3D-967C-027F11BF59A9}" name="Kolonna8314"/>
    <tableColumn id="8653" xr3:uid="{7AA42724-4BD7-49C3-8F8A-A177AE1BEE0F}" name="Kolonna8315"/>
    <tableColumn id="8654" xr3:uid="{457C2A55-A2D5-4A48-AE10-D4B79E439B05}" name="Kolonna8316"/>
    <tableColumn id="8655" xr3:uid="{AB5E9A91-BEA7-49B3-88A6-09D3ED2F5D16}" name="Kolonna8317"/>
    <tableColumn id="8656" xr3:uid="{85D3A581-92A7-4CD3-9804-34E1DD1EC605}" name="Kolonna8318"/>
    <tableColumn id="8657" xr3:uid="{D6BFC0D6-E60A-4C9F-A05A-3B0269E7FE74}" name="Kolonna8319"/>
    <tableColumn id="8658" xr3:uid="{22A8EA04-BB29-42AC-9BD8-75B086BA1B14}" name="Kolonna8320"/>
    <tableColumn id="8659" xr3:uid="{4AA10B32-E623-49B0-99F2-A4F3B3C29333}" name="Kolonna8321"/>
    <tableColumn id="8660" xr3:uid="{4D1E938A-45EB-43D3-B4D4-FF27840F7459}" name="Kolonna8322"/>
    <tableColumn id="8661" xr3:uid="{3759886C-6E39-4B4D-9CB6-B0529FD02A9C}" name="Kolonna8323"/>
    <tableColumn id="8662" xr3:uid="{E1CA9C70-D917-4FAC-A76E-7EB57BE67132}" name="Kolonna8324"/>
    <tableColumn id="8663" xr3:uid="{244C1B25-64AD-4CF6-B2BA-A7704F6FBD01}" name="Kolonna8325"/>
    <tableColumn id="8664" xr3:uid="{627A96F9-361A-4EEA-91FB-57BF6E71C839}" name="Kolonna8326"/>
    <tableColumn id="8665" xr3:uid="{BB3D30E9-7C0A-4721-B9EC-CBC4CB4E9F93}" name="Kolonna8327"/>
    <tableColumn id="8666" xr3:uid="{A9205BA1-19CD-4367-9677-5CD9F222456E}" name="Kolonna8328"/>
    <tableColumn id="8667" xr3:uid="{35D59F91-7601-419B-94FA-D47E345A12A5}" name="Kolonna8329"/>
    <tableColumn id="8668" xr3:uid="{B912831C-418C-4011-BEB9-3006A1AFE183}" name="Kolonna8330"/>
    <tableColumn id="8669" xr3:uid="{55EE1E59-9EB7-4E4A-8512-DFC4C28A9E6A}" name="Kolonna8331"/>
    <tableColumn id="8670" xr3:uid="{7A6CB00A-1E27-4445-AE00-B14420652565}" name="Kolonna8332"/>
    <tableColumn id="8671" xr3:uid="{15DEF813-C0EF-4774-A550-285ADAB9E53F}" name="Kolonna8333"/>
    <tableColumn id="8672" xr3:uid="{AE40CE35-F375-4F3F-90B6-7C59EEB1E146}" name="Kolonna8334"/>
    <tableColumn id="8673" xr3:uid="{A0FAC1A9-635D-4D54-9360-4918B3595315}" name="Kolonna8335"/>
    <tableColumn id="8674" xr3:uid="{B4FF7529-1837-4E12-BD6E-98468FFB44ED}" name="Kolonna8336"/>
    <tableColumn id="8675" xr3:uid="{12CAD217-5580-427F-BF03-A75D1E11DF04}" name="Kolonna8337"/>
    <tableColumn id="8676" xr3:uid="{D47229FF-2C41-480E-ACB0-9A606A456984}" name="Kolonna8338"/>
    <tableColumn id="8677" xr3:uid="{CFC7B5A6-A342-459E-A112-97F2705FD0E1}" name="Kolonna8339"/>
    <tableColumn id="8678" xr3:uid="{3BB0A45E-B9DB-404D-A78E-354D0092BD33}" name="Kolonna8340"/>
    <tableColumn id="8679" xr3:uid="{464AECCB-3E9D-4F7D-B6B3-4CD510924509}" name="Kolonna8341"/>
    <tableColumn id="8680" xr3:uid="{B92179DE-626C-4CF8-9A66-1F65E4699BED}" name="Kolonna8342"/>
    <tableColumn id="8681" xr3:uid="{4CAD0725-1835-421C-848F-E7351F50FC6C}" name="Kolonna8343"/>
    <tableColumn id="8682" xr3:uid="{5A644252-7D5E-4556-A31F-FCAD7E28E25D}" name="Kolonna8344"/>
    <tableColumn id="8683" xr3:uid="{902A14F8-CDCE-4032-80BB-2161004A0167}" name="Kolonna8345"/>
    <tableColumn id="8684" xr3:uid="{B79A1AAD-1D6C-4C1D-9C6F-50DF28DE92A4}" name="Kolonna8346"/>
    <tableColumn id="8685" xr3:uid="{6F308259-6042-4E34-9ECF-0088FB586EC6}" name="Kolonna8347"/>
    <tableColumn id="8686" xr3:uid="{381ED54D-6C89-4C21-8815-E37D95DED009}" name="Kolonna8348"/>
    <tableColumn id="8687" xr3:uid="{AA233FF0-E7AF-474D-8B83-77484C7B0CE0}" name="Kolonna8349"/>
    <tableColumn id="8688" xr3:uid="{44563894-EBE0-4782-BEEB-1F90DEC5B067}" name="Kolonna8350"/>
    <tableColumn id="8689" xr3:uid="{EC2D3A32-23A2-48BF-93DE-86138AA7B6F1}" name="Kolonna8351"/>
    <tableColumn id="8690" xr3:uid="{4DE0C841-0C74-4662-B076-CE8D15B5CF05}" name="Kolonna8352"/>
    <tableColumn id="8691" xr3:uid="{52932ED9-427A-4226-96C4-0841724DE3D1}" name="Kolonna8353"/>
    <tableColumn id="8692" xr3:uid="{F5750DEB-4EE4-46C3-91D8-25C1AD0DFE81}" name="Kolonna8354"/>
    <tableColumn id="8693" xr3:uid="{05C6404F-9F3D-49E1-A391-B9A3023AF312}" name="Kolonna8355"/>
    <tableColumn id="8694" xr3:uid="{AAE0D9B5-127A-4528-8DC1-BB362DD67260}" name="Kolonna8356"/>
    <tableColumn id="8695" xr3:uid="{B25CAD5D-282A-4A0C-A1FB-0499005CB884}" name="Kolonna8357"/>
    <tableColumn id="8696" xr3:uid="{1203AD8F-3BBA-48DD-A354-7C2B5C5414AB}" name="Kolonna8358"/>
    <tableColumn id="8697" xr3:uid="{34705D32-793A-4FA7-98F7-729D1D1652D6}" name="Kolonna8359"/>
    <tableColumn id="8698" xr3:uid="{38C1FE29-D24F-48CF-86B0-F49DD0EA3561}" name="Kolonna8360"/>
    <tableColumn id="8699" xr3:uid="{566250E7-1739-4E4B-880D-FC9C0CBBF4FF}" name="Kolonna8361"/>
    <tableColumn id="8700" xr3:uid="{A50A1BE3-74D1-4CE5-AC5D-EE3DEF948689}" name="Kolonna8362"/>
    <tableColumn id="8701" xr3:uid="{8E389E74-EEA2-4146-9E9F-AE6D036A119C}" name="Kolonna8363"/>
    <tableColumn id="8702" xr3:uid="{880B72E1-1199-440A-80A7-FB8171962C19}" name="Kolonna8364"/>
    <tableColumn id="8703" xr3:uid="{BD083AD5-0E46-4B60-8BE3-3B9C22C85B66}" name="Kolonna8365"/>
    <tableColumn id="8704" xr3:uid="{731C3EAB-AB64-4B53-8495-B2F93A49FFED}" name="Kolonna8366"/>
    <tableColumn id="8705" xr3:uid="{F0B89332-FE54-4734-9ED4-DE4E47C88EEC}" name="Kolonna8367"/>
    <tableColumn id="8706" xr3:uid="{2650CD52-B01A-4505-B76E-D123DD9C0D82}" name="Kolonna8368"/>
    <tableColumn id="8707" xr3:uid="{24A16174-87CB-4442-AE59-8C2B2E530171}" name="Kolonna8369"/>
    <tableColumn id="8708" xr3:uid="{AEF46D42-BE17-41DC-806E-4A3FC689C4A9}" name="Kolonna8370"/>
    <tableColumn id="8709" xr3:uid="{4C41F44E-3214-462F-9825-E2A47D2F9AC8}" name="Kolonna8371"/>
    <tableColumn id="8710" xr3:uid="{2E7085D4-C0A4-45F5-8B2D-BC6939CC22BA}" name="Kolonna8372"/>
    <tableColumn id="8711" xr3:uid="{7AFD8163-15E9-4258-920E-98F0AE333C34}" name="Kolonna8373"/>
    <tableColumn id="8712" xr3:uid="{BC5E1C1D-091E-41C4-834E-122ED4181CB0}" name="Kolonna8374"/>
    <tableColumn id="8713" xr3:uid="{BD1923FC-0654-43EE-A1E4-8451C0F5871B}" name="Kolonna8375"/>
    <tableColumn id="8714" xr3:uid="{0FD24890-7D80-418B-BD1E-1AA365E8E38B}" name="Kolonna8376"/>
    <tableColumn id="8715" xr3:uid="{A807818C-9256-4C38-9555-55D909DFB5EF}" name="Kolonna8377"/>
    <tableColumn id="8716" xr3:uid="{23AEAA0E-8E4A-4AE9-91E9-CE25B78C1D18}" name="Kolonna8378"/>
    <tableColumn id="8717" xr3:uid="{D6F310F9-9CA7-44E4-A8FF-5D9F3E87B72C}" name="Kolonna8379"/>
    <tableColumn id="8718" xr3:uid="{8C0D8DBC-C462-413B-8840-D4F42BE6036F}" name="Kolonna8380"/>
    <tableColumn id="8719" xr3:uid="{ECCB637F-4D72-46CE-A8C2-EB62E38562F7}" name="Kolonna8381"/>
    <tableColumn id="8720" xr3:uid="{9C9EF6F8-F359-4F47-B34B-F540868DC36A}" name="Kolonna8382"/>
    <tableColumn id="8721" xr3:uid="{F9777329-3F27-4F7D-9218-A850918E3FD4}" name="Kolonna8383"/>
    <tableColumn id="8722" xr3:uid="{52D5D342-1280-4EAC-B486-086859F7127C}" name="Kolonna8384"/>
    <tableColumn id="8723" xr3:uid="{5365825F-9E06-48AC-AA1E-25FC29732DB2}" name="Kolonna8385"/>
    <tableColumn id="8724" xr3:uid="{A2C65D91-4490-4DAA-8F15-7C2B011DB706}" name="Kolonna8386"/>
    <tableColumn id="8725" xr3:uid="{93850F40-4C71-4F4B-9EC7-A8EDA0A89CC3}" name="Kolonna8387"/>
    <tableColumn id="8726" xr3:uid="{A849084B-4420-496C-8ACE-A00D561D5B9E}" name="Kolonna8388"/>
    <tableColumn id="8727" xr3:uid="{EB7625B5-A839-4216-858E-CB550A7BA870}" name="Kolonna8389"/>
    <tableColumn id="8728" xr3:uid="{5C9A6895-DAD7-4A43-8C0E-86211748809E}" name="Kolonna8390"/>
    <tableColumn id="8729" xr3:uid="{E518E0EE-75F7-4B0E-A847-83630353F70D}" name="Kolonna8391"/>
    <tableColumn id="8730" xr3:uid="{55343C6B-9A11-4CE6-8B9D-5ED3ABD4C70B}" name="Kolonna8392"/>
    <tableColumn id="8731" xr3:uid="{0E751F0C-BDB9-49DE-8F04-FCE476AD18A8}" name="Kolonna8393"/>
    <tableColumn id="8732" xr3:uid="{721E4042-C3A1-4A8F-A037-C867A423463F}" name="Kolonna8394"/>
    <tableColumn id="8733" xr3:uid="{0AC448B7-7960-4184-B559-0C12EA1156F2}" name="Kolonna8395"/>
    <tableColumn id="8734" xr3:uid="{85B790AD-FDD2-4C23-897B-2811B25340B4}" name="Kolonna8396"/>
    <tableColumn id="8735" xr3:uid="{434D0EA7-036D-4D6A-89F0-B5D35D414AC7}" name="Kolonna8397"/>
    <tableColumn id="8736" xr3:uid="{018851FA-DD22-44CB-887F-B2B03981CE8C}" name="Kolonna8398"/>
    <tableColumn id="8737" xr3:uid="{B9403BBF-A808-4351-93A7-914310D7B7C4}" name="Kolonna8399"/>
    <tableColumn id="8738" xr3:uid="{80858166-5B5A-4DE8-9872-557D1ED272BC}" name="Kolonna8400"/>
    <tableColumn id="8739" xr3:uid="{106AA8AC-1270-460B-B580-88393C223A27}" name="Kolonna8401"/>
    <tableColumn id="8740" xr3:uid="{481FCA2F-9E2A-4C9F-A15E-A369B0D23AB6}" name="Kolonna8402"/>
    <tableColumn id="8741" xr3:uid="{7E27434D-D44F-43E4-A8DD-61ADB62CBEE1}" name="Kolonna8403"/>
    <tableColumn id="8742" xr3:uid="{B2F1C974-2F82-468F-9D8B-3C5317D0A168}" name="Kolonna8404"/>
    <tableColumn id="8743" xr3:uid="{73D1A98B-6698-44C6-A90F-EE15CC263C28}" name="Kolonna8405"/>
    <tableColumn id="8744" xr3:uid="{5C7E02DF-E60C-47D7-AD87-8F524D99D33A}" name="Kolonna8406"/>
    <tableColumn id="8745" xr3:uid="{18B51DAF-FF08-4D7A-8107-F1F0572E0823}" name="Kolonna8407"/>
    <tableColumn id="8746" xr3:uid="{E20B4BD5-8E62-4B35-A343-0AAB749FFFED}" name="Kolonna8408"/>
    <tableColumn id="8747" xr3:uid="{7C0FECF1-09A2-414D-8359-371BDA7AB73B}" name="Kolonna8409"/>
    <tableColumn id="8748" xr3:uid="{21D790ED-CF65-4E59-A692-3F0D071ADDE6}" name="Kolonna8410"/>
    <tableColumn id="8749" xr3:uid="{8F6B15D0-CB59-4A84-902A-BE93E410512C}" name="Kolonna8411"/>
    <tableColumn id="8750" xr3:uid="{CD5F6B9F-BA4B-498F-829D-9DCB785CA96B}" name="Kolonna8412"/>
    <tableColumn id="8751" xr3:uid="{6480B25E-0F37-4241-9016-C73B0D41311F}" name="Kolonna8413"/>
    <tableColumn id="8752" xr3:uid="{84425C4F-CFF3-46D3-81F9-BD91EEFFBCCE}" name="Kolonna8414"/>
    <tableColumn id="8753" xr3:uid="{1AB86B92-AF3A-4921-ACBC-4C7B99224113}" name="Kolonna8415"/>
    <tableColumn id="8754" xr3:uid="{6DAD45E7-DCC6-4612-8834-7E5ED7ED8C24}" name="Kolonna8416"/>
    <tableColumn id="8755" xr3:uid="{FE96EB4B-3C30-4456-8ED0-F9D0399DB0FD}" name="Kolonna8417"/>
    <tableColumn id="8756" xr3:uid="{FDD5A2C1-0015-44AB-9739-1E2833ABBC88}" name="Kolonna8418"/>
    <tableColumn id="8757" xr3:uid="{8BF1877A-1666-44D8-AC2B-8D486454B594}" name="Kolonna8419"/>
    <tableColumn id="8758" xr3:uid="{99B44AAE-AEC5-4A3E-A519-8DCE1EEAE6E6}" name="Kolonna8420"/>
    <tableColumn id="8759" xr3:uid="{54EC02A9-6134-4D70-AF54-0D9C14511AB5}" name="Kolonna8421"/>
    <tableColumn id="8760" xr3:uid="{5ED67698-14A2-422B-8CDF-F446FAADA394}" name="Kolonna8422"/>
    <tableColumn id="8761" xr3:uid="{3A066C89-8C83-40F3-A49E-1445B550E035}" name="Kolonna8423"/>
    <tableColumn id="8762" xr3:uid="{27F5A60B-A408-42D6-84B2-1D568ABC9847}" name="Kolonna8424"/>
    <tableColumn id="8763" xr3:uid="{C6C5FFF0-CB6F-414B-A95E-552B62804AAA}" name="Kolonna8425"/>
    <tableColumn id="8764" xr3:uid="{2DC426AF-5AE8-49EB-9BA9-B1F043A62946}" name="Kolonna8426"/>
    <tableColumn id="8765" xr3:uid="{71FB291C-9685-41AA-A757-9CDBEEE458FD}" name="Kolonna8427"/>
    <tableColumn id="8766" xr3:uid="{85955F93-07CB-4A2B-B4AD-BCED955F069A}" name="Kolonna8428"/>
    <tableColumn id="8767" xr3:uid="{730067F7-0348-4223-AA83-DBA9C9CFFFB6}" name="Kolonna8429"/>
    <tableColumn id="8768" xr3:uid="{67B43DBD-DC21-4028-BBB5-5ADEBBDAD4EB}" name="Kolonna8430"/>
    <tableColumn id="8769" xr3:uid="{64C5CA60-7D5E-43B4-84A0-37ABF8A2B439}" name="Kolonna8431"/>
    <tableColumn id="8770" xr3:uid="{2E59EB20-4B39-46A9-B164-07F43241D31A}" name="Kolonna8432"/>
    <tableColumn id="8771" xr3:uid="{3A27BD54-07E4-439A-9722-658055DBB91C}" name="Kolonna8433"/>
    <tableColumn id="8772" xr3:uid="{640E634B-17AB-48A3-9A6E-3D0FA7CC2ABF}" name="Kolonna8434"/>
    <tableColumn id="8773" xr3:uid="{030D3CB0-3AB4-429A-A840-8522D9E859C6}" name="Kolonna8435"/>
    <tableColumn id="8774" xr3:uid="{6DE72EAD-75F1-4D8B-AF82-B30C04D09A13}" name="Kolonna8436"/>
    <tableColumn id="8775" xr3:uid="{2330351A-B3B7-48C9-A75F-6BFB3E73AEFF}" name="Kolonna8437"/>
    <tableColumn id="8776" xr3:uid="{14B4A5F7-78A0-4A87-A9E8-569FB5702012}" name="Kolonna8438"/>
    <tableColumn id="8777" xr3:uid="{692D2BB4-97DF-4B2B-865D-7B53A238C743}" name="Kolonna8439"/>
    <tableColumn id="8778" xr3:uid="{D77438E7-5F4A-4AD1-A96B-3F8F5B506BBA}" name="Kolonna8440"/>
    <tableColumn id="8779" xr3:uid="{B1DDFCA2-0DAA-4251-8C15-1322F72E5346}" name="Kolonna8441"/>
    <tableColumn id="8780" xr3:uid="{F3E0D1D3-9DF2-460F-9863-CE47A5282604}" name="Kolonna8442"/>
    <tableColumn id="8781" xr3:uid="{897BC6E8-E133-48AA-8945-7A94ADC7539A}" name="Kolonna8443"/>
    <tableColumn id="8782" xr3:uid="{60085A5D-DA90-4FBE-B57E-4BBBCE360733}" name="Kolonna8444"/>
    <tableColumn id="8783" xr3:uid="{C60A30B5-845E-4BA8-AF18-F7C9224583B5}" name="Kolonna8445"/>
    <tableColumn id="8784" xr3:uid="{C240B52E-1AA2-4FC7-8EC6-83C0D706291F}" name="Kolonna8446"/>
    <tableColumn id="8785" xr3:uid="{F06057DF-7FFF-454A-99DE-A7E52BEE402F}" name="Kolonna8447"/>
    <tableColumn id="8786" xr3:uid="{C37604DA-7BEF-4BA4-960D-A228EBC07D77}" name="Kolonna8448"/>
    <tableColumn id="8787" xr3:uid="{C6A598D8-AD66-429C-85B6-902524830D66}" name="Kolonna8449"/>
    <tableColumn id="8788" xr3:uid="{E26A5D52-1917-435A-95FE-B45DA2FBEAFA}" name="Kolonna8450"/>
    <tableColumn id="8789" xr3:uid="{98D1238D-09C6-44BF-86A7-68A1D8F25BAA}" name="Kolonna8451"/>
    <tableColumn id="8790" xr3:uid="{5E6330E9-D94F-4F06-99FE-1767CCF547AB}" name="Kolonna8452"/>
    <tableColumn id="8791" xr3:uid="{BA928888-2DE0-479F-BAEE-0CADB3FFB12B}" name="Kolonna8453"/>
    <tableColumn id="8792" xr3:uid="{82C4A204-3786-4FCA-B5CB-B0DD8710DC3F}" name="Kolonna8454"/>
    <tableColumn id="8793" xr3:uid="{A73BA1F6-5061-494D-9D65-24A1686AA780}" name="Kolonna8455"/>
    <tableColumn id="8794" xr3:uid="{23A7EA46-85B0-4B80-9DC7-DECF41F969D5}" name="Kolonna8456"/>
    <tableColumn id="8795" xr3:uid="{7ED22C71-9AC2-4DFF-8F62-04B1BDA08FC5}" name="Kolonna8457"/>
    <tableColumn id="8796" xr3:uid="{D7106805-0766-4FED-AABF-1F06CBA65A1D}" name="Kolonna8458"/>
    <tableColumn id="8797" xr3:uid="{3D03C331-09CF-44FF-8FA4-B3530BF41F43}" name="Kolonna8459"/>
    <tableColumn id="8798" xr3:uid="{8BF899B8-D07F-4E25-840F-7B4ACC704672}" name="Kolonna8460"/>
    <tableColumn id="8799" xr3:uid="{72BFADAF-4CAF-4900-8AF5-88145AC5AB8F}" name="Kolonna8461"/>
    <tableColumn id="8800" xr3:uid="{53E85475-6A9E-439F-8EB8-C5A708F90245}" name="Kolonna8462"/>
    <tableColumn id="8801" xr3:uid="{7CF907C3-561A-4465-92B7-F452C353A3EC}" name="Kolonna8463"/>
    <tableColumn id="8802" xr3:uid="{4F297AD3-70A2-46C1-9081-94F091E28D2C}" name="Kolonna8464"/>
    <tableColumn id="8803" xr3:uid="{2590285F-F34E-4DF4-91A4-4A3055AB1499}" name="Kolonna8465"/>
    <tableColumn id="8804" xr3:uid="{0131CDD5-F46C-41F3-92ED-22C4E0C88E96}" name="Kolonna8466"/>
    <tableColumn id="8805" xr3:uid="{F8C69B76-ACF3-4B81-8CB3-BA7F7088B924}" name="Kolonna8467"/>
    <tableColumn id="8806" xr3:uid="{08895571-A110-4F9A-9A18-4921A4586630}" name="Kolonna8468"/>
    <tableColumn id="8807" xr3:uid="{1FB53BD2-ABC9-46A8-BCCF-2B94826F97DD}" name="Kolonna8469"/>
    <tableColumn id="8808" xr3:uid="{F1348378-485A-44C3-BF5C-814786DB1EED}" name="Kolonna8470"/>
    <tableColumn id="8809" xr3:uid="{B6D3D1FA-3E02-420A-889E-D1DCB266AE6B}" name="Kolonna8471"/>
    <tableColumn id="8810" xr3:uid="{07B37ABE-EEBA-4584-A8E6-13133E587332}" name="Kolonna8472"/>
    <tableColumn id="8811" xr3:uid="{8F02E471-73B3-4AD1-977A-6894AA1B0ECC}" name="Kolonna8473"/>
    <tableColumn id="8812" xr3:uid="{87CFC480-E22E-4724-BD46-1444CB1F2E94}" name="Kolonna8474"/>
    <tableColumn id="8813" xr3:uid="{4A759EFC-504E-4CA0-896E-284160C6123E}" name="Kolonna8475"/>
    <tableColumn id="8814" xr3:uid="{3898F1A3-5079-4D9C-ACA8-8DB9BCA2126C}" name="Kolonna8476"/>
    <tableColumn id="8815" xr3:uid="{07394BD7-B4E2-486F-8D85-3DAFF53B0A79}" name="Kolonna8477"/>
    <tableColumn id="8816" xr3:uid="{315FCC96-9181-4CFB-A134-BE47F2E3782F}" name="Kolonna8478"/>
    <tableColumn id="8817" xr3:uid="{2F325A13-250A-41FB-9490-F82ABBAD7AC1}" name="Kolonna8479"/>
    <tableColumn id="8818" xr3:uid="{8FD1D5AE-BF80-461A-950C-EA3E060BD6EB}" name="Kolonna8480"/>
    <tableColumn id="8819" xr3:uid="{70ACA3E4-9AF2-4AA2-B74D-C302AE80196B}" name="Kolonna8481"/>
    <tableColumn id="8820" xr3:uid="{C0D285B0-E5AF-46E1-9C3F-6F2CCBA594CD}" name="Kolonna8482"/>
    <tableColumn id="8821" xr3:uid="{89A6774A-8473-41F3-9328-21DA991E9A07}" name="Kolonna8483"/>
    <tableColumn id="8822" xr3:uid="{3276CDEB-5B80-4A62-B63B-640BA597E6F8}" name="Kolonna8484"/>
    <tableColumn id="8823" xr3:uid="{256BB777-999E-433F-B296-E0C1F7DB921E}" name="Kolonna8485"/>
    <tableColumn id="8824" xr3:uid="{082B950A-0C2B-4644-B5E3-CFE3EBAA2C0F}" name="Kolonna8486"/>
    <tableColumn id="8825" xr3:uid="{275EF9CE-707E-4DE2-8A5F-5304472791DC}" name="Kolonna8487"/>
    <tableColumn id="8826" xr3:uid="{532998D7-9491-4C9D-B4A2-73EE578616A2}" name="Kolonna8488"/>
    <tableColumn id="8827" xr3:uid="{F13ABE32-8F89-485F-B2F9-AC26985A8388}" name="Kolonna8489"/>
    <tableColumn id="8828" xr3:uid="{8DB1EFDF-1E6C-41C8-944A-68D405F40AE6}" name="Kolonna8490"/>
    <tableColumn id="8829" xr3:uid="{F34EB103-1893-4EB2-A15D-AABEAB610885}" name="Kolonna8491"/>
    <tableColumn id="8830" xr3:uid="{4DEA36E9-5222-47D5-B74D-220A07E3DD35}" name="Kolonna8492"/>
    <tableColumn id="8831" xr3:uid="{7369026E-E597-4128-AA9A-46187DDF3F49}" name="Kolonna8493"/>
    <tableColumn id="8832" xr3:uid="{5D4BABE5-F575-4071-A26C-A1EB6DA13C8F}" name="Kolonna8494"/>
    <tableColumn id="8833" xr3:uid="{4DDF9C23-98D7-453E-B7AA-2B9AC98EFBB2}" name="Kolonna8495"/>
    <tableColumn id="8834" xr3:uid="{F10C024C-1779-4A3A-BF2F-0327B9B96142}" name="Kolonna8496"/>
    <tableColumn id="8835" xr3:uid="{72E7C6B2-5150-49FD-B170-E65C37762320}" name="Kolonna8497"/>
    <tableColumn id="8836" xr3:uid="{E090DFC3-0210-4813-A6A7-FD1165A95B1B}" name="Kolonna8498"/>
    <tableColumn id="8837" xr3:uid="{FE698686-BE95-447F-8B67-8A1E7165B500}" name="Kolonna8499"/>
    <tableColumn id="8838" xr3:uid="{69F2EB91-7A58-4218-A495-8113997F02EA}" name="Kolonna8500"/>
    <tableColumn id="8839" xr3:uid="{79243C7D-41E4-49FA-A238-B73EB31FF7A3}" name="Kolonna8501"/>
    <tableColumn id="8840" xr3:uid="{9FEABD19-3EA8-49E3-AC94-ACF1217BF6B6}" name="Kolonna8502"/>
    <tableColumn id="8841" xr3:uid="{67A9A5AC-F480-491F-9CD2-7D729C7B0D42}" name="Kolonna8503"/>
    <tableColumn id="8842" xr3:uid="{4C1DF5F8-214C-45A4-B851-15C868B86378}" name="Kolonna8504"/>
    <tableColumn id="8843" xr3:uid="{05AB2656-3D37-4066-AD76-2D64D3C575D3}" name="Kolonna8505"/>
    <tableColumn id="8844" xr3:uid="{DC23D99B-3BF5-4F60-ADB9-F4AB98BA6B58}" name="Kolonna8506"/>
    <tableColumn id="8845" xr3:uid="{2E77A4A9-0DEA-45FA-8EFA-EA9BE4EEAF85}" name="Kolonna8507"/>
    <tableColumn id="8846" xr3:uid="{A6D8AB77-6225-4E1D-ABF9-7ECC06C1D2D2}" name="Kolonna8508"/>
    <tableColumn id="8847" xr3:uid="{86B7E902-7EE5-438A-9964-9471BFFAA33E}" name="Kolonna8509"/>
    <tableColumn id="8848" xr3:uid="{F6F644AB-0F3A-4961-9A3C-21B2C1D3CA14}" name="Kolonna8510"/>
    <tableColumn id="8849" xr3:uid="{AA2B1F07-9C4D-4A73-9C58-E45D2449D422}" name="Kolonna8511"/>
    <tableColumn id="8850" xr3:uid="{9D0EF701-0646-4BB0-BB3A-CC02AE9E68E1}" name="Kolonna8512"/>
    <tableColumn id="8851" xr3:uid="{A17C4EE3-330C-46E2-989D-F643E8192B16}" name="Kolonna8513"/>
    <tableColumn id="8852" xr3:uid="{19622B88-FA25-4C34-96C4-524AA01805C8}" name="Kolonna8514"/>
    <tableColumn id="8853" xr3:uid="{05707F9F-F640-45F3-8FEB-F0055187B6EB}" name="Kolonna8515"/>
    <tableColumn id="8854" xr3:uid="{02C1B531-7932-42D2-BC3C-470714E2E11A}" name="Kolonna8516"/>
    <tableColumn id="8855" xr3:uid="{D4F133A1-D60D-4742-BCBD-EABD3B18E2BA}" name="Kolonna8517"/>
    <tableColumn id="8856" xr3:uid="{409D566A-2EF0-4DA0-A57F-A4EC122C7878}" name="Kolonna8518"/>
    <tableColumn id="8857" xr3:uid="{5B9307A2-C5EA-4502-A418-414184444B75}" name="Kolonna8519"/>
    <tableColumn id="8858" xr3:uid="{7898E833-2262-42B5-A28F-8ADD750DFEB9}" name="Kolonna8520"/>
    <tableColumn id="8859" xr3:uid="{92526B33-ACC3-4C33-B3D9-20E7BE547DA9}" name="Kolonna8521"/>
    <tableColumn id="8860" xr3:uid="{8A714730-30B6-413B-B23A-EC2A442004A8}" name="Kolonna8522"/>
    <tableColumn id="8861" xr3:uid="{E6697292-D4C7-4E3A-9B40-93FE35EECB64}" name="Kolonna8523"/>
    <tableColumn id="8862" xr3:uid="{59E8D34D-EDF2-4C4B-BC26-99B69E60EB36}" name="Kolonna8524"/>
    <tableColumn id="8863" xr3:uid="{C58F6A92-7CF8-499E-BB0A-4B3719698761}" name="Kolonna8525"/>
    <tableColumn id="8864" xr3:uid="{76E07951-8618-40C9-93DA-BACCD15C4EF7}" name="Kolonna8526"/>
    <tableColumn id="8865" xr3:uid="{75761BE5-5E06-4A72-A730-5DF512C428B2}" name="Kolonna8527"/>
    <tableColumn id="8866" xr3:uid="{49B45EC5-CD57-467B-BD59-A5FC2D595769}" name="Kolonna8528"/>
    <tableColumn id="8867" xr3:uid="{F5B1843C-503A-428E-9142-EF18C053C68F}" name="Kolonna8529"/>
    <tableColumn id="8868" xr3:uid="{716D99FD-269C-4D18-B5DF-073896DB8C79}" name="Kolonna8530"/>
    <tableColumn id="8869" xr3:uid="{D941ABAA-60F3-4DAB-8A0D-C99339EFBFDB}" name="Kolonna8531"/>
    <tableColumn id="8870" xr3:uid="{7257C1B8-9C47-418D-96D4-0FC0EA9B351F}" name="Kolonna8532"/>
    <tableColumn id="8871" xr3:uid="{D1667216-C817-420D-9349-8FEA11391B3D}" name="Kolonna8533"/>
    <tableColumn id="8872" xr3:uid="{86C1496B-3D1A-45AB-B264-0E6B3D5C5EBE}" name="Kolonna8534"/>
    <tableColumn id="8873" xr3:uid="{605A159C-4F3C-4573-B62F-F00192EE721C}" name="Kolonna8535"/>
    <tableColumn id="8874" xr3:uid="{1FBF0AF6-2E05-44B9-AAB9-D660B8677005}" name="Kolonna8536"/>
    <tableColumn id="8875" xr3:uid="{6C477139-6B7E-46F9-BB36-1ACBF038052B}" name="Kolonna8537"/>
    <tableColumn id="8876" xr3:uid="{49A161D5-1713-40FD-AB9F-60952E78AFE4}" name="Kolonna8538"/>
    <tableColumn id="8877" xr3:uid="{32581E12-BDB4-49EA-97CE-A61EF24B1F55}" name="Kolonna8539"/>
    <tableColumn id="8878" xr3:uid="{4B5D691B-7DBF-46E0-B187-8A9C0ABAF903}" name="Kolonna8540"/>
    <tableColumn id="8879" xr3:uid="{C5E72487-A580-49EC-9127-598234EBE85D}" name="Kolonna8541"/>
    <tableColumn id="8880" xr3:uid="{195C0CB2-AFD9-4B91-94EA-D253D4D0DCB0}" name="Kolonna8542"/>
    <tableColumn id="8881" xr3:uid="{926044B6-3153-4D7A-ABF8-023A4EBDF80B}" name="Kolonna8543"/>
    <tableColumn id="8882" xr3:uid="{3B815D18-A380-4ECE-AA55-46206757C6F0}" name="Kolonna8544"/>
    <tableColumn id="8883" xr3:uid="{B6A973F1-17A1-4557-9331-B5C1EDDE53CE}" name="Kolonna8545"/>
    <tableColumn id="8884" xr3:uid="{7105E410-73A0-4A21-A12A-8BA23581AB08}" name="Kolonna8546"/>
    <tableColumn id="8885" xr3:uid="{AA1939F1-EF2A-4848-BE6E-042191CCF175}" name="Kolonna8547"/>
    <tableColumn id="8886" xr3:uid="{2CC6F646-FCCB-4706-9233-452FEA394832}" name="Kolonna8548"/>
    <tableColumn id="8887" xr3:uid="{507E3D2A-D475-4897-9CDC-F451212F775A}" name="Kolonna8549"/>
    <tableColumn id="8888" xr3:uid="{2219F494-F8DE-4D6F-89D1-27308398C1CF}" name="Kolonna8550"/>
    <tableColumn id="8889" xr3:uid="{81DFFA8D-D7E7-4AEF-A2B2-89BEDE543FF5}" name="Kolonna8551"/>
    <tableColumn id="8890" xr3:uid="{7CF6795B-D21A-4047-A046-94F9EC7C17EB}" name="Kolonna8552"/>
    <tableColumn id="8891" xr3:uid="{9C87A571-0A1D-440F-A0E6-07AB269E6374}" name="Kolonna8553"/>
    <tableColumn id="8892" xr3:uid="{EF317DEA-87FA-4989-A0D9-238A58809E87}" name="Kolonna8554"/>
    <tableColumn id="8893" xr3:uid="{291E12D1-5151-4A3C-B0DA-60E580CBAB26}" name="Kolonna8555"/>
    <tableColumn id="8894" xr3:uid="{743EE19D-3C57-43D9-826E-506DEF0BF0D1}" name="Kolonna8556"/>
    <tableColumn id="8895" xr3:uid="{0AF0E43C-B746-4E0A-9A2D-EA42B71C80FA}" name="Kolonna8557"/>
    <tableColumn id="8896" xr3:uid="{95520B2C-8827-4D4D-A14D-AD4A01452A8E}" name="Kolonna8558"/>
    <tableColumn id="8897" xr3:uid="{7FA323AD-A1BC-4C90-B287-301D4F31796B}" name="Kolonna8559"/>
    <tableColumn id="8898" xr3:uid="{A18A4805-E94E-4103-9C11-62A49D4B76C8}" name="Kolonna8560"/>
    <tableColumn id="8899" xr3:uid="{F86F9B5D-2B79-490E-AAD4-F5FF5C054080}" name="Kolonna8561"/>
    <tableColumn id="8900" xr3:uid="{364F289F-0DDF-46F8-9786-DE70E5C2B2DD}" name="Kolonna8562"/>
    <tableColumn id="8901" xr3:uid="{312CB474-CCE0-408D-81EB-C3790EE89E6F}" name="Kolonna8563"/>
    <tableColumn id="8902" xr3:uid="{FC7C6806-B91C-474E-A270-98FB0B60F9BC}" name="Kolonna8564"/>
    <tableColumn id="8903" xr3:uid="{C46F8798-97EE-4D78-AB3A-BBF51284380B}" name="Kolonna8565"/>
    <tableColumn id="8904" xr3:uid="{3C77A3F0-BCD0-4005-ABE2-B9E8D572161E}" name="Kolonna8566"/>
    <tableColumn id="8905" xr3:uid="{4F763CE3-ED5C-48C1-A503-50F2F3026D91}" name="Kolonna8567"/>
    <tableColumn id="8906" xr3:uid="{A8F955B3-A708-492D-A122-A5CC3FEB874D}" name="Kolonna8568"/>
    <tableColumn id="8907" xr3:uid="{D1A5913D-4A9E-4020-AD45-F24E8565A039}" name="Kolonna8569"/>
    <tableColumn id="8908" xr3:uid="{E4081C16-6251-4AE9-8540-B792701103ED}" name="Kolonna8570"/>
    <tableColumn id="8909" xr3:uid="{FDE32EF5-6E47-4105-A403-D121A8E0B200}" name="Kolonna8571"/>
    <tableColumn id="8910" xr3:uid="{02CCBDC9-8837-44EC-B2C5-A79A506E3FDD}" name="Kolonna8572"/>
    <tableColumn id="8911" xr3:uid="{16975369-084E-43D5-897D-AF20A75F1746}" name="Kolonna8573"/>
    <tableColumn id="8912" xr3:uid="{78563260-E412-46CC-BBCF-32910D47B5CB}" name="Kolonna8574"/>
    <tableColumn id="8913" xr3:uid="{B30BE0D5-B0BF-4AFD-BC68-51D02411FD26}" name="Kolonna8575"/>
    <tableColumn id="8914" xr3:uid="{867CFCBD-8AF9-4999-905A-63E040F41521}" name="Kolonna8576"/>
    <tableColumn id="8915" xr3:uid="{CE027CC7-383F-4541-BE9E-FCD4AA747394}" name="Kolonna8577"/>
    <tableColumn id="8916" xr3:uid="{493391AB-97D4-49AA-8AC0-1F585F37056B}" name="Kolonna8578"/>
    <tableColumn id="8917" xr3:uid="{43708F7A-1743-4237-B799-9BB104DC7ACC}" name="Kolonna8579"/>
    <tableColumn id="8918" xr3:uid="{664F2FE6-FA83-4CE3-9A68-97E960417C92}" name="Kolonna8580"/>
    <tableColumn id="8919" xr3:uid="{B0412A6A-2B21-4452-B1DE-FFF5FB796780}" name="Kolonna8581"/>
    <tableColumn id="8920" xr3:uid="{95202B08-B61D-42C9-914A-C90E33B22D06}" name="Kolonna8582"/>
    <tableColumn id="8921" xr3:uid="{BAD8B2F2-9780-4F7D-B89F-81CE9E5142AD}" name="Kolonna8583"/>
    <tableColumn id="8922" xr3:uid="{3030991A-52A8-4C9D-8AC7-25D708D78576}" name="Kolonna8584"/>
    <tableColumn id="8923" xr3:uid="{B34412A7-05ED-460A-818E-3772580E0C63}" name="Kolonna8585"/>
    <tableColumn id="8924" xr3:uid="{13B78298-AA9D-4CA1-B4E2-7AB09DF2F18E}" name="Kolonna8586"/>
    <tableColumn id="8925" xr3:uid="{612DADAE-DB2A-434A-BDA0-AA367A95DD86}" name="Kolonna8587"/>
    <tableColumn id="8926" xr3:uid="{3DBEA031-BA52-47E3-9664-440F21BC9834}" name="Kolonna8588"/>
    <tableColumn id="8927" xr3:uid="{8F6FE558-CBD8-41E7-B1C2-58F7DBD06BA6}" name="Kolonna8589"/>
    <tableColumn id="8928" xr3:uid="{B0B33799-E413-4A68-93CA-628050E84AC1}" name="Kolonna8590"/>
    <tableColumn id="8929" xr3:uid="{7EDCA855-3E5C-43EE-9FA1-D01AEDBCD94D}" name="Kolonna8591"/>
    <tableColumn id="8930" xr3:uid="{89BB869F-6638-4BD9-A06B-887AFAF1EA3C}" name="Kolonna8592"/>
    <tableColumn id="8931" xr3:uid="{EB5748C0-F531-420A-8693-1306DACBE198}" name="Kolonna8593"/>
    <tableColumn id="8932" xr3:uid="{3B06B83E-BB8A-4B21-A95E-89EEF4BB72EB}" name="Kolonna8594"/>
    <tableColumn id="8933" xr3:uid="{D1476B1A-6162-45C9-A471-C3CFF02476D2}" name="Kolonna8595"/>
    <tableColumn id="8934" xr3:uid="{875D223C-A1C0-43F8-98F3-1C49AC41A901}" name="Kolonna8596"/>
    <tableColumn id="8935" xr3:uid="{A9D8734D-76F1-44C1-B836-7F25E115618B}" name="Kolonna8597"/>
    <tableColumn id="8936" xr3:uid="{5BD5F7E6-5E01-416C-B830-855A1374B7E9}" name="Kolonna8598"/>
    <tableColumn id="8937" xr3:uid="{D0C2FE2D-9215-40BE-95C0-892A6F28229D}" name="Kolonna8599"/>
    <tableColumn id="8938" xr3:uid="{0D6E77EC-20F2-4C45-8A13-EBCC8F340666}" name="Kolonna8600"/>
    <tableColumn id="8939" xr3:uid="{A23B13BE-BC71-4CB6-AA47-2D3841D2D12B}" name="Kolonna8601"/>
    <tableColumn id="8940" xr3:uid="{5D295C22-B059-4968-9BA5-00E097F0ABBE}" name="Kolonna8602"/>
    <tableColumn id="8941" xr3:uid="{F9308DC1-351E-490E-B848-40C6456A8DCE}" name="Kolonna8603"/>
    <tableColumn id="8942" xr3:uid="{56065397-A1C4-44CF-B558-6A369D18FDAD}" name="Kolonna8604"/>
    <tableColumn id="8943" xr3:uid="{B48FEC42-5C18-4F54-ADD9-5489F2019F66}" name="Kolonna8605"/>
    <tableColumn id="8944" xr3:uid="{E4AE045D-966B-42A1-99B3-AEB993DCA4DD}" name="Kolonna8606"/>
    <tableColumn id="8945" xr3:uid="{2C6A0766-AFFE-4C53-B628-1DCDCFD6DF97}" name="Kolonna8607"/>
    <tableColumn id="8946" xr3:uid="{68B5A476-90B6-4E72-83D0-0585C11E8B82}" name="Kolonna8608"/>
    <tableColumn id="8947" xr3:uid="{1BFAAA81-8B54-47DC-B36A-3320EDBDF208}" name="Kolonna8609"/>
    <tableColumn id="8948" xr3:uid="{EF96D327-6D93-4AD0-9301-854DF9607404}" name="Kolonna8610"/>
    <tableColumn id="8949" xr3:uid="{095171B6-7A57-47C6-BE01-C440BD4D03F4}" name="Kolonna8611"/>
    <tableColumn id="8950" xr3:uid="{4DD0990B-45CB-466F-827D-C13706C782D8}" name="Kolonna8612"/>
    <tableColumn id="8951" xr3:uid="{017136C3-98F8-4149-88A5-1D7CE34D858A}" name="Kolonna8613"/>
    <tableColumn id="8952" xr3:uid="{9B83CE6E-C9A2-420B-B451-AC023BAAD4ED}" name="Kolonna8614"/>
    <tableColumn id="8953" xr3:uid="{30A3B68A-B625-4454-A2A1-D09EB6424FD5}" name="Kolonna8615"/>
    <tableColumn id="8954" xr3:uid="{59F36868-E80C-4A2F-98ED-6BD7C2227327}" name="Kolonna8616"/>
    <tableColumn id="8955" xr3:uid="{7D4864D5-F6AE-4820-8EED-966041524E93}" name="Kolonna8617"/>
    <tableColumn id="8956" xr3:uid="{481BF18B-314F-45E4-9C82-FBA90F733759}" name="Kolonna8618"/>
    <tableColumn id="8957" xr3:uid="{5BA9DCC6-A3C1-4C08-9574-5781479A5AFA}" name="Kolonna8619"/>
    <tableColumn id="8958" xr3:uid="{9EDDF8C9-BF8E-4F48-B1AD-7B310018F78D}" name="Kolonna8620"/>
    <tableColumn id="8959" xr3:uid="{584FBC5A-A7BE-45F0-A4CA-0F4F7E4CA40F}" name="Kolonna8621"/>
    <tableColumn id="8960" xr3:uid="{3F2A10E3-9EB8-4CDB-B17C-717EFFFE7FA5}" name="Kolonna8622"/>
    <tableColumn id="8961" xr3:uid="{DC527488-C9AE-49FA-9D99-EB1247D59B66}" name="Kolonna8623"/>
    <tableColumn id="8962" xr3:uid="{48809A5E-B8B4-44D2-A095-55D7C673DF4A}" name="Kolonna8624"/>
    <tableColumn id="8963" xr3:uid="{94943E27-2A27-4D52-9251-8E16E877F4B4}" name="Kolonna8625"/>
    <tableColumn id="8964" xr3:uid="{CC8AC856-E855-4DDE-894E-9B2403ECA82B}" name="Kolonna8626"/>
    <tableColumn id="8965" xr3:uid="{DF6F49E0-EF23-4670-9F26-8A2903072139}" name="Kolonna8627"/>
    <tableColumn id="8966" xr3:uid="{172B3EB7-1498-4132-8AC2-56E94E9938FE}" name="Kolonna8628"/>
    <tableColumn id="8967" xr3:uid="{9DC62D5D-11AA-40E3-B877-69470CB53484}" name="Kolonna8629"/>
    <tableColumn id="8968" xr3:uid="{F38299B6-C7C0-4381-9DAB-7A8352C5D5BB}" name="Kolonna8630"/>
    <tableColumn id="8969" xr3:uid="{63557E6D-485C-4BAF-B028-C60852DA3B6E}" name="Kolonna8631"/>
    <tableColumn id="8970" xr3:uid="{EADAFDBC-37ED-48CE-9D32-0C4875FB77A3}" name="Kolonna8632"/>
    <tableColumn id="8971" xr3:uid="{867FF7F6-A56C-49A1-B108-F1701530AC6B}" name="Kolonna8633"/>
    <tableColumn id="8972" xr3:uid="{D9CAEFBE-381D-4E8E-812D-43BFF8DD6372}" name="Kolonna8634"/>
    <tableColumn id="8973" xr3:uid="{8768E2F4-954B-4FE4-9584-EC14BAC6AE87}" name="Kolonna8635"/>
    <tableColumn id="8974" xr3:uid="{04BEC66D-05B5-4626-BC8D-2A47FAF18613}" name="Kolonna8636"/>
    <tableColumn id="8975" xr3:uid="{1D1CE9D6-C300-4231-B4A7-539885FFE8B5}" name="Kolonna8637"/>
    <tableColumn id="8976" xr3:uid="{6E6978A3-08FC-4A39-974F-20F2B488C27A}" name="Kolonna8638"/>
    <tableColumn id="8977" xr3:uid="{5DD52542-645C-47FA-A2BE-EF665F3C52CB}" name="Kolonna8639"/>
    <tableColumn id="8978" xr3:uid="{A85CDB67-8089-4DF2-A004-628F4B2FAD5C}" name="Kolonna8640"/>
    <tableColumn id="8979" xr3:uid="{F91153F2-824E-4A62-B8CF-6EEEF60FA11E}" name="Kolonna8641"/>
    <tableColumn id="8980" xr3:uid="{AE46F5E9-8ECF-4261-8F22-90B326BCC0EF}" name="Kolonna8642"/>
    <tableColumn id="8981" xr3:uid="{3435FCC5-EB76-44A1-A526-F83D5A2E889E}" name="Kolonna8643"/>
    <tableColumn id="8982" xr3:uid="{F483EC77-B04B-4F5C-8B60-C5A8A479B667}" name="Kolonna8644"/>
    <tableColumn id="8983" xr3:uid="{11A1304D-2E55-4D14-AAD3-BDFAF42EE9A6}" name="Kolonna8645"/>
    <tableColumn id="8984" xr3:uid="{970B7D00-B830-4A85-89DB-71148DEB1572}" name="Kolonna8646"/>
    <tableColumn id="8985" xr3:uid="{51CFF70B-1096-4051-8A2F-5B2E2313199E}" name="Kolonna8647"/>
    <tableColumn id="8986" xr3:uid="{D882098C-429C-4D22-A2D9-AD5715780913}" name="Kolonna8648"/>
    <tableColumn id="8987" xr3:uid="{CC3EF3C1-C0B1-4217-A42B-F71C31C2B46B}" name="Kolonna8649"/>
    <tableColumn id="8988" xr3:uid="{00CFD5AC-A12D-4B71-8FB3-71CD42156755}" name="Kolonna8650"/>
    <tableColumn id="8989" xr3:uid="{E0946B43-6916-4730-8092-FD5B1F44A5BF}" name="Kolonna8651"/>
    <tableColumn id="8990" xr3:uid="{4C4423D9-AB5E-4D91-A2FE-BE737EB583AB}" name="Kolonna8652"/>
    <tableColumn id="8991" xr3:uid="{D7E3F79B-3846-4E1A-B88C-1E71EEC6044A}" name="Kolonna8653"/>
    <tableColumn id="8992" xr3:uid="{706A2FC2-0B38-4409-825F-BB7D4659F043}" name="Kolonna8654"/>
    <tableColumn id="8993" xr3:uid="{8DAE74D7-0CC0-4630-8367-424C77E0B704}" name="Kolonna8655"/>
    <tableColumn id="8994" xr3:uid="{CFDA34B1-178F-459F-8FBF-6FD3D6FCAD87}" name="Kolonna8656"/>
    <tableColumn id="8995" xr3:uid="{3D4FC389-A786-4A54-A947-3AEB1A64B643}" name="Kolonna8657"/>
    <tableColumn id="8996" xr3:uid="{57BDCAE4-86AC-481F-905B-5005A1B19D51}" name="Kolonna8658"/>
    <tableColumn id="8997" xr3:uid="{B86E0A3C-9C00-44F3-9C34-2BB2F95566D1}" name="Kolonna8659"/>
    <tableColumn id="8998" xr3:uid="{53C25CC6-C952-48D6-B303-032F99099DB4}" name="Kolonna8660"/>
    <tableColumn id="8999" xr3:uid="{9664D283-FC97-4F29-9AD9-224A2EEE451B}" name="Kolonna8661"/>
    <tableColumn id="9000" xr3:uid="{39F682C8-BFA9-43FE-AAD4-5913ADF1E765}" name="Kolonna8662"/>
    <tableColumn id="9001" xr3:uid="{AA63B3CC-9BD1-41ED-A8B9-5ADDEC16A106}" name="Kolonna8663"/>
    <tableColumn id="9002" xr3:uid="{A53E223A-BFB8-4168-A36B-4A8B9607DBDA}" name="Kolonna8664"/>
    <tableColumn id="9003" xr3:uid="{EE2F8CE5-CE5A-47CF-8ACB-2D66E4E1A22F}" name="Kolonna8665"/>
    <tableColumn id="9004" xr3:uid="{156AF1D2-4E87-447D-9636-8AB20AFD8F40}" name="Kolonna8666"/>
    <tableColumn id="9005" xr3:uid="{063512B2-E51F-4801-A17C-755BA8231C1A}" name="Kolonna8667"/>
    <tableColumn id="9006" xr3:uid="{23E09634-0144-4F7A-AADB-4C7936759108}" name="Kolonna8668"/>
    <tableColumn id="9007" xr3:uid="{0432655E-0C57-406D-858E-801A5A59920E}" name="Kolonna8669"/>
    <tableColumn id="9008" xr3:uid="{1C9FE67F-888B-451F-87AF-F5A8E03CF669}" name="Kolonna8670"/>
    <tableColumn id="9009" xr3:uid="{03F64A62-12B8-4BD6-A54E-6FF0076C934D}" name="Kolonna8671"/>
    <tableColumn id="9010" xr3:uid="{8417B8E3-9441-4FE0-A673-1060D0555AE0}" name="Kolonna8672"/>
    <tableColumn id="9011" xr3:uid="{5B9F2A52-1B8D-4A71-A262-A835696BA8D4}" name="Kolonna8673"/>
    <tableColumn id="9012" xr3:uid="{055C0F28-72C4-496F-90F1-C55F98FACD64}" name="Kolonna8674"/>
    <tableColumn id="9013" xr3:uid="{2878F2EA-3160-44A5-A5E4-63025942DAAF}" name="Kolonna8675"/>
    <tableColumn id="9014" xr3:uid="{C8582059-A322-450B-9151-854DBD6EA6F3}" name="Kolonna8676"/>
    <tableColumn id="9015" xr3:uid="{38CA4B53-B506-4DAB-A943-666201784125}" name="Kolonna8677"/>
    <tableColumn id="9016" xr3:uid="{0FE67701-B580-4834-B212-5FE1CD592983}" name="Kolonna8678"/>
    <tableColumn id="9017" xr3:uid="{0930A056-A1EC-4870-942A-4F9D44055624}" name="Kolonna8679"/>
    <tableColumn id="9018" xr3:uid="{1186F4F4-3E6F-4322-9C4F-AAC0AE5A39FC}" name="Kolonna8680"/>
    <tableColumn id="9019" xr3:uid="{E6C991E0-9FEA-4307-8A2D-51115A80ECA6}" name="Kolonna8681"/>
    <tableColumn id="9020" xr3:uid="{E333A203-EE96-4A9C-AF77-EEB697ACA12C}" name="Kolonna8682"/>
    <tableColumn id="9021" xr3:uid="{E4D6B45A-DFF4-49E4-ADDF-B187E5C33161}" name="Kolonna8683"/>
    <tableColumn id="9022" xr3:uid="{4FBE0926-3DF1-4A50-AB48-A08BDC6903F8}" name="Kolonna8684"/>
    <tableColumn id="9023" xr3:uid="{8E849E07-7F5C-4B09-9B29-AD81EBB3FB97}" name="Kolonna8685"/>
    <tableColumn id="9024" xr3:uid="{ABF1EB44-0026-4AE3-BA67-4A732EBA41C4}" name="Kolonna8686"/>
    <tableColumn id="9025" xr3:uid="{1BB48ED1-B29B-4B82-9AD2-7AE04548466F}" name="Kolonna8687"/>
    <tableColumn id="9026" xr3:uid="{331981B4-190C-4662-B63B-B924C6EC16C5}" name="Kolonna8688"/>
    <tableColumn id="9027" xr3:uid="{F3E25B0D-4809-4B7E-9F3F-E06569753ECD}" name="Kolonna8689"/>
    <tableColumn id="9028" xr3:uid="{E94BE613-B0C6-4467-AF82-2F712FDC13E1}" name="Kolonna8690"/>
    <tableColumn id="9029" xr3:uid="{9AE8D576-5AB7-47D6-A056-52DCFA909349}" name="Kolonna8691"/>
    <tableColumn id="9030" xr3:uid="{6A1A88ED-0AD0-4F56-A516-962C7527AE6C}" name="Kolonna8692"/>
    <tableColumn id="9031" xr3:uid="{1A1029CD-6465-4BE6-BEF5-03C823ED1FEE}" name="Kolonna8693"/>
    <tableColumn id="9032" xr3:uid="{DB2BFA16-0936-494C-AE7E-A9F832CA07A7}" name="Kolonna8694"/>
    <tableColumn id="9033" xr3:uid="{528FC49A-6FB3-4055-B4A0-80231439EACA}" name="Kolonna8695"/>
    <tableColumn id="9034" xr3:uid="{B992AD22-CA2A-405E-BF22-624A68304D50}" name="Kolonna8696"/>
    <tableColumn id="9035" xr3:uid="{94B863BC-0D21-4D7A-88FA-7C8738FBA895}" name="Kolonna8697"/>
    <tableColumn id="9036" xr3:uid="{604631A0-786A-450C-9CC1-5F914820C6F5}" name="Kolonna8698"/>
    <tableColumn id="9037" xr3:uid="{C1D7E6E9-E937-4C53-8251-C058B108106A}" name="Kolonna8699"/>
    <tableColumn id="9038" xr3:uid="{D1B2C6CA-E8FE-49B4-81D8-1FE9F5F3BB03}" name="Kolonna8700"/>
    <tableColumn id="9039" xr3:uid="{5775974A-EA7F-4E44-BBF8-7B2B47C248B5}" name="Kolonna8701"/>
    <tableColumn id="9040" xr3:uid="{2552885E-8D2C-4E52-A1F1-32E2F66D49D0}" name="Kolonna8702"/>
    <tableColumn id="9041" xr3:uid="{5E68F55A-A167-4C0F-8995-9EA0E613F7AD}" name="Kolonna8703"/>
    <tableColumn id="9042" xr3:uid="{D9695EE6-5711-454F-84AF-5D68988AE74B}" name="Kolonna8704"/>
    <tableColumn id="9043" xr3:uid="{0FBB3FAD-362F-4EBA-9C20-94C76651B5F2}" name="Kolonna8705"/>
    <tableColumn id="9044" xr3:uid="{D4FBEBD7-9241-415F-9FBD-044CBB8067E8}" name="Kolonna8706"/>
    <tableColumn id="9045" xr3:uid="{9DDD1552-FD36-4F94-AC3A-C98080302F6F}" name="Kolonna8707"/>
    <tableColumn id="9046" xr3:uid="{5EAC30EF-72E0-4496-9CC6-5DCB6846C498}" name="Kolonna8708"/>
    <tableColumn id="9047" xr3:uid="{A41B983C-C68B-4BC5-8B44-D18C5A97FFA7}" name="Kolonna8709"/>
    <tableColumn id="9048" xr3:uid="{BF127EEA-1B88-4912-A1D1-ABEA55857600}" name="Kolonna8710"/>
    <tableColumn id="9049" xr3:uid="{6B72939C-CFCC-4EC4-8892-03E27DC5BA1F}" name="Kolonna8711"/>
    <tableColumn id="9050" xr3:uid="{927499DA-1126-4FE3-A966-CB1117526017}" name="Kolonna8712"/>
    <tableColumn id="9051" xr3:uid="{64630CE9-1E6E-4AB9-A0CE-685F6B23B0BE}" name="Kolonna8713"/>
    <tableColumn id="9052" xr3:uid="{B8E0ED6F-98B9-443E-A075-9A806CA5049A}" name="Kolonna8714"/>
    <tableColumn id="9053" xr3:uid="{E0178A44-4911-4A0F-A4EF-85A43409D2B4}" name="Kolonna8715"/>
    <tableColumn id="9054" xr3:uid="{A206C67B-E1D8-45F6-9231-6F53EBBB506B}" name="Kolonna8716"/>
    <tableColumn id="9055" xr3:uid="{C55F2BB9-74F3-4D00-B3F3-81F8409A5E3A}" name="Kolonna8717"/>
    <tableColumn id="9056" xr3:uid="{D360710F-2684-419C-8C85-4D1827523351}" name="Kolonna8718"/>
    <tableColumn id="9057" xr3:uid="{22B10A6F-FEC0-467A-BEEF-4842EC4AD415}" name="Kolonna8719"/>
    <tableColumn id="9058" xr3:uid="{E122D9B2-C7C1-4AD3-82E8-0544ED74C983}" name="Kolonna8720"/>
    <tableColumn id="9059" xr3:uid="{006D9C5A-9D1C-44C0-94FC-E43A3517C7BC}" name="Kolonna8721"/>
    <tableColumn id="9060" xr3:uid="{33D08658-9B19-4DEA-A211-1E3D38D95958}" name="Kolonna8722"/>
    <tableColumn id="9061" xr3:uid="{6B4F0933-A2FB-4D39-869B-3F1CB303457F}" name="Kolonna8723"/>
    <tableColumn id="9062" xr3:uid="{09153206-DF64-400E-A992-FFDDDF7ED9B9}" name="Kolonna8724"/>
    <tableColumn id="9063" xr3:uid="{2B322B07-553E-4097-850B-EA9C1F349614}" name="Kolonna8725"/>
    <tableColumn id="9064" xr3:uid="{2A0F831B-07FF-4F51-8062-4938B16AA5F2}" name="Kolonna8726"/>
    <tableColumn id="9065" xr3:uid="{B80104CE-8F33-4012-9A46-7A14C9EE4FD6}" name="Kolonna8727"/>
    <tableColumn id="9066" xr3:uid="{93DDA748-6E3D-4060-96DE-EE420CA7C9B4}" name="Kolonna8728"/>
    <tableColumn id="9067" xr3:uid="{D0F0B5BC-35C9-4211-BAB8-2B9701395E0B}" name="Kolonna8729"/>
    <tableColumn id="9068" xr3:uid="{4C38A0B5-054D-4D9F-862C-7EF17CA50E11}" name="Kolonna8730"/>
    <tableColumn id="9069" xr3:uid="{9892EE78-1E0D-4808-92A6-8D7E859B41C7}" name="Kolonna8731"/>
    <tableColumn id="9070" xr3:uid="{C148685C-421D-4F70-86BE-A7576D68CD0A}" name="Kolonna8732"/>
    <tableColumn id="9071" xr3:uid="{CB7DF2BA-4CC4-4198-95BA-79BC2661C62A}" name="Kolonna8733"/>
    <tableColumn id="9072" xr3:uid="{69F67B84-27AB-44EE-BB14-3CE85D3C8943}" name="Kolonna8734"/>
    <tableColumn id="9073" xr3:uid="{3F929708-5BF3-4929-AE70-359A2D033B5B}" name="Kolonna8735"/>
    <tableColumn id="9074" xr3:uid="{1116E2E8-2EEA-4EBD-93B8-FE4DFD0FF592}" name="Kolonna8736"/>
    <tableColumn id="9075" xr3:uid="{4B206061-459F-40FE-B210-DBB41C326596}" name="Kolonna8737"/>
    <tableColumn id="9076" xr3:uid="{993A0A39-2530-4537-BE4A-6827888DDE71}" name="Kolonna8738"/>
    <tableColumn id="9077" xr3:uid="{0493CFF0-DDAA-461F-B6A3-527436D7D791}" name="Kolonna8739"/>
    <tableColumn id="9078" xr3:uid="{66658BCA-2FCC-40B3-9199-16AD000AAAC5}" name="Kolonna8740"/>
    <tableColumn id="9079" xr3:uid="{875CC260-2B4E-4963-831A-03B34ACEBA06}" name="Kolonna8741"/>
    <tableColumn id="9080" xr3:uid="{D6AEDA03-7812-40CF-AFF1-40EBFE74D4A9}" name="Kolonna8742"/>
    <tableColumn id="9081" xr3:uid="{B3A04D26-F684-461F-B4AC-9402CF46681D}" name="Kolonna8743"/>
    <tableColumn id="9082" xr3:uid="{F025958F-11B4-4A98-8FAB-1850CA109E0D}" name="Kolonna8744"/>
    <tableColumn id="9083" xr3:uid="{BCA8EB73-762A-4D32-9BAD-3D096FD96C3E}" name="Kolonna8745"/>
    <tableColumn id="9084" xr3:uid="{B5C5A6E3-C45B-4A04-BB6E-604A83336145}" name="Kolonna8746"/>
    <tableColumn id="9085" xr3:uid="{CD758DE7-A89B-4BDD-BDA6-841AAE721D05}" name="Kolonna8747"/>
    <tableColumn id="9086" xr3:uid="{D9583DD8-D2E4-4447-80BE-2EE57AF876C3}" name="Kolonna8748"/>
    <tableColumn id="9087" xr3:uid="{9C082958-8AC8-47E2-B355-7CFF383F1247}" name="Kolonna8749"/>
    <tableColumn id="9088" xr3:uid="{1D69E21A-E701-4D28-A5CF-0E95DD5AB0C6}" name="Kolonna8750"/>
    <tableColumn id="9089" xr3:uid="{F82F0D5D-41DF-4BED-92AC-297E678A54DC}" name="Kolonna8751"/>
    <tableColumn id="9090" xr3:uid="{D3D8EB37-4365-4CEC-A3B6-1887085F1ECD}" name="Kolonna8752"/>
    <tableColumn id="9091" xr3:uid="{4C866695-C76B-4B7D-95F6-079B818B8890}" name="Kolonna8753"/>
    <tableColumn id="9092" xr3:uid="{929BC5F1-C3F1-4322-9188-1C38F6538114}" name="Kolonna8754"/>
    <tableColumn id="9093" xr3:uid="{478E8E5A-153F-4BDC-92FF-061234EE7CA2}" name="Kolonna8755"/>
    <tableColumn id="9094" xr3:uid="{9512AAE9-F56B-46E5-B212-454726D5CC9B}" name="Kolonna8756"/>
    <tableColumn id="9095" xr3:uid="{B859A098-BEFB-40F3-8D9C-79D42AA99859}" name="Kolonna8757"/>
    <tableColumn id="9096" xr3:uid="{9F76C78C-A0B0-44DB-86C8-094A6BA55877}" name="Kolonna8758"/>
    <tableColumn id="9097" xr3:uid="{2E9A615B-E472-4B5D-AA79-B204FC350AA6}" name="Kolonna8759"/>
    <tableColumn id="9098" xr3:uid="{CC24B8EB-3605-4591-BB4E-B98B54A87C02}" name="Kolonna8760"/>
    <tableColumn id="9099" xr3:uid="{25781EF0-9549-41BF-BF7E-3A14937E23A8}" name="Kolonna8761"/>
    <tableColumn id="9100" xr3:uid="{A05333B6-FFE5-4C12-9DC4-A2251C630731}" name="Kolonna8762"/>
    <tableColumn id="9101" xr3:uid="{49CCECB2-4029-4076-BEE7-D1063D3907AD}" name="Kolonna8763"/>
    <tableColumn id="9102" xr3:uid="{A9A4EF00-B34D-46F0-B4F0-DE15FABAB05B}" name="Kolonna8764"/>
    <tableColumn id="9103" xr3:uid="{08775CAE-96D3-4F5E-A7FA-33D0581D0DD4}" name="Kolonna8765"/>
    <tableColumn id="9104" xr3:uid="{B90A8673-3F69-46EE-8458-B8091CB88D2A}" name="Kolonna8766"/>
    <tableColumn id="9105" xr3:uid="{C4185811-D1AF-4846-8281-605F81A2F5D5}" name="Kolonna8767"/>
    <tableColumn id="9106" xr3:uid="{12F02D4A-8077-4930-9F40-0AE7651FE74B}" name="Kolonna8768"/>
    <tableColumn id="9107" xr3:uid="{61DDB9C4-4A40-4BE5-9E84-55F4D41D6B1B}" name="Kolonna8769"/>
    <tableColumn id="9108" xr3:uid="{C1EF6507-2A47-4535-A2B3-28609FBB5409}" name="Kolonna8770"/>
    <tableColumn id="9109" xr3:uid="{998D88D6-F946-4F73-8B8A-A3B679153808}" name="Kolonna8771"/>
    <tableColumn id="9110" xr3:uid="{942B4499-90DC-40BC-B310-A82DE9752769}" name="Kolonna8772"/>
    <tableColumn id="9111" xr3:uid="{91DFF5D7-3448-4CBD-8139-A4CD1ECD084E}" name="Kolonna8773"/>
    <tableColumn id="9112" xr3:uid="{36B3D5DD-6CA6-4799-9C84-C3D014FF2B51}" name="Kolonna8774"/>
    <tableColumn id="9113" xr3:uid="{DD87D324-C568-4A51-BD9D-A34201C1392A}" name="Kolonna8775"/>
    <tableColumn id="9114" xr3:uid="{06C4BC63-176E-4317-95A7-7199809947E9}" name="Kolonna8776"/>
    <tableColumn id="9115" xr3:uid="{C091E99F-6C2F-4238-9D44-EDDC918E27D4}" name="Kolonna8777"/>
    <tableColumn id="9116" xr3:uid="{E5EDEB0D-A18B-4C20-9132-B7138C394E2A}" name="Kolonna8778"/>
    <tableColumn id="9117" xr3:uid="{938360C5-81CA-45CB-B208-1FF507EE377F}" name="Kolonna8779"/>
    <tableColumn id="9118" xr3:uid="{1DEE50A7-1FA7-402D-B4FE-58E551698394}" name="Kolonna8780"/>
    <tableColumn id="9119" xr3:uid="{B42C1332-A738-46D3-9ED1-6264764A972D}" name="Kolonna8781"/>
    <tableColumn id="9120" xr3:uid="{A79F495B-7677-4C76-9F4C-63AE6B1B3A90}" name="Kolonna8782"/>
    <tableColumn id="9121" xr3:uid="{BFCD1873-12D7-4D2A-9045-CD7360B0D3A0}" name="Kolonna8783"/>
    <tableColumn id="9122" xr3:uid="{8B15CE8F-F188-4426-BF05-AEC6182E57DB}" name="Kolonna8784"/>
    <tableColumn id="9123" xr3:uid="{F66B8C51-C553-4525-8798-B48986F85F98}" name="Kolonna8785"/>
    <tableColumn id="9124" xr3:uid="{9F9F78CA-C372-4555-9736-2DB2AA976A3F}" name="Kolonna8786"/>
    <tableColumn id="9125" xr3:uid="{37E73F1C-A176-4DA9-AE79-4D620F8C7F0B}" name="Kolonna8787"/>
    <tableColumn id="9126" xr3:uid="{E885A37A-B9E8-421A-A3FB-5C4C8E4FCF8E}" name="Kolonna8788"/>
    <tableColumn id="9127" xr3:uid="{8B96FA56-A66B-4831-BCDF-862EB7B5CC08}" name="Kolonna8789"/>
    <tableColumn id="9128" xr3:uid="{FB5D61DA-2492-431D-B0B4-F8EA036F6009}" name="Kolonna8790"/>
    <tableColumn id="9129" xr3:uid="{C76EBB6F-C975-4C66-8C2D-5E5B323E54E1}" name="Kolonna8791"/>
    <tableColumn id="9130" xr3:uid="{9B616A05-1B62-4F47-B946-FE6380EFA2A3}" name="Kolonna8792"/>
    <tableColumn id="9131" xr3:uid="{C3EAEDD4-7559-4E53-944C-0D41A1A40846}" name="Kolonna8793"/>
    <tableColumn id="9132" xr3:uid="{859BCD34-75CE-427F-AB3A-C4B121295995}" name="Kolonna8794"/>
    <tableColumn id="9133" xr3:uid="{51054BC5-62D6-46C2-86E4-63F2F98F2002}" name="Kolonna8795"/>
    <tableColumn id="9134" xr3:uid="{E29FD30F-9E11-4895-B424-202F644B50F8}" name="Kolonna8796"/>
    <tableColumn id="9135" xr3:uid="{FF585A37-E45E-475A-893B-F9B76ECD8203}" name="Kolonna8797"/>
    <tableColumn id="9136" xr3:uid="{518A7901-1A71-442A-965D-F4C992E30969}" name="Kolonna8798"/>
    <tableColumn id="9137" xr3:uid="{035F43B3-C1A3-4DD9-AE4D-BC825BDF90E5}" name="Kolonna8799"/>
    <tableColumn id="9138" xr3:uid="{D3E88839-0364-41F1-ABD5-4F86EB5E7D59}" name="Kolonna8800"/>
    <tableColumn id="9139" xr3:uid="{AF78EB9C-B3F6-4D6F-B2AA-D47D879CA8DB}" name="Kolonna8801"/>
    <tableColumn id="9140" xr3:uid="{9F97577C-7C1C-4132-B670-C384F6406201}" name="Kolonna8802"/>
    <tableColumn id="9141" xr3:uid="{7488564B-99BA-48A4-A8D9-12FF97E0C573}" name="Kolonna8803"/>
    <tableColumn id="9142" xr3:uid="{B7DBDCF4-C9C7-4026-9567-7B7043269C0F}" name="Kolonna8804"/>
    <tableColumn id="9143" xr3:uid="{814F82CE-C58D-4D3D-AB1E-A165D7F1B6FD}" name="Kolonna8805"/>
    <tableColumn id="9144" xr3:uid="{4EC6513C-0D99-410F-98D5-46AFE40D15A1}" name="Kolonna8806"/>
    <tableColumn id="9145" xr3:uid="{1F31A496-391D-4A43-AEC6-3245D73C4225}" name="Kolonna8807"/>
    <tableColumn id="9146" xr3:uid="{2DF208AB-BEAC-4E90-A627-BDD91E363B45}" name="Kolonna8808"/>
    <tableColumn id="9147" xr3:uid="{F10D352C-1F68-4585-9310-89D058CB12B7}" name="Kolonna8809"/>
    <tableColumn id="9148" xr3:uid="{02894372-DAEF-4939-BF66-70FDF7682B2E}" name="Kolonna8810"/>
    <tableColumn id="9149" xr3:uid="{902B1901-8DB7-43A9-9C01-EEEB0C7C742C}" name="Kolonna8811"/>
    <tableColumn id="9150" xr3:uid="{2A632A17-7A6C-45B4-9991-9E896B978808}" name="Kolonna8812"/>
    <tableColumn id="9151" xr3:uid="{4434FF6F-3176-4862-9C3B-0C7F75CEE792}" name="Kolonna8813"/>
    <tableColumn id="9152" xr3:uid="{FB5CEFDA-A951-4851-A7B0-098699AE501D}" name="Kolonna8814"/>
    <tableColumn id="9153" xr3:uid="{6068B2E6-8B28-4E3E-9347-D2A579786754}" name="Kolonna8815"/>
    <tableColumn id="9154" xr3:uid="{3444DA4E-8C46-4BF3-901D-AE6E4BE9CE76}" name="Kolonna8816"/>
    <tableColumn id="9155" xr3:uid="{30C6386D-7DDB-4D0B-8EBA-6A812CB19A53}" name="Kolonna8817"/>
    <tableColumn id="9156" xr3:uid="{DEE62483-FBE8-4A71-89C9-B40297F6C3CC}" name="Kolonna8818"/>
    <tableColumn id="9157" xr3:uid="{81669FB6-91FB-478E-A506-C30843C416D9}" name="Kolonna8819"/>
    <tableColumn id="9158" xr3:uid="{B2B037FB-CF21-4309-8FAF-C74EB446B63C}" name="Kolonna8820"/>
    <tableColumn id="9159" xr3:uid="{F7E814C9-3EC1-42C6-8E41-E485B4936C02}" name="Kolonna8821"/>
    <tableColumn id="9160" xr3:uid="{7258CE12-1E26-407F-8A4F-CFAB23C003D5}" name="Kolonna8822"/>
    <tableColumn id="9161" xr3:uid="{5535B3F5-BDC0-4C0D-BF21-BDED5D032D8B}" name="Kolonna8823"/>
    <tableColumn id="9162" xr3:uid="{CDE7728B-384F-48CC-BE9B-23302F2F7065}" name="Kolonna8824"/>
    <tableColumn id="9163" xr3:uid="{431EC368-A4CC-4DE8-91CD-47D4D09F121F}" name="Kolonna8825"/>
    <tableColumn id="9164" xr3:uid="{1F0DE03D-C38F-4F7B-B68E-73617E509AF9}" name="Kolonna8826"/>
    <tableColumn id="9165" xr3:uid="{CB13A8DD-03BE-428E-A214-DBC2305172AA}" name="Kolonna8827"/>
    <tableColumn id="9166" xr3:uid="{B0F8DD29-3989-4CEC-81C8-697742B6FF28}" name="Kolonna8828"/>
    <tableColumn id="9167" xr3:uid="{652CC4D6-652A-42B5-8FD1-5CCC6FEB1FD2}" name="Kolonna8829"/>
    <tableColumn id="9168" xr3:uid="{8AF85AD5-5AA1-46BA-AF7D-61587872799B}" name="Kolonna8830"/>
    <tableColumn id="9169" xr3:uid="{051BEEB4-D087-41A5-813E-B4D39C1A5B95}" name="Kolonna8831"/>
    <tableColumn id="9170" xr3:uid="{4AA0FCBD-8D27-4C23-B100-3FB64A06A015}" name="Kolonna8832"/>
    <tableColumn id="9171" xr3:uid="{038A1F03-304B-49A5-B52C-C4E89CB541B1}" name="Kolonna8833"/>
    <tableColumn id="9172" xr3:uid="{0B77905E-4725-4834-874E-FAA0AB22C6C4}" name="Kolonna8834"/>
    <tableColumn id="9173" xr3:uid="{B38834B9-5369-4263-8FF8-0536EB4B9998}" name="Kolonna8835"/>
    <tableColumn id="9174" xr3:uid="{738F1CA9-5816-4239-B290-348D0116F580}" name="Kolonna8836"/>
    <tableColumn id="9175" xr3:uid="{466E15F6-0F8B-4093-BB87-62D78F908A12}" name="Kolonna8837"/>
    <tableColumn id="9176" xr3:uid="{A7991240-2915-4481-B2B4-0E17E72C6067}" name="Kolonna8838"/>
    <tableColumn id="9177" xr3:uid="{272F9BB4-7B6C-4322-9DFF-FE0B972019C1}" name="Kolonna8839"/>
    <tableColumn id="9178" xr3:uid="{307597D9-E89A-4E37-9B8B-48034E4563E0}" name="Kolonna8840"/>
    <tableColumn id="9179" xr3:uid="{F8776A78-B49F-4E77-8E03-F41965732C63}" name="Kolonna8841"/>
    <tableColumn id="9180" xr3:uid="{E0284A1F-5AFA-4DDB-944A-F26460DB6A3D}" name="Kolonna8842"/>
    <tableColumn id="9181" xr3:uid="{7170D1AC-FA57-4966-A712-80BFD039B3F5}" name="Kolonna8843"/>
    <tableColumn id="9182" xr3:uid="{41857958-7508-4EB6-958D-478CAD0776ED}" name="Kolonna8844"/>
    <tableColumn id="9183" xr3:uid="{93345858-95DA-4C45-A89A-F0658BB016C3}" name="Kolonna8845"/>
    <tableColumn id="9184" xr3:uid="{F896B6B1-22B6-4CDA-885F-59FD97887F37}" name="Kolonna8846"/>
    <tableColumn id="9185" xr3:uid="{BBD739EF-36C3-44F7-AB93-171F4D259CE6}" name="Kolonna8847"/>
    <tableColumn id="9186" xr3:uid="{C9907188-98F8-4AAB-88F6-ED257517618D}" name="Kolonna8848"/>
    <tableColumn id="9187" xr3:uid="{61240788-CAB1-4AC1-8060-C180DA6D99B2}" name="Kolonna8849"/>
    <tableColumn id="9188" xr3:uid="{62AE7561-CB8E-47F8-9FC6-93FFD96AB397}" name="Kolonna8850"/>
    <tableColumn id="9189" xr3:uid="{4F6CEDBE-83F6-4268-9965-396D7F913F87}" name="Kolonna8851"/>
    <tableColumn id="9190" xr3:uid="{568444A8-23AF-4FC1-9596-0AA4AA2472B7}" name="Kolonna8852"/>
    <tableColumn id="9191" xr3:uid="{B04F21B2-BD6B-4090-9B4E-6A4B1B619E46}" name="Kolonna8853"/>
    <tableColumn id="9192" xr3:uid="{B7A2CB1B-D317-4285-8FB2-25633A2449A7}" name="Kolonna8854"/>
    <tableColumn id="9193" xr3:uid="{31D9A1FF-A580-479D-B46A-37E4E6C847AB}" name="Kolonna8855"/>
    <tableColumn id="9194" xr3:uid="{CC76C7C7-5215-4864-9D9F-C7BFF0BBCA2C}" name="Kolonna8856"/>
    <tableColumn id="9195" xr3:uid="{F084E51C-D4A9-4AB3-A66A-110E0BC2D3B2}" name="Kolonna8857"/>
    <tableColumn id="9196" xr3:uid="{8CA696A5-15FD-4439-B8CB-945F731BF520}" name="Kolonna8858"/>
    <tableColumn id="9197" xr3:uid="{F060D4C3-1188-45DC-81CD-5B4C9DEF30EA}" name="Kolonna8859"/>
    <tableColumn id="9198" xr3:uid="{299F7CB2-5B6F-455F-91AE-0F99E56D0763}" name="Kolonna8860"/>
    <tableColumn id="9199" xr3:uid="{E428F155-1D67-4708-B004-F9AB0F1D8BF6}" name="Kolonna8861"/>
    <tableColumn id="9200" xr3:uid="{74890299-289A-41E7-8755-CE8074A99930}" name="Kolonna8862"/>
    <tableColumn id="9201" xr3:uid="{2063CBA1-1C4C-4AAC-8510-9D01C448CF37}" name="Kolonna8863"/>
    <tableColumn id="9202" xr3:uid="{A2B33C4F-0306-4A75-AC6D-42C393280715}" name="Kolonna8864"/>
    <tableColumn id="9203" xr3:uid="{396EB9A6-3BEF-4579-85E7-C54820C950FD}" name="Kolonna8865"/>
    <tableColumn id="9204" xr3:uid="{1EB469C8-B2D0-448E-A80E-91DFC41843ED}" name="Kolonna8866"/>
    <tableColumn id="9205" xr3:uid="{6D339E42-C369-406E-B429-3D5D7914737E}" name="Kolonna8867"/>
    <tableColumn id="9206" xr3:uid="{FF02DCF7-587B-42B2-AEEB-75A3BF8D1716}" name="Kolonna8868"/>
    <tableColumn id="9207" xr3:uid="{3F41A2E3-E785-4723-AFC9-AC2E96395690}" name="Kolonna8869"/>
    <tableColumn id="9208" xr3:uid="{202BCE3B-1C1A-49A9-8FC6-9A2D10747847}" name="Kolonna8870"/>
    <tableColumn id="9209" xr3:uid="{9982FDBA-9340-4BF4-A471-5624D63CFD4F}" name="Kolonna8871"/>
    <tableColumn id="9210" xr3:uid="{7BF6165C-94BB-4A84-8E63-3471049ABD8F}" name="Kolonna8872"/>
    <tableColumn id="9211" xr3:uid="{65C2A339-5CEA-4519-8C2B-06039BF1B31E}" name="Kolonna8873"/>
    <tableColumn id="9212" xr3:uid="{E627F453-3D78-4E1A-BDB5-BE44263E7DE9}" name="Kolonna8874"/>
    <tableColumn id="9213" xr3:uid="{6E22F3A8-7969-481C-9B88-E81A8AF3BB91}" name="Kolonna8875"/>
    <tableColumn id="9214" xr3:uid="{E574AC4C-3D37-4270-864F-12BA58D12E20}" name="Kolonna8876"/>
    <tableColumn id="9215" xr3:uid="{3B64BAFF-7F80-4561-AE6E-E73C4E42121E}" name="Kolonna8877"/>
    <tableColumn id="9216" xr3:uid="{D9ACB3BD-0A0C-4D24-9DC7-DD0EA9D132DD}" name="Kolonna8878"/>
    <tableColumn id="9217" xr3:uid="{32EEAAE2-5726-49BB-BD85-1C6F3971D9A1}" name="Kolonna8879"/>
    <tableColumn id="9218" xr3:uid="{1B56FADE-25F9-4E34-BE7A-BBB4C689F6C9}" name="Kolonna8880"/>
    <tableColumn id="9219" xr3:uid="{18CD8D06-8025-4E7E-A9C3-CF100A3A8936}" name="Kolonna8881"/>
    <tableColumn id="9220" xr3:uid="{F9E3070A-A4FD-4978-A137-454801E682D1}" name="Kolonna8882"/>
    <tableColumn id="9221" xr3:uid="{457576ED-6053-4482-BA94-3812376AC39A}" name="Kolonna8883"/>
    <tableColumn id="9222" xr3:uid="{83880712-AA25-4921-BA8C-6ACD40C9D452}" name="Kolonna8884"/>
    <tableColumn id="9223" xr3:uid="{1416C48A-BA9E-4EEE-8528-DC258B3A96DA}" name="Kolonna8885"/>
    <tableColumn id="9224" xr3:uid="{4CC00F84-EBDA-462B-AF8F-68C431DDC653}" name="Kolonna8886"/>
    <tableColumn id="9225" xr3:uid="{B3D78D09-3C09-4D18-AD29-53ECA22397C1}" name="Kolonna8887"/>
    <tableColumn id="9226" xr3:uid="{343F0095-5DCE-4C10-BAE8-0F29B5395524}" name="Kolonna8888"/>
    <tableColumn id="9227" xr3:uid="{519EDD04-E061-43ED-9F0D-B5DC26680668}" name="Kolonna8889"/>
    <tableColumn id="9228" xr3:uid="{6A7E73F9-C636-4FDA-8C0F-1475BBD4D32D}" name="Kolonna8890"/>
    <tableColumn id="9229" xr3:uid="{5B251DC5-597E-45B2-BCF6-F1E0093A10B6}" name="Kolonna8891"/>
    <tableColumn id="9230" xr3:uid="{4AB8248E-96AE-470C-A411-4069497779CF}" name="Kolonna8892"/>
    <tableColumn id="9231" xr3:uid="{94E05181-3C83-48F9-8AD8-577D17EFD7BB}" name="Kolonna8893"/>
    <tableColumn id="9232" xr3:uid="{E8A080D5-A5FB-4B6D-9FB8-9E223B8893CD}" name="Kolonna8894"/>
    <tableColumn id="9233" xr3:uid="{1A4C385B-E29D-4BE9-82E7-CCB72BE1C1FE}" name="Kolonna8895"/>
    <tableColumn id="9234" xr3:uid="{DFC7D7BC-B044-4BBD-A394-C996147746CA}" name="Kolonna8896"/>
    <tableColumn id="9235" xr3:uid="{18754D91-2879-4CA7-8E39-DC39DB91EFF6}" name="Kolonna8897"/>
    <tableColumn id="9236" xr3:uid="{79A7A775-54D0-43FF-8DBD-39EF66A04A2E}" name="Kolonna8898"/>
    <tableColumn id="9237" xr3:uid="{68625B1E-FCE6-4D96-B890-E1B1A8823BE4}" name="Kolonna8899"/>
    <tableColumn id="9238" xr3:uid="{E74737B8-3784-4606-98E7-05A62BC4F883}" name="Kolonna8900"/>
    <tableColumn id="9239" xr3:uid="{515DD4BE-86EF-4A3F-93ED-17BCD4DD4595}" name="Kolonna8901"/>
    <tableColumn id="9240" xr3:uid="{E8E7E1B2-AE21-4D91-A8A4-24598FBEB9A0}" name="Kolonna8902"/>
    <tableColumn id="9241" xr3:uid="{8227D3A7-4BDA-47AA-B921-65A8FA47F07B}" name="Kolonna8903"/>
    <tableColumn id="9242" xr3:uid="{08A73669-D9F6-4EE3-A7ED-15BF018E769C}" name="Kolonna8904"/>
    <tableColumn id="9243" xr3:uid="{850D10FF-0B17-43CD-B060-ABC7FCBF9720}" name="Kolonna8905"/>
    <tableColumn id="9244" xr3:uid="{DE60DDF3-0D6C-4531-B7BB-ABFD27903333}" name="Kolonna8906"/>
    <tableColumn id="9245" xr3:uid="{8732A544-4883-412A-8A72-6FBE0184D52C}" name="Kolonna8907"/>
    <tableColumn id="9246" xr3:uid="{34484A0A-05B9-49EF-BCB5-5DAD0FC8E0C7}" name="Kolonna8908"/>
    <tableColumn id="9247" xr3:uid="{910AE64B-144A-4D68-A6B4-D988D2E62426}" name="Kolonna8909"/>
    <tableColumn id="9248" xr3:uid="{FA2BF348-417F-487C-900B-703080683E1E}" name="Kolonna8910"/>
    <tableColumn id="9249" xr3:uid="{9641C9BB-A0AD-4067-B90B-19DEF2FA813A}" name="Kolonna8911"/>
    <tableColumn id="9250" xr3:uid="{91B136B8-5505-491C-95BB-B12432CEAD2B}" name="Kolonna8912"/>
    <tableColumn id="9251" xr3:uid="{AA5DD0AC-003F-4058-A322-521C2A620821}" name="Kolonna8913"/>
    <tableColumn id="9252" xr3:uid="{4C9C1930-A5FD-447C-8F0B-1EA8A64B5C6A}" name="Kolonna8914"/>
    <tableColumn id="9253" xr3:uid="{7315F90C-F3ED-4A20-9930-C67A31B09CA3}" name="Kolonna8915"/>
    <tableColumn id="9254" xr3:uid="{C74DACC7-6475-415E-984B-CD6D9302F1C1}" name="Kolonna8916"/>
    <tableColumn id="9255" xr3:uid="{9DA25370-AF8C-427F-84A2-64589C488271}" name="Kolonna8917"/>
    <tableColumn id="9256" xr3:uid="{4FC05A61-5B23-4DC9-909E-8C77D61AC669}" name="Kolonna8918"/>
    <tableColumn id="9257" xr3:uid="{C718008B-7C35-4435-B1A8-43E57754D6BA}" name="Kolonna8919"/>
    <tableColumn id="9258" xr3:uid="{F65591BC-8240-4B31-9FF8-B41A1F00F213}" name="Kolonna8920"/>
    <tableColumn id="9259" xr3:uid="{BC5BDD99-E6CA-4CB5-96CD-9E95CE804FB9}" name="Kolonna8921"/>
    <tableColumn id="9260" xr3:uid="{CF7A7A5B-F4A3-47DC-9097-4F389F716A91}" name="Kolonna8922"/>
    <tableColumn id="9261" xr3:uid="{C832D45E-D68B-415F-9A83-248B0DF79FBC}" name="Kolonna8923"/>
    <tableColumn id="9262" xr3:uid="{7CC9D2DF-4D6B-4FB4-9961-BF6E03038295}" name="Kolonna8924"/>
    <tableColumn id="9263" xr3:uid="{488D3998-CBBB-49D7-A869-AF20EC64B869}" name="Kolonna8925"/>
    <tableColumn id="9264" xr3:uid="{0E0858DD-726F-4257-B474-C9E3391E7D44}" name="Kolonna8926"/>
    <tableColumn id="9265" xr3:uid="{324B12D4-6A29-412A-9C47-F16CDFA2F0D8}" name="Kolonna8927"/>
    <tableColumn id="9266" xr3:uid="{0C3D3CA9-5CCC-467B-9133-E8A675A68C1F}" name="Kolonna8928"/>
    <tableColumn id="9267" xr3:uid="{6FF652B4-863B-4B82-AFE4-83CE2541C032}" name="Kolonna8929"/>
    <tableColumn id="9268" xr3:uid="{7F151604-5CE1-43E3-92BD-0A7A559D098C}" name="Kolonna8930"/>
    <tableColumn id="9269" xr3:uid="{FC42619E-3991-4A74-BAB0-E86F3FC1F65D}" name="Kolonna8931"/>
    <tableColumn id="9270" xr3:uid="{0900A1CD-3209-47C5-B15E-2502ACF0F234}" name="Kolonna8932"/>
    <tableColumn id="9271" xr3:uid="{552358AC-3145-453F-A838-910340304FDC}" name="Kolonna8933"/>
    <tableColumn id="9272" xr3:uid="{2D3D1B10-447C-43B1-AC93-2EBAA3882248}" name="Kolonna8934"/>
    <tableColumn id="9273" xr3:uid="{9B3D0F93-FD42-42CB-B71C-6FEB3BBAA7FB}" name="Kolonna8935"/>
    <tableColumn id="9274" xr3:uid="{F8EBC688-DB5F-4174-AA11-88CBA36B5073}" name="Kolonna8936"/>
    <tableColumn id="9275" xr3:uid="{73E883ED-A4D4-4248-9578-2C3F22CB9CB3}" name="Kolonna8937"/>
    <tableColumn id="9276" xr3:uid="{A1C9811B-077E-477C-924F-7EEFBDDF473E}" name="Kolonna8938"/>
    <tableColumn id="9277" xr3:uid="{7776A3F6-6A8B-4EA3-8C43-E08A8F082114}" name="Kolonna8939"/>
    <tableColumn id="9278" xr3:uid="{2808ADE5-0AFC-4C9B-86FB-70A9B51B6530}" name="Kolonna8940"/>
    <tableColumn id="9279" xr3:uid="{F697CFF9-E0AD-4625-9B2E-7D9A113E80EE}" name="Kolonna8941"/>
    <tableColumn id="9280" xr3:uid="{E6CB8D30-9CC8-4D0B-B9D0-80725111F61F}" name="Kolonna8942"/>
    <tableColumn id="9281" xr3:uid="{2DC4275F-FD40-4049-8B13-DEB33432C403}" name="Kolonna8943"/>
    <tableColumn id="9282" xr3:uid="{B2390921-086C-4D4E-842E-5337BDA0919C}" name="Kolonna8944"/>
    <tableColumn id="9283" xr3:uid="{C9B8BCBD-6C6A-4635-8CB0-043380ACC68A}" name="Kolonna8945"/>
    <tableColumn id="9284" xr3:uid="{5CC799A3-4BCF-4916-B53C-3AE87D695BB7}" name="Kolonna8946"/>
    <tableColumn id="9285" xr3:uid="{2CEC7E26-5BA0-4A94-829C-4E9441A03EAF}" name="Kolonna8947"/>
    <tableColumn id="9286" xr3:uid="{A2A914CB-3478-4F5B-B6B1-3D9701301868}" name="Kolonna8948"/>
    <tableColumn id="9287" xr3:uid="{6C480137-6DCD-43EF-A071-9579CA1B7716}" name="Kolonna8949"/>
    <tableColumn id="9288" xr3:uid="{8A5AC310-F025-429D-83B0-C8923704193F}" name="Kolonna8950"/>
    <tableColumn id="9289" xr3:uid="{827BF4DF-F137-4726-8232-C13DCC03E5DD}" name="Kolonna8951"/>
    <tableColumn id="9290" xr3:uid="{94C8FC5D-EF34-48B3-A3AF-A1D0012C4A79}" name="Kolonna8952"/>
    <tableColumn id="9291" xr3:uid="{9DEA7AFC-BB9D-4EFF-BBEC-8F1C6A6D58D2}" name="Kolonna8953"/>
    <tableColumn id="9292" xr3:uid="{3EF7C6EB-54D2-4E19-BBAC-0F9ED33D36DB}" name="Kolonna8954"/>
    <tableColumn id="9293" xr3:uid="{A45CAA12-E195-4366-AD73-ABEEDD7F3AF9}" name="Kolonna8955"/>
    <tableColumn id="9294" xr3:uid="{8C68BF5F-C066-450A-AA8E-811A88C65E4B}" name="Kolonna8956"/>
    <tableColumn id="9295" xr3:uid="{52BA005B-8C3C-489C-A3DF-CE801BB9AC78}" name="Kolonna8957"/>
    <tableColumn id="9296" xr3:uid="{EFCC2B01-F89D-44EE-8A75-0994CC844A91}" name="Kolonna8958"/>
    <tableColumn id="9297" xr3:uid="{9C814EEE-39B1-4EBB-96AC-59EC40B79451}" name="Kolonna8959"/>
    <tableColumn id="9298" xr3:uid="{67FFE241-339A-448F-9A87-FC3E51AD251B}" name="Kolonna8960"/>
    <tableColumn id="9299" xr3:uid="{9FEAAE40-88A4-4A4F-AA0D-2AA210766AA9}" name="Kolonna8961"/>
    <tableColumn id="9300" xr3:uid="{78308D0A-3487-4129-B7DB-7FE658CBF9ED}" name="Kolonna8962"/>
    <tableColumn id="9301" xr3:uid="{31F7FBB4-8873-4298-A03F-A8310931B655}" name="Kolonna8963"/>
    <tableColumn id="9302" xr3:uid="{133CA3D0-71EA-49EB-AFED-73A737187EB3}" name="Kolonna8964"/>
    <tableColumn id="9303" xr3:uid="{F9C61044-E5E2-466E-B5AA-BC4A6246F943}" name="Kolonna8965"/>
    <tableColumn id="9304" xr3:uid="{ABE1E230-BF31-4F7E-AB76-BBF20254589F}" name="Kolonna8966"/>
    <tableColumn id="9305" xr3:uid="{E8D44EA2-DF49-4652-82EC-5DC5D85E0A27}" name="Kolonna8967"/>
    <tableColumn id="9306" xr3:uid="{492A4D48-8BA9-4D7F-87A0-E1E7246E520F}" name="Kolonna8968"/>
    <tableColumn id="9307" xr3:uid="{E8A44AA8-AF4D-43BB-9C31-A8FFF6BFA484}" name="Kolonna8969"/>
    <tableColumn id="9308" xr3:uid="{653DEE85-21EB-4CD4-BAFE-8EE86419CE90}" name="Kolonna8970"/>
    <tableColumn id="9309" xr3:uid="{1DD37210-F81C-401B-9475-936EE40A65A1}" name="Kolonna8971"/>
    <tableColumn id="9310" xr3:uid="{409C7557-4AAA-41DF-B4F5-D60BD5C1B953}" name="Kolonna8972"/>
    <tableColumn id="9311" xr3:uid="{4FFC8AF5-8E0F-4B96-BC5C-B628A635BFB5}" name="Kolonna8973"/>
    <tableColumn id="9312" xr3:uid="{1F6AF96E-FD1A-40E7-A892-2E060C0E45B4}" name="Kolonna8974"/>
    <tableColumn id="9313" xr3:uid="{6033784C-B477-4F48-B238-4619AABEE949}" name="Kolonna8975"/>
    <tableColumn id="9314" xr3:uid="{7D61D7B3-63F6-4C3D-9427-38E4601724B2}" name="Kolonna8976"/>
    <tableColumn id="9315" xr3:uid="{35B2CB64-EDA8-4F31-9CC9-02E6D9907F63}" name="Kolonna8977"/>
    <tableColumn id="9316" xr3:uid="{A7D17B05-553F-49BF-B9B8-7A0301CCC6C0}" name="Kolonna8978"/>
    <tableColumn id="9317" xr3:uid="{2BB00C4E-13E6-4B82-BE38-DCD575C58003}" name="Kolonna8979"/>
    <tableColumn id="9318" xr3:uid="{C2297574-3AE5-4FBF-B79E-BF77F50E5EBF}" name="Kolonna8980"/>
    <tableColumn id="9319" xr3:uid="{0D71A90C-DAC2-4EC8-93C2-0E08D0735C0A}" name="Kolonna8981"/>
    <tableColumn id="9320" xr3:uid="{06A08D8C-1423-4D03-B6E5-2078ECD25452}" name="Kolonna8982"/>
    <tableColumn id="9321" xr3:uid="{8BBB971A-42DF-4790-B9E1-5024234DEAFB}" name="Kolonna8983"/>
    <tableColumn id="9322" xr3:uid="{F485B070-254E-46AA-B674-4F9798A900DB}" name="Kolonna8984"/>
    <tableColumn id="9323" xr3:uid="{FFE84C7F-CA90-4E0C-B068-429C528B4D30}" name="Kolonna8985"/>
    <tableColumn id="9324" xr3:uid="{73CBAC31-3113-45E3-B959-51902499C998}" name="Kolonna8986"/>
    <tableColumn id="9325" xr3:uid="{536D68B8-D31B-4E90-8C11-FB8D3B85E27E}" name="Kolonna8987"/>
    <tableColumn id="9326" xr3:uid="{9BADFA24-2B08-4448-B2A1-F6EA13205ED4}" name="Kolonna8988"/>
    <tableColumn id="9327" xr3:uid="{C0EF34B0-19F2-48DC-BC0F-0AB8AF9F5ED3}" name="Kolonna8989"/>
    <tableColumn id="9328" xr3:uid="{762E8396-582E-4ABC-92C1-3B2C3FCEA190}" name="Kolonna8990"/>
    <tableColumn id="9329" xr3:uid="{4A3613D0-AF5C-4458-9A68-54A04EEE8F54}" name="Kolonna8991"/>
    <tableColumn id="9330" xr3:uid="{A3DF17AD-5D68-4EBD-BC19-603E5C0662F7}" name="Kolonna8992"/>
    <tableColumn id="9331" xr3:uid="{AA2C393C-F141-4BEB-97A5-746EABCF02A2}" name="Kolonna8993"/>
    <tableColumn id="9332" xr3:uid="{010DB131-01D9-4929-B02E-D1F6324D0DD9}" name="Kolonna8994"/>
    <tableColumn id="9333" xr3:uid="{89562E76-9091-4FA3-8D13-8AC954711599}" name="Kolonna8995"/>
    <tableColumn id="9334" xr3:uid="{E55EDE8B-1460-43A3-A875-7EFF5BD4933A}" name="Kolonna8996"/>
    <tableColumn id="9335" xr3:uid="{D3AC44FF-5891-4F32-B6B7-85C63F8F4220}" name="Kolonna8997"/>
    <tableColumn id="9336" xr3:uid="{289A7610-657C-4C55-9E70-F3CA304DA134}" name="Kolonna8998"/>
    <tableColumn id="9337" xr3:uid="{11DD8E0A-A132-4E0A-9E59-67E32C38BEB8}" name="Kolonna8999"/>
    <tableColumn id="9338" xr3:uid="{5D838A79-C6F0-4E4F-A301-B0989864654D}" name="Kolonna9000"/>
    <tableColumn id="9339" xr3:uid="{E8577AF8-D6BA-4664-9489-30134171D6E9}" name="Kolonna9001"/>
    <tableColumn id="9340" xr3:uid="{11B77387-D031-4CAF-90FA-22062C5A6597}" name="Kolonna9002"/>
    <tableColumn id="9341" xr3:uid="{E2881CEA-88DD-4516-8DE7-FED79EF8997E}" name="Kolonna9003"/>
    <tableColumn id="9342" xr3:uid="{33875CBA-F574-447C-B121-35C5E73E3514}" name="Kolonna9004"/>
    <tableColumn id="9343" xr3:uid="{FE18CD6B-7BA8-4C56-8230-0622FFA9D48A}" name="Kolonna9005"/>
    <tableColumn id="9344" xr3:uid="{76BA38DC-B36B-4F6E-A900-B1F66AEB508B}" name="Kolonna9006"/>
    <tableColumn id="9345" xr3:uid="{380C1F43-C582-4A25-8602-943D654C927B}" name="Kolonna9007"/>
    <tableColumn id="9346" xr3:uid="{E1B88EC5-2225-4A6E-BA0E-06718B20D10D}" name="Kolonna9008"/>
    <tableColumn id="9347" xr3:uid="{8297AB07-5885-4FA8-8188-FA01F75AD3CB}" name="Kolonna9009"/>
    <tableColumn id="9348" xr3:uid="{B1523DE5-9143-4C56-9A46-07F82A430BE3}" name="Kolonna9010"/>
    <tableColumn id="9349" xr3:uid="{623D6AB2-5CCE-42EE-B688-0F19FC7B13BB}" name="Kolonna9011"/>
    <tableColumn id="9350" xr3:uid="{72BA62AC-E3E6-43DB-AD1A-9521CC8D4DE3}" name="Kolonna9012"/>
    <tableColumn id="9351" xr3:uid="{AF826C50-E597-4584-9A74-76215B6325D0}" name="Kolonna9013"/>
    <tableColumn id="9352" xr3:uid="{5523D99F-AB63-4C70-9B83-0EF7E583FA09}" name="Kolonna9014"/>
    <tableColumn id="9353" xr3:uid="{75AA3C62-05C9-4A36-902D-8F854E18BA2A}" name="Kolonna9015"/>
    <tableColumn id="9354" xr3:uid="{699E6DDC-53DA-4BD1-B96D-69C0548037E8}" name="Kolonna9016"/>
    <tableColumn id="9355" xr3:uid="{40EAAEC6-A9B9-45A1-9D43-404D731ECCF5}" name="Kolonna9017"/>
    <tableColumn id="9356" xr3:uid="{654B5986-BAAE-498E-A267-6E3B5335D1B7}" name="Kolonna9018"/>
    <tableColumn id="9357" xr3:uid="{253CB33D-25EA-4016-82B8-191A4FCAA287}" name="Kolonna9019"/>
    <tableColumn id="9358" xr3:uid="{1F1479D8-C7B0-4A28-A207-58B06BB736A4}" name="Kolonna9020"/>
    <tableColumn id="9359" xr3:uid="{DB33A9EF-8899-4D93-A655-CF5F7E40EBD9}" name="Kolonna9021"/>
    <tableColumn id="9360" xr3:uid="{325CD8BD-BCFE-4F39-ACDA-3861674E38DE}" name="Kolonna9022"/>
    <tableColumn id="9361" xr3:uid="{A48AFE8D-7471-4B74-AEDB-10BAF56D101D}" name="Kolonna9023"/>
    <tableColumn id="9362" xr3:uid="{8A286AEB-4DC3-45C8-9DFD-7A4A38F00B4E}" name="Kolonna9024"/>
    <tableColumn id="9363" xr3:uid="{483ADEBC-CE93-4D85-8E05-E6F2D68AD684}" name="Kolonna9025"/>
    <tableColumn id="9364" xr3:uid="{F4D93544-252E-4179-AB35-D9C870BDADFB}" name="Kolonna9026"/>
    <tableColumn id="9365" xr3:uid="{49F40E82-88CA-48DD-BE2A-EF67D6C52097}" name="Kolonna9027"/>
    <tableColumn id="9366" xr3:uid="{B9495444-1BC1-4CBE-8220-18BD9537A051}" name="Kolonna9028"/>
    <tableColumn id="9367" xr3:uid="{B30F7854-0924-49B0-9711-529E1D401D4D}" name="Kolonna9029"/>
    <tableColumn id="9368" xr3:uid="{7F209B1D-7A66-49B2-B56E-ECD19FC2D732}" name="Kolonna9030"/>
    <tableColumn id="9369" xr3:uid="{5607EA18-0452-4F9D-A5FD-55C56E6C5AFE}" name="Kolonna9031"/>
    <tableColumn id="9370" xr3:uid="{0875B06C-1DD7-4100-A0D9-4B29DB40266B}" name="Kolonna9032"/>
    <tableColumn id="9371" xr3:uid="{C5F177C9-C08C-46B5-9AF1-247CA61E832A}" name="Kolonna9033"/>
    <tableColumn id="9372" xr3:uid="{F2B68015-DC39-4922-AEB6-20B9A5FF49D3}" name="Kolonna9034"/>
    <tableColumn id="9373" xr3:uid="{56EC2DC3-2AEC-4BBD-A83F-5E0B61765F30}" name="Kolonna9035"/>
    <tableColumn id="9374" xr3:uid="{D907C57F-328F-449F-8737-44DDB1F361C9}" name="Kolonna9036"/>
    <tableColumn id="9375" xr3:uid="{83ED9DF2-0152-4AE0-856C-62CF1589B042}" name="Kolonna9037"/>
    <tableColumn id="9376" xr3:uid="{4FBEB2E5-F7C8-422E-9A83-9796D7A6D808}" name="Kolonna9038"/>
    <tableColumn id="9377" xr3:uid="{148C6DF9-8234-4D22-8B8E-4EE0E756179E}" name="Kolonna9039"/>
    <tableColumn id="9378" xr3:uid="{73F72636-9A63-4875-B04E-F211EAA70F8C}" name="Kolonna9040"/>
    <tableColumn id="9379" xr3:uid="{05E14994-A338-4638-B108-0036597DF8F0}" name="Kolonna9041"/>
    <tableColumn id="9380" xr3:uid="{877C1DE3-9A11-4DD7-9BF0-DCB4ECB703F1}" name="Kolonna9042"/>
    <tableColumn id="9381" xr3:uid="{4FE06684-9390-4611-A06D-3A2A68078663}" name="Kolonna9043"/>
    <tableColumn id="9382" xr3:uid="{824576A3-D436-48DE-878C-E839859C718D}" name="Kolonna9044"/>
    <tableColumn id="9383" xr3:uid="{E0E68014-0904-4F22-A801-9D9AD8DC2D8C}" name="Kolonna9045"/>
    <tableColumn id="9384" xr3:uid="{FBD708CA-FA98-4938-80C2-CB4E5FFC6AC6}" name="Kolonna9046"/>
    <tableColumn id="9385" xr3:uid="{BEE9D5D6-1DBF-4775-B446-EE03C3CA26FC}" name="Kolonna9047"/>
    <tableColumn id="9386" xr3:uid="{87C2535C-6DDE-4121-8DB4-DAA234D7EE8F}" name="Kolonna9048"/>
    <tableColumn id="9387" xr3:uid="{4BD307C3-54AE-4E83-BC7A-FE391D36ADCC}" name="Kolonna9049"/>
    <tableColumn id="9388" xr3:uid="{09B06E3D-F40D-4CE4-8B45-6068725F1F7B}" name="Kolonna9050"/>
    <tableColumn id="9389" xr3:uid="{A973EAB3-A0FF-46B6-85C3-318245E83974}" name="Kolonna9051"/>
    <tableColumn id="9390" xr3:uid="{B715C9FF-CF98-46E2-9561-4737F651374F}" name="Kolonna9052"/>
    <tableColumn id="9391" xr3:uid="{F9F0F2F3-7B9A-47C0-BB67-FEEC64C29AFC}" name="Kolonna9053"/>
    <tableColumn id="9392" xr3:uid="{8552D384-8863-481E-9DCD-A9819E1C41FC}" name="Kolonna9054"/>
    <tableColumn id="9393" xr3:uid="{DDFB7B3C-17A4-41B0-B4A9-B194944637C0}" name="Kolonna9055"/>
    <tableColumn id="9394" xr3:uid="{4F8FD61C-423F-4857-9577-81EAE858D7D0}" name="Kolonna9056"/>
    <tableColumn id="9395" xr3:uid="{ED52A123-F507-40B1-80C0-CCB33969E33C}" name="Kolonna9057"/>
    <tableColumn id="9396" xr3:uid="{39CAEF21-40D6-4224-AC0E-77E904FC123C}" name="Kolonna9058"/>
    <tableColumn id="9397" xr3:uid="{5FCC8CC7-D25D-449F-8C95-09F26BD343B2}" name="Kolonna9059"/>
    <tableColumn id="9398" xr3:uid="{E020341D-ED17-4FFC-AFAD-93F5585CB2B2}" name="Kolonna9060"/>
    <tableColumn id="9399" xr3:uid="{5DCE00E7-0F5C-48A2-B08E-94CC845B0901}" name="Kolonna9061"/>
    <tableColumn id="9400" xr3:uid="{B1664DBD-F528-4E44-9DA0-C101D7B63EB6}" name="Kolonna9062"/>
    <tableColumn id="9401" xr3:uid="{12E87112-85D5-41C9-BC76-486DBA4A2835}" name="Kolonna9063"/>
    <tableColumn id="9402" xr3:uid="{762992EF-34EC-4DBA-8465-C149693645A7}" name="Kolonna9064"/>
    <tableColumn id="9403" xr3:uid="{F60BB1CA-559D-43D7-B178-CDB357DC6CD4}" name="Kolonna9065"/>
    <tableColumn id="9404" xr3:uid="{66B51125-4B04-4DE3-ADFB-37A47CA2640F}" name="Kolonna9066"/>
    <tableColumn id="9405" xr3:uid="{468553C8-8F43-4A35-944B-9023426000C8}" name="Kolonna9067"/>
    <tableColumn id="9406" xr3:uid="{33572098-37F8-4DF5-8060-DA6CE6421591}" name="Kolonna9068"/>
    <tableColumn id="9407" xr3:uid="{8ECEA06E-870F-49A9-86A6-6D848B3A6B48}" name="Kolonna9069"/>
    <tableColumn id="9408" xr3:uid="{C13E52E2-13C3-4A2E-A573-0B40CF3240FC}" name="Kolonna9070"/>
    <tableColumn id="9409" xr3:uid="{75D2236B-5B65-4623-BEEA-A91584197F94}" name="Kolonna9071"/>
    <tableColumn id="9410" xr3:uid="{DA749C7C-045E-4E50-A105-F724D2EF6220}" name="Kolonna9072"/>
    <tableColumn id="9411" xr3:uid="{86980FEE-4BB5-453C-9854-A0F45681E08B}" name="Kolonna9073"/>
    <tableColumn id="9412" xr3:uid="{E99C3C4B-C8EB-4F5F-BD73-3ED402F93FA4}" name="Kolonna9074"/>
    <tableColumn id="9413" xr3:uid="{5F1E0101-55C6-4357-9818-B1C7CE74FD5E}" name="Kolonna9075"/>
    <tableColumn id="9414" xr3:uid="{3D4630E9-E325-40D1-95C6-6BCBB59FDB0A}" name="Kolonna9076"/>
    <tableColumn id="9415" xr3:uid="{7CE9E624-DD2B-4892-9623-F10E1CB363E8}" name="Kolonna9077"/>
    <tableColumn id="9416" xr3:uid="{DE5D7F97-946D-4595-9BA8-91D1634C791B}" name="Kolonna9078"/>
    <tableColumn id="9417" xr3:uid="{EC15023B-9681-46CB-B240-820624E77F10}" name="Kolonna9079"/>
    <tableColumn id="9418" xr3:uid="{50363CE8-9434-4067-971A-7E9424242F4D}" name="Kolonna9080"/>
    <tableColumn id="9419" xr3:uid="{8A6CF6B2-243D-4ED9-BB97-35F36DF946FF}" name="Kolonna9081"/>
    <tableColumn id="9420" xr3:uid="{D2CC149F-DF44-4083-8B92-E5E6C7AB9917}" name="Kolonna9082"/>
    <tableColumn id="9421" xr3:uid="{3D45D572-BF10-47FF-979A-150FD2A2A8E8}" name="Kolonna9083"/>
    <tableColumn id="9422" xr3:uid="{86CE8067-832D-4F9D-B2B6-F705FE7C9D92}" name="Kolonna9084"/>
    <tableColumn id="9423" xr3:uid="{2C8441CB-21A3-4C61-9788-89D7F33821A5}" name="Kolonna9085"/>
    <tableColumn id="9424" xr3:uid="{61315657-A621-4664-BDA1-13A9A7EBC171}" name="Kolonna9086"/>
    <tableColumn id="9425" xr3:uid="{BF2FF10A-0CE4-43EA-AE45-78E073D1A6AC}" name="Kolonna9087"/>
    <tableColumn id="9426" xr3:uid="{047BC744-3543-438F-97E3-67F245A8FEF0}" name="Kolonna9088"/>
    <tableColumn id="9427" xr3:uid="{0D7CA99F-910D-423D-80E3-E758CE6CC12B}" name="Kolonna9089"/>
    <tableColumn id="9428" xr3:uid="{CFF6C2C5-7535-4EE3-9AD1-492CA1EFB31E}" name="Kolonna9090"/>
    <tableColumn id="9429" xr3:uid="{D8959FD9-8467-43CF-89FB-71471F529416}" name="Kolonna9091"/>
    <tableColumn id="9430" xr3:uid="{98A4771D-2D1C-45C9-A00F-C1FBF4C7A710}" name="Kolonna9092"/>
    <tableColumn id="9431" xr3:uid="{883F822C-0ABD-4B42-B680-D14C8402415A}" name="Kolonna9093"/>
    <tableColumn id="9432" xr3:uid="{D34E35E8-3CF8-4FB5-93CB-D02F9BBCFD34}" name="Kolonna9094"/>
    <tableColumn id="9433" xr3:uid="{F82B0FD4-6F34-45CF-AB9A-DE5422247BD1}" name="Kolonna9095"/>
    <tableColumn id="9434" xr3:uid="{0F7F01F7-D754-4C59-B516-7BE79D6FE86F}" name="Kolonna9096"/>
    <tableColumn id="9435" xr3:uid="{50FD1850-33AB-42F4-8713-C984634AD3ED}" name="Kolonna9097"/>
    <tableColumn id="9436" xr3:uid="{BB13BA6D-98AB-48B9-AA0D-2ED28826C177}" name="Kolonna9098"/>
    <tableColumn id="9437" xr3:uid="{BDA19095-667D-4F82-8D21-AE0F180A63BA}" name="Kolonna9099"/>
    <tableColumn id="9438" xr3:uid="{6E639429-BC13-4570-8ECD-A88769722A03}" name="Kolonna9100"/>
    <tableColumn id="9439" xr3:uid="{F300F8CE-8330-449B-85DB-FF98AAAC84BE}" name="Kolonna9101"/>
    <tableColumn id="9440" xr3:uid="{63C358DF-325E-43F5-B607-AD06430D5BB1}" name="Kolonna9102"/>
    <tableColumn id="9441" xr3:uid="{517D9AE5-26ED-4910-B6AA-878A978D33CB}" name="Kolonna9103"/>
    <tableColumn id="9442" xr3:uid="{67BF5CE9-5008-4C50-8676-E6673E32E31E}" name="Kolonna9104"/>
    <tableColumn id="9443" xr3:uid="{6C30B6B0-63E6-45DA-B6D8-4647CE419926}" name="Kolonna9105"/>
    <tableColumn id="9444" xr3:uid="{9246E180-3EE4-4CDA-A27D-1067CA9338D0}" name="Kolonna9106"/>
    <tableColumn id="9445" xr3:uid="{59532A59-0A06-46E8-BB15-89C91D05D1AF}" name="Kolonna9107"/>
    <tableColumn id="9446" xr3:uid="{279B9D7B-59B3-4DC9-A9A6-FD17E03E4C82}" name="Kolonna9108"/>
    <tableColumn id="9447" xr3:uid="{AE09085E-3A09-4382-8761-B0A710582521}" name="Kolonna9109"/>
    <tableColumn id="9448" xr3:uid="{FBBC9234-3BEA-4112-9C8F-3C46BC1CF935}" name="Kolonna9110"/>
    <tableColumn id="9449" xr3:uid="{008DB6F3-43ED-4DA4-BE89-B981C28A03F4}" name="Kolonna9111"/>
    <tableColumn id="9450" xr3:uid="{0B9B7E96-5A85-4B5D-B882-2E3603530C3F}" name="Kolonna9112"/>
    <tableColumn id="9451" xr3:uid="{85CE1503-2934-4680-8F83-2707D1C0A923}" name="Kolonna9113"/>
    <tableColumn id="9452" xr3:uid="{CD81B8FF-8F0D-4F6D-B499-38A607ABE0EA}" name="Kolonna9114"/>
    <tableColumn id="9453" xr3:uid="{FE27F577-A473-4D9A-A3B4-0772252A7709}" name="Kolonna9115"/>
    <tableColumn id="9454" xr3:uid="{36739082-B8F3-4F28-90DC-EB7D12649934}" name="Kolonna9116"/>
    <tableColumn id="9455" xr3:uid="{F8DC1D03-434F-410F-9870-88BC7E1C87CF}" name="Kolonna9117"/>
    <tableColumn id="9456" xr3:uid="{77212AE2-7766-42E3-A841-76078A60B256}" name="Kolonna9118"/>
    <tableColumn id="9457" xr3:uid="{BC37B831-9DC1-45BD-AD1F-12160539AA96}" name="Kolonna9119"/>
    <tableColumn id="9458" xr3:uid="{712C3728-D0DD-4ABC-99DB-1104ADB2503A}" name="Kolonna9120"/>
    <tableColumn id="9459" xr3:uid="{C6571F1E-04D6-4405-BA47-21DD122F29BA}" name="Kolonna9121"/>
    <tableColumn id="9460" xr3:uid="{02527196-B34F-4905-B366-74DFCC9E3F16}" name="Kolonna9122"/>
    <tableColumn id="9461" xr3:uid="{A6223C3A-A137-4B4E-858E-A13AFB3C97A3}" name="Kolonna9123"/>
    <tableColumn id="9462" xr3:uid="{D6B0662B-2326-4291-B5CD-78AEEDB6EA32}" name="Kolonna9124"/>
    <tableColumn id="9463" xr3:uid="{1534EC98-0EF3-4F4B-832C-86A25279E38A}" name="Kolonna9125"/>
    <tableColumn id="9464" xr3:uid="{E0F44077-C2C4-4C5B-9223-2EA9A237A1BD}" name="Kolonna9126"/>
    <tableColumn id="9465" xr3:uid="{B5B8ECCC-BE8A-4A4C-8617-F46630B777CA}" name="Kolonna9127"/>
    <tableColumn id="9466" xr3:uid="{18CA3D5D-46F2-4BB5-BF5F-0346E0EE4703}" name="Kolonna9128"/>
    <tableColumn id="9467" xr3:uid="{EAF4744C-41A8-43D0-8D67-EF4CB3C56174}" name="Kolonna9129"/>
    <tableColumn id="9468" xr3:uid="{9A00579E-4F5F-47C6-AF1A-88681734EF5B}" name="Kolonna9130"/>
    <tableColumn id="9469" xr3:uid="{A9B533C5-680F-459F-B8D1-9BE362F8FC94}" name="Kolonna9131"/>
    <tableColumn id="9470" xr3:uid="{E4FF4F9F-4219-4390-818E-436B788F4F74}" name="Kolonna9132"/>
    <tableColumn id="9471" xr3:uid="{03A57B78-A7BC-4EF5-985F-8D7AF29A6915}" name="Kolonna9133"/>
    <tableColumn id="9472" xr3:uid="{9113BD7C-513F-4243-A109-D1C84181E26A}" name="Kolonna9134"/>
    <tableColumn id="9473" xr3:uid="{87AFADAA-2A0A-4D6B-ADAD-631A3527A63F}" name="Kolonna9135"/>
    <tableColumn id="9474" xr3:uid="{BF9271E4-701B-42C3-BB92-8C8848796C6D}" name="Kolonna9136"/>
    <tableColumn id="9475" xr3:uid="{2EF27354-75D6-4460-8F49-B25273B2520E}" name="Kolonna9137"/>
    <tableColumn id="9476" xr3:uid="{56B6FB90-A549-400F-A005-69A09D557950}" name="Kolonna9138"/>
    <tableColumn id="9477" xr3:uid="{A963898F-A20B-45A3-9195-B0576EB7F9E0}" name="Kolonna9139"/>
    <tableColumn id="9478" xr3:uid="{9156AA9D-15CA-4C83-83C2-3710DEF9FF91}" name="Kolonna9140"/>
    <tableColumn id="9479" xr3:uid="{C08EE2CC-4A71-402E-8400-70FED7E4B77A}" name="Kolonna9141"/>
    <tableColumn id="9480" xr3:uid="{71B8ECAC-9696-4595-9D3F-467A1A792F69}" name="Kolonna9142"/>
    <tableColumn id="9481" xr3:uid="{580F2E69-A971-4C04-97CB-C8C8DACCB6B1}" name="Kolonna9143"/>
    <tableColumn id="9482" xr3:uid="{91A69FA5-64AD-4748-8FA9-AA5CDD524836}" name="Kolonna9144"/>
    <tableColumn id="9483" xr3:uid="{4611A551-DA35-4F42-8D34-15C83B6D82B4}" name="Kolonna9145"/>
    <tableColumn id="9484" xr3:uid="{A5564340-4202-4EDD-A565-D1A1802DCDB9}" name="Kolonna9146"/>
    <tableColumn id="9485" xr3:uid="{51759B5B-8EB0-4160-BE0C-C05C689ABE5C}" name="Kolonna9147"/>
    <tableColumn id="9486" xr3:uid="{468519CE-0B36-469B-B8BF-98C689B029EC}" name="Kolonna9148"/>
    <tableColumn id="9487" xr3:uid="{8B28C43F-1481-4628-90F8-89FD647C4862}" name="Kolonna9149"/>
    <tableColumn id="9488" xr3:uid="{3D44A0A5-A817-45D4-A98A-8F64F04037B0}" name="Kolonna9150"/>
    <tableColumn id="9489" xr3:uid="{EE88C869-6CAE-4E40-A8C3-96426E9C7C01}" name="Kolonna9151"/>
    <tableColumn id="9490" xr3:uid="{6125CE32-1321-4BE5-A34C-3E3369FE6A74}" name="Kolonna9152"/>
    <tableColumn id="9491" xr3:uid="{0358B828-3907-4BA4-A83D-E0B47614C481}" name="Kolonna9153"/>
    <tableColumn id="9492" xr3:uid="{59C47740-74D3-4D00-80B7-A0FB2A4F37CE}" name="Kolonna9154"/>
    <tableColumn id="9493" xr3:uid="{8A71EE97-28E7-45FC-A544-F76FD2F7CB3E}" name="Kolonna9155"/>
    <tableColumn id="9494" xr3:uid="{21620C45-7CA5-4BC1-9CAA-69269ABC1473}" name="Kolonna9156"/>
    <tableColumn id="9495" xr3:uid="{D0C35583-05EF-452C-8EA2-06B891AD5E08}" name="Kolonna9157"/>
    <tableColumn id="9496" xr3:uid="{60D6E4D7-2DC3-4463-A146-6AD4E7EA025D}" name="Kolonna9158"/>
    <tableColumn id="9497" xr3:uid="{7525D49F-2E0E-4F75-8DB1-965D50D98A39}" name="Kolonna9159"/>
    <tableColumn id="9498" xr3:uid="{DC69A79D-49CC-4907-9BD7-8C31A8832E09}" name="Kolonna9160"/>
    <tableColumn id="9499" xr3:uid="{92920751-434B-4DF0-B950-830EEAF53E72}" name="Kolonna9161"/>
    <tableColumn id="9500" xr3:uid="{C48EE04D-B4B1-44AD-B69C-10B8104B2D9F}" name="Kolonna9162"/>
    <tableColumn id="9501" xr3:uid="{89F19EB1-6980-4783-9E4A-15FBCEF2A29C}" name="Kolonna9163"/>
    <tableColumn id="9502" xr3:uid="{8E1F8048-762D-46AF-B241-CD46DEE09A2D}" name="Kolonna9164"/>
    <tableColumn id="9503" xr3:uid="{EE3A6E9C-A84F-4A62-911E-52911A52C96C}" name="Kolonna9165"/>
    <tableColumn id="9504" xr3:uid="{00C15043-F184-4640-BC63-4007DE1DC697}" name="Kolonna9166"/>
    <tableColumn id="9505" xr3:uid="{C6CA579E-D6B9-4AC2-BFBC-4B5F14B48115}" name="Kolonna9167"/>
    <tableColumn id="9506" xr3:uid="{92D70CAE-5FF9-4CCF-BAD7-2B21FBCDF229}" name="Kolonna9168"/>
    <tableColumn id="9507" xr3:uid="{BBDCB49C-F090-4F99-936E-5B63A21E1117}" name="Kolonna9169"/>
    <tableColumn id="9508" xr3:uid="{1ED7DC61-0C00-4FA0-BDAD-18CEC8C3736E}" name="Kolonna9170"/>
    <tableColumn id="9509" xr3:uid="{BA966E3C-0D7C-4F9E-91D6-B983CFEE2E79}" name="Kolonna9171"/>
    <tableColumn id="9510" xr3:uid="{2F7DC1F3-D250-4FAD-8A67-59277F919AE1}" name="Kolonna9172"/>
    <tableColumn id="9511" xr3:uid="{9FDC9182-BCE6-4CC5-A192-79519466021F}" name="Kolonna9173"/>
    <tableColumn id="9512" xr3:uid="{5D5A58D4-E2E4-4CB7-84C9-E8001DFA87AC}" name="Kolonna9174"/>
    <tableColumn id="9513" xr3:uid="{2D846D54-398C-478F-B179-2055A5830698}" name="Kolonna9175"/>
    <tableColumn id="9514" xr3:uid="{89A67517-EDE7-4C8E-BD7B-F853E1DF95C5}" name="Kolonna9176"/>
    <tableColumn id="9515" xr3:uid="{4235EEB2-97EA-4D7B-89C9-4055ADD83152}" name="Kolonna9177"/>
    <tableColumn id="9516" xr3:uid="{AE637C87-4815-4F13-85F5-A9A27229F2D5}" name="Kolonna9178"/>
    <tableColumn id="9517" xr3:uid="{D386E81D-5383-4351-B2D3-6FD35A4CD963}" name="Kolonna9179"/>
    <tableColumn id="9518" xr3:uid="{43E35571-CA23-4500-9B6C-F5D2CFF619CE}" name="Kolonna9180"/>
    <tableColumn id="9519" xr3:uid="{F5482B5F-2B54-4B71-A67A-7426BD58F77D}" name="Kolonna9181"/>
    <tableColumn id="9520" xr3:uid="{DBAACF6C-0848-4435-BC71-0A45FEBC7BBE}" name="Kolonna9182"/>
    <tableColumn id="9521" xr3:uid="{CF0A812C-0D5B-47F1-83F1-F27C6ED8D399}" name="Kolonna9183"/>
    <tableColumn id="9522" xr3:uid="{BC924AA2-1439-4BC6-855A-514A4411747D}" name="Kolonna9184"/>
    <tableColumn id="9523" xr3:uid="{E1D082D1-D046-48EB-A9EB-075BB6D7D18A}" name="Kolonna9185"/>
    <tableColumn id="9524" xr3:uid="{B38E6738-5913-46C2-B43E-D71470C8F5CD}" name="Kolonna9186"/>
    <tableColumn id="9525" xr3:uid="{D910E687-4205-4A31-802B-640A82EE4FD8}" name="Kolonna9187"/>
    <tableColumn id="9526" xr3:uid="{0E226FB2-34A9-4F5D-87CE-389BB6AFDB36}" name="Kolonna9188"/>
    <tableColumn id="9527" xr3:uid="{C654F08A-FE03-4FF7-8984-231B841F0CF8}" name="Kolonna9189"/>
    <tableColumn id="9528" xr3:uid="{4E8A07A1-FF61-4E70-BA86-791A88B5968D}" name="Kolonna9190"/>
    <tableColumn id="9529" xr3:uid="{5BB44722-5479-4F5A-9E78-33099E8EE90B}" name="Kolonna9191"/>
    <tableColumn id="9530" xr3:uid="{D514F900-6049-45B8-8F83-0C621D4AE179}" name="Kolonna9192"/>
    <tableColumn id="9531" xr3:uid="{3009784A-4FF9-42D4-924A-A7EFECA3A573}" name="Kolonna9193"/>
    <tableColumn id="9532" xr3:uid="{F942A0AC-1496-448A-99FF-D39A23C13FC1}" name="Kolonna9194"/>
    <tableColumn id="9533" xr3:uid="{0135EE8E-0FF3-4FDC-A1FE-49495CCEB761}" name="Kolonna9195"/>
    <tableColumn id="9534" xr3:uid="{F8A47A63-2AE5-464C-8A56-5642901A3B18}" name="Kolonna9196"/>
    <tableColumn id="9535" xr3:uid="{75030A93-F029-48E0-BA8B-5B5747A9DA1E}" name="Kolonna9197"/>
    <tableColumn id="9536" xr3:uid="{1FE6DA9A-454F-47FB-98BA-DC82AC02BA03}" name="Kolonna9198"/>
    <tableColumn id="9537" xr3:uid="{D8249532-16D6-4394-96A2-E024DE3B673E}" name="Kolonna9199"/>
    <tableColumn id="9538" xr3:uid="{9DB9525F-8907-4E50-BD57-F854771AD9C4}" name="Kolonna9200"/>
    <tableColumn id="9539" xr3:uid="{089FEB90-DA84-40A9-9CA0-14F95844855D}" name="Kolonna9201"/>
    <tableColumn id="9540" xr3:uid="{8AE6C927-0674-4A76-8BCA-89EB4CCDE69D}" name="Kolonna9202"/>
    <tableColumn id="9541" xr3:uid="{497C36A5-F2FD-4F60-A88C-38DFBCE66C67}" name="Kolonna9203"/>
    <tableColumn id="9542" xr3:uid="{09C86756-074D-44BF-9BD0-E224015AA1AC}" name="Kolonna9204"/>
    <tableColumn id="9543" xr3:uid="{C32CEB5F-0DC9-4F7A-945B-517540646BD4}" name="Kolonna9205"/>
    <tableColumn id="9544" xr3:uid="{678E4C04-4F31-43A6-BEC8-F823269ECBA2}" name="Kolonna9206"/>
    <tableColumn id="9545" xr3:uid="{E80C2BB9-2251-4920-8508-04B9B4DE7467}" name="Kolonna9207"/>
    <tableColumn id="9546" xr3:uid="{E74B99C7-05C9-403C-96AD-C3B524078231}" name="Kolonna9208"/>
    <tableColumn id="9547" xr3:uid="{FFE66C9E-1336-4589-9414-B008434F0A9D}" name="Kolonna9209"/>
    <tableColumn id="9548" xr3:uid="{700DA227-190B-4593-8580-9A13BBE5FFEB}" name="Kolonna9210"/>
    <tableColumn id="9549" xr3:uid="{B8244F9E-3FBA-4BA4-BAE1-46C321E6E2BE}" name="Kolonna9211"/>
    <tableColumn id="9550" xr3:uid="{7173A629-EC79-45F7-9DEE-B3319EC776F3}" name="Kolonna9212"/>
    <tableColumn id="9551" xr3:uid="{19270E70-8F0C-475A-B60C-24DE625B3972}" name="Kolonna9213"/>
    <tableColumn id="9552" xr3:uid="{8D19A6D1-E317-4102-8309-08926A1917DF}" name="Kolonna9214"/>
    <tableColumn id="9553" xr3:uid="{F86F3CEB-292D-44C9-A613-153696B6C9E2}" name="Kolonna9215"/>
    <tableColumn id="9554" xr3:uid="{34697949-B514-4078-BADF-C0FC651E1E17}" name="Kolonna9216"/>
    <tableColumn id="9555" xr3:uid="{DCD9B5B6-292E-4F07-90F2-65BE700B054E}" name="Kolonna9217"/>
    <tableColumn id="9556" xr3:uid="{366128A0-1457-4E4C-B7A5-E6BE8D041E1C}" name="Kolonna9218"/>
    <tableColumn id="9557" xr3:uid="{9912B05A-5CCE-4959-ACC1-9873982562F0}" name="Kolonna9219"/>
    <tableColumn id="9558" xr3:uid="{C761D7BF-2B02-460C-98BB-437D2AD26F6C}" name="Kolonna9220"/>
    <tableColumn id="9559" xr3:uid="{CF338722-F170-4983-BA73-771586B808D1}" name="Kolonna9221"/>
    <tableColumn id="9560" xr3:uid="{545ADF70-8114-43A3-A937-C75FB73811AD}" name="Kolonna9222"/>
    <tableColumn id="9561" xr3:uid="{92A661A7-A62C-4FB1-8783-FEA8A58DBCA7}" name="Kolonna9223"/>
    <tableColumn id="9562" xr3:uid="{E563F4FB-734E-4528-91FA-AACB29625F48}" name="Kolonna9224"/>
    <tableColumn id="9563" xr3:uid="{71D045D2-9660-4179-86FF-0CDF94C1521D}" name="Kolonna9225"/>
    <tableColumn id="9564" xr3:uid="{62816BC6-5686-40C5-BCEE-40B70F17DAB4}" name="Kolonna9226"/>
    <tableColumn id="9565" xr3:uid="{25B5DB65-6CAE-4CD5-B4AD-D748A751D643}" name="Kolonna9227"/>
    <tableColumn id="9566" xr3:uid="{A1A25155-0D63-4BFC-85E1-3EECA8E68175}" name="Kolonna9228"/>
    <tableColumn id="9567" xr3:uid="{84D891FB-C7A8-4E51-BDFA-B0097EE5FD20}" name="Kolonna9229"/>
    <tableColumn id="9568" xr3:uid="{0AB8EA18-534B-4286-B4D3-9659536CFA6A}" name="Kolonna9230"/>
    <tableColumn id="9569" xr3:uid="{625BE932-3FB8-4393-A8D2-DDF60C0BE9D0}" name="Kolonna9231"/>
    <tableColumn id="9570" xr3:uid="{C22D8A47-70C5-4597-9C96-92178FABE673}" name="Kolonna9232"/>
    <tableColumn id="9571" xr3:uid="{F6D5BEB0-3F6A-48A1-95F8-5D9F88EF18D8}" name="Kolonna9233"/>
    <tableColumn id="9572" xr3:uid="{B4CFF25A-ED84-4951-B457-8F206D62348F}" name="Kolonna9234"/>
    <tableColumn id="9573" xr3:uid="{2695D5FB-426A-4513-A8C0-2A4DF1E52F2F}" name="Kolonna9235"/>
    <tableColumn id="9574" xr3:uid="{81926567-EBB9-425F-812E-8C116B42F0F8}" name="Kolonna9236"/>
    <tableColumn id="9575" xr3:uid="{C2EBA99D-BBA1-4ED6-8C86-E5B566B78BD4}" name="Kolonna9237"/>
    <tableColumn id="9576" xr3:uid="{2A604CA4-7C9F-4C36-A7E4-E8AB3F9EB2D6}" name="Kolonna9238"/>
    <tableColumn id="9577" xr3:uid="{98A8A355-61B3-4178-A820-6E18481701E5}" name="Kolonna9239"/>
    <tableColumn id="9578" xr3:uid="{D8A41EF6-A101-4E34-AAD4-1924A65C427E}" name="Kolonna9240"/>
    <tableColumn id="9579" xr3:uid="{0DC85C89-A033-4A38-8E16-CCD9B6705D60}" name="Kolonna9241"/>
    <tableColumn id="9580" xr3:uid="{AA683F31-DDB4-495E-822C-3735CEF3C2BD}" name="Kolonna9242"/>
    <tableColumn id="9581" xr3:uid="{550825B7-AE95-444F-BC84-1C22B9D05DB8}" name="Kolonna9243"/>
    <tableColumn id="9582" xr3:uid="{4FEB0D20-2593-4DBF-B27F-75CBD94AAD32}" name="Kolonna9244"/>
    <tableColumn id="9583" xr3:uid="{54B40414-15CD-4E09-A404-3B115C7E40D0}" name="Kolonna9245"/>
    <tableColumn id="9584" xr3:uid="{51EE07F9-4E92-4C1B-9FBE-210C4B8BE683}" name="Kolonna9246"/>
    <tableColumn id="9585" xr3:uid="{01A7158A-3AFF-497A-99C9-B5E74AB99A09}" name="Kolonna9247"/>
    <tableColumn id="9586" xr3:uid="{FF8CC114-BCEC-45E8-A1EA-CEA44416FF3C}" name="Kolonna9248"/>
    <tableColumn id="9587" xr3:uid="{B20B9958-A4D8-45AB-85A4-B4E08E12CCDC}" name="Kolonna9249"/>
    <tableColumn id="9588" xr3:uid="{AABE856A-85BF-4ECD-8096-C47835813549}" name="Kolonna9250"/>
    <tableColumn id="9589" xr3:uid="{C2B50BB4-7341-4D6F-B06E-6929087190E2}" name="Kolonna9251"/>
    <tableColumn id="9590" xr3:uid="{14021062-091C-4411-A065-53C3D915648F}" name="Kolonna9252"/>
    <tableColumn id="9591" xr3:uid="{3780C653-05B6-4C17-B771-3A49E5B16691}" name="Kolonna9253"/>
    <tableColumn id="9592" xr3:uid="{0CE24513-3982-499D-96BD-6A3309E99831}" name="Kolonna9254"/>
    <tableColumn id="9593" xr3:uid="{6035597D-D34A-482B-97B8-8EFE7FB2441E}" name="Kolonna9255"/>
    <tableColumn id="9594" xr3:uid="{B1D2C04C-B129-4D6D-A1CB-0F66D26C5D35}" name="Kolonna9256"/>
    <tableColumn id="9595" xr3:uid="{8B1BCB95-9175-40A4-A613-68672843AAB8}" name="Kolonna9257"/>
    <tableColumn id="9596" xr3:uid="{96E25754-B2A0-4DF0-83DC-C19E523277F9}" name="Kolonna9258"/>
    <tableColumn id="9597" xr3:uid="{53295394-AEF9-4B20-8B70-C52EBEEF5B59}" name="Kolonna9259"/>
    <tableColumn id="9598" xr3:uid="{37DA5B02-07F6-47C1-8FA0-8C4A9A27DC0A}" name="Kolonna9260"/>
    <tableColumn id="9599" xr3:uid="{31000E79-A3F8-4E34-89AB-03830831C3CD}" name="Kolonna9261"/>
    <tableColumn id="9600" xr3:uid="{035DFE63-4098-4009-94EE-689271F2AFEA}" name="Kolonna9262"/>
    <tableColumn id="9601" xr3:uid="{E851D6BD-7344-437C-8B66-50667B5C70FA}" name="Kolonna9263"/>
    <tableColumn id="9602" xr3:uid="{A4FC34A1-6DB0-40A7-9B3A-098D2A5B34C0}" name="Kolonna9264"/>
    <tableColumn id="9603" xr3:uid="{9DD1CAE4-0239-41FD-8FEE-11292C4A3D82}" name="Kolonna9265"/>
    <tableColumn id="9604" xr3:uid="{400E573D-CD9C-491D-BC1A-B4932EBCA3C1}" name="Kolonna9266"/>
    <tableColumn id="9605" xr3:uid="{33881EED-7A39-4B2A-A2D4-0B75F1D934EF}" name="Kolonna9267"/>
    <tableColumn id="9606" xr3:uid="{7F796018-5C7D-4ED9-93BD-C7CE2FB4B02C}" name="Kolonna9268"/>
    <tableColumn id="9607" xr3:uid="{EC4B0FD5-E9F5-4128-8422-A9C70BE35A93}" name="Kolonna9269"/>
    <tableColumn id="9608" xr3:uid="{B10F6D1E-F007-4759-ACAA-A7A071427999}" name="Kolonna9270"/>
    <tableColumn id="9609" xr3:uid="{FD20267F-E963-4515-BBEC-7BAA4D413AA9}" name="Kolonna9271"/>
    <tableColumn id="9610" xr3:uid="{664AF3A6-A0D0-46DA-BC53-9E208467C98F}" name="Kolonna9272"/>
    <tableColumn id="9611" xr3:uid="{2EB8C1D9-85BF-4BA0-9373-A462FC9043AC}" name="Kolonna9273"/>
    <tableColumn id="9612" xr3:uid="{E92DBC69-C78C-4A92-8296-E52698B78CDB}" name="Kolonna9274"/>
    <tableColumn id="9613" xr3:uid="{2C197572-5C0A-44DC-A611-919233ECF2D0}" name="Kolonna9275"/>
    <tableColumn id="9614" xr3:uid="{7B421923-C2F5-421F-B0DF-271232663C33}" name="Kolonna9276"/>
    <tableColumn id="9615" xr3:uid="{EDB6BEDA-0BE0-4A09-A96A-A21670EA6D23}" name="Kolonna9277"/>
    <tableColumn id="9616" xr3:uid="{206C3467-5384-423C-9BCB-5461B0326D51}" name="Kolonna9278"/>
    <tableColumn id="9617" xr3:uid="{8F385372-4BA5-40D7-9B00-D83D8CE735CE}" name="Kolonna9279"/>
    <tableColumn id="9618" xr3:uid="{B9570DCF-E307-44B4-ACE2-979E489BCF05}" name="Kolonna9280"/>
    <tableColumn id="9619" xr3:uid="{6FDBAC86-37C4-4EEF-9E55-515229FAD1E7}" name="Kolonna9281"/>
    <tableColumn id="9620" xr3:uid="{E6523258-B097-42FA-B79C-65AA77D1F2C2}" name="Kolonna9282"/>
    <tableColumn id="9621" xr3:uid="{858CEC96-33A4-4D6F-8837-05E94D4DA4AE}" name="Kolonna9283"/>
    <tableColumn id="9622" xr3:uid="{3E30A463-1A78-4CA6-BBA2-4C5BC0BA9A38}" name="Kolonna9284"/>
    <tableColumn id="9623" xr3:uid="{BFC5727C-ED3A-40BC-BED4-9B9F3472F1CA}" name="Kolonna9285"/>
    <tableColumn id="9624" xr3:uid="{3F2DCC06-9955-4CDC-AAE0-9BE848D2507C}" name="Kolonna9286"/>
    <tableColumn id="9625" xr3:uid="{2EFC645A-5F4F-4C52-954A-CAB6BA5E24D1}" name="Kolonna9287"/>
    <tableColumn id="9626" xr3:uid="{700EE327-F831-4315-B32D-501297E15C08}" name="Kolonna9288"/>
    <tableColumn id="9627" xr3:uid="{08427321-4915-44D1-AEFC-85B42617D3A9}" name="Kolonna9289"/>
    <tableColumn id="9628" xr3:uid="{FF72A9FB-7412-49B9-A88D-DCB75B421CEB}" name="Kolonna9290"/>
    <tableColumn id="9629" xr3:uid="{70BE829C-8E99-47EA-B916-39D8E5E4402E}" name="Kolonna9291"/>
    <tableColumn id="9630" xr3:uid="{53273540-F4A4-473D-852D-E38218EF20F5}" name="Kolonna9292"/>
    <tableColumn id="9631" xr3:uid="{4CB69C5A-ABFE-4CAE-B86E-4023DA978710}" name="Kolonna9293"/>
    <tableColumn id="9632" xr3:uid="{DC316B70-5661-4827-A4DB-10C9A980031A}" name="Kolonna9294"/>
    <tableColumn id="9633" xr3:uid="{A4F39209-B935-4DA2-B578-8C30FFDECCC9}" name="Kolonna9295"/>
    <tableColumn id="9634" xr3:uid="{BBE6047B-EC2E-488D-894B-EA29B69720B1}" name="Kolonna9296"/>
    <tableColumn id="9635" xr3:uid="{1519654F-9A1F-4C5B-9B2B-8D0561319B2C}" name="Kolonna9297"/>
    <tableColumn id="9636" xr3:uid="{A8D5094D-47D1-4719-88FC-B1B049125A20}" name="Kolonna9298"/>
    <tableColumn id="9637" xr3:uid="{F2CA5AEF-9AF3-4A25-85D1-588239C45A76}" name="Kolonna9299"/>
    <tableColumn id="9638" xr3:uid="{81E95874-41DF-4B5D-8705-3D0F20744BF3}" name="Kolonna9300"/>
    <tableColumn id="9639" xr3:uid="{A7EFEDE8-7360-4DC1-982D-9E1697402FBE}" name="Kolonna9301"/>
    <tableColumn id="9640" xr3:uid="{8E6023D0-4022-4F3A-86A4-6D1F8635CE1D}" name="Kolonna9302"/>
    <tableColumn id="9641" xr3:uid="{ED47301B-185D-4878-9B3E-33D258F6C141}" name="Kolonna9303"/>
    <tableColumn id="9642" xr3:uid="{A09BCA46-C017-4C12-9219-35A9261421FD}" name="Kolonna9304"/>
    <tableColumn id="9643" xr3:uid="{F42BCA36-509D-486C-BEDC-D2F71FBC36B0}" name="Kolonna9305"/>
    <tableColumn id="9644" xr3:uid="{DFD34774-06AF-4691-8796-5705AD18B897}" name="Kolonna9306"/>
    <tableColumn id="9645" xr3:uid="{EC0AA05D-CEF6-40F5-A331-CD36566ACB3D}" name="Kolonna9307"/>
    <tableColumn id="9646" xr3:uid="{453F8F40-7C89-4655-BA40-8746C35C07DD}" name="Kolonna9308"/>
    <tableColumn id="9647" xr3:uid="{E030A393-7576-4AEE-A0EE-BEA53C05D554}" name="Kolonna9309"/>
    <tableColumn id="9648" xr3:uid="{C71840E9-30ED-4A1D-BBCF-859B064B4C24}" name="Kolonna9310"/>
    <tableColumn id="9649" xr3:uid="{C537360E-111C-452A-9D80-C8F490B1965E}" name="Kolonna9311"/>
    <tableColumn id="9650" xr3:uid="{4655792B-D1B7-4EAE-AD2F-FDF1060509B0}" name="Kolonna9312"/>
    <tableColumn id="9651" xr3:uid="{7B9A532D-048F-4A0B-BC07-6C76938C6511}" name="Kolonna9313"/>
    <tableColumn id="9652" xr3:uid="{E8D52601-4501-4C06-A83A-7A04353EDCBE}" name="Kolonna9314"/>
    <tableColumn id="9653" xr3:uid="{BF877045-BBDF-4336-AE12-2851A4BC41F2}" name="Kolonna9315"/>
    <tableColumn id="9654" xr3:uid="{52B73951-72FC-40C4-B2E6-65A3A83D33CE}" name="Kolonna9316"/>
    <tableColumn id="9655" xr3:uid="{DDB66FF8-479B-41E4-8B6E-8499602182B1}" name="Kolonna9317"/>
    <tableColumn id="9656" xr3:uid="{D355FA46-D681-4672-A815-EE64C0AAF449}" name="Kolonna9318"/>
    <tableColumn id="9657" xr3:uid="{535B2050-68DD-48F7-9A95-DA7E0580CD31}" name="Kolonna9319"/>
    <tableColumn id="9658" xr3:uid="{2C82B09A-57DC-45B0-B5C7-84093AA7AE5E}" name="Kolonna9320"/>
    <tableColumn id="9659" xr3:uid="{BDBA86FE-B6C8-42CF-8901-35269F634F25}" name="Kolonna9321"/>
    <tableColumn id="9660" xr3:uid="{7A5BEEB8-D961-4DF7-B06F-9F87F451061E}" name="Kolonna9322"/>
    <tableColumn id="9661" xr3:uid="{22868196-D34E-4C4E-BF0A-111C8DCE9132}" name="Kolonna9323"/>
    <tableColumn id="9662" xr3:uid="{2EDD5400-6475-4054-B512-0A8E006552BA}" name="Kolonna9324"/>
    <tableColumn id="9663" xr3:uid="{E5B47628-1F5F-4B6F-AC0C-0D18BD72D319}" name="Kolonna9325"/>
    <tableColumn id="9664" xr3:uid="{BE950F58-59EE-4BCE-AB1E-36E893E6758E}" name="Kolonna9326"/>
    <tableColumn id="9665" xr3:uid="{7396CE12-0EAC-4A8C-A999-C80863F0E131}" name="Kolonna9327"/>
    <tableColumn id="9666" xr3:uid="{8337DA4C-7D5D-4941-A39B-93FB123A1300}" name="Kolonna9328"/>
    <tableColumn id="9667" xr3:uid="{5995B321-A5FB-4575-8319-CF0017A98630}" name="Kolonna9329"/>
    <tableColumn id="9668" xr3:uid="{103C292A-EC34-4880-9E13-3EFB9BE64E1A}" name="Kolonna9330"/>
    <tableColumn id="9669" xr3:uid="{CDAD2FD6-6CEC-4554-A05C-F8BABE8D4F58}" name="Kolonna9331"/>
    <tableColumn id="9670" xr3:uid="{4629BCF1-D4CF-4405-B9BF-358142912C17}" name="Kolonna9332"/>
    <tableColumn id="9671" xr3:uid="{E11B39E3-5DF5-4D39-8005-013DBAC279ED}" name="Kolonna9333"/>
    <tableColumn id="9672" xr3:uid="{68B13C8B-F921-4D3E-A47F-42329CCD26D3}" name="Kolonna9334"/>
    <tableColumn id="9673" xr3:uid="{FB6250ED-52A3-4D1D-B3F8-D3AD301809B3}" name="Kolonna9335"/>
    <tableColumn id="9674" xr3:uid="{038A3BE6-792F-40EE-86B8-F7615A465623}" name="Kolonna9336"/>
    <tableColumn id="9675" xr3:uid="{169BC1B1-AE4B-415F-87E5-5BAFF2B011E8}" name="Kolonna9337"/>
    <tableColumn id="9676" xr3:uid="{EDF8AC49-D541-45AF-A578-95E39A7DB9DA}" name="Kolonna9338"/>
    <tableColumn id="9677" xr3:uid="{866C4B63-8E33-4178-899B-0696225EA4D1}" name="Kolonna9339"/>
    <tableColumn id="9678" xr3:uid="{8ABBAC9A-4B4A-4D59-A1A4-573E771F9254}" name="Kolonna9340"/>
    <tableColumn id="9679" xr3:uid="{4041088D-CBE2-4193-A35F-08851156BDA3}" name="Kolonna9341"/>
    <tableColumn id="9680" xr3:uid="{2D0B6D8C-1636-4150-B10A-326C81F99143}" name="Kolonna9342"/>
    <tableColumn id="9681" xr3:uid="{A0460C51-FA6E-4A29-B77B-8E2A6C4B36B6}" name="Kolonna9343"/>
    <tableColumn id="9682" xr3:uid="{C63C35D5-0778-42F0-836A-CB416417CC1A}" name="Kolonna9344"/>
    <tableColumn id="9683" xr3:uid="{970D65A1-FBE6-4065-9BC9-6A1913884AEF}" name="Kolonna9345"/>
    <tableColumn id="9684" xr3:uid="{775A346C-2EA0-489B-AF32-AE6C6A907C63}" name="Kolonna9346"/>
    <tableColumn id="9685" xr3:uid="{5E470DB1-37D2-4B02-8DCD-7107A08E6F18}" name="Kolonna9347"/>
    <tableColumn id="9686" xr3:uid="{EB3E83DB-7DE5-4EA1-AA9A-1506A91126EA}" name="Kolonna9348"/>
    <tableColumn id="9687" xr3:uid="{8C8B0442-AD8F-4BC4-9A1B-BC08E3683A6D}" name="Kolonna9349"/>
    <tableColumn id="9688" xr3:uid="{41312E44-07D8-45D5-A2F8-B1AD595E6447}" name="Kolonna9350"/>
    <tableColumn id="9689" xr3:uid="{D7091207-106B-4343-84FC-FD7FEEAFB0A8}" name="Kolonna9351"/>
    <tableColumn id="9690" xr3:uid="{2062E437-207B-41AE-AF02-47CB12B4B2E9}" name="Kolonna9352"/>
    <tableColumn id="9691" xr3:uid="{35C88F77-BA53-4B18-B465-27BEC3B4D8A0}" name="Kolonna9353"/>
    <tableColumn id="9692" xr3:uid="{F06DCEBA-5A05-4DA2-87B1-CCEF0EDF9881}" name="Kolonna9354"/>
    <tableColumn id="9693" xr3:uid="{887AFE8C-43B3-4900-B5CD-3E83C3ABC77A}" name="Kolonna9355"/>
    <tableColumn id="9694" xr3:uid="{029F0ECC-E7AD-44B9-8788-B524F07A0E0A}" name="Kolonna9356"/>
    <tableColumn id="9695" xr3:uid="{E177B41A-10C4-4F45-B5D7-1BDFF3D5CE5E}" name="Kolonna9357"/>
    <tableColumn id="9696" xr3:uid="{3C26949A-417A-48C7-B3FA-347B0FF8EE67}" name="Kolonna9358"/>
    <tableColumn id="9697" xr3:uid="{796FBA22-302F-43D0-8097-F9D202F507FB}" name="Kolonna9359"/>
    <tableColumn id="9698" xr3:uid="{A0F241CF-AA86-4405-AD05-09EA544FBE6C}" name="Kolonna9360"/>
    <tableColumn id="9699" xr3:uid="{EF0925CB-E98D-457D-9071-1329A7875AF8}" name="Kolonna9361"/>
    <tableColumn id="9700" xr3:uid="{7FCAA9AB-A3CC-4233-BF01-FF13C028C1F2}" name="Kolonna9362"/>
    <tableColumn id="9701" xr3:uid="{CF945521-E65B-4328-A3D7-BF5B31379C0A}" name="Kolonna9363"/>
    <tableColumn id="9702" xr3:uid="{9EF6FC83-CCAE-40B7-870E-5BB8B154FC03}" name="Kolonna9364"/>
    <tableColumn id="9703" xr3:uid="{F6AFE825-ECE5-4C54-A9F5-8A5B7C7D77D4}" name="Kolonna9365"/>
    <tableColumn id="9704" xr3:uid="{72463870-DACA-41B5-A820-BFE5A0987BC0}" name="Kolonna9366"/>
    <tableColumn id="9705" xr3:uid="{0D2F8124-3A6F-4AC6-B58C-EA98E29EB4A9}" name="Kolonna9367"/>
    <tableColumn id="9706" xr3:uid="{C469AC37-368A-4D1F-9A68-D0F3AEF4D74A}" name="Kolonna9368"/>
    <tableColumn id="9707" xr3:uid="{130B2F52-1CE7-4AD7-B118-966D2321540B}" name="Kolonna9369"/>
    <tableColumn id="9708" xr3:uid="{03F9D509-173C-4934-A71F-151E267D9771}" name="Kolonna9370"/>
    <tableColumn id="9709" xr3:uid="{BE638C82-21D1-402D-BD99-E7E8985E2319}" name="Kolonna9371"/>
    <tableColumn id="9710" xr3:uid="{11754F87-4445-42B7-8E1F-90C3B402B464}" name="Kolonna9372"/>
    <tableColumn id="9711" xr3:uid="{85042227-578F-4850-A0A2-B16FB309AEC0}" name="Kolonna9373"/>
    <tableColumn id="9712" xr3:uid="{0C28E1CE-7541-4F80-9BFD-BBB5084B2720}" name="Kolonna9374"/>
    <tableColumn id="9713" xr3:uid="{BF7311D6-84C8-4AE2-9869-BE925F01820A}" name="Kolonna9375"/>
    <tableColumn id="9714" xr3:uid="{61209EEF-E623-4D62-B8DD-E6A26357252A}" name="Kolonna9376"/>
    <tableColumn id="9715" xr3:uid="{CA87B3E6-0EFF-4EE9-ABF5-9856107249B2}" name="Kolonna9377"/>
    <tableColumn id="9716" xr3:uid="{EB7C9471-C804-4182-8493-A8413FD658B1}" name="Kolonna9378"/>
    <tableColumn id="9717" xr3:uid="{490B7EEA-4028-4D98-8F78-10B8034791B3}" name="Kolonna9379"/>
    <tableColumn id="9718" xr3:uid="{F1913E79-8723-497D-9321-12A13132EB63}" name="Kolonna9380"/>
    <tableColumn id="9719" xr3:uid="{CEB0174D-1CC5-4E52-9C09-612CBF580F30}" name="Kolonna9381"/>
    <tableColumn id="9720" xr3:uid="{5957D2DE-5C10-4BCB-91DF-590E593E42F9}" name="Kolonna9382"/>
    <tableColumn id="9721" xr3:uid="{0FDBCB95-6ECB-4DAC-BC3B-831AA7528A06}" name="Kolonna9383"/>
    <tableColumn id="9722" xr3:uid="{B9685C8B-2838-4AFB-92AB-9E5CA784D1AD}" name="Kolonna9384"/>
    <tableColumn id="9723" xr3:uid="{F4839C8D-292E-448A-9A38-6F1E3F6FEBBD}" name="Kolonna9385"/>
    <tableColumn id="9724" xr3:uid="{06ACACB9-E22B-4667-8613-7224F0605894}" name="Kolonna9386"/>
    <tableColumn id="9725" xr3:uid="{4BCEFB59-EB8E-4693-93F7-19FAB9929F8F}" name="Kolonna9387"/>
    <tableColumn id="9726" xr3:uid="{3AF544CA-A805-4C23-BD33-D72D6CC8C7C8}" name="Kolonna9388"/>
    <tableColumn id="9727" xr3:uid="{A061CB61-0590-4936-909C-EEF8FBD85744}" name="Kolonna9389"/>
    <tableColumn id="9728" xr3:uid="{35D5802A-DD01-4620-B4A9-2117AF6797D9}" name="Kolonna9390"/>
    <tableColumn id="9729" xr3:uid="{84C48E26-3B72-4ACD-86CC-084C3399DAEC}" name="Kolonna9391"/>
    <tableColumn id="9730" xr3:uid="{FE433ADF-3006-4104-9026-5C132ED3D40E}" name="Kolonna9392"/>
    <tableColumn id="9731" xr3:uid="{EBF6D390-0E99-4A2B-912C-5926543A26F9}" name="Kolonna9393"/>
    <tableColumn id="9732" xr3:uid="{52BF363B-C786-4FCB-9AE5-519D9F18B037}" name="Kolonna9394"/>
    <tableColumn id="9733" xr3:uid="{3E688F11-88ED-4DE8-AFA8-994A1A066D4F}" name="Kolonna9395"/>
    <tableColumn id="9734" xr3:uid="{BD3D5605-7716-4756-BE08-EC3DC68BBED7}" name="Kolonna9396"/>
    <tableColumn id="9735" xr3:uid="{9EA65E52-C9DE-4456-85E7-80EC9BD7BF6E}" name="Kolonna9397"/>
    <tableColumn id="9736" xr3:uid="{5053CF79-2BB9-47B5-977B-DD6F9ED80065}" name="Kolonna9398"/>
    <tableColumn id="9737" xr3:uid="{9F4A68B5-D1BE-468C-854B-654096F71AB1}" name="Kolonna9399"/>
    <tableColumn id="9738" xr3:uid="{173367CD-D03A-49BA-ACAD-FA784A6E346D}" name="Kolonna9400"/>
    <tableColumn id="9739" xr3:uid="{E3835206-1FA1-4D59-9DF0-8D47C492FA27}" name="Kolonna9401"/>
    <tableColumn id="9740" xr3:uid="{265D1329-46BC-4212-B0A0-BCEA4D071BA3}" name="Kolonna9402"/>
    <tableColumn id="9741" xr3:uid="{2F118E2F-B83D-4404-ACA0-C7C23B0EBD07}" name="Kolonna9403"/>
    <tableColumn id="9742" xr3:uid="{91844375-DA56-4F7A-B8DA-49DA34AD9C69}" name="Kolonna9404"/>
    <tableColumn id="9743" xr3:uid="{5C6F4AD7-BAE5-4ECA-BBD2-8FCE649534F5}" name="Kolonna9405"/>
    <tableColumn id="9744" xr3:uid="{783E2D3F-AB13-4A92-91B0-3BECC2E0B93D}" name="Kolonna9406"/>
    <tableColumn id="9745" xr3:uid="{1CDDF559-B178-425F-AEF2-B04FEAEC998B}" name="Kolonna9407"/>
    <tableColumn id="9746" xr3:uid="{11A1A88A-5587-4DD8-9E85-28DE4BFE5D7F}" name="Kolonna9408"/>
    <tableColumn id="9747" xr3:uid="{3A334A7D-E77C-4BBE-806E-19DC164B8E2E}" name="Kolonna9409"/>
    <tableColumn id="9748" xr3:uid="{B48028F3-CAF6-4AA4-B614-4F8C21F1AE35}" name="Kolonna9410"/>
    <tableColumn id="9749" xr3:uid="{8626D609-52CA-4711-BE02-940214CBFA4F}" name="Kolonna9411"/>
    <tableColumn id="9750" xr3:uid="{9C7E1BB7-2DD8-45AA-800D-E645FBE63C0F}" name="Kolonna9412"/>
    <tableColumn id="9751" xr3:uid="{B80E4101-1009-481F-A188-DC57A90BDB72}" name="Kolonna9413"/>
    <tableColumn id="9752" xr3:uid="{54761C63-E046-4C52-B747-3CC14217A885}" name="Kolonna9414"/>
    <tableColumn id="9753" xr3:uid="{85D91173-23D4-4280-9B60-30AB288C0145}" name="Kolonna9415"/>
    <tableColumn id="9754" xr3:uid="{5B0EB641-B732-4A51-B170-4FD9986788E2}" name="Kolonna9416"/>
    <tableColumn id="9755" xr3:uid="{35680023-42B4-4362-A654-551F1CDD8991}" name="Kolonna9417"/>
    <tableColumn id="9756" xr3:uid="{F0103B09-A31F-4495-B40A-D18CD205652A}" name="Kolonna9418"/>
    <tableColumn id="9757" xr3:uid="{60FD661F-5692-4DD4-BDBA-D78ED3C24B97}" name="Kolonna9419"/>
    <tableColumn id="9758" xr3:uid="{6908895B-3E86-44FA-A65D-8ED0CBB7680D}" name="Kolonna9420"/>
    <tableColumn id="9759" xr3:uid="{97A2C004-598E-4F57-84E1-E77446FE520A}" name="Kolonna9421"/>
    <tableColumn id="9760" xr3:uid="{A9043B2C-A2AC-4423-9825-91759A7F5D24}" name="Kolonna9422"/>
    <tableColumn id="9761" xr3:uid="{6686E7AF-B11F-4569-B22C-85C424581F21}" name="Kolonna9423"/>
    <tableColumn id="9762" xr3:uid="{75B5C897-C7A7-4BBA-B2E0-9A3B27148145}" name="Kolonna9424"/>
    <tableColumn id="9763" xr3:uid="{F6E8E726-5FEA-4504-9801-C6AB34A7DEC2}" name="Kolonna9425"/>
    <tableColumn id="9764" xr3:uid="{565FC0DD-6A67-4892-BDEA-66BA5BC9395C}" name="Kolonna9426"/>
    <tableColumn id="9765" xr3:uid="{5FBBFD7C-88DC-4186-8146-C9476E17DF02}" name="Kolonna9427"/>
    <tableColumn id="9766" xr3:uid="{5DA3FA8E-2EA7-47BC-A99F-EF60210F9E63}" name="Kolonna9428"/>
    <tableColumn id="9767" xr3:uid="{30EEA93E-3415-468C-A442-A4E8571D10FA}" name="Kolonna9429"/>
    <tableColumn id="9768" xr3:uid="{28ED8A1A-22B2-483F-9EC5-BB850E22EC88}" name="Kolonna9430"/>
    <tableColumn id="9769" xr3:uid="{B71C87C7-26C2-4169-95F1-1F1CEEE732BA}" name="Kolonna9431"/>
    <tableColumn id="9770" xr3:uid="{1B202115-9730-4966-B183-486E4C3A766A}" name="Kolonna9432"/>
    <tableColumn id="9771" xr3:uid="{F7AC78EC-88E3-427E-9718-CA81BBCD5E71}" name="Kolonna9433"/>
    <tableColumn id="9772" xr3:uid="{70068654-68CD-4739-803A-7E1CBFF862CE}" name="Kolonna9434"/>
    <tableColumn id="9773" xr3:uid="{3F1C7F63-1B40-4BAB-977C-9F8D06DD899B}" name="Kolonna9435"/>
    <tableColumn id="9774" xr3:uid="{E18778BE-AFB9-4636-8BBF-2EEDA7991D5D}" name="Kolonna9436"/>
    <tableColumn id="9775" xr3:uid="{A64F9ABD-B7B7-408D-A3C0-6C4A277CA0CA}" name="Kolonna9437"/>
    <tableColumn id="9776" xr3:uid="{F9518514-A6E8-47BA-A458-6F2960DB1926}" name="Kolonna9438"/>
    <tableColumn id="9777" xr3:uid="{820CA946-7C05-47C2-9946-65ABA99115E0}" name="Kolonna9439"/>
    <tableColumn id="9778" xr3:uid="{16291C4E-7EB1-4DD5-90FE-A2A99FF17E9E}" name="Kolonna9440"/>
    <tableColumn id="9779" xr3:uid="{F20CD479-C377-40A4-9F67-A8130507A349}" name="Kolonna9441"/>
    <tableColumn id="9780" xr3:uid="{E6E90E56-0D22-4115-8AD3-742036914A1F}" name="Kolonna9442"/>
    <tableColumn id="9781" xr3:uid="{7CCB1284-C12C-42B6-9C6F-BB12957BEDB1}" name="Kolonna9443"/>
    <tableColumn id="9782" xr3:uid="{C0655800-D372-47B6-ADFB-3B76DC9CB92D}" name="Kolonna9444"/>
    <tableColumn id="9783" xr3:uid="{3691F673-0F40-4E42-99E5-44B802C24CE3}" name="Kolonna9445"/>
    <tableColumn id="9784" xr3:uid="{DAE240C6-952B-49D3-96F2-10F8C5362261}" name="Kolonna9446"/>
    <tableColumn id="9785" xr3:uid="{994582F5-7DDE-4E9F-AA01-14B902B0FF5B}" name="Kolonna9447"/>
    <tableColumn id="9786" xr3:uid="{0D927904-DFC8-4DE5-B2A0-D2F2E699F7A8}" name="Kolonna9448"/>
    <tableColumn id="9787" xr3:uid="{411A6448-6CFE-4AB8-96BD-7F227B9E8632}" name="Kolonna9449"/>
    <tableColumn id="9788" xr3:uid="{1257C591-7E90-45BF-8FFE-1FC020738B72}" name="Kolonna9450"/>
    <tableColumn id="9789" xr3:uid="{5C3D39F7-FD3E-428D-8F36-46BF4B2B4B5E}" name="Kolonna9451"/>
    <tableColumn id="9790" xr3:uid="{A76E8F6A-F21C-4F3D-A10B-D0B084EAD476}" name="Kolonna9452"/>
    <tableColumn id="9791" xr3:uid="{D2896FF1-29F7-4CB1-A2E4-A6B37FD578B6}" name="Kolonna9453"/>
    <tableColumn id="9792" xr3:uid="{F0765E12-4A91-4AC4-8448-B5A780B6B48F}" name="Kolonna9454"/>
    <tableColumn id="9793" xr3:uid="{053C6999-B729-4809-836E-712B8DF11FE9}" name="Kolonna9455"/>
    <tableColumn id="9794" xr3:uid="{762201D0-8412-45A7-84C5-4F7D72C18270}" name="Kolonna9456"/>
    <tableColumn id="9795" xr3:uid="{26D3F562-6A84-4838-8F73-98665D0A6F88}" name="Kolonna9457"/>
    <tableColumn id="9796" xr3:uid="{D2837CD8-E38C-4DA5-A716-45BE8DD0DC0E}" name="Kolonna9458"/>
    <tableColumn id="9797" xr3:uid="{3C562A89-CEE9-46F2-BE7B-ABCC51377A3E}" name="Kolonna9459"/>
    <tableColumn id="9798" xr3:uid="{791476CF-54F0-46E7-851E-7F0AC27314F8}" name="Kolonna9460"/>
    <tableColumn id="9799" xr3:uid="{7DDEA092-C245-46E6-8983-AA1005D2FE30}" name="Kolonna9461"/>
    <tableColumn id="9800" xr3:uid="{23079422-A345-4FF4-85AD-534802BD84D2}" name="Kolonna9462"/>
    <tableColumn id="9801" xr3:uid="{D85F4A2F-C109-4EBA-BEB2-18087C1FDBC5}" name="Kolonna9463"/>
    <tableColumn id="9802" xr3:uid="{4A37B095-5889-451E-84A0-CE53B52FC335}" name="Kolonna9464"/>
    <tableColumn id="9803" xr3:uid="{282F4566-E7A5-4B6B-B7A1-D0C063AE7891}" name="Kolonna9465"/>
    <tableColumn id="9804" xr3:uid="{853308CC-DB92-4BC9-A156-7113DE2AC623}" name="Kolonna9466"/>
    <tableColumn id="9805" xr3:uid="{C818A62B-99A3-411B-9DCB-45C8ED5EF331}" name="Kolonna9467"/>
    <tableColumn id="9806" xr3:uid="{C954817B-8E67-4EF5-97AB-5C6751BEB015}" name="Kolonna9468"/>
    <tableColumn id="9807" xr3:uid="{C05758B7-D9FC-4CAC-A60D-E21B991787E9}" name="Kolonna9469"/>
    <tableColumn id="9808" xr3:uid="{3662075B-2106-490A-9B4F-057D1C2F0316}" name="Kolonna9470"/>
    <tableColumn id="9809" xr3:uid="{93D7D040-E68F-4EF4-97E0-4A42677119F9}" name="Kolonna9471"/>
    <tableColumn id="9810" xr3:uid="{AB4A25ED-BF9C-499A-8122-3DE2ADAE8594}" name="Kolonna9472"/>
    <tableColumn id="9811" xr3:uid="{E2400219-EBA7-41F7-BAD5-C1B8809A5125}" name="Kolonna9473"/>
    <tableColumn id="9812" xr3:uid="{0A176760-9133-42E0-93F6-C4F9B69D119B}" name="Kolonna9474"/>
    <tableColumn id="9813" xr3:uid="{FC7CB207-E18C-4EFE-B9AF-5A6363461F29}" name="Kolonna9475"/>
    <tableColumn id="9814" xr3:uid="{63626B74-3A49-4216-93DB-00687691DFAD}" name="Kolonna9476"/>
    <tableColumn id="9815" xr3:uid="{B9D7F3A1-6984-44AF-B71E-7113A8C42D76}" name="Kolonna9477"/>
    <tableColumn id="9816" xr3:uid="{7CAE92F8-961D-4C8E-9827-ADDEF6774B23}" name="Kolonna9478"/>
    <tableColumn id="9817" xr3:uid="{5E80A6FF-F318-459A-9769-88C3690BE675}" name="Kolonna9479"/>
    <tableColumn id="9818" xr3:uid="{312D6C27-0A8E-4DAB-BC4C-B4BA951B8D08}" name="Kolonna9480"/>
    <tableColumn id="9819" xr3:uid="{35A3E954-3B24-4251-A1BF-ABDC40EC270B}" name="Kolonna9481"/>
    <tableColumn id="9820" xr3:uid="{1AE7380B-72A8-452C-BE57-896370B1F5F5}" name="Kolonna9482"/>
    <tableColumn id="9821" xr3:uid="{3C18C53E-33FD-44D5-BEC1-833388A89327}" name="Kolonna9483"/>
    <tableColumn id="9822" xr3:uid="{7BB37F51-BB0D-4C40-B985-370E41EB6057}" name="Kolonna9484"/>
    <tableColumn id="9823" xr3:uid="{63A37A75-526F-4FBA-B97B-8FC56C8835B5}" name="Kolonna9485"/>
    <tableColumn id="9824" xr3:uid="{1124B6C4-083C-466B-8B53-752FBC400740}" name="Kolonna9486"/>
    <tableColumn id="9825" xr3:uid="{E2FD6F66-FEE3-4D4D-8C5D-8E381F0D4076}" name="Kolonna9487"/>
    <tableColumn id="9826" xr3:uid="{164569DC-6DF9-41F8-89BC-5CBAFDA49D52}" name="Kolonna9488"/>
    <tableColumn id="9827" xr3:uid="{11DB8493-CE83-4FFF-9473-94C9F5B2EB79}" name="Kolonna9489"/>
    <tableColumn id="9828" xr3:uid="{7B714FA6-BBE7-4DC8-AA9C-93E74F4E180D}" name="Kolonna9490"/>
    <tableColumn id="9829" xr3:uid="{B0924683-567E-4C25-A20D-AAC5932175E1}" name="Kolonna9491"/>
    <tableColumn id="9830" xr3:uid="{237AB047-3113-4495-8DAA-E2B3588F764A}" name="Kolonna9492"/>
    <tableColumn id="9831" xr3:uid="{E360A4EB-579B-4BBA-89AB-3E41C942A7DF}" name="Kolonna9493"/>
    <tableColumn id="9832" xr3:uid="{18543230-45C1-427D-9D14-C16EB7DD1527}" name="Kolonna9494"/>
    <tableColumn id="9833" xr3:uid="{C359424D-1E1F-4738-9539-FF268DA9A4ED}" name="Kolonna9495"/>
    <tableColumn id="9834" xr3:uid="{3CB559C6-8F9D-4782-90C9-CAB19D14B832}" name="Kolonna9496"/>
    <tableColumn id="9835" xr3:uid="{3970BBF6-4F6B-41F1-8B36-51AD47470D27}" name="Kolonna9497"/>
    <tableColumn id="9836" xr3:uid="{4614D2A2-E215-4C25-89F1-AB0104CA9714}" name="Kolonna9498"/>
    <tableColumn id="9837" xr3:uid="{A7CC5857-023D-4647-BF11-7883394D3B10}" name="Kolonna9499"/>
    <tableColumn id="9838" xr3:uid="{AFBBFE94-1804-40A3-AFEB-8C275E39AED6}" name="Kolonna9500"/>
    <tableColumn id="9839" xr3:uid="{FC5FB682-7C53-455E-8DBD-E01ABBA3FC5A}" name="Kolonna9501"/>
    <tableColumn id="9840" xr3:uid="{F935705D-6FFB-45E8-A9E4-7C4883A58101}" name="Kolonna9502"/>
    <tableColumn id="9841" xr3:uid="{5DD327B3-21F5-4DAD-BC04-7D3BD6188BD4}" name="Kolonna9503"/>
    <tableColumn id="9842" xr3:uid="{247A7691-3374-4A66-864C-C355929A0C37}" name="Kolonna9504"/>
    <tableColumn id="9843" xr3:uid="{3FB2B039-0D17-481A-8C08-0925C757BC7D}" name="Kolonna9505"/>
    <tableColumn id="9844" xr3:uid="{B8811DD7-5744-40FC-8C85-F72818DEE3D7}" name="Kolonna9506"/>
    <tableColumn id="9845" xr3:uid="{43C8FC5F-7D38-41BA-8A84-0A5B885FE1A8}" name="Kolonna9507"/>
    <tableColumn id="9846" xr3:uid="{F5BB0FD5-52C2-453B-9305-8CAFD014DCD9}" name="Kolonna9508"/>
    <tableColumn id="9847" xr3:uid="{E4C6E213-3D14-41B1-A55A-1602421B9E10}" name="Kolonna9509"/>
    <tableColumn id="9848" xr3:uid="{BE7DEB6A-F481-4606-A5CD-DE8D2E8C339C}" name="Kolonna9510"/>
    <tableColumn id="9849" xr3:uid="{FBB46AC4-1B78-4B99-B8A8-FDF1B5565D08}" name="Kolonna9511"/>
    <tableColumn id="9850" xr3:uid="{00EA0DA9-C5FE-4612-95D1-2C258CAC2942}" name="Kolonna9512"/>
    <tableColumn id="9851" xr3:uid="{869ACDA6-1E41-4BD4-909F-F7EDF6BCA70B}" name="Kolonna9513"/>
    <tableColumn id="9852" xr3:uid="{C9839724-FB49-481D-B752-E904ECCA86ED}" name="Kolonna9514"/>
    <tableColumn id="9853" xr3:uid="{B2BB303C-2BA7-42AC-9957-E7B546C20EA6}" name="Kolonna9515"/>
    <tableColumn id="9854" xr3:uid="{ABBBB90F-9FCA-49F7-BC8E-0174EEDC9DB8}" name="Kolonna9516"/>
    <tableColumn id="9855" xr3:uid="{4FF41900-602D-495C-ACA0-B38A9C56395B}" name="Kolonna9517"/>
    <tableColumn id="9856" xr3:uid="{0AC5A9F1-4BB6-4FFD-A76C-7148B2505F62}" name="Kolonna9518"/>
    <tableColumn id="9857" xr3:uid="{4B0F04C6-EAD9-4ACB-BB70-034448F10DA6}" name="Kolonna9519"/>
    <tableColumn id="9858" xr3:uid="{C4710AD3-02A5-434B-BE4F-D2121C7AB0C6}" name="Kolonna9520"/>
    <tableColumn id="9859" xr3:uid="{012D357C-213F-4F6C-B6B8-B0EC9F2C1680}" name="Kolonna9521"/>
    <tableColumn id="9860" xr3:uid="{5C3994C2-6342-420E-ABBB-C9B6405D4895}" name="Kolonna9522"/>
    <tableColumn id="9861" xr3:uid="{B2487E83-5CF7-4518-A72D-73D96CEE81E8}" name="Kolonna9523"/>
    <tableColumn id="9862" xr3:uid="{12A90E71-E743-4B82-838B-F6EE43A95781}" name="Kolonna9524"/>
    <tableColumn id="9863" xr3:uid="{C9125DB1-A7EA-4B57-BD30-81DC6EB45B57}" name="Kolonna9525"/>
    <tableColumn id="9864" xr3:uid="{DCF01AB2-E3A9-49CB-ACA2-66E7BF651CF9}" name="Kolonna9526"/>
    <tableColumn id="9865" xr3:uid="{9FA2ACC4-2C17-4F2B-BE72-56C90C3F2AD0}" name="Kolonna9527"/>
    <tableColumn id="9866" xr3:uid="{B2657B86-55AF-43CE-A9D0-9A2E3F34924A}" name="Kolonna9528"/>
    <tableColumn id="9867" xr3:uid="{1799AD74-A9FE-4B10-8724-BEE5A89FAD09}" name="Kolonna9529"/>
    <tableColumn id="9868" xr3:uid="{69820EB1-1088-4495-8A54-5665B36E1411}" name="Kolonna9530"/>
    <tableColumn id="9869" xr3:uid="{EFE49953-614C-4CCF-8A67-27CBB8F301EE}" name="Kolonna9531"/>
    <tableColumn id="9870" xr3:uid="{67EBB37A-55AC-476B-8BB2-BEC40763BC24}" name="Kolonna9532"/>
    <tableColumn id="9871" xr3:uid="{A339CB0B-9BD8-4F11-98BE-082EF8C43F3B}" name="Kolonna9533"/>
    <tableColumn id="9872" xr3:uid="{1E3C5574-0DE7-4583-8735-A83E4C37BA3B}" name="Kolonna9534"/>
    <tableColumn id="9873" xr3:uid="{480A2699-3346-48DF-AF74-548BBE9A4623}" name="Kolonna9535"/>
    <tableColumn id="9874" xr3:uid="{E888EE47-3A04-4697-B943-B8E16438DBDF}" name="Kolonna9536"/>
    <tableColumn id="9875" xr3:uid="{0377C896-69E1-4AE0-AB15-2A43E58610E5}" name="Kolonna9537"/>
    <tableColumn id="9876" xr3:uid="{CFF5DD49-8376-49DE-9A6D-3D0C1CC682A3}" name="Kolonna9538"/>
    <tableColumn id="9877" xr3:uid="{4D5D6CD6-E489-4FC8-9AC7-C425E8A3F53E}" name="Kolonna9539"/>
    <tableColumn id="9878" xr3:uid="{59C30592-8BD4-4D40-B828-FD7E4410D032}" name="Kolonna9540"/>
    <tableColumn id="9879" xr3:uid="{616C6375-9929-4880-ACB4-59AED3516789}" name="Kolonna9541"/>
    <tableColumn id="9880" xr3:uid="{C49E7115-23FB-46C5-9E00-75AD9E003AFD}" name="Kolonna9542"/>
    <tableColumn id="9881" xr3:uid="{86F7AEED-EB1E-4F89-8381-9F37778BD446}" name="Kolonna9543"/>
    <tableColumn id="9882" xr3:uid="{8FFC310F-4EC3-4BBD-BD6E-060EC117F9EE}" name="Kolonna9544"/>
    <tableColumn id="9883" xr3:uid="{26656E32-6C41-414D-BAC9-E73877937939}" name="Kolonna9545"/>
    <tableColumn id="9884" xr3:uid="{8981B0C3-1222-43CB-9432-27A080C49FC5}" name="Kolonna9546"/>
    <tableColumn id="9885" xr3:uid="{C6BC82AE-13DF-4D5B-9280-8463A4A1A47D}" name="Kolonna9547"/>
    <tableColumn id="9886" xr3:uid="{203FFE90-3C00-4281-96D3-B3382C351D9C}" name="Kolonna9548"/>
    <tableColumn id="9887" xr3:uid="{D3865B6A-524B-4409-8ACA-EB512C98112B}" name="Kolonna9549"/>
    <tableColumn id="9888" xr3:uid="{6597A369-BE99-4DE7-A51C-0C7EF69F4BFE}" name="Kolonna9550"/>
    <tableColumn id="9889" xr3:uid="{5A374E30-59F6-4277-9ED5-2B76E226EAFC}" name="Kolonna9551"/>
    <tableColumn id="9890" xr3:uid="{7761E43D-A71C-41D4-8AAC-43C1EC837BC8}" name="Kolonna9552"/>
    <tableColumn id="9891" xr3:uid="{6DE570ED-70D2-4FCA-98A4-95159FC27110}" name="Kolonna9553"/>
    <tableColumn id="9892" xr3:uid="{863C0BA2-FA39-4664-A9C1-9C014AC21694}" name="Kolonna9554"/>
    <tableColumn id="9893" xr3:uid="{62B4C7CE-CF56-46FC-B483-12128D8CDD13}" name="Kolonna9555"/>
    <tableColumn id="9894" xr3:uid="{60BD6767-2366-4339-BD04-B3DA3313A242}" name="Kolonna9556"/>
    <tableColumn id="9895" xr3:uid="{D8F6850A-DD72-4395-9F08-A577E0F659AE}" name="Kolonna9557"/>
    <tableColumn id="9896" xr3:uid="{78FC2485-4254-438A-9B07-87F1FE6E6B23}" name="Kolonna9558"/>
    <tableColumn id="9897" xr3:uid="{2589F947-9BA6-4BC0-8CB6-5C8DE3AE9BBF}" name="Kolonna9559"/>
    <tableColumn id="9898" xr3:uid="{779FF2F7-41CB-405B-986B-4EA7159D4358}" name="Kolonna9560"/>
    <tableColumn id="9899" xr3:uid="{1800BF88-7990-4C5B-8959-3C29D6FA582B}" name="Kolonna9561"/>
    <tableColumn id="9900" xr3:uid="{61E57E5C-1834-4D2B-8D19-582011B3052E}" name="Kolonna9562"/>
    <tableColumn id="9901" xr3:uid="{68847292-7F76-49AD-8C7E-5EFD02F9CB36}" name="Kolonna9563"/>
    <tableColumn id="9902" xr3:uid="{D39C9A30-5215-4E89-BA17-1EA25A3AA4E7}" name="Kolonna9564"/>
    <tableColumn id="9903" xr3:uid="{96BA82EB-1234-40EE-8893-668E7CB37F74}" name="Kolonna9565"/>
    <tableColumn id="9904" xr3:uid="{096432E3-55BA-40EC-9653-F8E7978FA4B0}" name="Kolonna9566"/>
    <tableColumn id="9905" xr3:uid="{C7FA5469-5A48-443E-A429-D67F3F9FB2BE}" name="Kolonna9567"/>
    <tableColumn id="9906" xr3:uid="{1F26B1ED-8340-45AC-88A0-CA0E2E11820B}" name="Kolonna9568"/>
    <tableColumn id="9907" xr3:uid="{7307E44B-4D23-4E0E-8323-38F2B15595C3}" name="Kolonna9569"/>
    <tableColumn id="9908" xr3:uid="{EE0742D4-FC6E-46A7-8333-2761FEAD0668}" name="Kolonna9570"/>
    <tableColumn id="9909" xr3:uid="{05982471-E435-48D9-843A-8F74CD84EA93}" name="Kolonna9571"/>
    <tableColumn id="9910" xr3:uid="{5ADDDA78-B9E2-45B6-B8F2-CDBA1D7D5124}" name="Kolonna9572"/>
    <tableColumn id="9911" xr3:uid="{D713E514-5BE6-4941-8D5B-9FC7CC89649B}" name="Kolonna9573"/>
    <tableColumn id="9912" xr3:uid="{599A0CA6-FF17-4DF4-98D4-5FEE5ED65357}" name="Kolonna9574"/>
    <tableColumn id="9913" xr3:uid="{B0FF09DE-4366-4CA2-BA0A-17FE83598469}" name="Kolonna9575"/>
    <tableColumn id="9914" xr3:uid="{79FCBDB1-CA0B-4118-BF42-4BB22E4CDAB3}" name="Kolonna9576"/>
    <tableColumn id="9915" xr3:uid="{92B5DDE0-70BF-4961-AC9F-2085AFE414B6}" name="Kolonna9577"/>
    <tableColumn id="9916" xr3:uid="{0A10E9D4-F19D-4F5D-85CE-FE8FA72F2F90}" name="Kolonna9578"/>
    <tableColumn id="9917" xr3:uid="{E290B646-2271-4421-9F6C-AE6D202100A9}" name="Kolonna9579"/>
    <tableColumn id="9918" xr3:uid="{97B8BEFF-2FA6-4370-8BB9-E4893CBE2F18}" name="Kolonna9580"/>
    <tableColumn id="9919" xr3:uid="{185A9E7B-AAED-40D8-B3BF-63D6FBCCE6B3}" name="Kolonna9581"/>
    <tableColumn id="9920" xr3:uid="{6AB3E2DC-3016-4118-AFFB-26DCAD2B2791}" name="Kolonna9582"/>
    <tableColumn id="9921" xr3:uid="{E6C45269-B5E2-47E8-BBBD-01889B08DD2A}" name="Kolonna9583"/>
    <tableColumn id="9922" xr3:uid="{1DCB1AB1-BDD0-4C5A-B591-FA6B0E30546D}" name="Kolonna9584"/>
    <tableColumn id="9923" xr3:uid="{801CCF94-98F8-4F57-85AE-F1D48D9C8F46}" name="Kolonna9585"/>
    <tableColumn id="9924" xr3:uid="{0C366DA1-8B0D-47C0-8523-2BCE5905F24C}" name="Kolonna9586"/>
    <tableColumn id="9925" xr3:uid="{0E6E1CBF-B010-4B3A-92C7-51C7F771F16A}" name="Kolonna9587"/>
    <tableColumn id="9926" xr3:uid="{EFAF92E0-E545-4B8B-8B59-40A284D86278}" name="Kolonna9588"/>
    <tableColumn id="9927" xr3:uid="{8AFDE636-303F-4866-A389-9C92566AF611}" name="Kolonna9589"/>
    <tableColumn id="9928" xr3:uid="{10092F05-84C8-4370-8C6E-2AE6D84A6BE2}" name="Kolonna9590"/>
    <tableColumn id="9929" xr3:uid="{2E9B4B40-4B68-45FE-A92D-64A4CFD377E6}" name="Kolonna9591"/>
    <tableColumn id="9930" xr3:uid="{A0597B7C-0A81-4B61-A15F-69188A983341}" name="Kolonna9592"/>
    <tableColumn id="9931" xr3:uid="{4C260841-F6C9-4D16-A428-0A4D203483C4}" name="Kolonna9593"/>
    <tableColumn id="9932" xr3:uid="{FC475697-A619-461C-A504-091E6C0A82D8}" name="Kolonna9594"/>
    <tableColumn id="9933" xr3:uid="{9D35354D-6A4D-44E3-8F8C-077F23FCEA61}" name="Kolonna9595"/>
    <tableColumn id="9934" xr3:uid="{95D4B57A-B058-4CEE-A057-4609B595AA89}" name="Kolonna9596"/>
    <tableColumn id="9935" xr3:uid="{699FC845-90A1-4267-8749-646516E728F9}" name="Kolonna9597"/>
    <tableColumn id="9936" xr3:uid="{FCB4EAF7-AE48-4B12-AF0D-0F83E28DA55F}" name="Kolonna9598"/>
    <tableColumn id="9937" xr3:uid="{44E9D7B9-C02C-4596-AA91-AAF97FE03A05}" name="Kolonna9599"/>
    <tableColumn id="9938" xr3:uid="{9D25D7E1-5FD9-422D-A63E-25F6B1C5961F}" name="Kolonna9600"/>
    <tableColumn id="9939" xr3:uid="{8079E3A8-F3E6-4AB0-AD65-E4330680E189}" name="Kolonna9601"/>
    <tableColumn id="9940" xr3:uid="{0AD691DC-9016-4091-92B5-14C3BFEAF252}" name="Kolonna9602"/>
    <tableColumn id="9941" xr3:uid="{4DCCCABC-526E-4177-8AE4-259F9DAFB2D1}" name="Kolonna9603"/>
    <tableColumn id="9942" xr3:uid="{6F492FBD-153F-4A65-97B9-C2816BFB4DE9}" name="Kolonna9604"/>
    <tableColumn id="9943" xr3:uid="{01A0B270-E727-4C1F-BE7E-580077999075}" name="Kolonna9605"/>
    <tableColumn id="9944" xr3:uid="{C1133D77-FC3E-497E-B98F-0AD7C811097D}" name="Kolonna9606"/>
    <tableColumn id="9945" xr3:uid="{C832043A-8060-4B38-86BF-6DC3BA121F37}" name="Kolonna9607"/>
    <tableColumn id="9946" xr3:uid="{34CE867D-2BC6-440B-BC22-2ABB378182AA}" name="Kolonna9608"/>
    <tableColumn id="9947" xr3:uid="{A91AA1F5-86DA-4EB0-8FCB-F74C7E490B89}" name="Kolonna9609"/>
    <tableColumn id="9948" xr3:uid="{18837FB0-A1A2-478D-BF14-F45B1E2A487B}" name="Kolonna9610"/>
    <tableColumn id="9949" xr3:uid="{0938F245-CF71-4A86-91AD-378045313938}" name="Kolonna9611"/>
    <tableColumn id="9950" xr3:uid="{1697989B-1130-4561-9DA4-D67551E85D2A}" name="Kolonna9612"/>
    <tableColumn id="9951" xr3:uid="{2E537028-4751-4E31-9C9A-7E88DAA4C667}" name="Kolonna9613"/>
    <tableColumn id="9952" xr3:uid="{4A68D5DC-ACDA-4CE1-89D7-C3B5A6590B58}" name="Kolonna9614"/>
    <tableColumn id="9953" xr3:uid="{E57611E4-42BF-47B4-8203-908D61BBB1F5}" name="Kolonna9615"/>
    <tableColumn id="9954" xr3:uid="{A41DAD12-B862-4DB5-A1FA-1941977C91A5}" name="Kolonna9616"/>
    <tableColumn id="9955" xr3:uid="{AA2ACCA3-C819-44EA-837F-2E88E4F4D905}" name="Kolonna9617"/>
    <tableColumn id="9956" xr3:uid="{FAC199F1-187E-4A0C-9E03-E629FD2C2E92}" name="Kolonna9618"/>
    <tableColumn id="9957" xr3:uid="{95556390-85A0-42D0-B3C6-A1028C6EF3AB}" name="Kolonna9619"/>
    <tableColumn id="9958" xr3:uid="{911E3943-6804-46AE-B522-B53611FC90EB}" name="Kolonna9620"/>
    <tableColumn id="9959" xr3:uid="{1E62960F-57AF-4E8E-AD9C-6E94E583ED59}" name="Kolonna9621"/>
    <tableColumn id="9960" xr3:uid="{A8035D60-7EAC-4035-AE65-8C8B1D3454CD}" name="Kolonna9622"/>
    <tableColumn id="9961" xr3:uid="{007FF225-0C99-4F80-9189-9C38C0EAE50F}" name="Kolonna9623"/>
    <tableColumn id="9962" xr3:uid="{267305FC-CCED-45BD-8C73-5AB2B5CD857A}" name="Kolonna9624"/>
    <tableColumn id="9963" xr3:uid="{39CCFBDD-E9A0-4DD4-ADB7-946FA9DEA26C}" name="Kolonna9625"/>
    <tableColumn id="9964" xr3:uid="{11EED251-7DA9-4389-B648-4C5AC427E182}" name="Kolonna9626"/>
    <tableColumn id="9965" xr3:uid="{69CDA5F7-4C51-4238-BC0E-B7F7DDACC27F}" name="Kolonna9627"/>
    <tableColumn id="9966" xr3:uid="{66253EBD-19D5-4BEC-A39D-1B2E3E67CFE0}" name="Kolonna9628"/>
    <tableColumn id="9967" xr3:uid="{4B4B5E02-A8AA-479C-B684-F0051C908D80}" name="Kolonna9629"/>
    <tableColumn id="9968" xr3:uid="{EFADBEEF-A69F-4488-888C-B2CB5D68A593}" name="Kolonna9630"/>
    <tableColumn id="9969" xr3:uid="{134BC291-9F5E-45ED-9488-5FD124E35F5D}" name="Kolonna9631"/>
    <tableColumn id="9970" xr3:uid="{FFA53E3A-21E2-4C1F-A1F8-2A78FDF13B9A}" name="Kolonna9632"/>
    <tableColumn id="9971" xr3:uid="{18CAB1A1-84D1-45F2-BD9F-80C69EAA8BDD}" name="Kolonna9633"/>
    <tableColumn id="9972" xr3:uid="{6B73399A-D66B-4126-AA50-1848825866CD}" name="Kolonna9634"/>
    <tableColumn id="9973" xr3:uid="{8BC05FBA-C05F-4915-9B89-F4C3B968B1D9}" name="Kolonna9635"/>
    <tableColumn id="9974" xr3:uid="{0ADDF3D2-1E1E-4991-BE44-07A1111F7707}" name="Kolonna9636"/>
    <tableColumn id="9975" xr3:uid="{8FD87545-894C-4FA2-BA43-C6BA0E26F027}" name="Kolonna9637"/>
    <tableColumn id="9976" xr3:uid="{C6293F3B-2228-4916-976D-786C88B7988C}" name="Kolonna9638"/>
    <tableColumn id="9977" xr3:uid="{146D6969-241D-4505-9699-7D1DCD34A8C9}" name="Kolonna9639"/>
    <tableColumn id="9978" xr3:uid="{C1B9C32C-F1F0-4ECE-B347-5E80FB31A2A5}" name="Kolonna9640"/>
    <tableColumn id="9979" xr3:uid="{FA15A55D-AF13-44FC-BD03-E837C96E7710}" name="Kolonna9641"/>
    <tableColumn id="9980" xr3:uid="{0EFC0D55-E62E-4349-A224-94AAFB971175}" name="Kolonna9642"/>
    <tableColumn id="9981" xr3:uid="{F12A495C-5C5B-48EC-92A8-8BDB7C8FBFC9}" name="Kolonna9643"/>
    <tableColumn id="9982" xr3:uid="{DEF02670-A1AF-482E-AF80-36561E0C7AEA}" name="Kolonna9644"/>
    <tableColumn id="9983" xr3:uid="{418307D3-B145-4819-BFC6-41A1771DF2D8}" name="Kolonna9645"/>
    <tableColumn id="9984" xr3:uid="{40C7A6A1-CD85-47E4-A8CA-F30D5FC45514}" name="Kolonna9646"/>
    <tableColumn id="9985" xr3:uid="{7EEB988E-1701-469F-BE10-46758E5E8BAF}" name="Kolonna9647"/>
    <tableColumn id="9986" xr3:uid="{22A8D042-4EA9-4150-A353-FA355900BFA8}" name="Kolonna9648"/>
    <tableColumn id="9987" xr3:uid="{FD814A3F-EC88-4703-B07B-34735D1197B6}" name="Kolonna9649"/>
    <tableColumn id="9988" xr3:uid="{247D0FA5-EAB6-4629-A9AA-55BA818BC56A}" name="Kolonna9650"/>
    <tableColumn id="9989" xr3:uid="{9A39D9BB-2127-48CE-A1DC-AAF3BE16204E}" name="Kolonna9651"/>
    <tableColumn id="9990" xr3:uid="{0DA2360A-4B4E-41A6-82FB-E8B9E9230BD1}" name="Kolonna9652"/>
    <tableColumn id="9991" xr3:uid="{D2176C79-CE93-4728-A824-28FC99F5381D}" name="Kolonna9653"/>
    <tableColumn id="9992" xr3:uid="{68360E88-8997-4BA9-B5FE-433FCC9D5443}" name="Kolonna9654"/>
    <tableColumn id="9993" xr3:uid="{2BBEE6E8-D008-4753-B659-D472BFAA39BF}" name="Kolonna9655"/>
    <tableColumn id="9994" xr3:uid="{389923DF-6A07-4E03-9E1A-9998387E67AB}" name="Kolonna9656"/>
    <tableColumn id="9995" xr3:uid="{93799BE9-4FCE-4BBF-B1F1-520B9DDDFD80}" name="Kolonna9657"/>
    <tableColumn id="9996" xr3:uid="{BF1D716E-05E1-4A47-A3A8-FF3F424F32E4}" name="Kolonna9658"/>
    <tableColumn id="9997" xr3:uid="{86E0DBF1-F058-4BF9-9F11-717A30D6A114}" name="Kolonna9659"/>
    <tableColumn id="9998" xr3:uid="{ADC7D1B0-4627-471B-9588-E5AEED6D3414}" name="Kolonna9660"/>
    <tableColumn id="9999" xr3:uid="{4F2549C0-8A8E-4276-954C-326B72000BC2}" name="Kolonna9661"/>
    <tableColumn id="10000" xr3:uid="{D27D80F3-7D11-498B-AE3A-C718141EC75F}" name="Kolonna9662"/>
    <tableColumn id="10001" xr3:uid="{CFEADDE4-35C3-43E6-97B0-31245B44C386}" name="Kolonna9663"/>
    <tableColumn id="10002" xr3:uid="{C8D20A53-55C0-4E50-B4FA-E0542DA6B136}" name="Kolonna9664"/>
    <tableColumn id="10003" xr3:uid="{8A3E295A-2F6B-43F0-96E2-63F5A314DA85}" name="Kolonna9665"/>
    <tableColumn id="10004" xr3:uid="{20D7DD1D-6AEC-4765-B2E3-767A332AE010}" name="Kolonna9666"/>
    <tableColumn id="10005" xr3:uid="{855EEDAA-3C7E-4768-BD40-47778E53AFEF}" name="Kolonna9667"/>
    <tableColumn id="10006" xr3:uid="{FC8A6340-DFE8-48E6-9C56-969F45A42982}" name="Kolonna9668"/>
    <tableColumn id="10007" xr3:uid="{03B885CE-0B19-479B-A365-38D4058CF87C}" name="Kolonna9669"/>
    <tableColumn id="10008" xr3:uid="{B77ADA06-628D-4D70-9C37-AD758A2C32AF}" name="Kolonna9670"/>
    <tableColumn id="10009" xr3:uid="{410817CF-0960-4AA3-8CEA-50ED6262324D}" name="Kolonna9671"/>
    <tableColumn id="10010" xr3:uid="{E5FD958C-4170-4085-BBB4-B55ED1CE0BD7}" name="Kolonna9672"/>
    <tableColumn id="10011" xr3:uid="{A5DD35DC-04C4-4106-B415-C8EC241E1271}" name="Kolonna9673"/>
    <tableColumn id="10012" xr3:uid="{24251910-5AA3-47A3-AA6B-88286CE81B84}" name="Kolonna9674"/>
    <tableColumn id="10013" xr3:uid="{8FEBBA6A-18C8-44F7-A447-35E53FCB557E}" name="Kolonna9675"/>
    <tableColumn id="10014" xr3:uid="{90E05B9E-37E1-4859-A179-3EE848B3C3FA}" name="Kolonna9676"/>
    <tableColumn id="10015" xr3:uid="{3DB77C37-5C78-4422-8054-BC19824141D2}" name="Kolonna9677"/>
    <tableColumn id="10016" xr3:uid="{220FB8AA-92E5-4647-84FA-62A50498AF2B}" name="Kolonna9678"/>
    <tableColumn id="10017" xr3:uid="{D1E60A06-89E6-4764-9693-F4F63448D91F}" name="Kolonna9679"/>
    <tableColumn id="10018" xr3:uid="{4B41A399-CD33-4102-BB25-04FEDB609AFD}" name="Kolonna9680"/>
    <tableColumn id="10019" xr3:uid="{90566325-72FF-4D87-8EB8-C6B1E263444A}" name="Kolonna9681"/>
    <tableColumn id="10020" xr3:uid="{1E16E197-4708-411B-8BE6-EC2F6FD5DA5E}" name="Kolonna9682"/>
    <tableColumn id="10021" xr3:uid="{0C712640-CE0E-4F51-B868-B7F992BD9FE1}" name="Kolonna9683"/>
    <tableColumn id="10022" xr3:uid="{D493FE68-184F-457A-B2CA-51C019504A26}" name="Kolonna9684"/>
    <tableColumn id="10023" xr3:uid="{094C1B30-B5A9-4118-8184-6CB8218E8DCD}" name="Kolonna9685"/>
    <tableColumn id="10024" xr3:uid="{5C1873F9-DBB2-47C6-A770-70E9F6C3D5BD}" name="Kolonna9686"/>
    <tableColumn id="10025" xr3:uid="{EBD30119-6611-4AB9-9767-C7AC663FA99B}" name="Kolonna9687"/>
    <tableColumn id="10026" xr3:uid="{0B223B42-49A3-44E1-B66B-19AC6F10EA65}" name="Kolonna9688"/>
    <tableColumn id="10027" xr3:uid="{84118F9D-D9E4-4A99-A57B-26E3B606AAF6}" name="Kolonna9689"/>
    <tableColumn id="10028" xr3:uid="{01A43249-A573-46B3-8FBF-D3F9D4865938}" name="Kolonna9690"/>
    <tableColumn id="10029" xr3:uid="{93D7E103-4B28-46DD-807B-3DAA613AFCE3}" name="Kolonna9691"/>
    <tableColumn id="10030" xr3:uid="{357DDC9C-E788-4811-A91F-A87CC507FBCE}" name="Kolonna9692"/>
    <tableColumn id="10031" xr3:uid="{41A81848-5677-4444-90FD-EE7B064C5A4A}" name="Kolonna9693"/>
    <tableColumn id="10032" xr3:uid="{1060B72E-F1AB-440F-AACD-033458D5FBFD}" name="Kolonna9694"/>
    <tableColumn id="10033" xr3:uid="{DBEEB05A-6083-474B-9BE1-3B5E2B853952}" name="Kolonna9695"/>
    <tableColumn id="10034" xr3:uid="{903A42A1-5FF3-4658-8CF3-8F434DA9B3E4}" name="Kolonna9696"/>
    <tableColumn id="10035" xr3:uid="{2318A398-DD81-4DEF-A041-327C686375A9}" name="Kolonna9697"/>
    <tableColumn id="10036" xr3:uid="{59F20CD1-E594-4840-8EDE-04E3859012D7}" name="Kolonna9698"/>
    <tableColumn id="10037" xr3:uid="{5DA465BE-8BD5-41B9-B906-8D00B99EE74D}" name="Kolonna9699"/>
    <tableColumn id="10038" xr3:uid="{3633A120-EA6F-48B1-9691-187480926B4A}" name="Kolonna9700"/>
    <tableColumn id="10039" xr3:uid="{832F844B-7A57-4D94-894A-591957623A78}" name="Kolonna9701"/>
    <tableColumn id="10040" xr3:uid="{66384C26-71AA-4F27-8E7C-EE02BB25D03D}" name="Kolonna9702"/>
    <tableColumn id="10041" xr3:uid="{B215910B-1B91-4E79-84A9-7A98936253CF}" name="Kolonna9703"/>
    <tableColumn id="10042" xr3:uid="{5989BB44-F3F4-404C-8127-440A96B9C3C5}" name="Kolonna9704"/>
    <tableColumn id="10043" xr3:uid="{9D459E1D-5131-44DA-AA25-4E6AECC44C64}" name="Kolonna9705"/>
    <tableColumn id="10044" xr3:uid="{BC84BFCA-6453-4A15-81EE-9B8DBD358189}" name="Kolonna9706"/>
    <tableColumn id="10045" xr3:uid="{14E6C1A2-C0CE-4D6B-829A-CBD1F3788FEE}" name="Kolonna9707"/>
    <tableColumn id="10046" xr3:uid="{A76E5772-E09D-41A6-AF6D-441DCD8B2A6C}" name="Kolonna9708"/>
    <tableColumn id="10047" xr3:uid="{13C94E03-B938-4949-B2FE-23337C82DD61}" name="Kolonna9709"/>
    <tableColumn id="10048" xr3:uid="{6D097F9C-9F4B-46F8-8670-B7EE0980F589}" name="Kolonna9710"/>
    <tableColumn id="10049" xr3:uid="{A88F94CE-D01F-45F2-9054-C6D225AD5215}" name="Kolonna9711"/>
    <tableColumn id="10050" xr3:uid="{F6D9EA21-D471-4CA1-833B-69C576941889}" name="Kolonna9712"/>
    <tableColumn id="10051" xr3:uid="{AF8E1C68-C0E2-40A1-990C-5100E0B5B21D}" name="Kolonna9713"/>
    <tableColumn id="10052" xr3:uid="{7CEF3006-AD2D-4D28-B62D-77A4C27BA618}" name="Kolonna9714"/>
    <tableColumn id="10053" xr3:uid="{6C039B38-594D-4E68-BD75-CFB0D233809B}" name="Kolonna9715"/>
    <tableColumn id="10054" xr3:uid="{CB2BE6A6-63EE-4CE8-9F85-1B7F9DABBA04}" name="Kolonna9716"/>
    <tableColumn id="10055" xr3:uid="{57A1ACE7-8261-44CF-8217-B75428EE04D1}" name="Kolonna9717"/>
    <tableColumn id="10056" xr3:uid="{5CBF3243-5189-4A86-B2AC-05EC1465A1EB}" name="Kolonna9718"/>
    <tableColumn id="10057" xr3:uid="{BEE7DD02-D1E9-40AE-B25D-E9486EAF53D4}" name="Kolonna9719"/>
    <tableColumn id="10058" xr3:uid="{502CA3CC-D299-4BF2-A5A5-F0DCAC48F4D4}" name="Kolonna9720"/>
    <tableColumn id="10059" xr3:uid="{C6876DAF-075A-4633-A9EE-DE4D9BB9AE8C}" name="Kolonna9721"/>
    <tableColumn id="10060" xr3:uid="{F088EBD0-0D44-43FE-8D8C-F04454AA2E23}" name="Kolonna9722"/>
    <tableColumn id="10061" xr3:uid="{E133E36F-0765-4C8A-9BC7-76092612D7DC}" name="Kolonna9723"/>
    <tableColumn id="10062" xr3:uid="{028D82C1-7E57-4677-A25F-354D1967AB5A}" name="Kolonna9724"/>
    <tableColumn id="10063" xr3:uid="{09F712AB-5884-4834-B841-C4E8FF853462}" name="Kolonna9725"/>
    <tableColumn id="10064" xr3:uid="{9621F02B-BC3F-4F29-9417-D8C13E274C1E}" name="Kolonna9726"/>
    <tableColumn id="10065" xr3:uid="{869D8DB6-354D-4D80-A37D-7E81FF235EB0}" name="Kolonna9727"/>
    <tableColumn id="10066" xr3:uid="{FC0C7BA5-8DA4-47E7-9B58-B35466E41E12}" name="Kolonna9728"/>
    <tableColumn id="10067" xr3:uid="{DF81BB84-D9F5-4C08-BC34-85ECE99F471F}" name="Kolonna9729"/>
    <tableColumn id="10068" xr3:uid="{49F11D8D-F98B-438A-9E2B-1E69DA738001}" name="Kolonna9730"/>
    <tableColumn id="10069" xr3:uid="{F412C4BB-F633-49A0-BB51-FBFA8188F330}" name="Kolonna9731"/>
    <tableColumn id="10070" xr3:uid="{A17EF09D-A425-4F1E-98F8-8DD63FAAE5D0}" name="Kolonna9732"/>
    <tableColumn id="10071" xr3:uid="{398056F7-6988-4AA9-8B26-CB56EAC3BDDA}" name="Kolonna9733"/>
    <tableColumn id="10072" xr3:uid="{D25C2A0F-8C68-4076-BB29-9204C1EFF1DF}" name="Kolonna9734"/>
    <tableColumn id="10073" xr3:uid="{5280E6D7-9877-4061-B85C-32C400B7DE74}" name="Kolonna9735"/>
    <tableColumn id="10074" xr3:uid="{3DCEFA3E-1263-4B26-BD02-B51ED2DEF91B}" name="Kolonna9736"/>
    <tableColumn id="10075" xr3:uid="{EEC4F7AB-7431-433C-99CE-DF5BDB913443}" name="Kolonna9737"/>
    <tableColumn id="10076" xr3:uid="{A9CE4498-4673-4628-92FB-5B495819C31F}" name="Kolonna9738"/>
    <tableColumn id="10077" xr3:uid="{ED12BF19-FFAD-4CBC-BDA0-3EF9246E5183}" name="Kolonna9739"/>
    <tableColumn id="10078" xr3:uid="{531BA5A0-350B-4A09-AC6E-62065D58BFFF}" name="Kolonna9740"/>
    <tableColumn id="10079" xr3:uid="{7A32F99A-A5C2-480B-8821-208326B0562F}" name="Kolonna9741"/>
    <tableColumn id="10080" xr3:uid="{8AF517EA-0346-4899-A0FD-230E7CDEBA6A}" name="Kolonna9742"/>
    <tableColumn id="10081" xr3:uid="{13C7BCD0-9209-4545-9DE5-77365751197D}" name="Kolonna9743"/>
    <tableColumn id="10082" xr3:uid="{29CFD7BF-2E18-48A5-A684-AB6B32EBBA51}" name="Kolonna9744"/>
    <tableColumn id="10083" xr3:uid="{DD64B666-3CF2-4F27-A65F-4D0DF43A9DCB}" name="Kolonna9745"/>
    <tableColumn id="10084" xr3:uid="{D47812AA-DD22-46FC-8678-7C41DD1105AA}" name="Kolonna9746"/>
    <tableColumn id="10085" xr3:uid="{E61F0C86-82CA-45A6-A219-9855ACB1146C}" name="Kolonna9747"/>
    <tableColumn id="10086" xr3:uid="{BDDEBEB6-25FE-4061-8A59-F32ACB7486B4}" name="Kolonna9748"/>
    <tableColumn id="10087" xr3:uid="{BCBA8A30-F94E-441D-AC8D-B179B0777920}" name="Kolonna9749"/>
    <tableColumn id="10088" xr3:uid="{EBD9AEFD-C9BA-4FC3-BD8D-4A4F652E623E}" name="Kolonna9750"/>
    <tableColumn id="10089" xr3:uid="{0627B0B3-6CC9-4B1D-A4CE-785A18E9DFF8}" name="Kolonna9751"/>
    <tableColumn id="10090" xr3:uid="{5D185389-00E8-4B00-A6FE-36B057A920F0}" name="Kolonna9752"/>
    <tableColumn id="10091" xr3:uid="{78EEF5CE-4564-49C0-9074-809C078300C7}" name="Kolonna9753"/>
    <tableColumn id="10092" xr3:uid="{D2036DE9-572B-4E93-916B-6FA5DE611CE3}" name="Kolonna9754"/>
    <tableColumn id="10093" xr3:uid="{810C6818-D655-44EB-8E4B-1AFAB28F6934}" name="Kolonna9755"/>
    <tableColumn id="10094" xr3:uid="{1EA9C110-E07E-40BE-BF6C-72FEEFEE0761}" name="Kolonna9756"/>
    <tableColumn id="10095" xr3:uid="{D7184469-A82E-47E9-BADA-C780943B079C}" name="Kolonna9757"/>
    <tableColumn id="10096" xr3:uid="{FC03D3E5-0D80-4B2D-A195-2195CF3F9D2C}" name="Kolonna9758"/>
    <tableColumn id="10097" xr3:uid="{95972D1C-86AC-4E07-AD7C-D3525A4C32ED}" name="Kolonna9759"/>
    <tableColumn id="10098" xr3:uid="{6C325AA1-F1FF-42D2-8ABE-B4659B642AFC}" name="Kolonna9760"/>
    <tableColumn id="10099" xr3:uid="{52C0E5EB-F4EF-410A-8A8F-02E22DFD3495}" name="Kolonna9761"/>
    <tableColumn id="10100" xr3:uid="{93B5BDEF-FC64-4FB4-83D8-46A8FD103D0F}" name="Kolonna9762"/>
    <tableColumn id="10101" xr3:uid="{6429DA3B-E85F-47BE-97D7-8102990DA8A3}" name="Kolonna9763"/>
    <tableColumn id="10102" xr3:uid="{A3006944-C748-4EA0-97DB-A5FC133A2BBC}" name="Kolonna9764"/>
    <tableColumn id="10103" xr3:uid="{0D793EEF-160C-4290-AC13-0199E7CE7316}" name="Kolonna9765"/>
    <tableColumn id="10104" xr3:uid="{EFF53AD2-4B19-458F-9291-7A90C74FC561}" name="Kolonna9766"/>
    <tableColumn id="10105" xr3:uid="{6AE35271-97B6-427A-B1C6-2C462D423F3A}" name="Kolonna9767"/>
    <tableColumn id="10106" xr3:uid="{83336ECA-8F5D-4764-9F2E-0AC98798796D}" name="Kolonna9768"/>
    <tableColumn id="10107" xr3:uid="{C18DF203-EA81-4775-87A0-205F78CE30C0}" name="Kolonna9769"/>
    <tableColumn id="10108" xr3:uid="{A228493F-9AB4-4F16-A846-AC5F63A2ADA7}" name="Kolonna9770"/>
    <tableColumn id="10109" xr3:uid="{E336BABE-BC71-4F5A-B36C-FBF557516B7E}" name="Kolonna9771"/>
    <tableColumn id="10110" xr3:uid="{9E4CF15E-79DE-484A-BDEB-C497385A811C}" name="Kolonna9772"/>
    <tableColumn id="10111" xr3:uid="{D794387E-DEDB-40F0-968B-15FE5DAE327A}" name="Kolonna9773"/>
    <tableColumn id="10112" xr3:uid="{B7F81987-7F75-4DB2-860D-ED6041C834C8}" name="Kolonna9774"/>
    <tableColumn id="10113" xr3:uid="{473220C1-096F-40B9-B4C8-ABF0073F0AEF}" name="Kolonna9775"/>
    <tableColumn id="10114" xr3:uid="{CA6A826E-CBB0-431F-90EE-79F25BB60B9E}" name="Kolonna9776"/>
    <tableColumn id="10115" xr3:uid="{90DBAE4C-29C5-4DCB-9CC9-8DCEFCCDCAF5}" name="Kolonna9777"/>
    <tableColumn id="10116" xr3:uid="{C5086578-AEDF-4FD7-9FF7-B2FBA7BBC422}" name="Kolonna9778"/>
    <tableColumn id="10117" xr3:uid="{9542ED88-ED0D-4286-B4BC-6CD0C14BA953}" name="Kolonna9779"/>
    <tableColumn id="10118" xr3:uid="{74501EA1-6736-4418-9A5A-F3ECAAFE606B}" name="Kolonna9780"/>
    <tableColumn id="10119" xr3:uid="{57C293C5-94FA-4CF5-A073-F2FD855A37C2}" name="Kolonna9781"/>
    <tableColumn id="10120" xr3:uid="{B9351806-231A-4B1E-8E2F-62E612DB089F}" name="Kolonna9782"/>
    <tableColumn id="10121" xr3:uid="{D3059FE9-BC1A-476A-AEBE-7097101D1BCE}" name="Kolonna9783"/>
    <tableColumn id="10122" xr3:uid="{73ED9B7D-C781-4709-91D0-0787295B7BD2}" name="Kolonna9784"/>
    <tableColumn id="10123" xr3:uid="{D1C474DC-DC60-47B3-931B-D92F4F513431}" name="Kolonna9785"/>
    <tableColumn id="10124" xr3:uid="{7DC91A96-47FC-4AEF-BB71-2CD1508C6768}" name="Kolonna9786"/>
    <tableColumn id="10125" xr3:uid="{5635F538-4EEA-4438-9A0B-AF92E301EFF5}" name="Kolonna9787"/>
    <tableColumn id="10126" xr3:uid="{2F595DF3-0ABA-41AF-9ECC-D7C7D36502C5}" name="Kolonna9788"/>
    <tableColumn id="10127" xr3:uid="{113D3653-B3B2-4867-A952-676DFF09EC82}" name="Kolonna9789"/>
    <tableColumn id="10128" xr3:uid="{3B1F53CE-9FEC-4BE5-81C9-699D7BAC9D48}" name="Kolonna9790"/>
    <tableColumn id="10129" xr3:uid="{BE57530B-AF7A-4EB8-BDEF-38A2221B0594}" name="Kolonna9791"/>
    <tableColumn id="10130" xr3:uid="{5128F274-B097-4BDE-B4A6-37664223CED0}" name="Kolonna9792"/>
    <tableColumn id="10131" xr3:uid="{D94CB21B-97C0-4D68-ADA5-9F2605BCD394}" name="Kolonna9793"/>
    <tableColumn id="10132" xr3:uid="{48ACD361-FDC8-4128-941D-A2F5327D4230}" name="Kolonna9794"/>
    <tableColumn id="10133" xr3:uid="{D1D5C5CA-9F24-4C19-9B19-570777A3879F}" name="Kolonna9795"/>
    <tableColumn id="10134" xr3:uid="{29999C28-22D4-4236-B97A-ACD8322972B2}" name="Kolonna9796"/>
    <tableColumn id="10135" xr3:uid="{61BA0946-E405-48DA-A6C2-7CD08CC26D9E}" name="Kolonna9797"/>
    <tableColumn id="10136" xr3:uid="{2FDF9BF2-1C4E-4046-A29C-2DA687451365}" name="Kolonna9798"/>
    <tableColumn id="10137" xr3:uid="{F084E707-DC3A-49A9-8483-915E56FE9EDF}" name="Kolonna9799"/>
    <tableColumn id="10138" xr3:uid="{DF0527B5-BA0F-489E-9097-7D35861876BD}" name="Kolonna9800"/>
    <tableColumn id="10139" xr3:uid="{5A99CB3F-74B8-4DA5-A668-B95CEADF16C8}" name="Kolonna9801"/>
    <tableColumn id="10140" xr3:uid="{F90DACBC-6492-4284-9CFB-F0328DB5634C}" name="Kolonna9802"/>
    <tableColumn id="10141" xr3:uid="{4D31429D-DFF8-427A-94A8-621B98E1DF2D}" name="Kolonna9803"/>
    <tableColumn id="10142" xr3:uid="{8C3DAA19-B045-48C2-83F0-040FD468355C}" name="Kolonna9804"/>
    <tableColumn id="10143" xr3:uid="{7AD8ED8A-EF42-41B1-826F-745C508F48F0}" name="Kolonna9805"/>
    <tableColumn id="10144" xr3:uid="{1341E507-161F-4702-9E7B-A57479CD5367}" name="Kolonna9806"/>
    <tableColumn id="10145" xr3:uid="{A4E59DFD-F369-4624-977A-9DF62C6FF413}" name="Kolonna9807"/>
    <tableColumn id="10146" xr3:uid="{F6228BEE-C07D-4BD9-B03D-9266E6DDB994}" name="Kolonna9808"/>
    <tableColumn id="10147" xr3:uid="{0A4E5E5F-EA46-460C-B04F-F39CBFF32359}" name="Kolonna9809"/>
    <tableColumn id="10148" xr3:uid="{BBD84D7D-A262-42B1-AC00-7B0E39C74345}" name="Kolonna9810"/>
    <tableColumn id="10149" xr3:uid="{D44002E4-28A8-45C0-AA3F-99BDA305B967}" name="Kolonna9811"/>
    <tableColumn id="10150" xr3:uid="{96510D6F-AA2A-4C59-826C-0F00ECC87114}" name="Kolonna9812"/>
    <tableColumn id="10151" xr3:uid="{55858B99-774A-402F-8CD0-EAD64C58009B}" name="Kolonna9813"/>
    <tableColumn id="10152" xr3:uid="{FA57B72B-0946-4E27-8C08-08C7BA54D9AB}" name="Kolonna9814"/>
    <tableColumn id="10153" xr3:uid="{624C1405-4D20-4105-8CC1-DF310741E3EB}" name="Kolonna9815"/>
    <tableColumn id="10154" xr3:uid="{AA0C9D00-F106-4076-819C-2AAC8641E6C1}" name="Kolonna9816"/>
    <tableColumn id="10155" xr3:uid="{DC950F43-3960-4668-AA6C-6311366195C4}" name="Kolonna9817"/>
    <tableColumn id="10156" xr3:uid="{826033FB-3E3F-4A06-AB38-435F54A931D1}" name="Kolonna9818"/>
    <tableColumn id="10157" xr3:uid="{794F39C7-0699-4179-B3D2-D65FC299C567}" name="Kolonna9819"/>
    <tableColumn id="10158" xr3:uid="{ED6E6D28-717B-4CC2-BDFF-9A719E0503B3}" name="Kolonna9820"/>
    <tableColumn id="10159" xr3:uid="{A82D346C-BD74-466E-92BD-363DD75F1684}" name="Kolonna9821"/>
    <tableColumn id="10160" xr3:uid="{22D85C67-C3CE-4476-B916-726D11AD47B5}" name="Kolonna9822"/>
    <tableColumn id="10161" xr3:uid="{A358FF40-16C4-48AF-A592-446E8D1258C4}" name="Kolonna9823"/>
    <tableColumn id="10162" xr3:uid="{226CE5F5-E323-4C5A-91FF-71EB973719BD}" name="Kolonna9824"/>
    <tableColumn id="10163" xr3:uid="{54156D14-7FF4-48F6-981E-E0F23BB6EDE7}" name="Kolonna9825"/>
    <tableColumn id="10164" xr3:uid="{FB45F188-405B-4E0B-B9E8-D38CF2E8BD03}" name="Kolonna9826"/>
    <tableColumn id="10165" xr3:uid="{03D6FEAB-37AF-4D4F-A775-C5E3AC880887}" name="Kolonna9827"/>
    <tableColumn id="10166" xr3:uid="{9ADDF02D-C7A0-4702-A19E-BADDD911B672}" name="Kolonna9828"/>
    <tableColumn id="10167" xr3:uid="{50ABA728-8424-4585-A207-179D778AB33B}" name="Kolonna9829"/>
    <tableColumn id="10168" xr3:uid="{383FFB6F-401B-4D90-A195-2620D25B9E52}" name="Kolonna9830"/>
    <tableColumn id="10169" xr3:uid="{0D25EF57-0502-447C-8BAF-18501B832CA8}" name="Kolonna9831"/>
    <tableColumn id="10170" xr3:uid="{395BFE3D-F228-497B-8AB2-BD6DF6AEB956}" name="Kolonna9832"/>
    <tableColumn id="10171" xr3:uid="{6633C2D9-3632-49A1-9B9E-747C2F34EA38}" name="Kolonna9833"/>
    <tableColumn id="10172" xr3:uid="{85FB0D60-A4C2-471C-84B9-25328D433B9C}" name="Kolonna9834"/>
    <tableColumn id="10173" xr3:uid="{90CE3F1C-BA0E-4626-8CAF-58FCEF53DA4B}" name="Kolonna9835"/>
    <tableColumn id="10174" xr3:uid="{6DBC8354-FD5B-4609-9EC9-BBAC1A0CBE29}" name="Kolonna9836"/>
    <tableColumn id="10175" xr3:uid="{6DC6C1E7-1E6C-4598-8E6D-0940770150EB}" name="Kolonna9837"/>
    <tableColumn id="10176" xr3:uid="{8C3B5736-04CF-4C65-A84A-035D14F58D25}" name="Kolonna9838"/>
    <tableColumn id="10177" xr3:uid="{3DD927E3-8E16-4DF2-8B9F-EC25124FE378}" name="Kolonna9839"/>
    <tableColumn id="10178" xr3:uid="{29A512F6-04B7-470A-9471-8F3497D2580D}" name="Kolonna9840"/>
    <tableColumn id="10179" xr3:uid="{F6B61A24-2817-4990-9919-4DCFF223594C}" name="Kolonna9841"/>
    <tableColumn id="10180" xr3:uid="{3EEE4451-AEE0-440B-A798-033A27837D94}" name="Kolonna9842"/>
    <tableColumn id="10181" xr3:uid="{B50BE5E3-B08F-4F71-BDD4-34E986C6B10C}" name="Kolonna9843"/>
    <tableColumn id="10182" xr3:uid="{5366932D-9487-40E3-B30D-60C620F4006B}" name="Kolonna9844"/>
    <tableColumn id="10183" xr3:uid="{5EF32863-663F-46E8-BA5D-92A00B569252}" name="Kolonna9845"/>
    <tableColumn id="10184" xr3:uid="{CF8708A2-8C74-47FA-AC0E-EC8FD0C6AC56}" name="Kolonna9846"/>
    <tableColumn id="10185" xr3:uid="{98306819-954A-49DD-AEB9-637241EF4174}" name="Kolonna9847"/>
    <tableColumn id="10186" xr3:uid="{5DB630B4-4CD3-49E4-B976-48A279E801BE}" name="Kolonna9848"/>
    <tableColumn id="10187" xr3:uid="{F17A3A0C-C9B6-4E42-A938-11A9C1268F34}" name="Kolonna9849"/>
    <tableColumn id="10188" xr3:uid="{DA512FB2-A424-48A4-9B55-C7F4896976D5}" name="Kolonna9850"/>
    <tableColumn id="10189" xr3:uid="{8B6AAD69-8D0C-4CC9-B3C7-AF339DEABC35}" name="Kolonna9851"/>
    <tableColumn id="10190" xr3:uid="{922D5358-8642-4205-AD38-04F3E1DD2783}" name="Kolonna9852"/>
    <tableColumn id="10191" xr3:uid="{BB142E62-60D9-4973-8EF6-27660CE6E668}" name="Kolonna9853"/>
    <tableColumn id="10192" xr3:uid="{539ECC86-0E26-41A8-9F17-CADA5669981C}" name="Kolonna9854"/>
    <tableColumn id="10193" xr3:uid="{0F34C8C1-17C4-4197-866C-B992DE4AB9B6}" name="Kolonna9855"/>
    <tableColumn id="10194" xr3:uid="{AE21C445-BA6D-4D79-8CC2-B81A7D2761AB}" name="Kolonna9856"/>
    <tableColumn id="10195" xr3:uid="{F84C95CE-B9AA-4991-A7E4-B2E6BA8F7673}" name="Kolonna9857"/>
    <tableColumn id="10196" xr3:uid="{46E35A93-6037-4ED9-9443-C75E7437C3AF}" name="Kolonna9858"/>
    <tableColumn id="10197" xr3:uid="{B3EB3096-0E45-4EEB-8553-B6CE43973E5A}" name="Kolonna9859"/>
    <tableColumn id="10198" xr3:uid="{234AEBAE-7866-4B51-B54B-9850F3EB0F05}" name="Kolonna9860"/>
    <tableColumn id="10199" xr3:uid="{7E48F37B-CAA6-4636-859F-B13FEA74A336}" name="Kolonna9861"/>
    <tableColumn id="10200" xr3:uid="{1EB4F55E-1E38-45B3-BE85-0D4A97AD1913}" name="Kolonna9862"/>
    <tableColumn id="10201" xr3:uid="{C73F306F-2DC8-46F1-830E-F30F4A0DB934}" name="Kolonna9863"/>
    <tableColumn id="10202" xr3:uid="{357DF9C0-9FFA-45B9-B09D-3D5838175178}" name="Kolonna9864"/>
    <tableColumn id="10203" xr3:uid="{2183EEE0-3254-4C79-B949-72CA2D431E27}" name="Kolonna9865"/>
    <tableColumn id="10204" xr3:uid="{C4C1D604-6CFA-4164-8EE3-7571C2B5AAE9}" name="Kolonna9866"/>
    <tableColumn id="10205" xr3:uid="{9D50DB6E-3B57-495D-92FE-68CFC0FE3E9E}" name="Kolonna9867"/>
    <tableColumn id="10206" xr3:uid="{A475AECC-5AF2-49EE-8236-824BC6BBBE31}" name="Kolonna9868"/>
    <tableColumn id="10207" xr3:uid="{485F4FA2-9A1B-48D9-9547-87A467A5293A}" name="Kolonna9869"/>
    <tableColumn id="10208" xr3:uid="{77130FA2-2A7A-43D8-8473-CBD018E60893}" name="Kolonna9870"/>
    <tableColumn id="10209" xr3:uid="{73C34D5C-9C71-43D6-8A28-CE2700E3662F}" name="Kolonna9871"/>
    <tableColumn id="10210" xr3:uid="{380CF8E2-9EE4-4687-BFA9-F959381AF9F5}" name="Kolonna9872"/>
    <tableColumn id="10211" xr3:uid="{1D5C1589-C576-4F0D-86A2-D9B60D716471}" name="Kolonna9873"/>
    <tableColumn id="10212" xr3:uid="{673D55F5-EC91-4205-8FD6-96C118C1B20A}" name="Kolonna9874"/>
    <tableColumn id="10213" xr3:uid="{BCC88AAD-102C-4BCB-836C-3C1491D596E3}" name="Kolonna9875"/>
    <tableColumn id="10214" xr3:uid="{F5B940C0-3AAC-4C57-B797-3C75A4AE919A}" name="Kolonna9876"/>
    <tableColumn id="10215" xr3:uid="{D2B745AD-D92F-4B78-AF51-D47ED7C25FD6}" name="Kolonna9877"/>
    <tableColumn id="10216" xr3:uid="{E1BC4BFB-E250-43DB-8FC9-C0570B383C16}" name="Kolonna9878"/>
    <tableColumn id="10217" xr3:uid="{2FE22C4C-CD05-4EFD-99C6-262BB2F747C2}" name="Kolonna9879"/>
    <tableColumn id="10218" xr3:uid="{E367042F-EC8E-419C-8ADE-B7374EEEC9E4}" name="Kolonna9880"/>
    <tableColumn id="10219" xr3:uid="{FD3EF667-F9CB-433D-9B7E-BCEDB53FD72B}" name="Kolonna9881"/>
    <tableColumn id="10220" xr3:uid="{9ED93161-9A05-4A5E-9BFA-AEE111185912}" name="Kolonna9882"/>
    <tableColumn id="10221" xr3:uid="{58CCF6BF-FACE-4036-A8D9-85E5CA56A0A9}" name="Kolonna9883"/>
    <tableColumn id="10222" xr3:uid="{9406B078-A55C-4E6F-B0B3-8948A8B7CA27}" name="Kolonna9884"/>
    <tableColumn id="10223" xr3:uid="{78148E2F-CB60-406A-A3CC-CB83A98355BF}" name="Kolonna9885"/>
    <tableColumn id="10224" xr3:uid="{A4F0665A-E2C2-4DEA-9795-C4240006C9E8}" name="Kolonna9886"/>
    <tableColumn id="10225" xr3:uid="{DF3856A6-FA83-4385-BBA6-4D36D7902790}" name="Kolonna9887"/>
    <tableColumn id="10226" xr3:uid="{E8660786-3BA3-40A2-8CBD-D64FAB90E0D1}" name="Kolonna9888"/>
    <tableColumn id="10227" xr3:uid="{78925FF0-F223-4EA1-A33B-7882AD6CCB1F}" name="Kolonna9889"/>
    <tableColumn id="10228" xr3:uid="{4B1A4844-4BEB-471B-8473-D452BA6AEB95}" name="Kolonna9890"/>
    <tableColumn id="10229" xr3:uid="{24C8480B-7857-4D50-ABF7-9AA343C83509}" name="Kolonna9891"/>
    <tableColumn id="10230" xr3:uid="{05A550DD-3B35-40D9-BB6E-3ED8664FA101}" name="Kolonna9892"/>
    <tableColumn id="10231" xr3:uid="{82C9FB34-F8D6-4782-8DBA-1E565F005385}" name="Kolonna9893"/>
    <tableColumn id="10232" xr3:uid="{74D7E0FC-2548-4466-BA08-961069EADD3F}" name="Kolonna9894"/>
    <tableColumn id="10233" xr3:uid="{49FA89B4-4211-4C67-B545-FE7B3CA89510}" name="Kolonna9895"/>
    <tableColumn id="10234" xr3:uid="{79E5B92F-FAFB-4607-8246-7F3761366394}" name="Kolonna9896"/>
    <tableColumn id="10235" xr3:uid="{A5111EC6-44F6-4BAD-99D7-E0960B446AC4}" name="Kolonna9897"/>
    <tableColumn id="10236" xr3:uid="{03C402C0-8DB5-4ED6-BD08-5EE2A7298D3E}" name="Kolonna9898"/>
    <tableColumn id="10237" xr3:uid="{77C3833F-BFF6-4EBB-BAC1-6EF20BC782AA}" name="Kolonna9899"/>
    <tableColumn id="10238" xr3:uid="{282F1B3B-099C-470A-9A3B-E641F286DA9A}" name="Kolonna9900"/>
    <tableColumn id="10239" xr3:uid="{FB0B4816-E7BE-4223-B894-7148BEA44E53}" name="Kolonna9901"/>
    <tableColumn id="10240" xr3:uid="{7222AFBE-D830-4BC5-825E-CF72FFFACA05}" name="Kolonna9902"/>
    <tableColumn id="10241" xr3:uid="{56F332E4-4AA2-4FD1-BE0D-0A66BC7F0D5C}" name="Kolonna9903"/>
    <tableColumn id="10242" xr3:uid="{12BB62DE-9E91-4469-8EF8-8FA06FE38146}" name="Kolonna9904"/>
    <tableColumn id="10243" xr3:uid="{8127D934-6FF7-4A4F-ABD7-05ACF7416D5F}" name="Kolonna9905"/>
    <tableColumn id="10244" xr3:uid="{C5E9BFAF-603B-40F6-AD27-183D32611E69}" name="Kolonna9906"/>
    <tableColumn id="10245" xr3:uid="{D5EBA198-24F6-4302-9BA8-1C18733F487C}" name="Kolonna9907"/>
    <tableColumn id="10246" xr3:uid="{1FC8C247-348D-441F-8F2D-9D92E72ECE34}" name="Kolonna9908"/>
    <tableColumn id="10247" xr3:uid="{79F56AEF-895A-401D-AABC-62DCBD937A52}" name="Kolonna9909"/>
    <tableColumn id="10248" xr3:uid="{4D1ACEF0-AF12-4369-8F1A-F108B584C8FF}" name="Kolonna9910"/>
    <tableColumn id="10249" xr3:uid="{E056C45E-608D-4635-903C-FB278C863328}" name="Kolonna9911"/>
    <tableColumn id="10250" xr3:uid="{0E2E6032-FEB2-46ED-867D-C20D7CAF36F2}" name="Kolonna9912"/>
    <tableColumn id="10251" xr3:uid="{6B9F5BCB-008C-44E0-B07C-885DECE6BC05}" name="Kolonna9913"/>
    <tableColumn id="10252" xr3:uid="{A24BBE09-1AA7-4044-A71C-F4903161F6C4}" name="Kolonna9914"/>
    <tableColumn id="10253" xr3:uid="{96BD5096-DBC6-4284-99A2-5CE2275D49AA}" name="Kolonna9915"/>
    <tableColumn id="10254" xr3:uid="{12D9810B-672C-4C1E-843F-89E8C20E248B}" name="Kolonna9916"/>
    <tableColumn id="10255" xr3:uid="{D4865420-434B-4064-B63D-38DE41900F24}" name="Kolonna9917"/>
    <tableColumn id="10256" xr3:uid="{59B7B505-493E-4D49-B958-6C9447C995CE}" name="Kolonna9918"/>
    <tableColumn id="10257" xr3:uid="{87CE775D-342E-4703-84DC-4847EF702685}" name="Kolonna9919"/>
    <tableColumn id="10258" xr3:uid="{8DBAEE43-D51D-412F-AD3B-39EA82082215}" name="Kolonna9920"/>
    <tableColumn id="10259" xr3:uid="{575B0CD6-5BF8-44AB-BD1E-48365F93E081}" name="Kolonna9921"/>
    <tableColumn id="10260" xr3:uid="{B777C955-4640-4F30-AD11-FE4C2B28B6AC}" name="Kolonna9922"/>
    <tableColumn id="10261" xr3:uid="{E3274861-A210-4A4E-A449-BC5DC4138D7F}" name="Kolonna9923"/>
    <tableColumn id="10262" xr3:uid="{BFA2C33D-3115-4536-88CD-A0DB4AEB4E41}" name="Kolonna9924"/>
    <tableColumn id="10263" xr3:uid="{A282C6A3-223B-4273-8948-FC24D5BEEE4E}" name="Kolonna9925"/>
    <tableColumn id="10264" xr3:uid="{528A4CB1-F2BD-4717-B7DB-6337895A5C3B}" name="Kolonna9926"/>
    <tableColumn id="10265" xr3:uid="{0447B34E-8D98-42D2-9825-9FC3E5C3420A}" name="Kolonna9927"/>
    <tableColumn id="10266" xr3:uid="{97DA16D8-D9E5-486D-9261-3575FB449FD3}" name="Kolonna9928"/>
    <tableColumn id="10267" xr3:uid="{5C0771AD-F5E5-4BD6-86C1-A5A9E3214310}" name="Kolonna9929"/>
    <tableColumn id="10268" xr3:uid="{E4A7C3F7-F7AF-47DB-9815-BC96097F712C}" name="Kolonna9930"/>
    <tableColumn id="10269" xr3:uid="{F3C7D49C-2FF7-4F10-926D-BBD3811334F7}" name="Kolonna9931"/>
    <tableColumn id="10270" xr3:uid="{69784D2B-FAA7-4634-84C9-D9C2ADEB58DD}" name="Kolonna9932"/>
    <tableColumn id="10271" xr3:uid="{71CAF775-60FB-46CC-8522-1AB31B6D0177}" name="Kolonna9933"/>
    <tableColumn id="10272" xr3:uid="{91384499-7012-41DA-AD27-91AFF1F631D8}" name="Kolonna9934"/>
    <tableColumn id="10273" xr3:uid="{A313ECCB-4320-4400-99BB-100602D9F430}" name="Kolonna9935"/>
    <tableColumn id="10274" xr3:uid="{32E2D37B-4754-46B0-9DF7-F58A6221B82A}" name="Kolonna9936"/>
    <tableColumn id="10275" xr3:uid="{09CA5923-FECF-4CB1-BE71-830231696847}" name="Kolonna9937"/>
    <tableColumn id="10276" xr3:uid="{246D1301-6A53-4356-A1DC-178DCA7BF834}" name="Kolonna9938"/>
    <tableColumn id="10277" xr3:uid="{51D464BA-5403-463B-8832-E79B258EA890}" name="Kolonna9939"/>
    <tableColumn id="10278" xr3:uid="{99734362-0971-4936-BCE6-68C2DFE257CA}" name="Kolonna9940"/>
    <tableColumn id="10279" xr3:uid="{542F8B82-5BF5-428B-ACF4-E80C7620F02D}" name="Kolonna9941"/>
    <tableColumn id="10280" xr3:uid="{0BF4B3F3-9DD9-48CE-8300-73ABF6124CE2}" name="Kolonna9942"/>
    <tableColumn id="10281" xr3:uid="{523A0045-F922-4411-8230-676A611D86CB}" name="Kolonna9943"/>
    <tableColumn id="10282" xr3:uid="{AE35B15A-B773-499D-98B9-E82928148F8A}" name="Kolonna9944"/>
    <tableColumn id="10283" xr3:uid="{CE51F7EC-AF5F-46CD-B11C-622DD99CA27E}" name="Kolonna9945"/>
    <tableColumn id="10284" xr3:uid="{017392B8-6427-4AA9-89BA-0CA5398EF5D4}" name="Kolonna9946"/>
    <tableColumn id="10285" xr3:uid="{FB734786-04FC-470F-8400-CCC2DA23FC9B}" name="Kolonna9947"/>
    <tableColumn id="10286" xr3:uid="{960AC539-EDF2-4AE4-89F8-AD720D079FF6}" name="Kolonna9948"/>
    <tableColumn id="10287" xr3:uid="{675B85F3-4FB1-4805-8F80-57EAD13E11D1}" name="Kolonna9949"/>
    <tableColumn id="10288" xr3:uid="{A2ED9E7F-D657-4A8A-BE0F-7815D3E08DD8}" name="Kolonna9950"/>
    <tableColumn id="10289" xr3:uid="{8AC19744-B1AC-419D-AFAA-D899F96FC283}" name="Kolonna9951"/>
    <tableColumn id="10290" xr3:uid="{4DDE594F-6CAF-4481-8036-D54DDF6DFFA9}" name="Kolonna9952"/>
    <tableColumn id="10291" xr3:uid="{527D0D2B-7E2F-4892-A185-4A3E332478A9}" name="Kolonna9953"/>
    <tableColumn id="10292" xr3:uid="{F4FC7C4C-95F8-41CD-81F0-763FD2F877EB}" name="Kolonna9954"/>
    <tableColumn id="10293" xr3:uid="{D0F12B45-AE61-47E6-B63B-3B2CD2027E66}" name="Kolonna9955"/>
    <tableColumn id="10294" xr3:uid="{92F28537-9EE3-4428-8ADB-022813868E9E}" name="Kolonna9956"/>
    <tableColumn id="10295" xr3:uid="{492DC179-1278-48CC-80E2-B9B2BC32B0F4}" name="Kolonna9957"/>
    <tableColumn id="10296" xr3:uid="{EE6CC173-578C-477F-8E87-C55B5049C0D5}" name="Kolonna9958"/>
    <tableColumn id="10297" xr3:uid="{3F3F5FAE-D3EC-4488-BDB5-EC075331F924}" name="Kolonna9959"/>
    <tableColumn id="10298" xr3:uid="{06E42169-030E-47DF-80D8-A9B6C2144489}" name="Kolonna9960"/>
    <tableColumn id="10299" xr3:uid="{1E55CEB4-D492-4B98-8C30-E0EDA87D1E75}" name="Kolonna9961"/>
    <tableColumn id="10300" xr3:uid="{04D0312F-D846-4E11-AC89-9BA96CC2C22C}" name="Kolonna9962"/>
    <tableColumn id="10301" xr3:uid="{62E43017-7303-4D67-A0BB-CD31264503B5}" name="Kolonna9963"/>
    <tableColumn id="10302" xr3:uid="{9408C113-677D-4948-8527-E344405B7851}" name="Kolonna9964"/>
    <tableColumn id="10303" xr3:uid="{65F1A173-77B0-4AF0-8648-FAD17404A9DF}" name="Kolonna9965"/>
    <tableColumn id="10304" xr3:uid="{9B797E3D-46F6-446A-A400-9115D119E7B3}" name="Kolonna9966"/>
    <tableColumn id="10305" xr3:uid="{37945A95-16E5-4854-BA1A-F345BFD85E4F}" name="Kolonna9967"/>
    <tableColumn id="10306" xr3:uid="{03702F3E-A778-4D8F-A423-0AEDFAC00E33}" name="Kolonna9968"/>
    <tableColumn id="10307" xr3:uid="{1B6CB235-395A-4A9C-9A99-7FAF3D38DA4F}" name="Kolonna9969"/>
    <tableColumn id="10308" xr3:uid="{E8EF7CED-3FC5-4C0F-B437-0B36AD9C035F}" name="Kolonna9970"/>
    <tableColumn id="10309" xr3:uid="{2241547F-8247-4BEA-B3C8-7F7CE21F91A2}" name="Kolonna9971"/>
    <tableColumn id="10310" xr3:uid="{2DA3F607-F8D4-4D53-98CB-C831D96DC497}" name="Kolonna9972"/>
    <tableColumn id="10311" xr3:uid="{0A9C3273-31E8-4516-80F9-1849B024444C}" name="Kolonna9973"/>
    <tableColumn id="10312" xr3:uid="{546CE573-57B4-4852-8DC4-0CCC4DCF9032}" name="Kolonna9974"/>
    <tableColumn id="10313" xr3:uid="{486C42C5-B3AE-4B68-82DE-72E3E07A451E}" name="Kolonna9975"/>
    <tableColumn id="10314" xr3:uid="{4607B9DA-2D3D-4923-BE6C-56233FBE297F}" name="Kolonna9976"/>
    <tableColumn id="10315" xr3:uid="{0F464027-6C5F-42C7-953F-9BEC5B7EC775}" name="Kolonna9977"/>
    <tableColumn id="10316" xr3:uid="{2EC26A95-7B54-4495-8914-6E93500AF775}" name="Kolonna9978"/>
    <tableColumn id="10317" xr3:uid="{095DEBC1-A439-42DF-9BC6-4E3BD107D56E}" name="Kolonna9979"/>
    <tableColumn id="10318" xr3:uid="{244B68D9-7DBD-4ABD-B3DA-5A63342133C6}" name="Kolonna9980"/>
    <tableColumn id="10319" xr3:uid="{81FD845E-D9ED-40DB-9B0B-CF883E1A5445}" name="Kolonna9981"/>
    <tableColumn id="10320" xr3:uid="{DE4CAAD2-BAFC-4F2D-BF78-4696CCBED7A4}" name="Kolonna9982"/>
    <tableColumn id="10321" xr3:uid="{D106B21D-E551-4521-B772-87440796E4D2}" name="Kolonna9983"/>
    <tableColumn id="10322" xr3:uid="{70091536-E1BA-4BD7-9D4B-E47BBDECD38D}" name="Kolonna9984"/>
    <tableColumn id="10323" xr3:uid="{10B5567E-8BC5-49AB-B995-698A2CF99EA4}" name="Kolonna9985"/>
    <tableColumn id="10324" xr3:uid="{DDC3198E-A3D1-471D-A148-2FDCF07EB4BF}" name="Kolonna9986"/>
    <tableColumn id="10325" xr3:uid="{543B9006-EEA4-4AA7-81DB-A98F23FFFFB9}" name="Kolonna9987"/>
    <tableColumn id="10326" xr3:uid="{BB708C85-72F4-4BD2-BFE8-49C7A113E1A0}" name="Kolonna9988"/>
    <tableColumn id="10327" xr3:uid="{FC8D4574-456E-46F1-AD49-64AECFDA5F02}" name="Kolonna9989"/>
    <tableColumn id="10328" xr3:uid="{2F68F9E4-A369-4C66-8F89-1975C050EE59}" name="Kolonna9990"/>
    <tableColumn id="10329" xr3:uid="{88CB438A-9ACE-4450-906E-0F924C99DE2D}" name="Kolonna9991"/>
    <tableColumn id="10330" xr3:uid="{6D1449CF-2FA1-4C82-B4EC-3D5A8AAC110F}" name="Kolonna9992"/>
    <tableColumn id="10331" xr3:uid="{DDA7DFE2-4691-4765-93BC-FB1D1B8C1DC0}" name="Kolonna9993"/>
    <tableColumn id="10332" xr3:uid="{FF5EA9F3-69CE-41D8-B11D-DE521E95CA77}" name="Kolonna9994"/>
    <tableColumn id="10333" xr3:uid="{99D18628-7E29-4AFA-BD92-7A789D8F4BC3}" name="Kolonna9995"/>
    <tableColumn id="10334" xr3:uid="{B54B8218-DF9A-4B67-ADBF-FB9FE61A83A8}" name="Kolonna9996"/>
    <tableColumn id="10335" xr3:uid="{185258A2-F0BB-46DB-96A7-14A85D638721}" name="Kolonna9997"/>
    <tableColumn id="10336" xr3:uid="{E2E926FD-AAAD-452D-B919-5D7F01954047}" name="Kolonna9998"/>
    <tableColumn id="10337" xr3:uid="{3F67BFC6-4650-4779-ACFD-8CD23EEE9655}" name="Kolonna9999"/>
    <tableColumn id="10338" xr3:uid="{82EE35F2-3816-48C9-A925-F04BC22C61F8}" name="Kolonna10000"/>
    <tableColumn id="10339" xr3:uid="{FA4B3097-1072-48BB-A531-194F17CC5314}" name="Kolonna10001"/>
    <tableColumn id="10340" xr3:uid="{1CEC73F2-3414-4FFD-AB61-02D597331D50}" name="Kolonna10002"/>
    <tableColumn id="10341" xr3:uid="{5AD9BB15-C197-4863-9107-F2D6931A561A}" name="Kolonna10003"/>
    <tableColumn id="10342" xr3:uid="{699486FA-1108-4799-87E2-077E31837B1E}" name="Kolonna10004"/>
    <tableColumn id="10343" xr3:uid="{37BDAC1B-A982-4046-9D94-B0A41B4983D5}" name="Kolonna10005"/>
    <tableColumn id="10344" xr3:uid="{073AA574-0A64-49C1-8197-DA051CB4F2A3}" name="Kolonna10006"/>
    <tableColumn id="10345" xr3:uid="{93297DF1-4743-4792-8DA9-4946C4E3BDDD}" name="Kolonna10007"/>
    <tableColumn id="10346" xr3:uid="{75BC3F19-1AE9-40D0-8D44-3585900E3C30}" name="Kolonna10008"/>
    <tableColumn id="10347" xr3:uid="{1346F8F2-5655-4779-9569-33B2EB4CDEA8}" name="Kolonna10009"/>
    <tableColumn id="10348" xr3:uid="{5D3387B4-A78C-4376-8A04-569E6264C047}" name="Kolonna10010"/>
    <tableColumn id="10349" xr3:uid="{37CF5E1F-030E-40D3-844F-7A03145A1689}" name="Kolonna10011"/>
    <tableColumn id="10350" xr3:uid="{249C98F6-7464-407C-A395-3BD7D78D85C7}" name="Kolonna10012"/>
    <tableColumn id="10351" xr3:uid="{FCD486FC-8E91-4817-8BB2-FEF3426DCC24}" name="Kolonna10013"/>
    <tableColumn id="10352" xr3:uid="{1567BE4A-D98F-43B2-B871-17A84263D9EA}" name="Kolonna10014"/>
    <tableColumn id="10353" xr3:uid="{9EBD07ED-A684-40A4-B3EE-CAA76BE25F8B}" name="Kolonna10015"/>
    <tableColumn id="10354" xr3:uid="{A3DE3DAE-E458-40CB-A8BE-E71D124DD8E2}" name="Kolonna10016"/>
    <tableColumn id="10355" xr3:uid="{CEFA8CA1-8368-41BA-8E5B-361B1BEFC632}" name="Kolonna10017"/>
    <tableColumn id="10356" xr3:uid="{F7E07AAF-8725-4685-B68D-538015D6B573}" name="Kolonna10018"/>
    <tableColumn id="10357" xr3:uid="{539B2512-AA1D-48C9-9E3F-BA0828706A74}" name="Kolonna10019"/>
    <tableColumn id="10358" xr3:uid="{2507EEF4-36D1-48EA-AD29-A7CB22B3D757}" name="Kolonna10020"/>
    <tableColumn id="10359" xr3:uid="{E4FD44EF-494B-43C4-B20C-8A1B76A9DA51}" name="Kolonna10021"/>
    <tableColumn id="10360" xr3:uid="{7BB87AB6-A77F-4EC4-9B27-11ABE15B2FF3}" name="Kolonna10022"/>
    <tableColumn id="10361" xr3:uid="{73AAC5A4-D9FD-4C13-9418-8A420557C069}" name="Kolonna10023"/>
    <tableColumn id="10362" xr3:uid="{92BA11B4-6699-4B04-9C62-39257ECF7A91}" name="Kolonna10024"/>
    <tableColumn id="10363" xr3:uid="{5DE39F5B-564F-4DB2-9593-E72A0489BFA8}" name="Kolonna10025"/>
    <tableColumn id="10364" xr3:uid="{883F0191-78F6-4229-A276-BE2A49FC5CD7}" name="Kolonna10026"/>
    <tableColumn id="10365" xr3:uid="{31086D08-5F18-4864-8009-D5E93221E983}" name="Kolonna10027"/>
    <tableColumn id="10366" xr3:uid="{691A6ED2-8699-49B6-9F1D-6BB424DEDDA6}" name="Kolonna10028"/>
    <tableColumn id="10367" xr3:uid="{63A4AE62-2A84-495D-834E-5E72A0872848}" name="Kolonna10029"/>
    <tableColumn id="10368" xr3:uid="{C2A6B5DC-2AE5-4C67-BCE8-7418669E321F}" name="Kolonna10030"/>
    <tableColumn id="10369" xr3:uid="{A2C7AF33-43F9-40F1-B393-D4C3AB3419C1}" name="Kolonna10031"/>
    <tableColumn id="10370" xr3:uid="{82E69FDD-2790-4B44-BC31-524798A4CEAB}" name="Kolonna10032"/>
    <tableColumn id="10371" xr3:uid="{A014DD21-387B-4CE8-9454-7521C6F91774}" name="Kolonna10033"/>
    <tableColumn id="10372" xr3:uid="{036DCA3F-01BC-4FC9-BABE-173154236295}" name="Kolonna10034"/>
    <tableColumn id="10373" xr3:uid="{35DA7688-0FD2-4109-8396-A05AB45E4F8F}" name="Kolonna10035"/>
    <tableColumn id="10374" xr3:uid="{8FA79D0F-97C9-464A-A6A2-1B96E334CBCB}" name="Kolonna10036"/>
    <tableColumn id="10375" xr3:uid="{7358C3FE-2E90-486A-A81E-9B103FBC06D0}" name="Kolonna10037"/>
    <tableColumn id="10376" xr3:uid="{CCE4A7F9-1DB6-45ED-BB2D-E1C9C75DFD9D}" name="Kolonna10038"/>
    <tableColumn id="10377" xr3:uid="{C5F827C8-753C-4F25-B532-ACCA2F45C35D}" name="Kolonna10039"/>
    <tableColumn id="10378" xr3:uid="{65E2D1BD-0629-42C5-9331-DC8E4C90F002}" name="Kolonna10040"/>
    <tableColumn id="10379" xr3:uid="{8D60A96D-9817-4E8F-803A-07810D8BBFEB}" name="Kolonna10041"/>
    <tableColumn id="10380" xr3:uid="{EC907829-404B-4067-8487-9EB439D90A55}" name="Kolonna10042"/>
    <tableColumn id="10381" xr3:uid="{F1735A6E-557E-44DF-82CD-CCBD1A5D75F1}" name="Kolonna10043"/>
    <tableColumn id="10382" xr3:uid="{87243794-AD6B-4C67-A63F-26E4C5A56192}" name="Kolonna10044"/>
    <tableColumn id="10383" xr3:uid="{07487C5F-AFB9-4591-B66E-870D6FCC643D}" name="Kolonna10045"/>
    <tableColumn id="10384" xr3:uid="{FDF21B3A-0B89-4426-9F8A-DF5D3E494225}" name="Kolonna10046"/>
    <tableColumn id="10385" xr3:uid="{87AF5AE5-8FA5-43B9-ABAB-07EAF902D693}" name="Kolonna10047"/>
    <tableColumn id="10386" xr3:uid="{34DEEFF0-4D4F-4DFD-AF59-ECAAC42C69E0}" name="Kolonna10048"/>
    <tableColumn id="10387" xr3:uid="{62326A15-B998-4DC9-BDF0-3A7C78DB2C5C}" name="Kolonna10049"/>
    <tableColumn id="10388" xr3:uid="{1B626221-96D5-404B-B377-ACFADB642E07}" name="Kolonna10050"/>
    <tableColumn id="10389" xr3:uid="{F83D299B-208A-4D32-9C56-75444C1BC577}" name="Kolonna10051"/>
    <tableColumn id="10390" xr3:uid="{CECC9353-BF80-4B21-B071-28EC3235110C}" name="Kolonna10052"/>
    <tableColumn id="10391" xr3:uid="{29B1D8CC-37B7-471B-A6C5-6DA92C05A3EC}" name="Kolonna10053"/>
    <tableColumn id="10392" xr3:uid="{5F230018-33D1-4361-91EC-171BE0E825A2}" name="Kolonna10054"/>
    <tableColumn id="10393" xr3:uid="{3F35D7D9-8355-40A7-8E13-FFA68B896AAA}" name="Kolonna10055"/>
    <tableColumn id="10394" xr3:uid="{0B6FF8EB-154E-4910-B38D-C2A69F385134}" name="Kolonna10056"/>
    <tableColumn id="10395" xr3:uid="{4DBAE120-AF92-4871-AD86-A94D39B88A3B}" name="Kolonna10057"/>
    <tableColumn id="10396" xr3:uid="{EAC193FB-DCC5-4D44-AC25-B71A3187DBE8}" name="Kolonna10058"/>
    <tableColumn id="10397" xr3:uid="{A182E6B1-86AB-479D-906B-35C096D9573C}" name="Kolonna10059"/>
    <tableColumn id="10398" xr3:uid="{BEAD1607-0AEB-484B-93CF-0050B34F75D5}" name="Kolonna10060"/>
    <tableColumn id="10399" xr3:uid="{1EE5BB66-EC20-440A-9219-F1E14E259A02}" name="Kolonna10061"/>
    <tableColumn id="10400" xr3:uid="{F9704B9A-CB79-4CAF-940C-3C4268EE89D4}" name="Kolonna10062"/>
    <tableColumn id="10401" xr3:uid="{A3E00FDD-8352-45BE-A380-7322A9ED3484}" name="Kolonna10063"/>
    <tableColumn id="10402" xr3:uid="{DEAEA3F2-A13F-46D3-AD8B-38B3A5F07768}" name="Kolonna10064"/>
    <tableColumn id="10403" xr3:uid="{9AC9E085-327C-404A-8875-DDBA993FE6FF}" name="Kolonna10065"/>
    <tableColumn id="10404" xr3:uid="{9F3F84D8-0027-40D0-96E7-44DF98A83842}" name="Kolonna10066"/>
    <tableColumn id="10405" xr3:uid="{352EF7FD-4F19-4624-A4C7-7FB30EDA13BB}" name="Kolonna10067"/>
    <tableColumn id="10406" xr3:uid="{7A0A7BBB-B1E1-41FE-820B-39C615326F20}" name="Kolonna10068"/>
    <tableColumn id="10407" xr3:uid="{810C15E3-0E35-4683-978E-D66CC63851AA}" name="Kolonna10069"/>
    <tableColumn id="10408" xr3:uid="{65A7A568-368B-4267-B8DF-AA5EF4DCA702}" name="Kolonna10070"/>
    <tableColumn id="10409" xr3:uid="{3992C476-C678-4AB7-9FFD-9E1E7040596B}" name="Kolonna10071"/>
    <tableColumn id="10410" xr3:uid="{A048211C-7256-406A-A83E-FB8D6046AE4B}" name="Kolonna10072"/>
    <tableColumn id="10411" xr3:uid="{86C229DB-1690-43C0-8D8F-4C57DAC70729}" name="Kolonna10073"/>
    <tableColumn id="10412" xr3:uid="{5E801CA1-BDC2-49D2-A445-A7B854517C6F}" name="Kolonna10074"/>
    <tableColumn id="10413" xr3:uid="{16A04271-5ED9-487C-801E-A619DD903FDA}" name="Kolonna10075"/>
    <tableColumn id="10414" xr3:uid="{663FF617-4CAD-4933-BD9E-E980AAEFDA0C}" name="Kolonna10076"/>
    <tableColumn id="10415" xr3:uid="{8F0A2E4D-A54F-442B-8158-8640D31C9480}" name="Kolonna10077"/>
    <tableColumn id="10416" xr3:uid="{66D6E745-6508-46C2-9BCA-F0A999915CC7}" name="Kolonna10078"/>
    <tableColumn id="10417" xr3:uid="{8C2DE3E2-3CFB-40E7-9E56-447E8105E2D1}" name="Kolonna10079"/>
    <tableColumn id="10418" xr3:uid="{6E2B5366-FCE9-41DF-BA2A-8D27836D30A8}" name="Kolonna10080"/>
    <tableColumn id="10419" xr3:uid="{FEE79FFE-AED8-4C62-A9C5-59C488660AEF}" name="Kolonna10081"/>
    <tableColumn id="10420" xr3:uid="{AF42DD6D-3FCB-403F-9B65-DD352CE728DD}" name="Kolonna10082"/>
    <tableColumn id="10421" xr3:uid="{3F673D39-067E-4602-AB44-6187865A44BE}" name="Kolonna10083"/>
    <tableColumn id="10422" xr3:uid="{4D64B58B-77E8-41BA-90DE-2B935EEC5343}" name="Kolonna10084"/>
    <tableColumn id="10423" xr3:uid="{EDC70D4B-457B-46E6-878F-B3AD14E7418B}" name="Kolonna10085"/>
    <tableColumn id="10424" xr3:uid="{7645A9BA-B2D3-4AA7-ADD6-4D2C15383489}" name="Kolonna10086"/>
    <tableColumn id="10425" xr3:uid="{C26A4313-7713-45FD-8002-7523E924233F}" name="Kolonna10087"/>
    <tableColumn id="10426" xr3:uid="{19AE0A34-CE2A-40F6-9135-ACF138F5F241}" name="Kolonna10088"/>
    <tableColumn id="10427" xr3:uid="{0BA1C64A-9010-47F7-A18D-85C5760A1F0D}" name="Kolonna10089"/>
    <tableColumn id="10428" xr3:uid="{D7B2879A-7FFF-49BF-912B-B097D304E848}" name="Kolonna10090"/>
    <tableColumn id="10429" xr3:uid="{567ACB12-FF6D-4A9D-B0F6-CAB4FE12477D}" name="Kolonna10091"/>
    <tableColumn id="10430" xr3:uid="{B5B93AB9-8A24-4937-A0F9-34A495A1F99D}" name="Kolonna10092"/>
    <tableColumn id="10431" xr3:uid="{085A1C45-2081-43E9-B319-37144991159E}" name="Kolonna10093"/>
    <tableColumn id="10432" xr3:uid="{20AE1CEE-A8EA-41BA-89AA-E01B9DA4E992}" name="Kolonna10094"/>
    <tableColumn id="10433" xr3:uid="{3783A26E-5917-4E77-BC2F-3F940D43DCC4}" name="Kolonna10095"/>
    <tableColumn id="10434" xr3:uid="{770102D5-F28D-42DA-99E9-4634CA23E7E5}" name="Kolonna10096"/>
    <tableColumn id="10435" xr3:uid="{D1CFB952-0A74-4D5E-8C63-7378690DC3CE}" name="Kolonna10097"/>
    <tableColumn id="10436" xr3:uid="{524595FA-9F84-43FD-975D-9C08599C6647}" name="Kolonna10098"/>
    <tableColumn id="10437" xr3:uid="{321803C8-A413-4010-94A0-C4C04F52A8DA}" name="Kolonna10099"/>
    <tableColumn id="10438" xr3:uid="{F0F10957-8DCC-49AA-9144-5CC6AC21DAE4}" name="Kolonna10100"/>
    <tableColumn id="10439" xr3:uid="{69F172F7-9D37-4DC4-8E3C-A943A15503A8}" name="Kolonna10101"/>
    <tableColumn id="10440" xr3:uid="{1D691F60-B8AF-487D-95BE-1C8A1DF07F97}" name="Kolonna10102"/>
    <tableColumn id="10441" xr3:uid="{CF22DF58-1E1D-4F33-9C11-0712C38DA460}" name="Kolonna10103"/>
    <tableColumn id="10442" xr3:uid="{6BC73382-64F7-4544-88FB-64989173955D}" name="Kolonna10104"/>
    <tableColumn id="10443" xr3:uid="{33C9B9B6-42F2-4EF3-9451-3E88EA95570A}" name="Kolonna10105"/>
    <tableColumn id="10444" xr3:uid="{1EC265D9-B40E-4317-9530-94A3158DF233}" name="Kolonna10106"/>
    <tableColumn id="10445" xr3:uid="{2DC867B6-6E96-4DD6-90EE-C8C3D27BF973}" name="Kolonna10107"/>
    <tableColumn id="10446" xr3:uid="{F2F723E9-1902-4348-A295-EBFC124E4B16}" name="Kolonna10108"/>
    <tableColumn id="10447" xr3:uid="{A51711E0-AB2C-49E2-9067-12E7DE91245F}" name="Kolonna10109"/>
    <tableColumn id="10448" xr3:uid="{C57FB506-664B-4702-8207-2AFCB89B67C3}" name="Kolonna10110"/>
    <tableColumn id="10449" xr3:uid="{26904122-CC87-41F8-B6EF-5CA09AB31FF6}" name="Kolonna10111"/>
    <tableColumn id="10450" xr3:uid="{774BCF05-7067-4DAA-A82F-B2B802A3047F}" name="Kolonna10112"/>
    <tableColumn id="10451" xr3:uid="{6A6D4665-8DF7-4AAE-9561-05D0AC617721}" name="Kolonna10113"/>
    <tableColumn id="10452" xr3:uid="{673156B9-A234-4B09-B7DC-F8DB89FBD21F}" name="Kolonna10114"/>
    <tableColumn id="10453" xr3:uid="{E0A10091-E623-4860-A53B-C2B17793AE08}" name="Kolonna10115"/>
    <tableColumn id="10454" xr3:uid="{B9FACBC1-EE63-4542-96DC-2CF1D884BF2B}" name="Kolonna10116"/>
    <tableColumn id="10455" xr3:uid="{62A65828-06E7-4B0B-8C76-B4E5B823C251}" name="Kolonna10117"/>
    <tableColumn id="10456" xr3:uid="{655A2EC6-D4E9-4A27-B3AE-BF3B863D6CAE}" name="Kolonna10118"/>
    <tableColumn id="10457" xr3:uid="{CF52BBF8-0A75-4A5B-AC28-8919211482F8}" name="Kolonna10119"/>
    <tableColumn id="10458" xr3:uid="{E4DC4CEB-9A5F-4607-9942-8AACF067F042}" name="Kolonna10120"/>
    <tableColumn id="10459" xr3:uid="{70366A3E-BF67-4B57-B938-3C13072C925A}" name="Kolonna10121"/>
    <tableColumn id="10460" xr3:uid="{64CCD09D-9622-44B3-B0AC-DBFD1E4E9980}" name="Kolonna10122"/>
    <tableColumn id="10461" xr3:uid="{7B61CD55-3E28-402B-88FE-DFF19BE896E0}" name="Kolonna10123"/>
    <tableColumn id="10462" xr3:uid="{FBDF530B-0E48-45F2-AFF4-9AB42C3F1FA6}" name="Kolonna10124"/>
    <tableColumn id="10463" xr3:uid="{A73550B4-45A9-4E9F-86A1-A387B7622756}" name="Kolonna10125"/>
    <tableColumn id="10464" xr3:uid="{294692B2-16CE-4D5F-BE47-4283C09B7FAC}" name="Kolonna10126"/>
    <tableColumn id="10465" xr3:uid="{088D7A04-E21D-4D18-B3A1-98F995A9EB84}" name="Kolonna10127"/>
    <tableColumn id="10466" xr3:uid="{EDBD3469-141B-4F52-85EC-47937219D946}" name="Kolonna10128"/>
    <tableColumn id="10467" xr3:uid="{8A34804E-EFEA-4B66-8125-71DD399611D8}" name="Kolonna10129"/>
    <tableColumn id="10468" xr3:uid="{799D8ED2-42FA-4677-9C33-93CF06F09B93}" name="Kolonna10130"/>
    <tableColumn id="10469" xr3:uid="{FA3F7D2F-B17A-4B73-A2B7-05C479E1BF4B}" name="Kolonna10131"/>
    <tableColumn id="10470" xr3:uid="{5BAD368E-E1E2-4702-82FE-710D62AF3FCE}" name="Kolonna10132"/>
    <tableColumn id="10471" xr3:uid="{EB5AB22A-6E75-4117-B3CA-3C606B667ACA}" name="Kolonna10133"/>
    <tableColumn id="10472" xr3:uid="{B412EBE7-EE2B-4ED6-8CF3-E8C58BFEEA88}" name="Kolonna10134"/>
    <tableColumn id="10473" xr3:uid="{4B858B33-7D6B-4F01-ACA6-AAB20944A2A4}" name="Kolonna10135"/>
    <tableColumn id="10474" xr3:uid="{A10E0E0A-EC70-4100-8E2B-16857906E5E2}" name="Kolonna10136"/>
    <tableColumn id="10475" xr3:uid="{54B6D2BD-F109-4FE3-A65C-366D59005E3F}" name="Kolonna10137"/>
    <tableColumn id="10476" xr3:uid="{B8A2CF70-CC23-4984-BD72-8FE869111E40}" name="Kolonna10138"/>
    <tableColumn id="10477" xr3:uid="{918CE789-B237-4CC5-80CE-EB291400A233}" name="Kolonna10139"/>
    <tableColumn id="10478" xr3:uid="{FFD65511-C093-4942-A5F5-459B9CE1C7D7}" name="Kolonna10140"/>
    <tableColumn id="10479" xr3:uid="{FC8E873B-CC7D-4BBB-9781-E823811E3F4C}" name="Kolonna10141"/>
    <tableColumn id="10480" xr3:uid="{2BF189F0-BEDB-4388-A50A-865B6299CAEC}" name="Kolonna10142"/>
    <tableColumn id="10481" xr3:uid="{5FC1D9B3-7C13-4E45-A248-151DCA756DB4}" name="Kolonna10143"/>
    <tableColumn id="10482" xr3:uid="{0A747474-39F5-4EF5-9C76-DF72293AC6C6}" name="Kolonna10144"/>
    <tableColumn id="10483" xr3:uid="{9E18615A-AB32-4E24-8850-0F70DF03BB83}" name="Kolonna10145"/>
    <tableColumn id="10484" xr3:uid="{71134ABD-B9CA-4350-9800-67EE0E783A92}" name="Kolonna10146"/>
    <tableColumn id="10485" xr3:uid="{B1661E70-3C19-40AE-A24D-B8A894FC60A3}" name="Kolonna10147"/>
    <tableColumn id="10486" xr3:uid="{4B105FED-5714-4F6F-AA9D-D2D58BF5C279}" name="Kolonna10148"/>
    <tableColumn id="10487" xr3:uid="{DBFA149B-02FF-4FA0-BEBE-0C72C0843F82}" name="Kolonna10149"/>
    <tableColumn id="10488" xr3:uid="{DB2D4D94-2BE5-47B3-8FDD-57AED5CACD35}" name="Kolonna10150"/>
    <tableColumn id="10489" xr3:uid="{23135484-6D47-4219-B157-AC6BC5DF4DE1}" name="Kolonna10151"/>
    <tableColumn id="10490" xr3:uid="{B253F9E4-AD14-4E81-B204-64296E026FFB}" name="Kolonna10152"/>
    <tableColumn id="10491" xr3:uid="{A4566D4E-AFC9-48C1-937F-03CCC081BEAB}" name="Kolonna10153"/>
    <tableColumn id="10492" xr3:uid="{B5CA3240-C7B1-41D4-A044-BEB0759074C7}" name="Kolonna10154"/>
    <tableColumn id="10493" xr3:uid="{148A1E23-63E3-40AD-A5B5-1176C3F8AAEE}" name="Kolonna10155"/>
    <tableColumn id="10494" xr3:uid="{0173205D-78BB-485F-8464-B7E5279F43A9}" name="Kolonna10156"/>
    <tableColumn id="10495" xr3:uid="{19260388-655C-4FFD-9BB7-E9407A938D98}" name="Kolonna10157"/>
    <tableColumn id="10496" xr3:uid="{609D2085-C7C4-4C33-9A2F-C7B75A278FB4}" name="Kolonna10158"/>
    <tableColumn id="10497" xr3:uid="{2CBEAF90-3283-4108-BC13-4D47D07C420F}" name="Kolonna10159"/>
    <tableColumn id="10498" xr3:uid="{E745CA4D-0EA6-48E0-A07D-F5681D425CA0}" name="Kolonna10160"/>
    <tableColumn id="10499" xr3:uid="{4575DF91-56A5-4967-9659-55D52EF0872A}" name="Kolonna10161"/>
    <tableColumn id="10500" xr3:uid="{DE7D44D7-93EF-4755-934C-D6D349CEC2AE}" name="Kolonna10162"/>
    <tableColumn id="10501" xr3:uid="{D6104661-FDDC-4467-9FBF-49EF266CC109}" name="Kolonna10163"/>
    <tableColumn id="10502" xr3:uid="{7A55AF98-8A4A-4288-A1C0-B1A1DFDF395C}" name="Kolonna10164"/>
    <tableColumn id="10503" xr3:uid="{C2C131E9-1507-4F5A-8A6A-30EA9C26021C}" name="Kolonna10165"/>
    <tableColumn id="10504" xr3:uid="{ABF50C0E-231D-416E-B10E-09A65D638569}" name="Kolonna10166"/>
    <tableColumn id="10505" xr3:uid="{C1D17994-9F94-451E-9B5E-E62A6470532D}" name="Kolonna10167"/>
    <tableColumn id="10506" xr3:uid="{66CCF7A0-C871-4E10-80EC-9AEB621D7D9C}" name="Kolonna10168"/>
    <tableColumn id="10507" xr3:uid="{76319B0F-7F41-4BE8-BB4F-999E964AA2AC}" name="Kolonna10169"/>
    <tableColumn id="10508" xr3:uid="{2B8B8216-C336-4C7F-B205-E50F79165519}" name="Kolonna10170"/>
    <tableColumn id="10509" xr3:uid="{425EC235-8E04-4C16-B1FD-2A5615836FF0}" name="Kolonna10171"/>
    <tableColumn id="10510" xr3:uid="{A5B45E2E-1518-4EA7-B9C8-156B59DA2216}" name="Kolonna10172"/>
    <tableColumn id="10511" xr3:uid="{D02C3EC8-CC1C-40FF-AD54-39E972B2863E}" name="Kolonna10173"/>
    <tableColumn id="10512" xr3:uid="{A6349F89-260D-4761-B76C-16A4619997D7}" name="Kolonna10174"/>
    <tableColumn id="10513" xr3:uid="{76DB4060-0ED8-4303-BF1F-A372E6E0A45A}" name="Kolonna10175"/>
    <tableColumn id="10514" xr3:uid="{A486BCA3-D48C-4957-BEE1-2B4AEEE2D65B}" name="Kolonna10176"/>
    <tableColumn id="10515" xr3:uid="{072D7D6F-6CF7-4BD4-A799-3D332CC86A03}" name="Kolonna10177"/>
    <tableColumn id="10516" xr3:uid="{3E348317-F0AE-47B3-87BC-404541214BCA}" name="Kolonna10178"/>
    <tableColumn id="10517" xr3:uid="{01CEEAA8-4F6A-4421-B255-1092C7AD78A6}" name="Kolonna10179"/>
    <tableColumn id="10518" xr3:uid="{00E1294C-7975-4CA2-AD16-FA98DDC860BF}" name="Kolonna10180"/>
    <tableColumn id="10519" xr3:uid="{430072B9-8991-455D-93E2-3F96592F76F4}" name="Kolonna10181"/>
    <tableColumn id="10520" xr3:uid="{43D8334A-B699-4DBD-B18C-CFAC58B820F7}" name="Kolonna10182"/>
    <tableColumn id="10521" xr3:uid="{B005AA57-57DA-4E7D-9B94-E91EA1618C51}" name="Kolonna10183"/>
    <tableColumn id="10522" xr3:uid="{AB343AFA-F8BC-4AA9-AA77-FE1A21297E29}" name="Kolonna10184"/>
    <tableColumn id="10523" xr3:uid="{1387E24B-1551-4AA8-8EF7-99B3886DF89C}" name="Kolonna10185"/>
    <tableColumn id="10524" xr3:uid="{9BFF202B-EDAF-4F0B-81A3-101B5C06030C}" name="Kolonna10186"/>
    <tableColumn id="10525" xr3:uid="{B279C637-632F-4C31-B62F-95E7BEB62F5E}" name="Kolonna10187"/>
    <tableColumn id="10526" xr3:uid="{41E2F9E0-B5A4-4AF9-903A-A8365742B2D2}" name="Kolonna10188"/>
    <tableColumn id="10527" xr3:uid="{47B9C671-06E1-4338-96D1-AF07A8DB8E24}" name="Kolonna10189"/>
    <tableColumn id="10528" xr3:uid="{C3B81436-1B74-499D-A08E-0DD514E37BB7}" name="Kolonna10190"/>
    <tableColumn id="10529" xr3:uid="{7EC98382-32DA-466D-AE36-881D62FEE23B}" name="Kolonna10191"/>
    <tableColumn id="10530" xr3:uid="{31D11FD6-979F-4E0F-83BD-1409085B6D3A}" name="Kolonna10192"/>
    <tableColumn id="10531" xr3:uid="{0155A17D-C33B-4E28-8800-BF7DFBCE50BC}" name="Kolonna10193"/>
    <tableColumn id="10532" xr3:uid="{26211298-A274-4C4D-9EE7-D526850BA985}" name="Kolonna10194"/>
    <tableColumn id="10533" xr3:uid="{6C471E93-0C76-49BD-856F-BD8340D04404}" name="Kolonna10195"/>
    <tableColumn id="10534" xr3:uid="{6C6A7215-43EB-4763-BDDA-856F42B2DB35}" name="Kolonna10196"/>
    <tableColumn id="10535" xr3:uid="{518EA092-6EC7-43F2-8718-BC1675A189E7}" name="Kolonna10197"/>
    <tableColumn id="10536" xr3:uid="{0B61B8AC-B1C6-4899-B4C0-1BD8EC4E969B}" name="Kolonna10198"/>
    <tableColumn id="10537" xr3:uid="{A63BEEA7-04D6-4815-A99E-BA7DAEF8C614}" name="Kolonna10199"/>
    <tableColumn id="10538" xr3:uid="{781B4F7F-213E-4706-B5FD-FF5622DB6F4A}" name="Kolonna10200"/>
    <tableColumn id="10539" xr3:uid="{2C7F7F28-8178-4978-B855-1D697432F5AB}" name="Kolonna10201"/>
    <tableColumn id="10540" xr3:uid="{550A0325-B510-4B19-ACE5-73D354A321B4}" name="Kolonna10202"/>
    <tableColumn id="10541" xr3:uid="{B2DA2037-4BDA-429F-8BAE-5B020DB8FA1B}" name="Kolonna10203"/>
    <tableColumn id="10542" xr3:uid="{CD238016-6F72-48AA-B4ED-E7B1C52DE993}" name="Kolonna10204"/>
    <tableColumn id="10543" xr3:uid="{A034F46B-B820-4A08-9736-C717B89EEF80}" name="Kolonna10205"/>
    <tableColumn id="10544" xr3:uid="{1A0A49D2-219B-4B68-A9DC-3FA3C1469696}" name="Kolonna10206"/>
    <tableColumn id="10545" xr3:uid="{9F8E4F69-1DBA-40A1-88F2-A57E4BF67726}" name="Kolonna10207"/>
    <tableColumn id="10546" xr3:uid="{CDEBFEF0-1354-4D74-9956-F9D12AC8691A}" name="Kolonna10208"/>
    <tableColumn id="10547" xr3:uid="{79D8E509-18CE-4459-AC71-D8C4AC87B9DA}" name="Kolonna10209"/>
    <tableColumn id="10548" xr3:uid="{92B1F011-F479-40AD-BFFB-BE2DE907EB46}" name="Kolonna10210"/>
    <tableColumn id="10549" xr3:uid="{8D141836-342B-4FF6-AC8A-91B54C8DE00A}" name="Kolonna10211"/>
    <tableColumn id="10550" xr3:uid="{702F4AED-466A-4C4C-A4A9-3C2A1C2A8804}" name="Kolonna10212"/>
    <tableColumn id="10551" xr3:uid="{0A46CA56-14CB-4009-8B0B-E260A8C6BEAF}" name="Kolonna10213"/>
    <tableColumn id="10552" xr3:uid="{86213DE7-A4E2-4554-81CD-DB8FE1C0A03F}" name="Kolonna10214"/>
    <tableColumn id="10553" xr3:uid="{15947F33-032A-4F21-8570-A78FFB9CA57E}" name="Kolonna10215"/>
    <tableColumn id="10554" xr3:uid="{284D5A4F-4C24-4973-A95A-9BF9F92A3530}" name="Kolonna10216"/>
    <tableColumn id="10555" xr3:uid="{EB09FFA7-1826-4AAB-86E6-7CC2236F60F5}" name="Kolonna10217"/>
    <tableColumn id="10556" xr3:uid="{9D6C0329-A298-47FB-8DF4-27F48A2D6A6B}" name="Kolonna10218"/>
    <tableColumn id="10557" xr3:uid="{D361FA95-1612-490E-959A-CCEE9BEFF399}" name="Kolonna10219"/>
    <tableColumn id="10558" xr3:uid="{2DF6871D-332C-4597-88A2-4D649F32A09A}" name="Kolonna10220"/>
    <tableColumn id="10559" xr3:uid="{19A15368-3C03-4364-8D49-BD6EFC93E612}" name="Kolonna10221"/>
    <tableColumn id="10560" xr3:uid="{98BDCB3F-AB1E-469D-AAAD-BF9B7DEEFEBA}" name="Kolonna10222"/>
    <tableColumn id="10561" xr3:uid="{AFD37CD4-8DE8-4E22-BF7A-B7863583B982}" name="Kolonna10223"/>
    <tableColumn id="10562" xr3:uid="{2BA51983-98F2-48AD-B5FA-33D1AD93A638}" name="Kolonna10224"/>
    <tableColumn id="10563" xr3:uid="{CEFA4DDE-5271-4C68-A869-101DBD130792}" name="Kolonna10225"/>
    <tableColumn id="10564" xr3:uid="{3AAB8C48-0FB3-4569-866C-1DB8CC08512F}" name="Kolonna10226"/>
    <tableColumn id="10565" xr3:uid="{33E84D44-0BC9-4E3E-A4BA-8997C2B5B484}" name="Kolonna10227"/>
    <tableColumn id="10566" xr3:uid="{836E771A-3201-40F5-9B26-210B7BD1777F}" name="Kolonna10228"/>
    <tableColumn id="10567" xr3:uid="{C372BCD0-3F45-46F4-A85D-D1B490B0081D}" name="Kolonna10229"/>
    <tableColumn id="10568" xr3:uid="{48C6ED4C-49C6-4E8E-99B2-3E875CC63A4D}" name="Kolonna10230"/>
    <tableColumn id="10569" xr3:uid="{C6BEEAEF-A79D-43ED-96F0-3600F9B4E184}" name="Kolonna10231"/>
    <tableColumn id="10570" xr3:uid="{29441588-1FA9-4077-A904-12BE068E11F5}" name="Kolonna10232"/>
    <tableColumn id="10571" xr3:uid="{6E6E9BBB-DCDE-4CC9-95AE-894E76980BE6}" name="Kolonna10233"/>
    <tableColumn id="10572" xr3:uid="{DF8070B5-1BCF-4CB5-84F2-047A16C3ACF5}" name="Kolonna10234"/>
    <tableColumn id="10573" xr3:uid="{109918DF-211F-4C9B-A3CC-37F128EB4336}" name="Kolonna10235"/>
    <tableColumn id="10574" xr3:uid="{370BE07B-F8CA-47E2-9981-C5BF13618316}" name="Kolonna10236"/>
    <tableColumn id="10575" xr3:uid="{73A5BEA6-B992-4232-AB59-D0A66ABDC7C8}" name="Kolonna10237"/>
    <tableColumn id="10576" xr3:uid="{1C5687FA-1822-4FCC-AE4F-5F4AE9607952}" name="Kolonna10238"/>
    <tableColumn id="10577" xr3:uid="{D09D81A0-6898-4D1B-A32B-076157DD7FAD}" name="Kolonna10239"/>
    <tableColumn id="10578" xr3:uid="{5B0B7909-E590-432E-A512-656BA078151E}" name="Kolonna10240"/>
    <tableColumn id="10579" xr3:uid="{14CB361E-0597-4B16-AAE6-0C9A9B4D2C10}" name="Kolonna10241"/>
    <tableColumn id="10580" xr3:uid="{8E8F63BE-50E1-43D1-937E-FFDDC735CADB}" name="Kolonna10242"/>
    <tableColumn id="10581" xr3:uid="{706FCD87-B250-4B09-BE47-0D2D0AC83BBA}" name="Kolonna10243"/>
    <tableColumn id="10582" xr3:uid="{946BFDD2-9FBD-40FB-B1E7-F69F0F03B595}" name="Kolonna10244"/>
    <tableColumn id="10583" xr3:uid="{FFA1BAF0-F39A-4BEE-AB36-98409CE4640D}" name="Kolonna10245"/>
    <tableColumn id="10584" xr3:uid="{38B9B7FC-6A10-498A-A994-CB94164E63EC}" name="Kolonna10246"/>
    <tableColumn id="10585" xr3:uid="{BA02AD0A-0449-49AD-8135-910917719AB4}" name="Kolonna10247"/>
    <tableColumn id="10586" xr3:uid="{8C419F19-352A-429C-A854-D79F392192C2}" name="Kolonna10248"/>
    <tableColumn id="10587" xr3:uid="{CCDFBB85-DDCA-4F93-937D-F93CAEDAFE56}" name="Kolonna10249"/>
    <tableColumn id="10588" xr3:uid="{3D699A7A-1236-4D3C-936F-A5D996AD13D8}" name="Kolonna10250"/>
    <tableColumn id="10589" xr3:uid="{A8AA30F7-9D77-45BF-BC03-BBC61A401B0C}" name="Kolonna10251"/>
    <tableColumn id="10590" xr3:uid="{63BFE0D3-E0D4-49C5-BAB7-3F66AA31AF2E}" name="Kolonna10252"/>
    <tableColumn id="10591" xr3:uid="{235AC00C-7D9C-4FAD-8EB5-70ED07F69CDF}" name="Kolonna10253"/>
    <tableColumn id="10592" xr3:uid="{43CBE7D7-D904-459C-BD29-FF51F12A5766}" name="Kolonna10254"/>
    <tableColumn id="10593" xr3:uid="{9CE0F186-A7E9-459B-B102-3CB3DD4A9D3E}" name="Kolonna10255"/>
    <tableColumn id="10594" xr3:uid="{1F180F69-985A-4B81-A8B5-800FCF3D076D}" name="Kolonna10256"/>
    <tableColumn id="10595" xr3:uid="{AD1B2736-4B23-45D8-BA08-26368AC261F4}" name="Kolonna10257"/>
    <tableColumn id="10596" xr3:uid="{443961AC-E360-449B-B8B9-1E9091CFFD5B}" name="Kolonna10258"/>
    <tableColumn id="10597" xr3:uid="{D261AC9F-1D56-4C22-8089-DCD938AF0192}" name="Kolonna10259"/>
    <tableColumn id="10598" xr3:uid="{7266F48C-9CFB-459F-89A1-14AF04F320B7}" name="Kolonna10260"/>
    <tableColumn id="10599" xr3:uid="{80CEC86D-906D-468F-A9F3-8B0F5BBB85BE}" name="Kolonna10261"/>
    <tableColumn id="10600" xr3:uid="{1CD0DD6C-2BBC-4581-BE0D-6A930D6C4DBC}" name="Kolonna10262"/>
    <tableColumn id="10601" xr3:uid="{D90A8AD9-97F6-4BC2-9913-6EBEC395BD9D}" name="Kolonna10263"/>
    <tableColumn id="10602" xr3:uid="{B4EC12F3-02C9-4446-825B-54AF29493BFE}" name="Kolonna10264"/>
    <tableColumn id="10603" xr3:uid="{80C38D5B-919E-4B3F-9250-0943BB9D4B79}" name="Kolonna10265"/>
    <tableColumn id="10604" xr3:uid="{A9D41604-FB65-4D45-AE86-D49E7DF8D01D}" name="Kolonna10266"/>
    <tableColumn id="10605" xr3:uid="{94C242A0-105B-4729-A7CD-097BC8DCFD20}" name="Kolonna10267"/>
    <tableColumn id="10606" xr3:uid="{448A18AC-9577-4F04-A5C0-0210E6358275}" name="Kolonna10268"/>
    <tableColumn id="10607" xr3:uid="{BE51B299-EB3F-440A-8680-F012D89F82D9}" name="Kolonna10269"/>
    <tableColumn id="10608" xr3:uid="{FA76245F-3668-411D-9FCB-766262E85C29}" name="Kolonna10270"/>
    <tableColumn id="10609" xr3:uid="{0BCCFC5C-A653-41B9-B96E-6D739A9CF2C0}" name="Kolonna10271"/>
    <tableColumn id="10610" xr3:uid="{0C298EC0-2586-4A13-A1B0-F3EE4BA6F59C}" name="Kolonna10272"/>
    <tableColumn id="10611" xr3:uid="{48A2CE42-D428-46B0-B660-A7E8582A03FB}" name="Kolonna10273"/>
    <tableColumn id="10612" xr3:uid="{8A048163-3804-40DD-82DA-6A41A479FAA4}" name="Kolonna10274"/>
    <tableColumn id="10613" xr3:uid="{738CA9E7-1ED4-4595-AEC8-4CF2C8BC09C8}" name="Kolonna10275"/>
    <tableColumn id="10614" xr3:uid="{FF91BE46-FAAD-49A7-B83E-D7BD6ED6F2BB}" name="Kolonna10276"/>
    <tableColumn id="10615" xr3:uid="{EB6A74A5-64F6-48C8-B266-DC242C04863A}" name="Kolonna10277"/>
    <tableColumn id="10616" xr3:uid="{2942D9DF-BB4A-4195-BA8D-A0CFDD615C09}" name="Kolonna10278"/>
    <tableColumn id="10617" xr3:uid="{9005D9AD-0A5E-482A-97F2-26DD82FDCE3D}" name="Kolonna10279"/>
    <tableColumn id="10618" xr3:uid="{D6B796BF-999C-475B-81DB-9547C8517C76}" name="Kolonna10280"/>
    <tableColumn id="10619" xr3:uid="{4AE22BB3-C7DF-4D2A-B906-1C28AB0070E6}" name="Kolonna10281"/>
    <tableColumn id="10620" xr3:uid="{B9998D31-5241-4AC3-A81C-863D2F8D689A}" name="Kolonna10282"/>
    <tableColumn id="10621" xr3:uid="{B5A0EDAC-6778-4362-BA7B-6A17039B13BC}" name="Kolonna10283"/>
    <tableColumn id="10622" xr3:uid="{533B4B5F-288E-472D-8071-C4F425C2806C}" name="Kolonna10284"/>
    <tableColumn id="10623" xr3:uid="{7EB6F439-09B5-4BF9-8E96-759C0B2CF9C6}" name="Kolonna10285"/>
    <tableColumn id="10624" xr3:uid="{2BAC175C-288B-4E31-AF58-7F9FEBFA9AB1}" name="Kolonna10286"/>
    <tableColumn id="10625" xr3:uid="{3AB94035-0799-426C-9357-BC739F56EE3F}" name="Kolonna10287"/>
    <tableColumn id="10626" xr3:uid="{A93846C4-7E11-49AC-BE09-D303A65F1576}" name="Kolonna10288"/>
    <tableColumn id="10627" xr3:uid="{50916027-4F6A-4CE4-A6F7-4761FAE5D891}" name="Kolonna10289"/>
    <tableColumn id="10628" xr3:uid="{E1EC2390-68D2-49FA-AE60-3C03E245F409}" name="Kolonna10290"/>
    <tableColumn id="10629" xr3:uid="{0B1AB483-1722-43BB-A755-77117712FF8C}" name="Kolonna10291"/>
    <tableColumn id="10630" xr3:uid="{19B464EB-59AF-47D6-B508-508CF69E394F}" name="Kolonna10292"/>
    <tableColumn id="10631" xr3:uid="{4D2B71A4-E6AD-4B06-A572-6FB67AA20094}" name="Kolonna10293"/>
    <tableColumn id="10632" xr3:uid="{63F7AE3D-C2A4-48AF-98F7-88F1C6322F20}" name="Kolonna10294"/>
    <tableColumn id="10633" xr3:uid="{4FC4D263-98FB-4D25-AEDC-381E47CE8AE3}" name="Kolonna10295"/>
    <tableColumn id="10634" xr3:uid="{2E915638-383A-4DD6-BA2A-87515CBC816E}" name="Kolonna10296"/>
    <tableColumn id="10635" xr3:uid="{E1AB1BBE-937B-4090-8BD8-B767617A9BE2}" name="Kolonna10297"/>
    <tableColumn id="10636" xr3:uid="{7A9948B6-6E76-4A67-8243-45AA9BE9C8B1}" name="Kolonna10298"/>
    <tableColumn id="10637" xr3:uid="{0AF3469E-B8C8-410F-8EF6-93CA05B44EA4}" name="Kolonna10299"/>
    <tableColumn id="10638" xr3:uid="{503F9ED9-4B27-429B-BA08-6A1079FD73BE}" name="Kolonna10300"/>
    <tableColumn id="10639" xr3:uid="{1C16AD66-6E9D-41D2-8886-24C5541615E2}" name="Kolonna10301"/>
    <tableColumn id="10640" xr3:uid="{8354A0A8-AA79-4A64-A066-F8733314EA9E}" name="Kolonna10302"/>
    <tableColumn id="10641" xr3:uid="{8C24A648-76CF-4B4A-B272-CA0A681B694D}" name="Kolonna10303"/>
    <tableColumn id="10642" xr3:uid="{E65E20C1-F5A6-4FA3-8955-705AD29706EE}" name="Kolonna10304"/>
    <tableColumn id="10643" xr3:uid="{09BD1D09-D6FB-4474-8FC8-2CB9C0B36B78}" name="Kolonna10305"/>
    <tableColumn id="10644" xr3:uid="{8C37DE01-31D7-44B2-843F-D60984C4536E}" name="Kolonna10306"/>
    <tableColumn id="10645" xr3:uid="{47A690CE-D277-4BBE-A847-FD3D8F14CD42}" name="Kolonna10307"/>
    <tableColumn id="10646" xr3:uid="{3031C9D3-0A83-4C25-9545-12F77196EDAB}" name="Kolonna10308"/>
    <tableColumn id="10647" xr3:uid="{17859BD7-9EB8-416F-A8A7-71868587B851}" name="Kolonna10309"/>
    <tableColumn id="10648" xr3:uid="{E133FCBA-6875-47A1-937A-E6FE6B714C29}" name="Kolonna10310"/>
    <tableColumn id="10649" xr3:uid="{C846AEDA-44EA-450F-9D47-39A49EE0A917}" name="Kolonna10311"/>
    <tableColumn id="10650" xr3:uid="{7C50754A-1EE3-4216-B575-2A14851B44E2}" name="Kolonna10312"/>
    <tableColumn id="10651" xr3:uid="{36EECCA0-7AD7-4965-8A66-A43D8AE86661}" name="Kolonna10313"/>
    <tableColumn id="10652" xr3:uid="{46D65F26-1439-4F4F-80A2-6E69844DBF94}" name="Kolonna10314"/>
    <tableColumn id="10653" xr3:uid="{7C84399A-C81D-4DD7-BDE5-BE8FCCBAF6C5}" name="Kolonna10315"/>
    <tableColumn id="10654" xr3:uid="{EA62734D-2741-4AA1-B4C0-F05812F67C22}" name="Kolonna10316"/>
    <tableColumn id="10655" xr3:uid="{5D0670D6-D484-4574-8F54-B1281F38978D}" name="Kolonna10317"/>
    <tableColumn id="10656" xr3:uid="{B751FA3B-AA35-4D97-949B-73F7412249A8}" name="Kolonna10318"/>
    <tableColumn id="10657" xr3:uid="{BCA1678D-57A7-4908-A402-A090A4D14EF2}" name="Kolonna10319"/>
    <tableColumn id="10658" xr3:uid="{664FCA9D-281E-46D8-BCE9-557A131B3006}" name="Kolonna10320"/>
    <tableColumn id="10659" xr3:uid="{306D8C24-210C-46B1-9D3E-067176B9750A}" name="Kolonna10321"/>
    <tableColumn id="10660" xr3:uid="{61EA1D64-EE65-43B0-96AB-C87E96122771}" name="Kolonna10322"/>
    <tableColumn id="10661" xr3:uid="{5F8B887E-FF31-4FBD-8EF4-1984F2892178}" name="Kolonna10323"/>
    <tableColumn id="10662" xr3:uid="{D3BCDAA3-F35F-4836-84DB-109F970E6A0C}" name="Kolonna10324"/>
    <tableColumn id="10663" xr3:uid="{513B733A-0487-417E-B9B5-23B22F0B870E}" name="Kolonna10325"/>
    <tableColumn id="10664" xr3:uid="{9AC7E783-AF5D-429C-AB29-64CE151B27D6}" name="Kolonna10326"/>
    <tableColumn id="10665" xr3:uid="{D783B354-2ED4-4E3A-B11C-D5712F5FC5D5}" name="Kolonna10327"/>
    <tableColumn id="10666" xr3:uid="{E70524C2-2864-45FE-9D98-76D9052CB648}" name="Kolonna10328"/>
    <tableColumn id="10667" xr3:uid="{C085C246-BAE6-497B-8BFE-A68EB88839C9}" name="Kolonna10329"/>
    <tableColumn id="10668" xr3:uid="{F137AA2D-772C-4C56-98F3-B72BC682455A}" name="Kolonna10330"/>
    <tableColumn id="10669" xr3:uid="{5EE4D068-0737-4D3D-9BC0-947BAB5151B5}" name="Kolonna10331"/>
    <tableColumn id="10670" xr3:uid="{52C953B6-E583-41EF-8E41-0A859D706F61}" name="Kolonna10332"/>
    <tableColumn id="10671" xr3:uid="{2F9B88A1-22B2-43D4-86AB-8EF841A7AF11}" name="Kolonna10333"/>
    <tableColumn id="10672" xr3:uid="{DBFFB66C-EB81-4E45-B4AE-37822BD0FF29}" name="Kolonna10334"/>
    <tableColumn id="10673" xr3:uid="{81C8CE4D-5059-40CB-BE25-D929786D4110}" name="Kolonna10335"/>
    <tableColumn id="10674" xr3:uid="{EEC9D1FE-6366-4D12-8438-035FC824ABC5}" name="Kolonna10336"/>
    <tableColumn id="10675" xr3:uid="{F55E57BE-D040-474B-9B62-65C1B624BA0D}" name="Kolonna10337"/>
    <tableColumn id="10676" xr3:uid="{3CA172A8-1F0D-4E96-A081-E3016FF1DDE4}" name="Kolonna10338"/>
    <tableColumn id="10677" xr3:uid="{F967A2C6-7B57-46A3-867E-9D1BAE332372}" name="Kolonna10339"/>
    <tableColumn id="10678" xr3:uid="{38ECFC6B-3F80-4568-8483-D40650936ABC}" name="Kolonna10340"/>
    <tableColumn id="10679" xr3:uid="{F8BEF90A-1E44-439C-9584-E51C4FD842AA}" name="Kolonna10341"/>
    <tableColumn id="10680" xr3:uid="{2D1C1F85-C31F-419A-BB8E-3A7C2DFF441D}" name="Kolonna10342"/>
    <tableColumn id="10681" xr3:uid="{90B214B2-4C72-46FE-9BF0-7EF9A181CD75}" name="Kolonna10343"/>
    <tableColumn id="10682" xr3:uid="{5BDF7924-CB3E-4234-84D6-91231635AA42}" name="Kolonna10344"/>
    <tableColumn id="10683" xr3:uid="{A4E75868-3F0F-492D-87DE-435BA5B7B217}" name="Kolonna10345"/>
    <tableColumn id="10684" xr3:uid="{569C3061-0D5E-4BFD-AB96-2F6BDAE5A239}" name="Kolonna10346"/>
    <tableColumn id="10685" xr3:uid="{474AC80A-5145-43FE-A52E-7C16EA8D363F}" name="Kolonna10347"/>
    <tableColumn id="10686" xr3:uid="{3595E151-55FF-4802-8418-3104B36A851D}" name="Kolonna10348"/>
    <tableColumn id="10687" xr3:uid="{82DA3430-87CD-4453-A988-517BD9A81BF4}" name="Kolonna10349"/>
    <tableColumn id="10688" xr3:uid="{FB785BA8-7C36-4CA4-9C54-64E48C3BC19D}" name="Kolonna10350"/>
    <tableColumn id="10689" xr3:uid="{2903204B-88E6-4A48-A761-2D5EAC694DDE}" name="Kolonna10351"/>
    <tableColumn id="10690" xr3:uid="{ADEA4BF1-2F48-49EE-A739-6E5DC0CD7422}" name="Kolonna10352"/>
    <tableColumn id="10691" xr3:uid="{E1BEE24D-67F4-44AD-9C0B-F03543648CA8}" name="Kolonna10353"/>
    <tableColumn id="10692" xr3:uid="{AB4BEEEA-FEB6-46EA-8020-623CB997F94C}" name="Kolonna10354"/>
    <tableColumn id="10693" xr3:uid="{5861F858-8CD4-4CA6-B18D-E131EF12A091}" name="Kolonna10355"/>
    <tableColumn id="10694" xr3:uid="{6330AC39-2BF8-4564-8782-E385B7DDD4ED}" name="Kolonna10356"/>
    <tableColumn id="10695" xr3:uid="{BE535706-472F-4477-AD87-6C3B2CB2F1B7}" name="Kolonna10357"/>
    <tableColumn id="10696" xr3:uid="{58A7632D-4F10-46BE-84BC-FF7AAC0F6604}" name="Kolonna10358"/>
    <tableColumn id="10697" xr3:uid="{679EF8CF-9881-4417-9C5F-9D9911CD597D}" name="Kolonna10359"/>
    <tableColumn id="10698" xr3:uid="{93D8353C-2B87-46D6-9FD2-F60B4D060CA5}" name="Kolonna10360"/>
    <tableColumn id="10699" xr3:uid="{143B8ADB-052B-44BB-A937-DB80F4BF0DD2}" name="Kolonna10361"/>
    <tableColumn id="10700" xr3:uid="{F90B6D4C-29FD-43BC-9F7A-2FEACCD99062}" name="Kolonna10362"/>
    <tableColumn id="10701" xr3:uid="{09D36054-0338-4E4C-A2B3-8AB60D973172}" name="Kolonna10363"/>
    <tableColumn id="10702" xr3:uid="{8D079809-9130-4BBF-9476-07E1CCB798F2}" name="Kolonna10364"/>
    <tableColumn id="10703" xr3:uid="{06D5F877-C3B4-4311-9525-491A531CDFB7}" name="Kolonna10365"/>
    <tableColumn id="10704" xr3:uid="{40370E64-B8D2-4CD8-849D-E2BD147C9007}" name="Kolonna10366"/>
    <tableColumn id="10705" xr3:uid="{87D8F17D-4CF8-4BC7-A1E5-C5B6064BD867}" name="Kolonna10367"/>
    <tableColumn id="10706" xr3:uid="{0FAAA2F6-9579-4DE2-8346-BFF113816E18}" name="Kolonna10368"/>
    <tableColumn id="10707" xr3:uid="{4E404DFE-5F18-4EAD-9147-439C60B14AFF}" name="Kolonna10369"/>
    <tableColumn id="10708" xr3:uid="{C29BDF0F-DB42-4E9B-9550-16A0FD6E3364}" name="Kolonna10370"/>
    <tableColumn id="10709" xr3:uid="{0E3CB638-91C7-40A7-A5A2-9318E5279270}" name="Kolonna10371"/>
    <tableColumn id="10710" xr3:uid="{E324D3BF-444C-4077-8BEF-62241A7925FE}" name="Kolonna10372"/>
    <tableColumn id="10711" xr3:uid="{C5467E2B-3DD9-4FA1-8808-B1ADDB38B8EF}" name="Kolonna10373"/>
    <tableColumn id="10712" xr3:uid="{8B3802EB-18EA-459A-B7DF-5834C2A8EB6C}" name="Kolonna10374"/>
    <tableColumn id="10713" xr3:uid="{2463BAF5-F49E-42CE-8932-2A13E72852E6}" name="Kolonna10375"/>
    <tableColumn id="10714" xr3:uid="{A87E960E-D16B-4DD2-AB4B-5796B222A963}" name="Kolonna10376"/>
    <tableColumn id="10715" xr3:uid="{8D2DA72E-B0FF-4646-85DD-64038501DC5D}" name="Kolonna10377"/>
    <tableColumn id="10716" xr3:uid="{F36569AE-8F29-452A-AF49-B16408F093E9}" name="Kolonna10378"/>
    <tableColumn id="10717" xr3:uid="{4312BE7A-F07D-448C-8B29-27C494E4FC59}" name="Kolonna10379"/>
    <tableColumn id="10718" xr3:uid="{EA4BC032-B25E-40B2-BD53-A5072D8C0323}" name="Kolonna10380"/>
    <tableColumn id="10719" xr3:uid="{04A1FD4C-484D-4919-94E5-856A2AACEAFB}" name="Kolonna10381"/>
    <tableColumn id="10720" xr3:uid="{673B4FF7-D994-42E5-A39F-7651A9A8E548}" name="Kolonna10382"/>
    <tableColumn id="10721" xr3:uid="{88DAE9FA-3908-4188-8D32-756CC5C93220}" name="Kolonna10383"/>
    <tableColumn id="10722" xr3:uid="{23ABC1E2-3A9B-4324-890F-B35654BA6C2A}" name="Kolonna10384"/>
    <tableColumn id="10723" xr3:uid="{069826E9-C520-4F4F-AAC8-08C5A1C4699D}" name="Kolonna10385"/>
    <tableColumn id="10724" xr3:uid="{EC5F530F-3AED-449F-8AB1-6C0F718B4893}" name="Kolonna10386"/>
    <tableColumn id="10725" xr3:uid="{5A0D39EF-71AB-4B99-A224-EC1B8395D41F}" name="Kolonna10387"/>
    <tableColumn id="10726" xr3:uid="{7159ED30-3CC9-4E91-9EC8-EE502D329063}" name="Kolonna10388"/>
    <tableColumn id="10727" xr3:uid="{3A61D2D8-A91E-4F96-AD73-5FC4C7055F92}" name="Kolonna10389"/>
    <tableColumn id="10728" xr3:uid="{9B8D49CA-090E-4380-B466-1A1587CAF4C6}" name="Kolonna10390"/>
    <tableColumn id="10729" xr3:uid="{6475E6B5-225D-4C7B-948E-7C44781FF914}" name="Kolonna10391"/>
    <tableColumn id="10730" xr3:uid="{98C8CAC1-AB8B-4DC2-B0CA-DF055ABA384E}" name="Kolonna10392"/>
    <tableColumn id="10731" xr3:uid="{02989B01-23AC-463E-9F96-BF318B8137E8}" name="Kolonna10393"/>
    <tableColumn id="10732" xr3:uid="{65B066AC-7186-4D88-B251-B4E0D1CB3BBB}" name="Kolonna10394"/>
    <tableColumn id="10733" xr3:uid="{6AA69E72-247A-4BCA-A67A-E1A383F6E7E0}" name="Kolonna10395"/>
    <tableColumn id="10734" xr3:uid="{B98CBE5D-1C6E-41FB-AEEC-AA9419D80E24}" name="Kolonna10396"/>
    <tableColumn id="10735" xr3:uid="{DE8F7FFF-BC16-4F9A-AF0D-C7D0167717AA}" name="Kolonna10397"/>
    <tableColumn id="10736" xr3:uid="{5FDA62F7-0010-48BF-8993-627C8D312358}" name="Kolonna10398"/>
    <tableColumn id="10737" xr3:uid="{D2F2522F-2A6E-49E0-81E3-D46455CC474F}" name="Kolonna10399"/>
    <tableColumn id="10738" xr3:uid="{EE211FC4-C5E7-4BA3-A97C-70D1FA82B5CC}" name="Kolonna10400"/>
    <tableColumn id="10739" xr3:uid="{C8826593-21B4-49D2-B6A1-FB7D1E84993E}" name="Kolonna10401"/>
    <tableColumn id="10740" xr3:uid="{00BA3C36-C869-412F-9552-A1D8879DBE73}" name="Kolonna10402"/>
    <tableColumn id="10741" xr3:uid="{F8A1D4D0-BB85-4217-A55E-553A0C3001B8}" name="Kolonna10403"/>
    <tableColumn id="10742" xr3:uid="{D58E0BA2-C7D5-4D49-A501-F6E0F60DC758}" name="Kolonna10404"/>
    <tableColumn id="10743" xr3:uid="{D44F55EF-E610-4CDF-9504-2CD9D1353A9B}" name="Kolonna10405"/>
    <tableColumn id="10744" xr3:uid="{428EE717-E6EA-41A2-B29E-E7147A1709CF}" name="Kolonna10406"/>
    <tableColumn id="10745" xr3:uid="{78CE66CD-704F-4166-9659-83971C21DFBE}" name="Kolonna10407"/>
    <tableColumn id="10746" xr3:uid="{C9748F1E-93FD-431E-9E65-F38C4C5ACFED}" name="Kolonna10408"/>
    <tableColumn id="10747" xr3:uid="{A47C3AB7-2A77-4FF5-96A8-672F8152ABEF}" name="Kolonna10409"/>
    <tableColumn id="10748" xr3:uid="{289F6EFC-3B25-480F-9F0C-AD42213D75C8}" name="Kolonna10410"/>
    <tableColumn id="10749" xr3:uid="{9FAFF0D4-6666-42B5-82D4-CA69DF593D0F}" name="Kolonna10411"/>
    <tableColumn id="10750" xr3:uid="{266BF9C4-84A5-4FFC-95D9-A20B2DD58086}" name="Kolonna10412"/>
    <tableColumn id="10751" xr3:uid="{E41E3C7D-7F76-4666-9E2E-67259B213B93}" name="Kolonna10413"/>
    <tableColumn id="10752" xr3:uid="{DB1C8C82-128A-4AD4-99D0-39848338ECB4}" name="Kolonna10414"/>
    <tableColumn id="10753" xr3:uid="{CF72B992-83B4-487A-BE0C-4614225914F2}" name="Kolonna10415"/>
    <tableColumn id="10754" xr3:uid="{5EE70912-EDCE-4A03-B965-1B8DD9788FA3}" name="Kolonna10416"/>
    <tableColumn id="10755" xr3:uid="{E0595182-FB7E-4285-B0A9-55CB306EEE32}" name="Kolonna10417"/>
    <tableColumn id="10756" xr3:uid="{1186FC9C-3774-4D15-8EC1-0AC14352BCE7}" name="Kolonna10418"/>
    <tableColumn id="10757" xr3:uid="{75528DD3-73D5-4FC9-A6F1-272D20CD35A4}" name="Kolonna10419"/>
    <tableColumn id="10758" xr3:uid="{77CEA873-2FB0-49C4-830B-EE535B3E9621}" name="Kolonna10420"/>
    <tableColumn id="10759" xr3:uid="{A1B4E50B-E6C4-4491-B666-259841029748}" name="Kolonna10421"/>
    <tableColumn id="10760" xr3:uid="{CC32E9AB-1504-4D42-87E3-49F47471A71A}" name="Kolonna10422"/>
    <tableColumn id="10761" xr3:uid="{49F2597F-3B11-4CFB-AD90-2063E1D83701}" name="Kolonna10423"/>
    <tableColumn id="10762" xr3:uid="{6395D164-B6A5-4DFC-AB8B-8A458835B451}" name="Kolonna10424"/>
    <tableColumn id="10763" xr3:uid="{29D0DDE0-623D-4529-BE06-DCDB35A59867}" name="Kolonna10425"/>
    <tableColumn id="10764" xr3:uid="{2B7806C3-6AFD-4EB6-8579-B7BEBA5F2F62}" name="Kolonna10426"/>
    <tableColumn id="10765" xr3:uid="{4DA6C2BC-941F-479D-8B01-623DB334D762}" name="Kolonna10427"/>
    <tableColumn id="10766" xr3:uid="{31AB4C97-2F20-46B0-88A7-865AA8FD6EFD}" name="Kolonna10428"/>
    <tableColumn id="10767" xr3:uid="{8B060A2C-A58A-4C03-B0C1-85E661089816}" name="Kolonna10429"/>
    <tableColumn id="10768" xr3:uid="{CFC9079F-DC00-409F-B1BF-5A20BD1EAF68}" name="Kolonna10430"/>
    <tableColumn id="10769" xr3:uid="{E16EFE5C-FEC3-45C7-9F82-8A3AF520F1CA}" name="Kolonna10431"/>
    <tableColumn id="10770" xr3:uid="{F106A921-6629-4B20-9572-62DEC91CB1D2}" name="Kolonna10432"/>
    <tableColumn id="10771" xr3:uid="{12A00AF8-CF9C-4E09-B530-E4CC13A7A3E5}" name="Kolonna10433"/>
    <tableColumn id="10772" xr3:uid="{D1D7533E-6B77-40BD-A440-7A886086410F}" name="Kolonna10434"/>
    <tableColumn id="10773" xr3:uid="{AC418643-47D8-4AB9-AD4B-B58434772527}" name="Kolonna10435"/>
    <tableColumn id="10774" xr3:uid="{BA73E51C-C435-47B3-953A-A1C04949DA2A}" name="Kolonna10436"/>
    <tableColumn id="10775" xr3:uid="{590DAA80-24A5-4072-8AC9-CAB92B9C86D2}" name="Kolonna10437"/>
    <tableColumn id="10776" xr3:uid="{3D80270B-CA9C-4137-A6AE-0A28E2059796}" name="Kolonna10438"/>
    <tableColumn id="10777" xr3:uid="{BD9C3C50-0972-4467-B44E-8BE81ECE71D7}" name="Kolonna10439"/>
    <tableColumn id="10778" xr3:uid="{672E2977-C5DE-4E6E-AAD9-69EA1795D7A6}" name="Kolonna10440"/>
    <tableColumn id="10779" xr3:uid="{0B986A27-8AFB-4972-91FD-9FD6513CC633}" name="Kolonna10441"/>
    <tableColumn id="10780" xr3:uid="{DCFD135A-A8CE-4C9C-8133-FD2BBA7EAF70}" name="Kolonna10442"/>
    <tableColumn id="10781" xr3:uid="{83958881-2A52-4629-9AC2-B88E0443E6C6}" name="Kolonna10443"/>
    <tableColumn id="10782" xr3:uid="{986179E6-4733-4670-B4F3-9262705D5A89}" name="Kolonna10444"/>
    <tableColumn id="10783" xr3:uid="{99C23818-8C13-45CF-BCB2-813D350CDB01}" name="Kolonna10445"/>
    <tableColumn id="10784" xr3:uid="{74EADE76-EB71-44D5-8B8A-1EA04331C018}" name="Kolonna10446"/>
    <tableColumn id="10785" xr3:uid="{785DA2FD-DAE2-4C10-8189-C4EB0F1E4914}" name="Kolonna10447"/>
    <tableColumn id="10786" xr3:uid="{9B8E5D14-7F62-479D-A6D1-11B9F605144A}" name="Kolonna10448"/>
    <tableColumn id="10787" xr3:uid="{9A8BA487-FF63-4CEA-A26D-8781830870C5}" name="Kolonna10449"/>
    <tableColumn id="10788" xr3:uid="{9241CD6C-5708-4B4D-9502-2A26580B5FAA}" name="Kolonna10450"/>
    <tableColumn id="10789" xr3:uid="{7DBAE1B5-6C67-46CC-AE2C-5BA36DCB429B}" name="Kolonna10451"/>
    <tableColumn id="10790" xr3:uid="{92DA7293-72E6-42FB-A7CD-077A5A4B3792}" name="Kolonna10452"/>
    <tableColumn id="10791" xr3:uid="{20896261-88A5-47C0-8882-3DD1C26A96CF}" name="Kolonna10453"/>
    <tableColumn id="10792" xr3:uid="{8F8AE083-D5B2-4CCB-A3B1-3DDBC8B2B8E8}" name="Kolonna10454"/>
    <tableColumn id="10793" xr3:uid="{10AAC09C-EAEC-44EC-B019-D79F9B2ADC9B}" name="Kolonna10455"/>
    <tableColumn id="10794" xr3:uid="{A8225458-E08D-47E8-947A-7E1BDE4D7A11}" name="Kolonna10456"/>
    <tableColumn id="10795" xr3:uid="{894A3B24-A2DC-4C09-97D6-0D3F030ED9C8}" name="Kolonna10457"/>
    <tableColumn id="10796" xr3:uid="{A3480C13-79AA-4C1B-85D6-B297B6BDCD03}" name="Kolonna10458"/>
    <tableColumn id="10797" xr3:uid="{628B7BEF-5ABE-41AB-A0E4-0965B8CAB9B3}" name="Kolonna10459"/>
    <tableColumn id="10798" xr3:uid="{D668652C-EDCB-4F0E-9E9B-E9EA129AE0B0}" name="Kolonna10460"/>
    <tableColumn id="10799" xr3:uid="{F0BA2C6B-6B65-4080-AB74-31AA5744280C}" name="Kolonna10461"/>
    <tableColumn id="10800" xr3:uid="{12B3150F-D313-4089-B642-CF0639CA170D}" name="Kolonna10462"/>
    <tableColumn id="10801" xr3:uid="{9C8B50DB-9A39-471E-9A46-FC976306DD12}" name="Kolonna10463"/>
    <tableColumn id="10802" xr3:uid="{52F2A224-17B4-4704-9CF1-94F0C7EF59BB}" name="Kolonna10464"/>
    <tableColumn id="10803" xr3:uid="{62F1161E-49CB-405B-AFB4-62D4F34DF1CB}" name="Kolonna10465"/>
    <tableColumn id="10804" xr3:uid="{C0A96EF1-E835-473A-8055-1D55F8368621}" name="Kolonna10466"/>
    <tableColumn id="10805" xr3:uid="{34B68F01-43C6-43D8-95E7-5125B02FCB21}" name="Kolonna10467"/>
    <tableColumn id="10806" xr3:uid="{96C5BF72-4DF4-4671-AED8-3676934E4437}" name="Kolonna10468"/>
    <tableColumn id="10807" xr3:uid="{24A803D4-1F49-4334-8078-AA735CAAA127}" name="Kolonna10469"/>
    <tableColumn id="10808" xr3:uid="{12446218-7C0B-4606-819A-9C8639D66AFF}" name="Kolonna10470"/>
    <tableColumn id="10809" xr3:uid="{B1FB4016-1E22-42F2-AEC5-90061D634893}" name="Kolonna10471"/>
    <tableColumn id="10810" xr3:uid="{29E69BE4-3CB3-4B9A-9A97-AA5F57980221}" name="Kolonna10472"/>
    <tableColumn id="10811" xr3:uid="{68B7A0A8-0185-46CA-A8EA-A403E2C89CCA}" name="Kolonna10473"/>
    <tableColumn id="10812" xr3:uid="{9A36CD1F-E919-40C4-8124-657987F2227D}" name="Kolonna10474"/>
    <tableColumn id="10813" xr3:uid="{EB5031BC-E5B0-4D0A-94B6-2B895D5F8A21}" name="Kolonna10475"/>
    <tableColumn id="10814" xr3:uid="{742F6C87-1B70-45A4-A577-40D01E749FE3}" name="Kolonna10476"/>
    <tableColumn id="10815" xr3:uid="{8F486AB6-D3C2-46E5-95E6-F0A3D32E5894}" name="Kolonna10477"/>
    <tableColumn id="10816" xr3:uid="{DC1D95AC-BFE2-472E-8AA2-C1A699FC75B3}" name="Kolonna10478"/>
    <tableColumn id="10817" xr3:uid="{F707D491-3C91-4833-BD2C-AAE0079307C5}" name="Kolonna10479"/>
    <tableColumn id="10818" xr3:uid="{FD81C740-D440-4369-BACB-B3D2584B88B8}" name="Kolonna10480"/>
    <tableColumn id="10819" xr3:uid="{D349832C-C6DD-49F2-9B72-D3A6FEAA09A7}" name="Kolonna10481"/>
    <tableColumn id="10820" xr3:uid="{632F1480-AE6E-492F-8C03-EB35F799E0BF}" name="Kolonna10482"/>
    <tableColumn id="10821" xr3:uid="{B4996327-BB33-441C-AC39-8CEE66299F3F}" name="Kolonna10483"/>
    <tableColumn id="10822" xr3:uid="{07BC902B-9D26-45BF-A73C-88CCACE7F2CD}" name="Kolonna10484"/>
    <tableColumn id="10823" xr3:uid="{9A816ED0-240B-451D-B04D-88077F168F5E}" name="Kolonna10485"/>
    <tableColumn id="10824" xr3:uid="{B5D39DBF-4AFC-47CC-857F-5D62997B6BBC}" name="Kolonna10486"/>
    <tableColumn id="10825" xr3:uid="{05166689-7A8B-475F-8976-D218EABD5C42}" name="Kolonna10487"/>
    <tableColumn id="10826" xr3:uid="{E170312C-BF27-40D9-8B87-5885B3355CBE}" name="Kolonna10488"/>
    <tableColumn id="10827" xr3:uid="{EADEE2B2-32DC-45B2-AE14-2647820DADF3}" name="Kolonna10489"/>
    <tableColumn id="10828" xr3:uid="{AEB82D27-2ECB-459B-941B-3F1D77C5EF4A}" name="Kolonna10490"/>
    <tableColumn id="10829" xr3:uid="{AF85CF30-41A3-48F8-9787-F7A45609208C}" name="Kolonna10491"/>
    <tableColumn id="10830" xr3:uid="{165B1F59-4D33-4E32-9537-77050A33BFF7}" name="Kolonna10492"/>
    <tableColumn id="10831" xr3:uid="{46DF703B-A6A8-4405-81E6-5ACE2562C71C}" name="Kolonna10493"/>
    <tableColumn id="10832" xr3:uid="{A77FA771-3611-472A-AA5B-77367923886F}" name="Kolonna10494"/>
    <tableColumn id="10833" xr3:uid="{1122EF8F-69BF-4629-9505-ED59D5F15ED7}" name="Kolonna10495"/>
    <tableColumn id="10834" xr3:uid="{6A42A35D-E95B-4DF6-BAC8-F6C67183C52B}" name="Kolonna10496"/>
    <tableColumn id="10835" xr3:uid="{5881053D-B031-4DE7-AB05-57832EB556F8}" name="Kolonna10497"/>
    <tableColumn id="10836" xr3:uid="{BD08759A-80E5-41AC-968C-2DB72F30FF1D}" name="Kolonna10498"/>
    <tableColumn id="10837" xr3:uid="{431DC164-8D80-4C6D-B18D-122EDE587D98}" name="Kolonna10499"/>
    <tableColumn id="10838" xr3:uid="{8EA87C62-D981-4985-B5DE-639C2F60D633}" name="Kolonna10500"/>
    <tableColumn id="10839" xr3:uid="{FAA6FCC9-DA78-4699-80B2-2229B7A59E59}" name="Kolonna10501"/>
    <tableColumn id="10840" xr3:uid="{19B68C44-B839-405B-9DFE-C6E43FA47803}" name="Kolonna10502"/>
    <tableColumn id="10841" xr3:uid="{7F3D13C2-9517-4C18-85FB-3E11D8BF9FEE}" name="Kolonna10503"/>
    <tableColumn id="10842" xr3:uid="{B5090E3F-21B2-46D8-B8E8-6AE7CBD11E4F}" name="Kolonna10504"/>
    <tableColumn id="10843" xr3:uid="{6BDDA08B-B15E-4A1A-A472-80A382C2B82D}" name="Kolonna10505"/>
    <tableColumn id="10844" xr3:uid="{73A9E7A8-2972-42E8-8BF9-368C833A07D8}" name="Kolonna10506"/>
    <tableColumn id="10845" xr3:uid="{D611A815-7779-401E-8E17-FE2F91DBC213}" name="Kolonna10507"/>
    <tableColumn id="10846" xr3:uid="{FBDB539C-AE9F-4D05-8094-FC825EA886D5}" name="Kolonna10508"/>
    <tableColumn id="10847" xr3:uid="{3A8236D5-542A-41AE-9755-12F8080D30FD}" name="Kolonna10509"/>
    <tableColumn id="10848" xr3:uid="{42CBEB58-5069-4F37-BBEF-4E54099260AF}" name="Kolonna10510"/>
    <tableColumn id="10849" xr3:uid="{1DB9CF31-9A8A-4B11-9FCD-FA5D0B2402DF}" name="Kolonna10511"/>
    <tableColumn id="10850" xr3:uid="{4FC85673-ED29-409B-A46F-D77D45554B66}" name="Kolonna10512"/>
    <tableColumn id="10851" xr3:uid="{9526E3A6-0E94-4B81-9983-F93E1A43034A}" name="Kolonna10513"/>
    <tableColumn id="10852" xr3:uid="{D9D1537A-E4BB-434F-86FC-D0F8EB19EB3D}" name="Kolonna10514"/>
    <tableColumn id="10853" xr3:uid="{176646D9-3379-4CB5-940A-92FA89475581}" name="Kolonna10515"/>
    <tableColumn id="10854" xr3:uid="{29393D1A-CF0D-410B-AF12-10A56EE4F48A}" name="Kolonna10516"/>
    <tableColumn id="10855" xr3:uid="{765D9E04-558F-4BCE-8BA4-064A52096775}" name="Kolonna10517"/>
    <tableColumn id="10856" xr3:uid="{EF3378E8-922F-4502-BA47-433D4D866A1B}" name="Kolonna10518"/>
    <tableColumn id="10857" xr3:uid="{D06C7E88-9BAF-4963-AEED-4D943383CC04}" name="Kolonna10519"/>
    <tableColumn id="10858" xr3:uid="{A5C39878-4B7E-435D-983F-5E12A1B98B6B}" name="Kolonna10520"/>
    <tableColumn id="10859" xr3:uid="{C933CFAA-8A6B-47C0-B2C4-CFBFFF44A35E}" name="Kolonna10521"/>
    <tableColumn id="10860" xr3:uid="{D95B6F60-BF18-4889-8AFE-DEF794BDEC88}" name="Kolonna10522"/>
    <tableColumn id="10861" xr3:uid="{C2AB1086-884F-4E1E-9632-38741534ED4B}" name="Kolonna10523"/>
    <tableColumn id="10862" xr3:uid="{B1C1CD90-68C6-4D45-8EA1-637D3F838488}" name="Kolonna10524"/>
    <tableColumn id="10863" xr3:uid="{82ACF1EF-7B5D-46A6-B41E-A097F5850F47}" name="Kolonna10525"/>
    <tableColumn id="10864" xr3:uid="{6A741F6A-ECC0-467B-A004-893C0E296AFF}" name="Kolonna10526"/>
    <tableColumn id="10865" xr3:uid="{24B2E83C-CF05-4B8B-8635-A62910AC3001}" name="Kolonna10527"/>
    <tableColumn id="10866" xr3:uid="{BD263ACE-A9DB-42A6-ADA6-2C78CE220A76}" name="Kolonna10528"/>
    <tableColumn id="10867" xr3:uid="{9FF99947-91D3-4DB1-AB6F-97A7E67071D3}" name="Kolonna10529"/>
    <tableColumn id="10868" xr3:uid="{9A0DAD8B-D5D1-4942-AF05-38E6AAF15092}" name="Kolonna10530"/>
    <tableColumn id="10869" xr3:uid="{7D950C87-D0D8-4614-8AB5-28C871B6E08F}" name="Kolonna10531"/>
    <tableColumn id="10870" xr3:uid="{27EEFE02-6F9F-450F-884D-312BC17EFBFF}" name="Kolonna10532"/>
    <tableColumn id="10871" xr3:uid="{B08B038A-DF1A-41C4-BB85-DB61EF79147A}" name="Kolonna10533"/>
    <tableColumn id="10872" xr3:uid="{6E1CB44C-2695-47A2-8CFD-6316FA98A149}" name="Kolonna10534"/>
    <tableColumn id="10873" xr3:uid="{2636204C-B072-4B0A-AF9B-C52FB2AB7995}" name="Kolonna10535"/>
    <tableColumn id="10874" xr3:uid="{40CF5D68-9804-4E98-85FF-220A9C5222CE}" name="Kolonna10536"/>
    <tableColumn id="10875" xr3:uid="{995C7ADA-A62F-4E1C-8C11-1A212C2E7F45}" name="Kolonna10537"/>
    <tableColumn id="10876" xr3:uid="{67AD30B2-63AA-46AE-A939-526FB1B8E4F5}" name="Kolonna10538"/>
    <tableColumn id="10877" xr3:uid="{4EAC16D2-1B30-4EBF-8D5C-C309001CA65D}" name="Kolonna10539"/>
    <tableColumn id="10878" xr3:uid="{CA2234BF-032C-4EB9-AE43-D91128102377}" name="Kolonna10540"/>
    <tableColumn id="10879" xr3:uid="{B701DE4F-127F-4436-96A2-5CC5BE8D53D0}" name="Kolonna10541"/>
    <tableColumn id="10880" xr3:uid="{F19332DC-7E6E-4C68-9C63-62C36F3132D7}" name="Kolonna10542"/>
    <tableColumn id="10881" xr3:uid="{35991F54-07F9-4601-8BDF-533339AFE060}" name="Kolonna10543"/>
    <tableColumn id="10882" xr3:uid="{BE7D2F38-B747-4947-828F-13A9C36E77A4}" name="Kolonna10544"/>
    <tableColumn id="10883" xr3:uid="{FF17716D-B4FB-4CE9-BF74-442D4935CE15}" name="Kolonna10545"/>
    <tableColumn id="10884" xr3:uid="{6BE80CE3-85D5-43F2-B6A5-41857E8EA08B}" name="Kolonna10546"/>
    <tableColumn id="10885" xr3:uid="{5CB07E9F-1876-4786-A889-C25A661E80D3}" name="Kolonna10547"/>
    <tableColumn id="10886" xr3:uid="{55084B17-C57C-454E-956A-F4453E551B45}" name="Kolonna10548"/>
    <tableColumn id="10887" xr3:uid="{817129EB-5714-4538-B0A0-BECA9783C432}" name="Kolonna10549"/>
    <tableColumn id="10888" xr3:uid="{A1644A2D-3F9B-4D4A-B79C-9B1A5327316D}" name="Kolonna10550"/>
    <tableColumn id="10889" xr3:uid="{69F82413-2371-4B93-8636-4ABD9A8486DA}" name="Kolonna10551"/>
    <tableColumn id="10890" xr3:uid="{F091FB7F-1A41-49EE-9256-1DD074923B00}" name="Kolonna10552"/>
    <tableColumn id="10891" xr3:uid="{E2F9855C-4D37-47A4-BCE4-949B704992C5}" name="Kolonna10553"/>
    <tableColumn id="10892" xr3:uid="{6A96265C-96ED-4879-8C3A-6F35E7CBAC08}" name="Kolonna10554"/>
    <tableColumn id="10893" xr3:uid="{D7871F92-5624-4E29-A8D2-28798BEC27F9}" name="Kolonna10555"/>
    <tableColumn id="10894" xr3:uid="{54D8DF1D-D387-4765-87EE-11D6AC89D340}" name="Kolonna10556"/>
    <tableColumn id="10895" xr3:uid="{E6DF1C29-F68C-4360-BC6C-B905FDD1C37E}" name="Kolonna10557"/>
    <tableColumn id="10896" xr3:uid="{47B16B8C-13E1-46DA-98F3-2EBD1B94C48A}" name="Kolonna10558"/>
    <tableColumn id="10897" xr3:uid="{4F291796-4361-4C74-8A17-6A49230DC4E5}" name="Kolonna10559"/>
    <tableColumn id="10898" xr3:uid="{6FAAAAD2-0693-425B-84DE-9038AD2E2D71}" name="Kolonna10560"/>
    <tableColumn id="10899" xr3:uid="{F9C4CBFD-0391-4661-89DD-C13CB33B5C56}" name="Kolonna10561"/>
    <tableColumn id="10900" xr3:uid="{7D3D6780-1632-4567-B419-C7F0828B67F6}" name="Kolonna10562"/>
    <tableColumn id="10901" xr3:uid="{E50C0051-3CF2-4BBD-BA0C-395C45CAE71D}" name="Kolonna10563"/>
    <tableColumn id="10902" xr3:uid="{6F2BB3FD-1A16-45B4-AD69-42DFB2FB6134}" name="Kolonna10564"/>
    <tableColumn id="10903" xr3:uid="{81DE7002-8EAB-4F57-B933-7A46DABB7D65}" name="Kolonna10565"/>
    <tableColumn id="10904" xr3:uid="{A342EE0F-8387-4075-B3BA-7B9B5126811C}" name="Kolonna10566"/>
    <tableColumn id="10905" xr3:uid="{B55389BE-F4C5-4AC5-9C34-9011ABCB4A95}" name="Kolonna10567"/>
    <tableColumn id="10906" xr3:uid="{3FA0340E-9C48-4D00-81B4-68C98EE81C46}" name="Kolonna10568"/>
    <tableColumn id="10907" xr3:uid="{27BFE8D1-9402-4D2D-8747-7D616DBF4CB4}" name="Kolonna10569"/>
    <tableColumn id="10908" xr3:uid="{B7AD9295-B9C8-4569-B2FA-241A030F3923}" name="Kolonna10570"/>
    <tableColumn id="10909" xr3:uid="{BE04A357-0CF9-46BD-85B2-273AA79C7CE6}" name="Kolonna10571"/>
    <tableColumn id="10910" xr3:uid="{160749DF-ECF9-4659-8795-E43C9D25080E}" name="Kolonna10572"/>
    <tableColumn id="10911" xr3:uid="{A0CB6632-B717-4B38-9222-D10700BD8737}" name="Kolonna10573"/>
    <tableColumn id="10912" xr3:uid="{F6808893-9060-4842-9275-3D271B351E58}" name="Kolonna10574"/>
    <tableColumn id="10913" xr3:uid="{FE7DA9DD-18E5-4BA7-A27E-0400C12230F0}" name="Kolonna10575"/>
    <tableColumn id="10914" xr3:uid="{E4103401-F3F6-4D35-A0F7-6A403DFAB784}" name="Kolonna10576"/>
    <tableColumn id="10915" xr3:uid="{AF2BD179-310E-4977-AEFF-2C23298AEAE5}" name="Kolonna10577"/>
    <tableColumn id="10916" xr3:uid="{8CFDA03E-1E81-4449-B122-E1B94F4D7D64}" name="Kolonna10578"/>
    <tableColumn id="10917" xr3:uid="{273079FA-06DB-4944-8DF9-51A9EA5CF1A6}" name="Kolonna10579"/>
    <tableColumn id="10918" xr3:uid="{0DE7B3E9-2378-40E3-977C-1EEC7AD4ACAA}" name="Kolonna10580"/>
    <tableColumn id="10919" xr3:uid="{0E182628-658B-40E1-9044-EC52581316C9}" name="Kolonna10581"/>
    <tableColumn id="10920" xr3:uid="{60824195-FC3A-408B-8025-E260B5227022}" name="Kolonna10582"/>
    <tableColumn id="10921" xr3:uid="{8C05EE0D-EF99-49CA-9ECE-EFAB170E0337}" name="Kolonna10583"/>
    <tableColumn id="10922" xr3:uid="{E1A469F6-0CC8-4D10-96F9-F704059F80B1}" name="Kolonna10584"/>
    <tableColumn id="10923" xr3:uid="{28ED318A-2BDD-49A1-A923-ECABAE5604EB}" name="Kolonna10585"/>
    <tableColumn id="10924" xr3:uid="{4749A366-331E-4088-9968-CB684D3DFE8E}" name="Kolonna10586"/>
    <tableColumn id="10925" xr3:uid="{AA0C0C59-DB05-4B30-BAFF-4D6644F7E074}" name="Kolonna10587"/>
    <tableColumn id="10926" xr3:uid="{9EA0E3EF-69EA-4D3E-B5B0-7029650AFF41}" name="Kolonna10588"/>
    <tableColumn id="10927" xr3:uid="{E6CEBCF4-F249-4F80-A220-113700728F09}" name="Kolonna10589"/>
    <tableColumn id="10928" xr3:uid="{53F7F540-80EA-4032-96E4-33E9EBC4856E}" name="Kolonna10590"/>
    <tableColumn id="10929" xr3:uid="{01C639D7-42A8-4FF4-8E79-C81DE5F56471}" name="Kolonna10591"/>
    <tableColumn id="10930" xr3:uid="{219536A0-3B23-49A1-AA17-5341D4F8D620}" name="Kolonna10592"/>
    <tableColumn id="10931" xr3:uid="{2036C081-E154-430D-A2B3-2140B261B735}" name="Kolonna10593"/>
    <tableColumn id="10932" xr3:uid="{31F19F1E-63C3-4776-BD81-C7A6A8C5528A}" name="Kolonna10594"/>
    <tableColumn id="10933" xr3:uid="{4E198A3D-88B6-4673-AA86-DA507A146042}" name="Kolonna10595"/>
    <tableColumn id="10934" xr3:uid="{58772A62-CFF3-4496-B4ED-E69870D92BB4}" name="Kolonna10596"/>
    <tableColumn id="10935" xr3:uid="{0915C7A2-5C0A-4307-82FC-9F1D39CBC859}" name="Kolonna10597"/>
    <tableColumn id="10936" xr3:uid="{C8AADFE1-DB83-448E-9080-CA4D27D50F8D}" name="Kolonna10598"/>
    <tableColumn id="10937" xr3:uid="{4EA362BE-942B-4D15-91AA-2BA5E1476A2F}" name="Kolonna10599"/>
    <tableColumn id="10938" xr3:uid="{50B86FBB-E5E0-4A72-BA72-EAC5203B4FFA}" name="Kolonna10600"/>
    <tableColumn id="10939" xr3:uid="{F14D30C2-8F50-4A70-A901-40210FBADBDD}" name="Kolonna10601"/>
    <tableColumn id="10940" xr3:uid="{FC0E6AC3-6499-4E26-A9D1-A0F57DBAABA6}" name="Kolonna10602"/>
    <tableColumn id="10941" xr3:uid="{DCD4991A-7940-4944-B123-39F4D21DC0DD}" name="Kolonna10603"/>
    <tableColumn id="10942" xr3:uid="{0E21BF18-21D5-442A-A5CC-D3DCF9878A9A}" name="Kolonna10604"/>
    <tableColumn id="10943" xr3:uid="{1C4A5E8D-EE64-46C0-9C2C-9B4CB981B234}" name="Kolonna10605"/>
    <tableColumn id="10944" xr3:uid="{3FA54735-93DB-415D-8310-DAA9A88E94CC}" name="Kolonna10606"/>
    <tableColumn id="10945" xr3:uid="{83707394-E5A7-4644-9416-58A7BE6E2C22}" name="Kolonna10607"/>
    <tableColumn id="10946" xr3:uid="{4C80FA60-B913-43CC-8B27-62F9530DC1ED}" name="Kolonna10608"/>
    <tableColumn id="10947" xr3:uid="{384A367B-5914-4772-B988-61F256000454}" name="Kolonna10609"/>
    <tableColumn id="10948" xr3:uid="{E33255D7-4715-4ED0-ADB1-2D1BF8BE995B}" name="Kolonna10610"/>
    <tableColumn id="10949" xr3:uid="{1A89FA4F-2122-44F2-8914-783F5F94A306}" name="Kolonna10611"/>
    <tableColumn id="10950" xr3:uid="{CEB205A4-440D-430C-B345-5523AB530790}" name="Kolonna10612"/>
    <tableColumn id="10951" xr3:uid="{8D1D2166-82B7-40A3-932B-88A5B91F3CD7}" name="Kolonna10613"/>
    <tableColumn id="10952" xr3:uid="{AA239658-2138-4EC0-8FC0-66325ABDE07B}" name="Kolonna10614"/>
    <tableColumn id="10953" xr3:uid="{E93ADF36-2C57-4A60-83E0-9BC269D2D49C}" name="Kolonna10615"/>
    <tableColumn id="10954" xr3:uid="{F8369FA1-D970-4F0A-AF4E-7ACF70F96DA7}" name="Kolonna10616"/>
    <tableColumn id="10955" xr3:uid="{4CEC06E6-63C1-481E-A8D8-C9C309EF6424}" name="Kolonna10617"/>
    <tableColumn id="10956" xr3:uid="{98D73F24-B4D9-46E8-B9D0-ADB72B3498D5}" name="Kolonna10618"/>
    <tableColumn id="10957" xr3:uid="{A5F769E9-F672-41E3-8928-655B154C9E68}" name="Kolonna10619"/>
    <tableColumn id="10958" xr3:uid="{26BF6583-6994-463D-94CF-C945007BAA36}" name="Kolonna10620"/>
    <tableColumn id="10959" xr3:uid="{6A22426B-18E3-4054-BC4B-574F07B999AE}" name="Kolonna10621"/>
    <tableColumn id="10960" xr3:uid="{ED38173B-B072-4C61-B1AB-FFCD6E1674EC}" name="Kolonna10622"/>
    <tableColumn id="10961" xr3:uid="{0E4D72BB-F5AB-4198-B17C-3E323458060C}" name="Kolonna10623"/>
    <tableColumn id="10962" xr3:uid="{1B7297D4-54BA-4369-B19D-4F83CFB89774}" name="Kolonna10624"/>
    <tableColumn id="10963" xr3:uid="{BEE7471C-A903-4784-A8F1-1E7D4F5195E9}" name="Kolonna10625"/>
    <tableColumn id="10964" xr3:uid="{1EA83E5E-9B62-4894-9093-7DBC505182C9}" name="Kolonna10626"/>
    <tableColumn id="10965" xr3:uid="{224538D2-9282-4E60-8E2F-F6391C286034}" name="Kolonna10627"/>
    <tableColumn id="10966" xr3:uid="{47BA0FFB-D768-40EB-B7CE-6D4CCD1AB0B4}" name="Kolonna10628"/>
    <tableColumn id="10967" xr3:uid="{6106D72D-495A-4E58-BB63-1C2BD12B2B82}" name="Kolonna10629"/>
    <tableColumn id="10968" xr3:uid="{DE06A485-718D-4A5C-AD81-D8CBFB127998}" name="Kolonna10630"/>
    <tableColumn id="10969" xr3:uid="{3D53DAFF-7622-479E-B02D-F01689CB8F69}" name="Kolonna10631"/>
    <tableColumn id="10970" xr3:uid="{F5F420DD-AB1D-4CCC-BF63-3848DED6F90D}" name="Kolonna10632"/>
    <tableColumn id="10971" xr3:uid="{AC156D3A-FB4C-4349-90C2-39CA9A6E2D64}" name="Kolonna10633"/>
    <tableColumn id="10972" xr3:uid="{020190EB-526B-4665-B613-D3FA95682E19}" name="Kolonna10634"/>
    <tableColumn id="10973" xr3:uid="{D6672103-6C2C-435A-9BCB-7B57EFA91525}" name="Kolonna10635"/>
    <tableColumn id="10974" xr3:uid="{A657BF09-0B6E-4E6C-82B1-01C3F776F2EF}" name="Kolonna10636"/>
    <tableColumn id="10975" xr3:uid="{7C71560B-0F6A-4B27-AA34-48D4BB10EACE}" name="Kolonna10637"/>
    <tableColumn id="10976" xr3:uid="{FA05BD70-39FF-46A2-8BE9-A44FDD23D270}" name="Kolonna10638"/>
    <tableColumn id="10977" xr3:uid="{56E9D487-9A02-442C-B2FC-A4F1E15F7393}" name="Kolonna10639"/>
    <tableColumn id="10978" xr3:uid="{66A017B4-19D7-4DF7-B2D7-35B52A1F6FAD}" name="Kolonna10640"/>
    <tableColumn id="10979" xr3:uid="{A549EB4F-867F-4D0B-8D4F-33F515665CBC}" name="Kolonna10641"/>
    <tableColumn id="10980" xr3:uid="{9C44071B-0349-4992-84A7-495969FE3E29}" name="Kolonna10642"/>
    <tableColumn id="10981" xr3:uid="{76D94BD2-5473-4301-A603-6578C2FDA3D1}" name="Kolonna10643"/>
    <tableColumn id="10982" xr3:uid="{DEBEBC62-8F6A-47AA-A11F-D4A2882610E1}" name="Kolonna10644"/>
    <tableColumn id="10983" xr3:uid="{F35DFD92-B1FC-4577-9CA5-CA2E5DD742EA}" name="Kolonna10645"/>
    <tableColumn id="10984" xr3:uid="{0BD3C992-5111-4429-BCE7-97A520C95954}" name="Kolonna10646"/>
    <tableColumn id="10985" xr3:uid="{62FDF5B8-6717-45FE-900F-47B85E31CEE5}" name="Kolonna10647"/>
    <tableColumn id="10986" xr3:uid="{56F797BC-C2A8-473E-B4DC-2E9B1B1D1507}" name="Kolonna10648"/>
    <tableColumn id="10987" xr3:uid="{5098CE7C-2AF7-4563-9989-27D075343797}" name="Kolonna10649"/>
    <tableColumn id="10988" xr3:uid="{84BAFFE1-07B3-4058-B151-E254493A7EFC}" name="Kolonna10650"/>
    <tableColumn id="10989" xr3:uid="{F7AEED52-782F-4AD2-ABB6-6974198BFD47}" name="Kolonna10651"/>
    <tableColumn id="10990" xr3:uid="{EEE54BE5-22DC-4A1D-A427-9241235CDABD}" name="Kolonna10652"/>
    <tableColumn id="10991" xr3:uid="{E20CF00F-E4E2-4F01-840D-7CC25DAE0934}" name="Kolonna10653"/>
    <tableColumn id="10992" xr3:uid="{24AB91AD-A3B6-4962-AF7C-88657E949F0A}" name="Kolonna10654"/>
    <tableColumn id="10993" xr3:uid="{E1C822A2-3F0A-4402-8E68-EC4FB66D07AD}" name="Kolonna10655"/>
    <tableColumn id="10994" xr3:uid="{DC185835-C840-43AC-B6CD-A9A033A11B7B}" name="Kolonna10656"/>
    <tableColumn id="10995" xr3:uid="{9055060B-BF95-4920-AB3C-C0BC274DA7CD}" name="Kolonna10657"/>
    <tableColumn id="10996" xr3:uid="{88C63DB4-73A7-445A-BCE9-554CB8C8FADB}" name="Kolonna10658"/>
    <tableColumn id="10997" xr3:uid="{2F019D63-2F7F-4F35-98B3-5F78681C6049}" name="Kolonna10659"/>
    <tableColumn id="10998" xr3:uid="{E59F5472-6122-4096-8ED8-66A149897C2A}" name="Kolonna10660"/>
    <tableColumn id="10999" xr3:uid="{893526E3-3809-49CE-A5C5-D1D9F27634A4}" name="Kolonna10661"/>
    <tableColumn id="11000" xr3:uid="{95CD4909-56ED-473B-AAF4-5877F41D2E70}" name="Kolonna10662"/>
    <tableColumn id="11001" xr3:uid="{22F023C3-D2D4-41F7-8F0F-24E061FC7BC0}" name="Kolonna10663"/>
    <tableColumn id="11002" xr3:uid="{CE1B9EB9-724C-4752-A608-ECE48017F6B6}" name="Kolonna10664"/>
    <tableColumn id="11003" xr3:uid="{2DB92FF3-65F4-4F80-B7F3-CD31EF85D3E6}" name="Kolonna10665"/>
    <tableColumn id="11004" xr3:uid="{3B20A1A7-A07C-4EFE-9B8C-1813FD9B1BDA}" name="Kolonna10666"/>
    <tableColumn id="11005" xr3:uid="{F3714867-D605-47F9-B2C4-D9387820283F}" name="Kolonna10667"/>
    <tableColumn id="11006" xr3:uid="{4FFB07DB-3946-4798-A8D6-D868150C948E}" name="Kolonna10668"/>
    <tableColumn id="11007" xr3:uid="{C4CEFFC7-12D6-4415-A408-8EC34F7F83AE}" name="Kolonna10669"/>
    <tableColumn id="11008" xr3:uid="{52D0E3D5-6890-4E0A-A7E9-F2FF4A190230}" name="Kolonna10670"/>
    <tableColumn id="11009" xr3:uid="{39ABF343-A557-428C-9434-02D420DF243F}" name="Kolonna10671"/>
    <tableColumn id="11010" xr3:uid="{1F90F2D6-E291-4AA6-8A61-8E46844CEA16}" name="Kolonna10672"/>
    <tableColumn id="11011" xr3:uid="{FA2E381F-B997-4C0E-81A0-AF1E96E5528A}" name="Kolonna10673"/>
    <tableColumn id="11012" xr3:uid="{AC17E7AB-8F20-488A-AED1-DF7C5B3816E3}" name="Kolonna10674"/>
    <tableColumn id="11013" xr3:uid="{A476B308-7DC4-446D-BACA-BB8ACD66E953}" name="Kolonna10675"/>
    <tableColumn id="11014" xr3:uid="{AA620173-DA98-4FCF-913E-7ED6C4F23846}" name="Kolonna10676"/>
    <tableColumn id="11015" xr3:uid="{D0A90EB3-7560-4942-9CC8-3C0E4B54688C}" name="Kolonna10677"/>
    <tableColumn id="11016" xr3:uid="{CF7CF365-E1CC-4635-BC59-D2494DB20482}" name="Kolonna10678"/>
    <tableColumn id="11017" xr3:uid="{2210F399-A766-4FC2-B6FE-FCEC93D94ACA}" name="Kolonna10679"/>
    <tableColumn id="11018" xr3:uid="{95C39616-9818-425B-B7B8-F0599B2354D7}" name="Kolonna10680"/>
    <tableColumn id="11019" xr3:uid="{F7E09C76-1D37-4282-B985-67B89EAA4F41}" name="Kolonna10681"/>
    <tableColumn id="11020" xr3:uid="{FEB91AFF-67D6-46BC-A120-12BBFFF56F35}" name="Kolonna10682"/>
    <tableColumn id="11021" xr3:uid="{B9049F17-669E-41AD-A4FF-5A6A03387876}" name="Kolonna10683"/>
    <tableColumn id="11022" xr3:uid="{F7628E3F-2915-4D09-8863-685885F04394}" name="Kolonna10684"/>
    <tableColumn id="11023" xr3:uid="{7E200B9C-185D-4E77-B6D2-05A75CEAEE1A}" name="Kolonna10685"/>
    <tableColumn id="11024" xr3:uid="{69DF0071-80EB-41FE-B5A6-6A1A4BB7BD5D}" name="Kolonna10686"/>
    <tableColumn id="11025" xr3:uid="{9364AE36-D69F-43F5-8BB0-F96E8697DD26}" name="Kolonna10687"/>
    <tableColumn id="11026" xr3:uid="{C2A8AF51-487C-413F-9EE3-C8A32F3D654F}" name="Kolonna10688"/>
    <tableColumn id="11027" xr3:uid="{1D70AD91-1DBD-49C5-83EA-C6EC59CCF743}" name="Kolonna10689"/>
    <tableColumn id="11028" xr3:uid="{F7B42328-E27B-450B-8A59-D18BEEA81741}" name="Kolonna10690"/>
    <tableColumn id="11029" xr3:uid="{54C02451-7377-4C0C-8592-865FADA26460}" name="Kolonna10691"/>
    <tableColumn id="11030" xr3:uid="{03555E19-DBD1-4DB1-BF2B-278AB96EEFDC}" name="Kolonna10692"/>
    <tableColumn id="11031" xr3:uid="{F589DFDE-9F7E-44A1-A0E7-F584FB26247E}" name="Kolonna10693"/>
    <tableColumn id="11032" xr3:uid="{A07E3211-7D5B-4728-9564-F7FCC3F37C66}" name="Kolonna10694"/>
    <tableColumn id="11033" xr3:uid="{E45750C0-28FB-4F7A-BF45-B3EA9BE35B2A}" name="Kolonna10695"/>
    <tableColumn id="11034" xr3:uid="{BCC0456A-89B3-4BED-BCF5-1AEEA41D3948}" name="Kolonna10696"/>
    <tableColumn id="11035" xr3:uid="{35DC8E62-C3BA-4D54-8A21-FCFABE6C818B}" name="Kolonna10697"/>
    <tableColumn id="11036" xr3:uid="{A76EFCF0-142D-41C8-97D2-97D819829CF1}" name="Kolonna10698"/>
    <tableColumn id="11037" xr3:uid="{A6B9A249-56A1-4671-B04F-88E4D3FDFCE2}" name="Kolonna10699"/>
    <tableColumn id="11038" xr3:uid="{2CE7FE90-4FF2-48C3-BE73-A334A9A11971}" name="Kolonna10700"/>
    <tableColumn id="11039" xr3:uid="{4BFD1F25-5FEF-424C-B8DC-3F3485C47BB9}" name="Kolonna10701"/>
    <tableColumn id="11040" xr3:uid="{F382D591-5D91-444A-AEB3-F0C184417A4E}" name="Kolonna10702"/>
    <tableColumn id="11041" xr3:uid="{4BCC53C7-33F0-428F-A54B-44E875F2B394}" name="Kolonna10703"/>
    <tableColumn id="11042" xr3:uid="{298E06CE-F733-4E2D-B456-9C835E5EAC34}" name="Kolonna10704"/>
    <tableColumn id="11043" xr3:uid="{BA864909-8E6A-405E-AFE5-F336F90B5D4D}" name="Kolonna10705"/>
    <tableColumn id="11044" xr3:uid="{FF74AF42-DEA0-45BC-9BD8-16F4658009D6}" name="Kolonna10706"/>
    <tableColumn id="11045" xr3:uid="{2EE29F48-65AC-4737-AB73-FB6803FE1804}" name="Kolonna10707"/>
    <tableColumn id="11046" xr3:uid="{A6BEB977-A088-4309-BB66-A7357361EE1C}" name="Kolonna10708"/>
    <tableColumn id="11047" xr3:uid="{D67D07CE-8083-44B3-982E-99037D3FA2D0}" name="Kolonna10709"/>
    <tableColumn id="11048" xr3:uid="{42DDAFAB-892F-4692-A3E8-C7DF7B8C4CF2}" name="Kolonna10710"/>
    <tableColumn id="11049" xr3:uid="{5089DBCF-8B62-4129-8786-F6BF2A4157C2}" name="Kolonna10711"/>
    <tableColumn id="11050" xr3:uid="{A7D85CD9-26D1-4FF1-A244-BD8F01DC4ED2}" name="Kolonna10712"/>
    <tableColumn id="11051" xr3:uid="{A38F0941-CD74-4FBF-BAE7-04410CF43558}" name="Kolonna10713"/>
    <tableColumn id="11052" xr3:uid="{CA3BD44E-EE72-498A-81A9-5FB99552D997}" name="Kolonna10714"/>
    <tableColumn id="11053" xr3:uid="{443B3A4F-5338-41F5-8EAD-FC38DA66554E}" name="Kolonna10715"/>
    <tableColumn id="11054" xr3:uid="{0A8C0F27-6453-4B04-B042-42F0FEB316B5}" name="Kolonna10716"/>
    <tableColumn id="11055" xr3:uid="{F03D9670-2722-47A9-AD23-E3CB1CAB2E63}" name="Kolonna10717"/>
    <tableColumn id="11056" xr3:uid="{288462C5-7191-48D7-AAC3-91098E3303D4}" name="Kolonna10718"/>
    <tableColumn id="11057" xr3:uid="{820ECC49-45B6-48F9-804B-F0EA28D55855}" name="Kolonna10719"/>
    <tableColumn id="11058" xr3:uid="{C22CEA63-E4AA-4736-86D3-F891F1CE4EB8}" name="Kolonna10720"/>
    <tableColumn id="11059" xr3:uid="{86368779-D4A4-4E60-B15B-EAE67947C19B}" name="Kolonna10721"/>
    <tableColumn id="11060" xr3:uid="{42B18C7F-DCE8-4F1A-9E81-8A36B40A9264}" name="Kolonna10722"/>
    <tableColumn id="11061" xr3:uid="{996C0CC5-CC23-41EB-AEB9-170D9EDCE6E4}" name="Kolonna10723"/>
    <tableColumn id="11062" xr3:uid="{75C2B40D-4406-4F6F-89AA-22AA201C994D}" name="Kolonna10724"/>
    <tableColumn id="11063" xr3:uid="{29D2F246-F2BE-4479-B847-0F557EAC0061}" name="Kolonna10725"/>
    <tableColumn id="11064" xr3:uid="{B7AD8E20-2BF9-47E6-BB76-EEB7B0BD3905}" name="Kolonna10726"/>
    <tableColumn id="11065" xr3:uid="{46673458-36AD-4E3E-B71A-A855E7E8579D}" name="Kolonna10727"/>
    <tableColumn id="11066" xr3:uid="{41A96F8A-D043-4316-A59F-219FE16D9D9F}" name="Kolonna10728"/>
    <tableColumn id="11067" xr3:uid="{F5B46069-31DE-49BD-8DAE-BCFA9BCC83C0}" name="Kolonna10729"/>
    <tableColumn id="11068" xr3:uid="{5C871145-8C42-419F-84E5-95784D75520D}" name="Kolonna10730"/>
    <tableColumn id="11069" xr3:uid="{56843E7F-E775-4DE7-B23C-429135E6E8AE}" name="Kolonna10731"/>
    <tableColumn id="11070" xr3:uid="{2B85DAF2-B0B8-49C6-AE11-D7FA2C308109}" name="Kolonna10732"/>
    <tableColumn id="11071" xr3:uid="{2E18C10A-2BB3-4D18-8064-9E7DD6011294}" name="Kolonna10733"/>
    <tableColumn id="11072" xr3:uid="{36B29EF7-8340-4C12-9E27-A3C78A3B55AE}" name="Kolonna10734"/>
    <tableColumn id="11073" xr3:uid="{A65B5E21-B7F8-4E1C-AB81-6BBC85D60BEA}" name="Kolonna10735"/>
    <tableColumn id="11074" xr3:uid="{70A44D9A-E0CD-4549-8EB5-46E1D45F8236}" name="Kolonna10736"/>
    <tableColumn id="11075" xr3:uid="{1AF57F5B-41C9-4584-B7A2-906FACF98384}" name="Kolonna10737"/>
    <tableColumn id="11076" xr3:uid="{5D1EAC7E-4D18-4980-9CFE-FC052727E419}" name="Kolonna10738"/>
    <tableColumn id="11077" xr3:uid="{77A6055E-BC0A-44A4-99A5-FF4AF59EAC7A}" name="Kolonna10739"/>
    <tableColumn id="11078" xr3:uid="{F8C1B1C7-5F31-42FD-969C-363729664331}" name="Kolonna10740"/>
    <tableColumn id="11079" xr3:uid="{7CA6C2E7-66B4-416C-A078-AFAF3C2B16D2}" name="Kolonna10741"/>
    <tableColumn id="11080" xr3:uid="{3E231FC6-7283-483F-9F73-7EAC28E6D03B}" name="Kolonna10742"/>
    <tableColumn id="11081" xr3:uid="{297F976D-012A-4113-929F-48D1B9DB896D}" name="Kolonna10743"/>
    <tableColumn id="11082" xr3:uid="{F7C10DE8-6CBD-4836-A5C2-DE6FA334CB20}" name="Kolonna10744"/>
    <tableColumn id="11083" xr3:uid="{097A170B-DED2-4C95-B3F7-CE722FB13C2B}" name="Kolonna10745"/>
    <tableColumn id="11084" xr3:uid="{E7253224-1F27-47DA-9725-1699C58CA8D1}" name="Kolonna10746"/>
    <tableColumn id="11085" xr3:uid="{9A0912B1-887C-4676-A21C-3658394B7D90}" name="Kolonna10747"/>
    <tableColumn id="11086" xr3:uid="{77757CA3-EFB2-4C6E-B0E5-5E1F75EA6C6C}" name="Kolonna10748"/>
    <tableColumn id="11087" xr3:uid="{C704B168-3D15-431B-A66C-9FC2EBD2A466}" name="Kolonna10749"/>
    <tableColumn id="11088" xr3:uid="{DB178188-1678-48C9-A31A-0C021598619E}" name="Kolonna10750"/>
    <tableColumn id="11089" xr3:uid="{1E6C2238-AB2E-4810-A0BF-DCCA6B67BBB4}" name="Kolonna10751"/>
    <tableColumn id="11090" xr3:uid="{9CEA176F-673D-4386-90EF-65B7825E3A3F}" name="Kolonna10752"/>
    <tableColumn id="11091" xr3:uid="{7BB030DD-2EC5-43D4-9F0C-1C8BDE746CAE}" name="Kolonna10753"/>
    <tableColumn id="11092" xr3:uid="{0386D272-B19C-4BF8-8A5E-59FE86F44673}" name="Kolonna10754"/>
    <tableColumn id="11093" xr3:uid="{D3B7A6F1-3B35-4BBF-885F-F1F62D940A1B}" name="Kolonna10755"/>
    <tableColumn id="11094" xr3:uid="{2DA0F207-981B-44B3-B153-120600C29716}" name="Kolonna10756"/>
    <tableColumn id="11095" xr3:uid="{25D1C750-5A55-42B3-95B1-B4CBF7027F59}" name="Kolonna10757"/>
    <tableColumn id="11096" xr3:uid="{9177BCA0-0086-4CFD-BF25-5DE7C960880B}" name="Kolonna10758"/>
    <tableColumn id="11097" xr3:uid="{1DFBE39F-66A4-4E0C-9683-56E187140B97}" name="Kolonna10759"/>
    <tableColumn id="11098" xr3:uid="{5D8E4708-E711-41C6-A1A9-11488AE9FA09}" name="Kolonna10760"/>
    <tableColumn id="11099" xr3:uid="{23899AF2-0ED5-4BA0-B8FA-D15ACD686687}" name="Kolonna10761"/>
    <tableColumn id="11100" xr3:uid="{F2F0C7B4-471E-4C2F-B7AF-454262CCACA4}" name="Kolonna10762"/>
    <tableColumn id="11101" xr3:uid="{03841B79-6514-44A9-8D22-A0DC11355907}" name="Kolonna10763"/>
    <tableColumn id="11102" xr3:uid="{F0FBB9ED-E800-44D9-8836-53FFB366B482}" name="Kolonna10764"/>
    <tableColumn id="11103" xr3:uid="{AEDF9A6B-8A1B-4125-97BF-CFECF9057076}" name="Kolonna10765"/>
    <tableColumn id="11104" xr3:uid="{88423118-A648-4C6B-BFF4-4B7F1F244F85}" name="Kolonna10766"/>
    <tableColumn id="11105" xr3:uid="{2B5D5078-72B0-47DB-88BE-9993A0763714}" name="Kolonna10767"/>
    <tableColumn id="11106" xr3:uid="{72A9C2D2-31CD-4D89-AE5D-02C4F68C3FC0}" name="Kolonna10768"/>
    <tableColumn id="11107" xr3:uid="{85D4922C-BB33-44A7-B21D-63BF0C254CBD}" name="Kolonna10769"/>
    <tableColumn id="11108" xr3:uid="{AB57819A-7330-4D0E-B066-D49BDF5F6F21}" name="Kolonna10770"/>
    <tableColumn id="11109" xr3:uid="{8F1B7B40-E42E-4AE7-9898-9657CCD9334A}" name="Kolonna10771"/>
    <tableColumn id="11110" xr3:uid="{E25E8555-B9AF-49A4-A465-D083BBD435CA}" name="Kolonna10772"/>
    <tableColumn id="11111" xr3:uid="{009150F2-0D10-4E90-87E3-5EC84BA6DB79}" name="Kolonna10773"/>
    <tableColumn id="11112" xr3:uid="{B5C718A8-9587-45F2-BC49-E4DCB95665CC}" name="Kolonna10774"/>
    <tableColumn id="11113" xr3:uid="{EC730B25-2CD5-4028-8B4C-F9BD54666EDE}" name="Kolonna10775"/>
    <tableColumn id="11114" xr3:uid="{32255BC6-13CC-46FD-93C4-E0CCE72B9B7A}" name="Kolonna10776"/>
    <tableColumn id="11115" xr3:uid="{2E545E3D-E9A1-4F1B-A933-EEDE33550505}" name="Kolonna10777"/>
    <tableColumn id="11116" xr3:uid="{6070F1A8-B130-4560-A54F-D95200685844}" name="Kolonna10778"/>
    <tableColumn id="11117" xr3:uid="{C7087A15-75CB-412B-8E63-5EA02B242FFC}" name="Kolonna10779"/>
    <tableColumn id="11118" xr3:uid="{24913DC6-29CA-4C73-8B75-37BE6848E84C}" name="Kolonna10780"/>
    <tableColumn id="11119" xr3:uid="{065E90E7-F0B3-42BC-8D8E-CDF05F7577FF}" name="Kolonna10781"/>
    <tableColumn id="11120" xr3:uid="{433C4792-9800-4875-BF7E-250DACE1B2C0}" name="Kolonna10782"/>
    <tableColumn id="11121" xr3:uid="{7396AA34-B0F0-42EC-9DEC-3348C7A2E182}" name="Kolonna10783"/>
    <tableColumn id="11122" xr3:uid="{AA67C805-2EA3-4F5A-8A1F-C544BE81330C}" name="Kolonna10784"/>
    <tableColumn id="11123" xr3:uid="{5E3C8348-68E5-431F-B10E-25BAEAF6686F}" name="Kolonna10785"/>
    <tableColumn id="11124" xr3:uid="{39F68377-7FFF-4227-B201-329360224AD4}" name="Kolonna10786"/>
    <tableColumn id="11125" xr3:uid="{75763B79-42CE-4B27-83A7-66D6CEAF1ACC}" name="Kolonna10787"/>
    <tableColumn id="11126" xr3:uid="{BCC8BA94-AF4C-4125-BAC1-A480A0AFF814}" name="Kolonna10788"/>
    <tableColumn id="11127" xr3:uid="{1443FDF8-BDD0-4C0D-B68D-072EAF84A434}" name="Kolonna10789"/>
    <tableColumn id="11128" xr3:uid="{2226593C-CD56-4598-8136-0066BCDB9B8B}" name="Kolonna10790"/>
    <tableColumn id="11129" xr3:uid="{C7A69092-12F1-4D8E-BDC4-7AEA2D1ED44A}" name="Kolonna10791"/>
    <tableColumn id="11130" xr3:uid="{ED85315A-D17C-41DB-B25A-BDB6B2EBD5A9}" name="Kolonna10792"/>
    <tableColumn id="11131" xr3:uid="{4D29865E-8919-4414-A1B8-322C3F82522D}" name="Kolonna10793"/>
    <tableColumn id="11132" xr3:uid="{DE800C46-A97F-43D8-ACB9-12038712703D}" name="Kolonna10794"/>
    <tableColumn id="11133" xr3:uid="{5D2A98E1-DF11-40BA-9139-51ECA1BCF7AB}" name="Kolonna10795"/>
    <tableColumn id="11134" xr3:uid="{F9881CA4-341C-49CF-B4DA-4AFA3A33CCC2}" name="Kolonna10796"/>
    <tableColumn id="11135" xr3:uid="{7BA92BB2-3BCF-462F-B858-6E8241036D34}" name="Kolonna10797"/>
    <tableColumn id="11136" xr3:uid="{0B943A96-47D1-4B53-A591-159B6113A47F}" name="Kolonna10798"/>
    <tableColumn id="11137" xr3:uid="{709C4FA7-1369-494F-972F-3EFD2A76AEC2}" name="Kolonna10799"/>
    <tableColumn id="11138" xr3:uid="{1BA3B291-E6DD-4A0F-ACE6-5EB082A4BB93}" name="Kolonna10800"/>
    <tableColumn id="11139" xr3:uid="{3BC955E6-9701-45AC-8946-2C8E75DE864B}" name="Kolonna10801"/>
    <tableColumn id="11140" xr3:uid="{49FC1E8D-3B16-426F-82E6-A55847276A08}" name="Kolonna10802"/>
    <tableColumn id="11141" xr3:uid="{3F5FEC4A-DEC1-47DC-A89E-CE4CEC389E79}" name="Kolonna10803"/>
    <tableColumn id="11142" xr3:uid="{45DB90DD-D152-41B2-BDD8-3E9468836AF4}" name="Kolonna10804"/>
    <tableColumn id="11143" xr3:uid="{440B947D-FD1B-4E79-8045-FB7B09C5EAD0}" name="Kolonna10805"/>
    <tableColumn id="11144" xr3:uid="{5B46A724-BA7F-408C-A1B7-79FD525A1CD7}" name="Kolonna10806"/>
    <tableColumn id="11145" xr3:uid="{76CCCA17-7BDB-4B43-9FF0-1813D3E28A74}" name="Kolonna10807"/>
    <tableColumn id="11146" xr3:uid="{092219D0-E018-438C-B286-630747EB232D}" name="Kolonna10808"/>
    <tableColumn id="11147" xr3:uid="{388F5503-2EAA-4029-B679-DF6F1BD83C49}" name="Kolonna10809"/>
    <tableColumn id="11148" xr3:uid="{E66B0991-728F-4414-BAE8-E7FF826BD867}" name="Kolonna10810"/>
    <tableColumn id="11149" xr3:uid="{5C828E09-46EA-46F4-B79E-6CA47C62FD85}" name="Kolonna10811"/>
    <tableColumn id="11150" xr3:uid="{388F7E5C-C944-4FB7-8161-4979848D42F4}" name="Kolonna10812"/>
    <tableColumn id="11151" xr3:uid="{B0B6FF7C-54B9-4710-9707-D96410329E55}" name="Kolonna10813"/>
    <tableColumn id="11152" xr3:uid="{04ACD284-4407-44B8-A6B0-D329CB753799}" name="Kolonna10814"/>
    <tableColumn id="11153" xr3:uid="{AF218A81-1917-4E33-A22B-9C539A123149}" name="Kolonna10815"/>
    <tableColumn id="11154" xr3:uid="{8F980FF0-D677-4EA7-A305-C7F5EA171F14}" name="Kolonna10816"/>
    <tableColumn id="11155" xr3:uid="{B20CCA64-9512-43A0-8701-8681A1247052}" name="Kolonna10817"/>
    <tableColumn id="11156" xr3:uid="{1150D467-A874-4ED4-A8FC-0B1F5E20E5AF}" name="Kolonna10818"/>
    <tableColumn id="11157" xr3:uid="{FD872C76-7984-4910-A430-C9D7B6C9F87D}" name="Kolonna10819"/>
    <tableColumn id="11158" xr3:uid="{51B5F2B2-48CD-4EEE-BE00-1B73BBC44293}" name="Kolonna10820"/>
    <tableColumn id="11159" xr3:uid="{A0D105DE-FD1D-4BAE-A7FC-5B4EA5ABE72D}" name="Kolonna10821"/>
    <tableColumn id="11160" xr3:uid="{14B41713-515F-4D5F-909C-A08072D9D8F2}" name="Kolonna10822"/>
    <tableColumn id="11161" xr3:uid="{8BE4C880-A0E2-4351-82F3-B26AEC2C6BBB}" name="Kolonna10823"/>
    <tableColumn id="11162" xr3:uid="{EE5D573D-7D74-4610-BB93-CE981A0FC87C}" name="Kolonna10824"/>
    <tableColumn id="11163" xr3:uid="{62969672-BC15-4A0D-B023-C9C9CAD6F0BE}" name="Kolonna10825"/>
    <tableColumn id="11164" xr3:uid="{F3AC9D9F-B459-4CFF-90DA-29286B526B1C}" name="Kolonna10826"/>
    <tableColumn id="11165" xr3:uid="{294C076B-9194-4D18-A395-0318502B6394}" name="Kolonna10827"/>
    <tableColumn id="11166" xr3:uid="{E9474199-438D-485F-A647-58A8496BF163}" name="Kolonna10828"/>
    <tableColumn id="11167" xr3:uid="{ED4CF44C-0EBD-4DA5-9910-88E3B1A778E0}" name="Kolonna10829"/>
    <tableColumn id="11168" xr3:uid="{F29B058A-AEA5-40F4-831B-AD8BC3BD90E1}" name="Kolonna10830"/>
    <tableColumn id="11169" xr3:uid="{861B84B8-0B0E-4785-AAB5-C8B91C683CA4}" name="Kolonna10831"/>
    <tableColumn id="11170" xr3:uid="{7CCCF1F9-B1DA-4D25-9872-9AC57763F74E}" name="Kolonna10832"/>
    <tableColumn id="11171" xr3:uid="{E9CD6083-47D8-41B6-A4E1-8EFB2C04F9AE}" name="Kolonna10833"/>
    <tableColumn id="11172" xr3:uid="{4B6887D3-2952-46A6-A28E-A3A97EC97131}" name="Kolonna10834"/>
    <tableColumn id="11173" xr3:uid="{5DAC2FF0-C91D-4FBB-94AF-3803909788AA}" name="Kolonna10835"/>
    <tableColumn id="11174" xr3:uid="{DCEF1AFD-61FA-49DA-8C9C-7D740D42536F}" name="Kolonna10836"/>
    <tableColumn id="11175" xr3:uid="{990D2633-3817-467B-A26C-7DEA2729BF58}" name="Kolonna10837"/>
    <tableColumn id="11176" xr3:uid="{1DC77238-DF73-4BEC-86A3-997E9B60C0A0}" name="Kolonna10838"/>
    <tableColumn id="11177" xr3:uid="{1DC11D72-86DA-44DB-ACF3-FF84FF67A65D}" name="Kolonna10839"/>
    <tableColumn id="11178" xr3:uid="{7A13B395-414B-40DB-928E-EE1F1FF70A10}" name="Kolonna10840"/>
    <tableColumn id="11179" xr3:uid="{71C86A48-B16F-4010-9464-391477FB67B3}" name="Kolonna10841"/>
    <tableColumn id="11180" xr3:uid="{FDD873F0-5196-4CD3-9208-B3985589A3EB}" name="Kolonna10842"/>
    <tableColumn id="11181" xr3:uid="{F313C67E-1BD9-4507-ABAC-5101D0CC14B9}" name="Kolonna10843"/>
    <tableColumn id="11182" xr3:uid="{B63954D4-D1C3-47D9-96BD-A9017888C580}" name="Kolonna10844"/>
    <tableColumn id="11183" xr3:uid="{CE4D396E-788F-4C5B-8253-B7C73E0638FF}" name="Kolonna10845"/>
    <tableColumn id="11184" xr3:uid="{ACF36015-9160-4EBA-90D8-0FDBA88FAED9}" name="Kolonna10846"/>
    <tableColumn id="11185" xr3:uid="{FA793EEC-E1A5-47CE-A476-EFD86A386AE1}" name="Kolonna10847"/>
    <tableColumn id="11186" xr3:uid="{E05015BE-C5C7-48FB-9FD0-E9808879A550}" name="Kolonna10848"/>
    <tableColumn id="11187" xr3:uid="{15E0C395-31FC-46CC-BBF9-D6FB1D6AEF71}" name="Kolonna10849"/>
    <tableColumn id="11188" xr3:uid="{363C134F-E98A-4144-92C9-8B04E40DF6C5}" name="Kolonna10850"/>
    <tableColumn id="11189" xr3:uid="{9F40E066-642F-4085-B11F-009CB6DEA3F8}" name="Kolonna10851"/>
    <tableColumn id="11190" xr3:uid="{56A35B8B-0D08-430E-885D-AFC87A0356D5}" name="Kolonna10852"/>
    <tableColumn id="11191" xr3:uid="{87C21834-E64C-4E6A-B6E7-84635ECC624E}" name="Kolonna10853"/>
    <tableColumn id="11192" xr3:uid="{12B306B4-A99E-40A8-A563-467CF05B12EF}" name="Kolonna10854"/>
    <tableColumn id="11193" xr3:uid="{36BB8EFD-2DF1-49B9-9DFF-E38AD1A2DEA5}" name="Kolonna10855"/>
    <tableColumn id="11194" xr3:uid="{FEEE802A-90DE-42FE-9F07-093A6A3C1280}" name="Kolonna10856"/>
    <tableColumn id="11195" xr3:uid="{9AF3848F-413F-4E79-88A6-2EBF63EB24FD}" name="Kolonna10857"/>
    <tableColumn id="11196" xr3:uid="{8B3BFB0F-1EA3-485C-B02A-27E9B5188254}" name="Kolonna10858"/>
    <tableColumn id="11197" xr3:uid="{1D437FBB-91BA-4A62-97FF-46EED2C60D6C}" name="Kolonna10859"/>
    <tableColumn id="11198" xr3:uid="{D2711D54-20C3-4DD9-89C8-FE7BA1864C76}" name="Kolonna10860"/>
    <tableColumn id="11199" xr3:uid="{85D29AC4-51A5-4DFF-98E5-78BA88984A88}" name="Kolonna10861"/>
    <tableColumn id="11200" xr3:uid="{13536510-9CD3-485A-A44A-5AA3B5DB2CBD}" name="Kolonna10862"/>
    <tableColumn id="11201" xr3:uid="{B4B2EED4-FF7F-4CFE-822F-EB2704450BFB}" name="Kolonna10863"/>
    <tableColumn id="11202" xr3:uid="{BBF16F3C-3F55-4E2D-96A1-97D26074DA07}" name="Kolonna10864"/>
    <tableColumn id="11203" xr3:uid="{55085F41-24E3-4B58-B839-9DA0F021E813}" name="Kolonna10865"/>
    <tableColumn id="11204" xr3:uid="{7A85B340-55AA-42FF-8F8B-748D91C04ED7}" name="Kolonna10866"/>
    <tableColumn id="11205" xr3:uid="{07058AFC-4C13-484C-9B5E-219BAFFACC85}" name="Kolonna10867"/>
    <tableColumn id="11206" xr3:uid="{26C8218C-89C5-4AE5-A3FE-6B3EFD8F6D0F}" name="Kolonna10868"/>
    <tableColumn id="11207" xr3:uid="{5BB46620-4C48-4C29-B1EC-319CA3B573DB}" name="Kolonna10869"/>
    <tableColumn id="11208" xr3:uid="{4C936A70-503A-49A0-A51A-2B7A62BCECCC}" name="Kolonna10870"/>
    <tableColumn id="11209" xr3:uid="{B6F4DB8A-1644-42E1-8CA7-658001EEDE3E}" name="Kolonna10871"/>
    <tableColumn id="11210" xr3:uid="{F1666E38-E389-408F-A0D4-886CE125AF5C}" name="Kolonna10872"/>
    <tableColumn id="11211" xr3:uid="{D909A8F4-D8B3-48E8-BD39-125C9974F5B0}" name="Kolonna10873"/>
    <tableColumn id="11212" xr3:uid="{CF545673-B72F-43D7-A473-6FEFE71D89E9}" name="Kolonna10874"/>
    <tableColumn id="11213" xr3:uid="{2224991B-177A-47DA-91A4-B09EA5F611A3}" name="Kolonna10875"/>
    <tableColumn id="11214" xr3:uid="{EB369EAD-412D-4DAB-BBD9-5FD8E6ACB1D3}" name="Kolonna10876"/>
    <tableColumn id="11215" xr3:uid="{3C09F0EF-ED18-429E-AB5E-E6C1CC241611}" name="Kolonna10877"/>
    <tableColumn id="11216" xr3:uid="{656AC393-D0D8-4397-B90C-E2BD4795C308}" name="Kolonna10878"/>
    <tableColumn id="11217" xr3:uid="{50950B53-B825-458D-BA60-C8AD4758CB1A}" name="Kolonna10879"/>
    <tableColumn id="11218" xr3:uid="{48985341-CB76-4584-A6D0-5CBA1D62C57F}" name="Kolonna10880"/>
    <tableColumn id="11219" xr3:uid="{454EC272-284A-48DA-9A46-5E097000D226}" name="Kolonna10881"/>
    <tableColumn id="11220" xr3:uid="{3987ABCF-1BE2-40ED-AAAB-0BD2FC4661E3}" name="Kolonna10882"/>
    <tableColumn id="11221" xr3:uid="{AF77A3F6-29F7-494B-A63A-43EABB54B4EF}" name="Kolonna10883"/>
    <tableColumn id="11222" xr3:uid="{D6580100-84BB-41D5-A591-1DFE527C7BF4}" name="Kolonna10884"/>
    <tableColumn id="11223" xr3:uid="{E922AFE8-01F5-4A9A-A1E4-4331C6F8BF6D}" name="Kolonna10885"/>
    <tableColumn id="11224" xr3:uid="{00DBFF6D-BAA8-4212-9F1B-DE2D56B76F5B}" name="Kolonna10886"/>
    <tableColumn id="11225" xr3:uid="{A3F770E5-A5B9-481B-9900-B79F11EB0A5B}" name="Kolonna10887"/>
    <tableColumn id="11226" xr3:uid="{6CA84756-E916-4CF3-868A-FA6AF3D0964D}" name="Kolonna10888"/>
    <tableColumn id="11227" xr3:uid="{F12DF81F-5404-4986-BED7-D1F75AB53320}" name="Kolonna10889"/>
    <tableColumn id="11228" xr3:uid="{046DB31D-A393-47A7-B68A-118C9D5B80A1}" name="Kolonna10890"/>
    <tableColumn id="11229" xr3:uid="{04BC3656-CF06-4B9A-BDC0-E83B89501EF1}" name="Kolonna10891"/>
    <tableColumn id="11230" xr3:uid="{65694063-4A31-47E8-A90A-F71500B9ABBB}" name="Kolonna10892"/>
    <tableColumn id="11231" xr3:uid="{2ABED5C9-B66C-4EE4-9580-50B1AAE40B8D}" name="Kolonna10893"/>
    <tableColumn id="11232" xr3:uid="{7F368316-78EA-45CC-9B48-D46682EC46F6}" name="Kolonna10894"/>
    <tableColumn id="11233" xr3:uid="{118176BB-7B4E-4908-99E9-87DD7A3B77CC}" name="Kolonna10895"/>
    <tableColumn id="11234" xr3:uid="{276EDB2B-D6E9-4895-862E-84E3CBBFCC45}" name="Kolonna10896"/>
    <tableColumn id="11235" xr3:uid="{B931BEEF-7F92-49BC-8ABE-37C1175DAC66}" name="Kolonna10897"/>
    <tableColumn id="11236" xr3:uid="{ABAE06F2-7D5A-41BC-AE97-05993FADBBBF}" name="Kolonna10898"/>
    <tableColumn id="11237" xr3:uid="{228A8C80-8E3D-44AC-9837-9E95BBA9BEBB}" name="Kolonna10899"/>
    <tableColumn id="11238" xr3:uid="{EE37E54F-3618-4022-B17D-3AFCAE893B88}" name="Kolonna10900"/>
    <tableColumn id="11239" xr3:uid="{CBFA80F2-EE89-4829-B9AB-ECFD0AFCB8F6}" name="Kolonna10901"/>
    <tableColumn id="11240" xr3:uid="{DC4F9FF3-FDFA-4B5D-9BE4-88037B58BF30}" name="Kolonna10902"/>
    <tableColumn id="11241" xr3:uid="{F3A790B5-81B4-46DE-AB80-8AE74522938D}" name="Kolonna10903"/>
    <tableColumn id="11242" xr3:uid="{98AB1BFD-EEE7-4FFE-94BC-137D54AECA51}" name="Kolonna10904"/>
    <tableColumn id="11243" xr3:uid="{A1B128B0-156D-4586-8B40-22DF6CD42F19}" name="Kolonna10905"/>
    <tableColumn id="11244" xr3:uid="{D4F146EE-2FC5-4059-ABBB-16FA9943FDE0}" name="Kolonna10906"/>
    <tableColumn id="11245" xr3:uid="{046F6DB5-AC87-436F-9E72-5EDEEBB84293}" name="Kolonna10907"/>
    <tableColumn id="11246" xr3:uid="{34F05769-814B-455F-9BA4-5EF8D59C013B}" name="Kolonna10908"/>
    <tableColumn id="11247" xr3:uid="{68E99030-0BC5-488A-B382-FA679D622CE8}" name="Kolonna10909"/>
    <tableColumn id="11248" xr3:uid="{DE7EF2AC-8E29-4EEE-86B5-BB45F8CCB4E3}" name="Kolonna10910"/>
    <tableColumn id="11249" xr3:uid="{13F78076-43D5-40FE-8E61-DA37D0F3188F}" name="Kolonna10911"/>
    <tableColumn id="11250" xr3:uid="{302D5DC2-3432-4C12-A0C6-768D1AF4964F}" name="Kolonna10912"/>
    <tableColumn id="11251" xr3:uid="{3FCF5936-B92F-4835-A55A-37D9B1D53247}" name="Kolonna10913"/>
    <tableColumn id="11252" xr3:uid="{B902FBAB-EEBF-4578-A8B7-940ED1F6876B}" name="Kolonna10914"/>
    <tableColumn id="11253" xr3:uid="{2C086AA7-7E0A-461B-A5FA-B06DA310A5FA}" name="Kolonna10915"/>
    <tableColumn id="11254" xr3:uid="{9C44053B-CD38-42D6-9EA6-73B96F6E656B}" name="Kolonna10916"/>
    <tableColumn id="11255" xr3:uid="{5BA1567F-5F88-4E72-BCAA-7C8E44882750}" name="Kolonna10917"/>
    <tableColumn id="11256" xr3:uid="{F64BDB15-F1D3-4C9D-B2F8-5C6E804657ED}" name="Kolonna10918"/>
    <tableColumn id="11257" xr3:uid="{129F6F2E-E606-4AAF-83F7-BCA44B9B8A57}" name="Kolonna10919"/>
    <tableColumn id="11258" xr3:uid="{E348D5F7-4F1C-4D5B-B3BB-BCA43E0A54AC}" name="Kolonna10920"/>
    <tableColumn id="11259" xr3:uid="{9AFC61EA-1864-4A9C-8DDB-FE4AAD2A849A}" name="Kolonna10921"/>
    <tableColumn id="11260" xr3:uid="{FAEFDC03-2A15-43E4-A316-034BF2EB4613}" name="Kolonna10922"/>
    <tableColumn id="11261" xr3:uid="{56796B48-6FE6-4D28-9569-B998CE0F4030}" name="Kolonna10923"/>
    <tableColumn id="11262" xr3:uid="{B2BB6514-6C39-49A8-88CF-9384B688F99E}" name="Kolonna10924"/>
    <tableColumn id="11263" xr3:uid="{7FADC84F-BAFB-4846-8904-25AFE960FE90}" name="Kolonna10925"/>
    <tableColumn id="11264" xr3:uid="{88225351-CA22-462B-A862-85426225801A}" name="Kolonna10926"/>
    <tableColumn id="11265" xr3:uid="{5447D5DB-E3CA-409D-8DAB-27F875CDCA75}" name="Kolonna10927"/>
    <tableColumn id="11266" xr3:uid="{7719893D-7C7D-417B-8BA3-88D45B128B1D}" name="Kolonna10928"/>
    <tableColumn id="11267" xr3:uid="{DD4ED499-4180-4C26-A3DB-EF6A72EBC0CB}" name="Kolonna10929"/>
    <tableColumn id="11268" xr3:uid="{31F79292-15C8-4539-A84D-EF8C12E2EE62}" name="Kolonna10930"/>
    <tableColumn id="11269" xr3:uid="{18B19C85-8554-4168-B02F-EF8EC3FCD3DC}" name="Kolonna10931"/>
    <tableColumn id="11270" xr3:uid="{D00F9AF7-E1DF-4B94-B297-7AFFDF2CC196}" name="Kolonna10932"/>
    <tableColumn id="11271" xr3:uid="{CD60EBC3-5290-448C-A85E-4A5CEADE8634}" name="Kolonna10933"/>
    <tableColumn id="11272" xr3:uid="{E7F1A692-F8A0-40FB-900B-26772563C768}" name="Kolonna10934"/>
    <tableColumn id="11273" xr3:uid="{F7E76133-47D8-4834-90C2-D6712B6A7842}" name="Kolonna10935"/>
    <tableColumn id="11274" xr3:uid="{5D43265F-BDD5-4046-9207-9065FD5EEBCB}" name="Kolonna10936"/>
    <tableColumn id="11275" xr3:uid="{796487BD-449A-4CB5-9671-D05D19B1E2B4}" name="Kolonna10937"/>
    <tableColumn id="11276" xr3:uid="{BDB83DE6-6C8B-491D-854A-CE829EF145A9}" name="Kolonna10938"/>
    <tableColumn id="11277" xr3:uid="{891CBC93-3DAD-441D-95BD-3C4F917DA94F}" name="Kolonna10939"/>
    <tableColumn id="11278" xr3:uid="{E594F50A-2B11-47E4-AB33-834A4073A6AE}" name="Kolonna10940"/>
    <tableColumn id="11279" xr3:uid="{849FD722-CDBF-4F85-9B34-EE41B493430C}" name="Kolonna10941"/>
    <tableColumn id="11280" xr3:uid="{04DDCAFE-1799-4319-8ADD-317DA716DE59}" name="Kolonna10942"/>
    <tableColumn id="11281" xr3:uid="{46884349-1331-4E9B-A17A-FE4BA1E4E9D8}" name="Kolonna10943"/>
    <tableColumn id="11282" xr3:uid="{7C4210E4-DC64-4E4F-AF5A-E1DAFBF5F1B8}" name="Kolonna10944"/>
    <tableColumn id="11283" xr3:uid="{5AD40207-05BB-4C2F-8397-5B7FA7BB7B90}" name="Kolonna10945"/>
    <tableColumn id="11284" xr3:uid="{C42B0FFC-E112-4AAD-BD87-020D1EA87A22}" name="Kolonna10946"/>
    <tableColumn id="11285" xr3:uid="{A729F212-DA20-47F1-8C15-8330A6C21BAA}" name="Kolonna10947"/>
    <tableColumn id="11286" xr3:uid="{E417248C-A4EC-47AD-BABF-70F06350A071}" name="Kolonna10948"/>
    <tableColumn id="11287" xr3:uid="{0C750223-AD04-4E39-962D-6B44E2F845A3}" name="Kolonna10949"/>
    <tableColumn id="11288" xr3:uid="{CE8ADC81-DE2D-403E-8AC8-F7EE0A74202F}" name="Kolonna10950"/>
    <tableColumn id="11289" xr3:uid="{BD6981A0-9B09-419C-9300-D2D8E375EEB4}" name="Kolonna10951"/>
    <tableColumn id="11290" xr3:uid="{FA377CE4-623F-4BC7-998B-E00C609A9AEF}" name="Kolonna10952"/>
    <tableColumn id="11291" xr3:uid="{57A8EA89-69C7-4B45-AF7A-52064876D93E}" name="Kolonna10953"/>
    <tableColumn id="11292" xr3:uid="{F4B9FC17-FAB2-4975-95A7-73851B80F650}" name="Kolonna10954"/>
    <tableColumn id="11293" xr3:uid="{39C79B18-D62D-4C1F-B3E4-FD10D5C064EA}" name="Kolonna10955"/>
    <tableColumn id="11294" xr3:uid="{2248DCCC-E159-48D7-9395-E4F9DDD065D5}" name="Kolonna10956"/>
    <tableColumn id="11295" xr3:uid="{BF88E38C-524C-4162-ABA4-F772F8EC4990}" name="Kolonna10957"/>
    <tableColumn id="11296" xr3:uid="{46AE0BF8-BBE5-4EF9-B69C-C1AC9D37E761}" name="Kolonna10958"/>
    <tableColumn id="11297" xr3:uid="{3764F957-EAEF-4BF3-BB98-9961CD77F1CC}" name="Kolonna10959"/>
    <tableColumn id="11298" xr3:uid="{80791848-9BCF-4F8A-8B96-5A252A3EF9F8}" name="Kolonna10960"/>
    <tableColumn id="11299" xr3:uid="{730401FF-48EB-450B-B36D-4D557B666DF5}" name="Kolonna10961"/>
    <tableColumn id="11300" xr3:uid="{5227D5A0-9AF3-4A96-82D0-6997ACEC91A9}" name="Kolonna10962"/>
    <tableColumn id="11301" xr3:uid="{EA601B69-E59A-4BBB-947E-277562679A8B}" name="Kolonna10963"/>
    <tableColumn id="11302" xr3:uid="{BC6064E0-257C-4597-ABEC-83A1E4F10E15}" name="Kolonna10964"/>
    <tableColumn id="11303" xr3:uid="{9C5CC3D4-26A7-4A9F-B010-B46BC84A49EC}" name="Kolonna10965"/>
    <tableColumn id="11304" xr3:uid="{CAF984BA-8E92-43E6-BA30-B78E6EB4F4E8}" name="Kolonna10966"/>
    <tableColumn id="11305" xr3:uid="{C209E5FD-42D8-4E33-B811-40A5C247E051}" name="Kolonna10967"/>
    <tableColumn id="11306" xr3:uid="{96B2D367-5928-4C9D-95B4-DAA3C904C1F9}" name="Kolonna10968"/>
    <tableColumn id="11307" xr3:uid="{7D693449-15CB-4974-ADE7-B2C2278F837F}" name="Kolonna10969"/>
    <tableColumn id="11308" xr3:uid="{9505E024-B08A-454B-9780-66563180D55B}" name="Kolonna10970"/>
    <tableColumn id="11309" xr3:uid="{1D9A4773-5792-4D73-8DBC-2EB1F3E0AD2B}" name="Kolonna10971"/>
    <tableColumn id="11310" xr3:uid="{742568A4-8D20-4F54-B8B1-D12884CF517A}" name="Kolonna10972"/>
    <tableColumn id="11311" xr3:uid="{6EC389CA-ED7D-486E-8B96-8FD0848DEE4A}" name="Kolonna10973"/>
    <tableColumn id="11312" xr3:uid="{75975F74-2B2A-4696-BA6E-CD50BC22223A}" name="Kolonna10974"/>
    <tableColumn id="11313" xr3:uid="{53DC899C-D9C1-449B-944B-9B229E1AED83}" name="Kolonna10975"/>
    <tableColumn id="11314" xr3:uid="{C35E28E1-B533-479C-87E8-8940A14AA81F}" name="Kolonna10976"/>
    <tableColumn id="11315" xr3:uid="{09F3FEAF-6288-4BE7-8BDD-059876B21B77}" name="Kolonna10977"/>
    <tableColumn id="11316" xr3:uid="{D739A8E6-ED22-4D3D-9B0D-541179156CFA}" name="Kolonna10978"/>
    <tableColumn id="11317" xr3:uid="{05F41FE2-F6C3-44D3-A146-73524B7BB13F}" name="Kolonna10979"/>
    <tableColumn id="11318" xr3:uid="{5D54A464-8270-43D1-A8E9-985396478735}" name="Kolonna10980"/>
    <tableColumn id="11319" xr3:uid="{FA82CBBA-D07B-4D9F-BE20-450F64891EEF}" name="Kolonna10981"/>
    <tableColumn id="11320" xr3:uid="{01712242-ED7E-4FC2-A034-B51866BCB132}" name="Kolonna10982"/>
    <tableColumn id="11321" xr3:uid="{19FEFDB8-7A7D-4417-AD46-8AAC4A7E14A6}" name="Kolonna10983"/>
    <tableColumn id="11322" xr3:uid="{0E72E1F7-BEEF-4211-8EE9-4C4B401EA339}" name="Kolonna10984"/>
    <tableColumn id="11323" xr3:uid="{EE6F7419-CF10-4AC5-B483-A3BAFEF81E3D}" name="Kolonna10985"/>
    <tableColumn id="11324" xr3:uid="{C54C1BE9-6C51-49F9-8A8F-C3378DE0ED98}" name="Kolonna10986"/>
    <tableColumn id="11325" xr3:uid="{291EDB19-BE32-4C25-8CF8-C0AA22EC9759}" name="Kolonna10987"/>
    <tableColumn id="11326" xr3:uid="{9762E6DD-31DC-48CE-B13A-BF47098AEDCB}" name="Kolonna10988"/>
    <tableColumn id="11327" xr3:uid="{428FA127-2304-42C4-A801-8BFB701B73B7}" name="Kolonna10989"/>
    <tableColumn id="11328" xr3:uid="{CC6975E7-4CF7-4D2F-8D01-C43B9B782510}" name="Kolonna10990"/>
    <tableColumn id="11329" xr3:uid="{0319CF6E-B51A-4BF6-A283-829C732AEAE7}" name="Kolonna10991"/>
    <tableColumn id="11330" xr3:uid="{B512204C-CFCE-475D-8C53-1F733FA1D6F3}" name="Kolonna10992"/>
    <tableColumn id="11331" xr3:uid="{37ED060F-F83A-4E81-9B5B-719712628564}" name="Kolonna10993"/>
    <tableColumn id="11332" xr3:uid="{8A7CEE57-F6F9-4A7A-B226-0E0E6BAFEB98}" name="Kolonna10994"/>
    <tableColumn id="11333" xr3:uid="{B0235231-332A-4E30-8362-31F8163428F4}" name="Kolonna10995"/>
    <tableColumn id="11334" xr3:uid="{1C1692FA-AE1E-40B1-B3BB-BE4A6D47B4FD}" name="Kolonna10996"/>
    <tableColumn id="11335" xr3:uid="{ADBC2B28-4147-4F10-B8F5-5DD3627EAE2A}" name="Kolonna10997"/>
    <tableColumn id="11336" xr3:uid="{16C93779-C6FE-4BF0-8B39-828F64EFBC76}" name="Kolonna10998"/>
    <tableColumn id="11337" xr3:uid="{726BCFD2-EBF6-40F2-B1E5-3407D18E606B}" name="Kolonna10999"/>
    <tableColumn id="11338" xr3:uid="{FD5E8C86-66E0-4939-AE0D-98BBEFF3BDF4}" name="Kolonna11000"/>
    <tableColumn id="11339" xr3:uid="{22565A32-912A-4E77-8C72-7F4E97184E67}" name="Kolonna11001"/>
    <tableColumn id="11340" xr3:uid="{F357BB9B-CD89-4109-A427-D259CD0FB666}" name="Kolonna11002"/>
    <tableColumn id="11341" xr3:uid="{937778CE-6D77-4E6F-962C-FB0FB8DD4650}" name="Kolonna11003"/>
    <tableColumn id="11342" xr3:uid="{050BF0B1-EE40-4BAC-A1B1-1121644E223F}" name="Kolonna11004"/>
    <tableColumn id="11343" xr3:uid="{42CC8FBE-F3C4-4A4E-B717-ECD5943E32D8}" name="Kolonna11005"/>
    <tableColumn id="11344" xr3:uid="{A40DFCF0-261B-4E01-85F9-84C9B6C2E189}" name="Kolonna11006"/>
    <tableColumn id="11345" xr3:uid="{E89EBEEF-2E5F-4428-850E-38661AA9A2D2}" name="Kolonna11007"/>
    <tableColumn id="11346" xr3:uid="{2CBEDB1F-7BEE-4C35-894E-BB4AAD8772FA}" name="Kolonna11008"/>
    <tableColumn id="11347" xr3:uid="{1DDD1F07-5448-474E-AC99-355741FFAACD}" name="Kolonna11009"/>
    <tableColumn id="11348" xr3:uid="{3056C0B9-5966-4D1C-A1AA-593F342D5641}" name="Kolonna11010"/>
    <tableColumn id="11349" xr3:uid="{95013D76-0431-4C51-8E13-196C6252DD60}" name="Kolonna11011"/>
    <tableColumn id="11350" xr3:uid="{224FFE72-8217-4610-B74C-85E7F2E5124F}" name="Kolonna11012"/>
    <tableColumn id="11351" xr3:uid="{9F2F4249-62CF-4F53-8E9C-37FDDB63B971}" name="Kolonna11013"/>
    <tableColumn id="11352" xr3:uid="{B746CE48-AF0E-4066-B58D-854689DF6F6F}" name="Kolonna11014"/>
    <tableColumn id="11353" xr3:uid="{79BAC596-BA8B-4C5C-83CF-49810E4E2DE1}" name="Kolonna11015"/>
    <tableColumn id="11354" xr3:uid="{69197ADC-08F2-41C4-8A59-519CF65E1B9E}" name="Kolonna11016"/>
    <tableColumn id="11355" xr3:uid="{79C84126-0633-480A-91C6-08D70A402679}" name="Kolonna11017"/>
    <tableColumn id="11356" xr3:uid="{831730AE-C223-420E-B986-22792632508D}" name="Kolonna11018"/>
    <tableColumn id="11357" xr3:uid="{C63DB4EA-F805-420D-9C54-28DC806ACD79}" name="Kolonna11019"/>
    <tableColumn id="11358" xr3:uid="{F2EE5F2F-A4A1-49AD-AFF6-D17B44343245}" name="Kolonna11020"/>
    <tableColumn id="11359" xr3:uid="{AB424B59-38D4-43CD-93E8-6FE7753AAAB3}" name="Kolonna11021"/>
    <tableColumn id="11360" xr3:uid="{679080A4-2188-4CC4-89A1-C6E5676DB9C2}" name="Kolonna11022"/>
    <tableColumn id="11361" xr3:uid="{C7A76685-FDA1-41FD-BF72-A742D741C603}" name="Kolonna11023"/>
    <tableColumn id="11362" xr3:uid="{664795E4-0BEE-4324-88DC-5092AE813436}" name="Kolonna11024"/>
    <tableColumn id="11363" xr3:uid="{4C38A4DD-91E2-4C83-BFD7-71F44129907E}" name="Kolonna11025"/>
    <tableColumn id="11364" xr3:uid="{F72A69FB-1371-478E-8110-6B551854D670}" name="Kolonna11026"/>
    <tableColumn id="11365" xr3:uid="{A7407A37-66FA-41B0-9B22-EE21E74198E1}" name="Kolonna11027"/>
    <tableColumn id="11366" xr3:uid="{AEC3A793-983C-4933-A419-4361E8A6DDA9}" name="Kolonna11028"/>
    <tableColumn id="11367" xr3:uid="{8BF490DE-FC01-4997-8513-06273EBA19F0}" name="Kolonna11029"/>
    <tableColumn id="11368" xr3:uid="{2A310C6A-F99A-489D-80F9-008A0274D543}" name="Kolonna11030"/>
    <tableColumn id="11369" xr3:uid="{41BF6155-797F-4AB1-9BF9-2B9B74F72831}" name="Kolonna11031"/>
    <tableColumn id="11370" xr3:uid="{3628DE42-F35C-415C-BB34-F74B44882526}" name="Kolonna11032"/>
    <tableColumn id="11371" xr3:uid="{618FEB56-BF95-4E56-8592-AE95B9780C81}" name="Kolonna11033"/>
    <tableColumn id="11372" xr3:uid="{801F2220-34A3-4438-9F0E-7CF386AC390A}" name="Kolonna11034"/>
    <tableColumn id="11373" xr3:uid="{9E608DE4-D03A-4AE9-92EA-555E4000F535}" name="Kolonna11035"/>
    <tableColumn id="11374" xr3:uid="{E30750E2-594C-410D-BFA6-20EC28743143}" name="Kolonna11036"/>
    <tableColumn id="11375" xr3:uid="{B7D86521-D1E7-4B26-B590-232FCE3A25C1}" name="Kolonna11037"/>
    <tableColumn id="11376" xr3:uid="{D01570D6-50C6-4EA1-A794-6AB11C40652B}" name="Kolonna11038"/>
    <tableColumn id="11377" xr3:uid="{4EA5C50C-FE52-422F-BF6A-A29C53B6E588}" name="Kolonna11039"/>
    <tableColumn id="11378" xr3:uid="{E13ED066-99F6-4B5B-8198-D156BF7E11FA}" name="Kolonna11040"/>
    <tableColumn id="11379" xr3:uid="{A5ABA9E8-4200-459A-A730-628CDCD7A471}" name="Kolonna11041"/>
    <tableColumn id="11380" xr3:uid="{16C879A0-D3FD-4C40-936A-BFE6F51EFE4E}" name="Kolonna11042"/>
    <tableColumn id="11381" xr3:uid="{B5DD258A-EA11-49BF-A2D6-1FF7506898F0}" name="Kolonna11043"/>
    <tableColumn id="11382" xr3:uid="{8AFB3183-1FBE-4E4E-9999-D945D68D5872}" name="Kolonna11044"/>
    <tableColumn id="11383" xr3:uid="{156E1141-9B97-4BC5-BFD3-2458CEB789E9}" name="Kolonna11045"/>
    <tableColumn id="11384" xr3:uid="{398F2FB4-73AF-401A-8B67-0452B0B0F952}" name="Kolonna11046"/>
    <tableColumn id="11385" xr3:uid="{B04A1DC3-BE40-47AA-9B0B-12B599A733A5}" name="Kolonna11047"/>
    <tableColumn id="11386" xr3:uid="{BA2BEB6D-3441-44F9-BAB3-DA095697ADBF}" name="Kolonna11048"/>
    <tableColumn id="11387" xr3:uid="{D0613E6F-0F11-4C04-AFC8-8EB69F7B8FC2}" name="Kolonna11049"/>
    <tableColumn id="11388" xr3:uid="{965FFD4D-3974-450D-B5C5-390267B9B1F7}" name="Kolonna11050"/>
    <tableColumn id="11389" xr3:uid="{7B370316-B288-4D5A-B84E-8AA87E3B0E3F}" name="Kolonna11051"/>
    <tableColumn id="11390" xr3:uid="{147531E4-0E52-4222-9FCB-7F9671426E5C}" name="Kolonna11052"/>
    <tableColumn id="11391" xr3:uid="{74ECA6CF-F674-4A04-9A50-6755A5171DF1}" name="Kolonna11053"/>
    <tableColumn id="11392" xr3:uid="{9350B898-D008-47B5-AFAA-0C56DE6765C3}" name="Kolonna11054"/>
    <tableColumn id="11393" xr3:uid="{201647E8-F530-4AC5-A8DB-22956C749EB3}" name="Kolonna11055"/>
    <tableColumn id="11394" xr3:uid="{68B65342-EC7D-4532-8FD9-0968B602091E}" name="Kolonna11056"/>
    <tableColumn id="11395" xr3:uid="{D986D4B7-4498-42C5-BAB1-12BD19647671}" name="Kolonna11057"/>
    <tableColumn id="11396" xr3:uid="{AD28E3D1-3CB8-4BF4-B14D-ADDF5F3C077B}" name="Kolonna11058"/>
    <tableColumn id="11397" xr3:uid="{71453970-199C-4CCD-8483-CBDE148181FA}" name="Kolonna11059"/>
    <tableColumn id="11398" xr3:uid="{38275902-1DAC-4CB3-A8F8-5EE8BC8E8EDA}" name="Kolonna11060"/>
    <tableColumn id="11399" xr3:uid="{623CC72B-E5A9-4302-889C-E2AE21D00D38}" name="Kolonna11061"/>
    <tableColumn id="11400" xr3:uid="{F98648F0-E4BC-4F5E-A18B-F58E3FE422A3}" name="Kolonna11062"/>
    <tableColumn id="11401" xr3:uid="{3607C5FE-7FFD-41E0-818A-FC129B2B98F9}" name="Kolonna11063"/>
    <tableColumn id="11402" xr3:uid="{ABCA38E7-DE5A-4BD7-ADF0-DA8BF572C4FB}" name="Kolonna11064"/>
    <tableColumn id="11403" xr3:uid="{783CAC5E-EBF7-4521-945A-F151D8DDB848}" name="Kolonna11065"/>
    <tableColumn id="11404" xr3:uid="{54ADC1EA-38C7-4DA8-A481-F45998C91CD5}" name="Kolonna11066"/>
    <tableColumn id="11405" xr3:uid="{A74FC562-D45E-44F9-9528-26170444C9F4}" name="Kolonna11067"/>
    <tableColumn id="11406" xr3:uid="{89BC6FAE-5600-462B-B3F3-2C5B7E5ED54D}" name="Kolonna11068"/>
    <tableColumn id="11407" xr3:uid="{20221BFC-B58E-49E6-8458-1A9B41207C11}" name="Kolonna11069"/>
    <tableColumn id="11408" xr3:uid="{2950B4B4-447D-49C8-970E-EAF4BA25F01C}" name="Kolonna11070"/>
    <tableColumn id="11409" xr3:uid="{DB25738E-DFDC-4124-B356-AEB5A73CB31C}" name="Kolonna11071"/>
    <tableColumn id="11410" xr3:uid="{5343C8B4-4E15-43EA-8422-827D1F95D0BC}" name="Kolonna11072"/>
    <tableColumn id="11411" xr3:uid="{0045327C-474F-4A88-9DB4-F6112F699714}" name="Kolonna11073"/>
    <tableColumn id="11412" xr3:uid="{FBB433C1-E1FF-499F-9CBB-5EB7DAA8B120}" name="Kolonna11074"/>
    <tableColumn id="11413" xr3:uid="{2CF679CB-439A-4C34-96FD-D729D63D4C44}" name="Kolonna11075"/>
    <tableColumn id="11414" xr3:uid="{7F64E90A-90F5-4F3F-856C-90D14A952C57}" name="Kolonna11076"/>
    <tableColumn id="11415" xr3:uid="{880BA515-8219-4227-9463-D0F9A7AC341B}" name="Kolonna11077"/>
    <tableColumn id="11416" xr3:uid="{AEC24A63-43F7-4F3A-8E52-E4A8C5C7C613}" name="Kolonna11078"/>
    <tableColumn id="11417" xr3:uid="{D146BE7F-E4AA-4457-99ED-84034F2DDC89}" name="Kolonna11079"/>
    <tableColumn id="11418" xr3:uid="{E5E21C49-BD55-40DF-AAC5-D22232708EA3}" name="Kolonna11080"/>
    <tableColumn id="11419" xr3:uid="{2D3DDEB2-2BEE-4A36-AA9D-DD020A42A3C7}" name="Kolonna11081"/>
    <tableColumn id="11420" xr3:uid="{CC62D8F6-705C-4617-BAA7-AB95A403E7EA}" name="Kolonna11082"/>
    <tableColumn id="11421" xr3:uid="{B6E7E6DE-ED4A-4B47-96DF-881E1E7C2477}" name="Kolonna11083"/>
    <tableColumn id="11422" xr3:uid="{763936E8-47F0-43F1-AC7A-8FA6ECC6CAF6}" name="Kolonna11084"/>
    <tableColumn id="11423" xr3:uid="{CCA94E1E-65A3-4913-9D6E-61718DDC9F4C}" name="Kolonna11085"/>
    <tableColumn id="11424" xr3:uid="{CC10E836-1DCC-4ECE-BB07-C71FC0FC4256}" name="Kolonna11086"/>
    <tableColumn id="11425" xr3:uid="{06E64D26-65B6-4A33-8AED-8971C04C881E}" name="Kolonna11087"/>
    <tableColumn id="11426" xr3:uid="{53BE5E6B-274F-4DA5-98E4-704356D62968}" name="Kolonna11088"/>
    <tableColumn id="11427" xr3:uid="{A9CB73D1-C7CF-4225-9BF8-1CB9CB855691}" name="Kolonna11089"/>
    <tableColumn id="11428" xr3:uid="{AEF256C1-94C7-4ABD-AF9B-6FDF6A1DBD95}" name="Kolonna11090"/>
    <tableColumn id="11429" xr3:uid="{EE727704-AF29-4ECB-995F-FB977A46C496}" name="Kolonna11091"/>
    <tableColumn id="11430" xr3:uid="{45C2D52F-BCBE-4491-8663-80F598A913D9}" name="Kolonna11092"/>
    <tableColumn id="11431" xr3:uid="{029B0879-9998-47AB-9B8A-A07FD27E5A9E}" name="Kolonna11093"/>
    <tableColumn id="11432" xr3:uid="{6DB87C4F-F4C0-4D9D-8587-14BD22B5AAE8}" name="Kolonna11094"/>
    <tableColumn id="11433" xr3:uid="{C7065CBA-945B-44AC-AD8F-4D818AD04E47}" name="Kolonna11095"/>
    <tableColumn id="11434" xr3:uid="{C5E47F4E-30BB-4A41-AFEB-EE1031532052}" name="Kolonna11096"/>
    <tableColumn id="11435" xr3:uid="{284009A4-8275-495D-A07F-21F203F14C04}" name="Kolonna11097"/>
    <tableColumn id="11436" xr3:uid="{2675F893-04CC-40F7-8114-82AAD6A73F1E}" name="Kolonna11098"/>
    <tableColumn id="11437" xr3:uid="{68D9460A-1825-4AB2-B775-D1E398B1FAD2}" name="Kolonna11099"/>
    <tableColumn id="11438" xr3:uid="{662BE774-D229-4E63-A8F1-258C71226616}" name="Kolonna11100"/>
    <tableColumn id="11439" xr3:uid="{3269114D-ABB2-4C7F-BE07-4571BCCD7626}" name="Kolonna11101"/>
    <tableColumn id="11440" xr3:uid="{2C817704-166A-49D1-B79A-04BA6C587387}" name="Kolonna11102"/>
    <tableColumn id="11441" xr3:uid="{47A6EA45-8114-4688-BCAD-154A151A9FEC}" name="Kolonna11103"/>
    <tableColumn id="11442" xr3:uid="{0CA584AB-1588-4D7F-9497-1629BF1F0282}" name="Kolonna11104"/>
    <tableColumn id="11443" xr3:uid="{0CE781C3-5FE8-4322-9BCE-407DB7D63B16}" name="Kolonna11105"/>
    <tableColumn id="11444" xr3:uid="{3077A32E-7A7A-45ED-A919-DFE1E49832CA}" name="Kolonna11106"/>
    <tableColumn id="11445" xr3:uid="{E762FF67-E61E-4BDE-A0BC-077A68A66BA9}" name="Kolonna11107"/>
    <tableColumn id="11446" xr3:uid="{1A0010B9-7F7E-407B-85FB-07C02C186FC4}" name="Kolonna11108"/>
    <tableColumn id="11447" xr3:uid="{61FB392B-E05E-4A28-AAF7-5DB3A7E727DE}" name="Kolonna11109"/>
    <tableColumn id="11448" xr3:uid="{03B7D081-FCDF-4CCC-937A-6A3AD27D4097}" name="Kolonna11110"/>
    <tableColumn id="11449" xr3:uid="{8EE66F81-3BD3-4A14-B4DF-E1D77E9BFE6C}" name="Kolonna11111"/>
    <tableColumn id="11450" xr3:uid="{00D61BE5-D42E-4A0D-84A3-DA98D392D12F}" name="Kolonna11112"/>
    <tableColumn id="11451" xr3:uid="{74FF41D3-6676-45FC-856E-E32FFBAA96E7}" name="Kolonna11113"/>
    <tableColumn id="11452" xr3:uid="{1A942FD9-7FD8-4FEB-8C3B-322D2EDAA0A1}" name="Kolonna11114"/>
    <tableColumn id="11453" xr3:uid="{EBC21FBC-8D6E-49CD-97E0-D82FD4307787}" name="Kolonna11115"/>
    <tableColumn id="11454" xr3:uid="{29C81044-1F5B-4224-9CB6-4ED1FECC5290}" name="Kolonna11116"/>
    <tableColumn id="11455" xr3:uid="{C428AA70-0F96-42F7-81E3-7119FD624D80}" name="Kolonna11117"/>
    <tableColumn id="11456" xr3:uid="{B3EA6459-314D-425D-920D-FC2B42D9F266}" name="Kolonna11118"/>
    <tableColumn id="11457" xr3:uid="{B4203B1C-4606-46C7-895D-856E89FA8884}" name="Kolonna11119"/>
    <tableColumn id="11458" xr3:uid="{0618A910-5F75-457B-AD44-B32D17515D00}" name="Kolonna11120"/>
    <tableColumn id="11459" xr3:uid="{814B859C-D4F9-4EE7-80EA-B535C3C115CE}" name="Kolonna11121"/>
    <tableColumn id="11460" xr3:uid="{BB63FF78-E36F-42C7-B1EB-DAAE7F0F4334}" name="Kolonna11122"/>
    <tableColumn id="11461" xr3:uid="{EA66D753-EB2D-4905-BC9D-1EF47F2F8C2D}" name="Kolonna11123"/>
    <tableColumn id="11462" xr3:uid="{F973844C-ECE6-4280-B669-ECC383925000}" name="Kolonna11124"/>
    <tableColumn id="11463" xr3:uid="{C4671056-2FB1-45F1-9378-71BC8A3A74CB}" name="Kolonna11125"/>
    <tableColumn id="11464" xr3:uid="{0B003960-150F-43F6-ACEF-4D3F75B25C7C}" name="Kolonna11126"/>
    <tableColumn id="11465" xr3:uid="{E4D71019-7155-42A6-8265-66B832F6B508}" name="Kolonna11127"/>
    <tableColumn id="11466" xr3:uid="{E261F1CB-290E-47F9-9689-D2F2896F7A99}" name="Kolonna11128"/>
    <tableColumn id="11467" xr3:uid="{87F5E1B6-B165-46E2-A96C-15A453146F8B}" name="Kolonna11129"/>
    <tableColumn id="11468" xr3:uid="{B1ED1F4E-0CCD-412D-882A-6B3B225220A6}" name="Kolonna11130"/>
    <tableColumn id="11469" xr3:uid="{3186FC42-389E-4648-84F1-9DF3A3DE397E}" name="Kolonna11131"/>
    <tableColumn id="11470" xr3:uid="{16136733-E727-454E-ADC9-D66C3CEC6401}" name="Kolonna11132"/>
    <tableColumn id="11471" xr3:uid="{34FA6DDF-D1B5-43AA-B8E8-2326C776CEE6}" name="Kolonna11133"/>
    <tableColumn id="11472" xr3:uid="{2CA52477-F006-4F8C-A930-6174D8853B0F}" name="Kolonna11134"/>
    <tableColumn id="11473" xr3:uid="{80BEEA9A-4BAA-4DF3-9526-E70C6F2EC1BB}" name="Kolonna11135"/>
    <tableColumn id="11474" xr3:uid="{AC35257C-0DAD-40D5-ABB2-F3EDAAC48076}" name="Kolonna11136"/>
    <tableColumn id="11475" xr3:uid="{D2F10FC8-EE7A-4C7C-90FA-61E8D8D78C5D}" name="Kolonna11137"/>
    <tableColumn id="11476" xr3:uid="{689FE713-A585-4C8C-95FF-E72654E8F81D}" name="Kolonna11138"/>
    <tableColumn id="11477" xr3:uid="{3A12C24B-A5F6-4C8F-9D4E-B640035329E5}" name="Kolonna11139"/>
    <tableColumn id="11478" xr3:uid="{4A0C2786-7B48-4275-9FAA-94BB8BB1188A}" name="Kolonna11140"/>
    <tableColumn id="11479" xr3:uid="{B42BDD85-CC8D-4C99-AE97-4B085A5CE8D1}" name="Kolonna11141"/>
    <tableColumn id="11480" xr3:uid="{8BF95A0C-C94E-4D22-81D1-B8EBCA036482}" name="Kolonna11142"/>
    <tableColumn id="11481" xr3:uid="{D8B1F253-6DAA-473B-B442-E015A8DFC720}" name="Kolonna11143"/>
    <tableColumn id="11482" xr3:uid="{675F5955-6AAA-4282-8336-428D26B84471}" name="Kolonna11144"/>
    <tableColumn id="11483" xr3:uid="{24DC0B61-2815-4698-B98C-00892BB4F4C3}" name="Kolonna11145"/>
    <tableColumn id="11484" xr3:uid="{A84BF275-605B-4E32-93D0-34A504EA14EF}" name="Kolonna11146"/>
    <tableColumn id="11485" xr3:uid="{9EA34091-9E08-44A2-9611-7F907F84EAAC}" name="Kolonna11147"/>
    <tableColumn id="11486" xr3:uid="{0FD0A2FE-228C-4836-85AC-4C391A70AB06}" name="Kolonna11148"/>
    <tableColumn id="11487" xr3:uid="{7E4988F8-FFB9-480F-A3E3-886A4F5817C5}" name="Kolonna11149"/>
    <tableColumn id="11488" xr3:uid="{4CBEE91D-75D2-4B3F-9D41-7E99B2194CD9}" name="Kolonna11150"/>
    <tableColumn id="11489" xr3:uid="{D481E028-AD4C-4BAB-AC3F-CFBB65D4FB41}" name="Kolonna11151"/>
    <tableColumn id="11490" xr3:uid="{B55AEE3A-12DA-4FE5-888F-E2AE935D9CC6}" name="Kolonna11152"/>
    <tableColumn id="11491" xr3:uid="{0117DC62-F57F-4BAA-9B5A-A9A40B674DE3}" name="Kolonna11153"/>
    <tableColumn id="11492" xr3:uid="{49F98B05-FDC8-4BBD-B4F6-105C71EBD340}" name="Kolonna11154"/>
    <tableColumn id="11493" xr3:uid="{CE5B7656-9D66-4467-8FE2-BD3CCF83F6C8}" name="Kolonna11155"/>
    <tableColumn id="11494" xr3:uid="{278685C0-6121-450D-B3A8-19875444C929}" name="Kolonna11156"/>
    <tableColumn id="11495" xr3:uid="{F828EAE6-B454-43E6-8699-CE22663931B6}" name="Kolonna11157"/>
    <tableColumn id="11496" xr3:uid="{5527FF7C-0371-44F5-842A-532A83494D3F}" name="Kolonna11158"/>
    <tableColumn id="11497" xr3:uid="{CB5926A4-5502-428A-8D3C-28E176F6A4D5}" name="Kolonna11159"/>
    <tableColumn id="11498" xr3:uid="{66C4EEBB-695B-4443-9B53-52E6B96E867B}" name="Kolonna11160"/>
    <tableColumn id="11499" xr3:uid="{F7DBDD89-4B8F-4FBF-9A85-0416D07C0B53}" name="Kolonna11161"/>
    <tableColumn id="11500" xr3:uid="{E1B3B804-1636-4C26-B716-83DA635871AD}" name="Kolonna11162"/>
    <tableColumn id="11501" xr3:uid="{55234023-AE0A-463F-A216-B98CA2CDB9AE}" name="Kolonna11163"/>
    <tableColumn id="11502" xr3:uid="{0FA77F11-285A-46F6-82E2-429183871A55}" name="Kolonna11164"/>
    <tableColumn id="11503" xr3:uid="{56AD27FF-1A1F-4C66-8137-02B74EA2686D}" name="Kolonna11165"/>
    <tableColumn id="11504" xr3:uid="{A6ADABD6-5203-49ED-B5D9-059CC9AF22DC}" name="Kolonna11166"/>
    <tableColumn id="11505" xr3:uid="{898FC572-50E2-40FF-9BF2-B05EC1FD1EBE}" name="Kolonna11167"/>
    <tableColumn id="11506" xr3:uid="{367C5AAF-126C-4594-A16A-C2C6AEBE7124}" name="Kolonna11168"/>
    <tableColumn id="11507" xr3:uid="{7D473ED4-DBC3-4DAC-9629-1BF9F900234D}" name="Kolonna11169"/>
    <tableColumn id="11508" xr3:uid="{D95A8C65-6FD1-438C-8D27-1756535A3442}" name="Kolonna11170"/>
    <tableColumn id="11509" xr3:uid="{42D103A1-5A67-4D04-9CA4-B913D32FEB81}" name="Kolonna11171"/>
    <tableColumn id="11510" xr3:uid="{62E724AB-6065-4665-B07D-7CC4718B0270}" name="Kolonna11172"/>
    <tableColumn id="11511" xr3:uid="{7D78D7CC-6B22-4704-A2E6-BA68A6D1D955}" name="Kolonna11173"/>
    <tableColumn id="11512" xr3:uid="{DBFEDAFD-33A1-411E-84FD-1CC513000704}" name="Kolonna11174"/>
    <tableColumn id="11513" xr3:uid="{8B3F09A1-D58E-4C1A-863E-4C7AC4FC5C13}" name="Kolonna11175"/>
    <tableColumn id="11514" xr3:uid="{1BA40617-F64E-45B9-B5C5-157CD451B7B3}" name="Kolonna11176"/>
    <tableColumn id="11515" xr3:uid="{A9301A2B-2BB5-4669-B17C-9BD3F2397E67}" name="Kolonna11177"/>
    <tableColumn id="11516" xr3:uid="{D950CF9E-EBDB-4146-B998-4D5FD3ED9054}" name="Kolonna11178"/>
    <tableColumn id="11517" xr3:uid="{A40292DF-2829-477B-A124-0AB71C53BD66}" name="Kolonna11179"/>
    <tableColumn id="11518" xr3:uid="{BC325941-CFFD-486A-A56F-6F77D5B290C7}" name="Kolonna11180"/>
    <tableColumn id="11519" xr3:uid="{32336308-C2CB-4083-A7F3-4FFB73843F37}" name="Kolonna11181"/>
    <tableColumn id="11520" xr3:uid="{08352E47-D953-4FE5-89BB-D0CA840DE15B}" name="Kolonna11182"/>
    <tableColumn id="11521" xr3:uid="{94598BEE-EB41-43FF-843D-35DB9ACC8DAC}" name="Kolonna11183"/>
    <tableColumn id="11522" xr3:uid="{81408588-771A-46E1-87A9-EA16BC41F0E4}" name="Kolonna11184"/>
    <tableColumn id="11523" xr3:uid="{AD8C6F30-9AEE-445B-8E83-D8058A07C40B}" name="Kolonna11185"/>
    <tableColumn id="11524" xr3:uid="{6969173F-1F6E-4825-8BA5-F4E6CBA7A2BC}" name="Kolonna11186"/>
    <tableColumn id="11525" xr3:uid="{761B5116-3009-4014-B85D-6F0ADBA01541}" name="Kolonna11187"/>
    <tableColumn id="11526" xr3:uid="{755A7943-B198-428A-A130-30411BCA205C}" name="Kolonna11188"/>
    <tableColumn id="11527" xr3:uid="{03B1DC30-EC3B-4EAC-8705-C387DE2646B9}" name="Kolonna11189"/>
    <tableColumn id="11528" xr3:uid="{D8F1A8D7-375E-4E3A-96EC-4FD1E13A0FAC}" name="Kolonna11190"/>
    <tableColumn id="11529" xr3:uid="{E3F60090-84DD-41EA-8A56-62A9AB907A3A}" name="Kolonna11191"/>
    <tableColumn id="11530" xr3:uid="{8289E5EF-AA3C-4867-B513-7FF2E8BA664F}" name="Kolonna11192"/>
    <tableColumn id="11531" xr3:uid="{A1316CEB-4873-41BB-8909-342C0AD0BD5D}" name="Kolonna11193"/>
    <tableColumn id="11532" xr3:uid="{9961E5AD-3B42-4F16-A4EC-54C241B1E544}" name="Kolonna11194"/>
    <tableColumn id="11533" xr3:uid="{C76C99FB-0C6B-4682-932B-911C34363E00}" name="Kolonna11195"/>
    <tableColumn id="11534" xr3:uid="{980CE007-9661-4585-B03A-77BF37206324}" name="Kolonna11196"/>
    <tableColumn id="11535" xr3:uid="{D7813CEE-AB3A-4414-90F6-7358AC19D111}" name="Kolonna11197"/>
    <tableColumn id="11536" xr3:uid="{A54057EB-8E42-461F-8F2F-01CD6D91855D}" name="Kolonna11198"/>
    <tableColumn id="11537" xr3:uid="{9AA14598-EF76-4E7D-A8B4-7096B463FA56}" name="Kolonna11199"/>
    <tableColumn id="11538" xr3:uid="{46BF402F-2249-40AB-AF3B-A8C8753584DC}" name="Kolonna11200"/>
    <tableColumn id="11539" xr3:uid="{15593476-1F70-4BB6-AD1F-9CA024D0AB3D}" name="Kolonna11201"/>
    <tableColumn id="11540" xr3:uid="{77517D0C-5D15-4E4D-95C4-DEA604CD609A}" name="Kolonna11202"/>
    <tableColumn id="11541" xr3:uid="{89EDD12A-98D1-41A7-9BFE-9147F62B2A3E}" name="Kolonna11203"/>
    <tableColumn id="11542" xr3:uid="{CB058140-7B84-48FC-953A-7FADC098AC73}" name="Kolonna11204"/>
    <tableColumn id="11543" xr3:uid="{ECBF73BC-0359-44DC-893A-395999EC3DC9}" name="Kolonna11205"/>
    <tableColumn id="11544" xr3:uid="{FBECB681-C1D0-4B01-A352-657848D0487E}" name="Kolonna11206"/>
    <tableColumn id="11545" xr3:uid="{073BCE00-FEB5-426D-A19F-D484CCF71AB0}" name="Kolonna11207"/>
    <tableColumn id="11546" xr3:uid="{46BE58E0-37D0-4D34-9BFA-A4F6454CEE6E}" name="Kolonna11208"/>
    <tableColumn id="11547" xr3:uid="{4DB9E6D5-8D73-47F4-BD4A-1093940F4832}" name="Kolonna11209"/>
    <tableColumn id="11548" xr3:uid="{9E017750-916A-446C-BA08-F92F4E28CF6C}" name="Kolonna11210"/>
    <tableColumn id="11549" xr3:uid="{5761355B-7298-43A6-90E4-607191E477C9}" name="Kolonna11211"/>
    <tableColumn id="11550" xr3:uid="{5F7CC09A-EB44-4C4B-8785-3278D93F1FED}" name="Kolonna11212"/>
    <tableColumn id="11551" xr3:uid="{7FB9DEAB-A09C-4FF0-A9BC-8980BD6CEA3D}" name="Kolonna11213"/>
    <tableColumn id="11552" xr3:uid="{7EA7A269-C500-41BE-9C9B-0C2648FBC882}" name="Kolonna11214"/>
    <tableColumn id="11553" xr3:uid="{62FD255E-AC08-4F69-B50C-3051197F7A51}" name="Kolonna11215"/>
    <tableColumn id="11554" xr3:uid="{E20FC304-C8A7-4BA2-AC01-7293AB5A2688}" name="Kolonna11216"/>
    <tableColumn id="11555" xr3:uid="{D3636431-DECC-44CE-97CA-61C0B7574B7E}" name="Kolonna11217"/>
    <tableColumn id="11556" xr3:uid="{222E23A3-6B28-47DF-B3B0-BA6EEBE449CA}" name="Kolonna11218"/>
    <tableColumn id="11557" xr3:uid="{061AD4F3-5F10-43A3-8C24-6BB32213CA8C}" name="Kolonna11219"/>
    <tableColumn id="11558" xr3:uid="{A1F6A96C-AE10-424A-B2A3-04196E7E35AF}" name="Kolonna11220"/>
    <tableColumn id="11559" xr3:uid="{8187A93B-AD2E-41A8-AFBC-C8CE8849C1BC}" name="Kolonna11221"/>
    <tableColumn id="11560" xr3:uid="{23702821-4370-405B-BBBF-0B4973EB8204}" name="Kolonna11222"/>
    <tableColumn id="11561" xr3:uid="{9A91A141-EE74-4DCE-AA44-C6A678D89516}" name="Kolonna11223"/>
    <tableColumn id="11562" xr3:uid="{5D2C6FBB-E3BC-40FC-BC96-23EEE3529A0B}" name="Kolonna11224"/>
    <tableColumn id="11563" xr3:uid="{B94C1C77-2E57-4B1D-967C-054224EB8E9E}" name="Kolonna11225"/>
    <tableColumn id="11564" xr3:uid="{9FBC71D8-2BD9-47B1-B21E-675EF75F09F7}" name="Kolonna11226"/>
    <tableColumn id="11565" xr3:uid="{34A6999A-E38F-4F4D-9542-3840FA854D2F}" name="Kolonna11227"/>
    <tableColumn id="11566" xr3:uid="{E4AED87D-070B-413D-8E2F-7F27552836EE}" name="Kolonna11228"/>
    <tableColumn id="11567" xr3:uid="{0AC356F9-39BB-4A95-889E-77A2D06F4C0C}" name="Kolonna11229"/>
    <tableColumn id="11568" xr3:uid="{2B70BC73-5BA3-4E7D-B635-478B7DB88918}" name="Kolonna11230"/>
    <tableColumn id="11569" xr3:uid="{1F251F7D-FC8F-4AF1-A6BF-71412F1BE2C6}" name="Kolonna11231"/>
    <tableColumn id="11570" xr3:uid="{77A28F69-9C97-4EB5-A8E0-5C221324DF88}" name="Kolonna11232"/>
    <tableColumn id="11571" xr3:uid="{17CEBA80-BEBB-4183-AAF3-35BBFCF54C6B}" name="Kolonna11233"/>
    <tableColumn id="11572" xr3:uid="{3F40D50C-DBB4-48E5-B4F5-E06D81700F05}" name="Kolonna11234"/>
    <tableColumn id="11573" xr3:uid="{41617327-CC61-483F-80CD-08F882369FD0}" name="Kolonna11235"/>
    <tableColumn id="11574" xr3:uid="{01176F38-4997-48F5-93D8-D04C0C1C12CA}" name="Kolonna11236"/>
    <tableColumn id="11575" xr3:uid="{C3F02466-C33E-4C3E-BDED-DEE0BA574FFC}" name="Kolonna11237"/>
    <tableColumn id="11576" xr3:uid="{DFC89364-233C-44AD-B16E-CCEAB86F2D96}" name="Kolonna11238"/>
    <tableColumn id="11577" xr3:uid="{78222066-7D7B-4C1F-8516-D317713D44A8}" name="Kolonna11239"/>
    <tableColumn id="11578" xr3:uid="{3395EF1C-3312-4289-BBF7-B541109788B3}" name="Kolonna11240"/>
    <tableColumn id="11579" xr3:uid="{581D9545-66E1-425D-8294-68D91AA69AB4}" name="Kolonna11241"/>
    <tableColumn id="11580" xr3:uid="{217CE452-FDBF-4964-A7A3-08FC2F2B0A55}" name="Kolonna11242"/>
    <tableColumn id="11581" xr3:uid="{D878EC5E-F909-4135-9E95-F89FCD7E4878}" name="Kolonna11243"/>
    <tableColumn id="11582" xr3:uid="{42479611-FAF7-4366-BDAD-D8AD84C97676}" name="Kolonna11244"/>
    <tableColumn id="11583" xr3:uid="{F448E6E4-497D-4E8F-B2D5-AAAC28BAA1B1}" name="Kolonna11245"/>
    <tableColumn id="11584" xr3:uid="{1C2C5DC1-85B0-44EC-B004-BA49EBFB3066}" name="Kolonna11246"/>
    <tableColumn id="11585" xr3:uid="{969F624B-6386-46AF-9998-92015318DC4F}" name="Kolonna11247"/>
    <tableColumn id="11586" xr3:uid="{47B73792-19DF-4082-8914-6B9F87B0075B}" name="Kolonna11248"/>
    <tableColumn id="11587" xr3:uid="{90F05CB1-E676-4E31-B625-FDBAABE3EF19}" name="Kolonna11249"/>
    <tableColumn id="11588" xr3:uid="{66825334-1B26-4E05-95C2-069A4F7C58E1}" name="Kolonna11250"/>
    <tableColumn id="11589" xr3:uid="{8A085602-DAF6-4592-84E2-F7183143B792}" name="Kolonna11251"/>
    <tableColumn id="11590" xr3:uid="{1CCE96D9-9CC8-4E0E-8682-A16E3CEC26BF}" name="Kolonna11252"/>
    <tableColumn id="11591" xr3:uid="{16776CFD-241F-431F-9E09-D4FA03093A27}" name="Kolonna11253"/>
    <tableColumn id="11592" xr3:uid="{820A2199-D790-4751-88A6-25A03D382E60}" name="Kolonna11254"/>
    <tableColumn id="11593" xr3:uid="{61E3166B-7FB9-486D-9F59-D0EC2F2C4CD5}" name="Kolonna11255"/>
    <tableColumn id="11594" xr3:uid="{6A150FC6-E50A-4F86-B0F2-F8FE9B79DBDB}" name="Kolonna11256"/>
    <tableColumn id="11595" xr3:uid="{CD303067-D434-4F3D-9436-B0FC20DC68CA}" name="Kolonna11257"/>
    <tableColumn id="11596" xr3:uid="{0DBE04F5-51A6-4AFE-9978-CD5EDFCFBF08}" name="Kolonna11258"/>
    <tableColumn id="11597" xr3:uid="{5F3F579C-EA32-4FA1-BCA1-E49E0F9564DB}" name="Kolonna11259"/>
    <tableColumn id="11598" xr3:uid="{64840263-653B-4887-95AB-59EE14369101}" name="Kolonna11260"/>
    <tableColumn id="11599" xr3:uid="{BAC4245A-5560-4581-A049-D2A395C566C3}" name="Kolonna11261"/>
    <tableColumn id="11600" xr3:uid="{63B94D95-F3CE-48BA-82D8-054FBA489CAD}" name="Kolonna11262"/>
    <tableColumn id="11601" xr3:uid="{CED25CB5-5922-4DF6-883C-476FAA5DA98E}" name="Kolonna11263"/>
    <tableColumn id="11602" xr3:uid="{4FEBE816-291D-4001-9FE8-A140289D9441}" name="Kolonna11264"/>
    <tableColumn id="11603" xr3:uid="{E074AF98-6478-4436-A862-5CD9B2048A6F}" name="Kolonna11265"/>
    <tableColumn id="11604" xr3:uid="{9F6924FF-1913-4FBE-B8F9-F3C12F804B17}" name="Kolonna11266"/>
    <tableColumn id="11605" xr3:uid="{2B2617DF-91CC-4CFE-8D31-AA86788253D8}" name="Kolonna11267"/>
    <tableColumn id="11606" xr3:uid="{7B1BDC14-7ACF-4681-89DF-A663411BDA48}" name="Kolonna11268"/>
    <tableColumn id="11607" xr3:uid="{684A6C10-1AB3-4675-A86C-038A0D0ED000}" name="Kolonna11269"/>
    <tableColumn id="11608" xr3:uid="{8066FE13-4D26-4418-B1D0-FD9A155164F0}" name="Kolonna11270"/>
    <tableColumn id="11609" xr3:uid="{9C108094-CBAE-4878-A79C-EE19E886A5FC}" name="Kolonna11271"/>
    <tableColumn id="11610" xr3:uid="{A5E46477-9D4D-4C2B-900D-971FE02EE59F}" name="Kolonna11272"/>
    <tableColumn id="11611" xr3:uid="{35D9D111-E24D-4C8C-9707-FD17E3B3CED9}" name="Kolonna11273"/>
    <tableColumn id="11612" xr3:uid="{24914B7E-E757-49CF-8BD4-C24539BB354C}" name="Kolonna11274"/>
    <tableColumn id="11613" xr3:uid="{2BA7F2B4-871C-47F7-9177-7A28AE892F4F}" name="Kolonna11275"/>
    <tableColumn id="11614" xr3:uid="{CA676008-62BE-4B05-80A4-32A202AD3973}" name="Kolonna11276"/>
    <tableColumn id="11615" xr3:uid="{1B15D9DC-3239-4087-8825-B5C464AACF36}" name="Kolonna11277"/>
    <tableColumn id="11616" xr3:uid="{5B08E625-E168-4C65-A632-00B1F8FE1003}" name="Kolonna11278"/>
    <tableColumn id="11617" xr3:uid="{93C9F860-B1F0-49B1-8CA6-A7BFA115568E}" name="Kolonna11279"/>
    <tableColumn id="11618" xr3:uid="{89A019BA-1CA1-4CB8-B821-0CC4BC04571D}" name="Kolonna11280"/>
    <tableColumn id="11619" xr3:uid="{95CBA9D4-5651-4A95-9CB2-ABA86B79ABB2}" name="Kolonna11281"/>
    <tableColumn id="11620" xr3:uid="{D3D7C8E0-A8DF-456D-89A0-A32B47E33CC5}" name="Kolonna11282"/>
    <tableColumn id="11621" xr3:uid="{07839F5E-0AE6-4413-AE93-83393D503CA5}" name="Kolonna11283"/>
    <tableColumn id="11622" xr3:uid="{11CCDEA8-6B50-4707-B73B-90B20010EF7A}" name="Kolonna11284"/>
    <tableColumn id="11623" xr3:uid="{C89740F9-7E56-4336-900A-D673D4D31C24}" name="Kolonna11285"/>
    <tableColumn id="11624" xr3:uid="{3DEB28C2-E5D0-4B03-925E-6F63E466340F}" name="Kolonna11286"/>
    <tableColumn id="11625" xr3:uid="{51D6362A-B9A5-41EB-A05D-EAFAFFF99B38}" name="Kolonna11287"/>
    <tableColumn id="11626" xr3:uid="{05F831BE-5233-4DA8-9FBB-CF7CDB7EACB9}" name="Kolonna11288"/>
    <tableColumn id="11627" xr3:uid="{447A07AB-3005-4069-A18A-5C4D72D435B5}" name="Kolonna11289"/>
    <tableColumn id="11628" xr3:uid="{263F367F-B055-4CB9-9ACE-3028B6060D91}" name="Kolonna11290"/>
    <tableColumn id="11629" xr3:uid="{B697C887-BAFA-42C2-9F14-199A18703680}" name="Kolonna11291"/>
    <tableColumn id="11630" xr3:uid="{9C490C9D-2C65-48B2-A9E8-F40A5FABF087}" name="Kolonna11292"/>
    <tableColumn id="11631" xr3:uid="{4AED27DD-DDEA-4504-BD40-E22569E3FB4A}" name="Kolonna11293"/>
    <tableColumn id="11632" xr3:uid="{6932C1BF-B170-4F5F-B6C3-68706EE26F3F}" name="Kolonna11294"/>
    <tableColumn id="11633" xr3:uid="{02611953-AEBC-450E-BEBB-66D06FB99487}" name="Kolonna11295"/>
    <tableColumn id="11634" xr3:uid="{9BC80146-F67B-4669-8D23-5175F03AB535}" name="Kolonna11296"/>
    <tableColumn id="11635" xr3:uid="{91C98D73-1BB5-41FF-A98E-5E06C00AA7CC}" name="Kolonna11297"/>
    <tableColumn id="11636" xr3:uid="{DA0EADF6-A8B6-46FB-9901-3F18A8B3C07C}" name="Kolonna11298"/>
    <tableColumn id="11637" xr3:uid="{8F7C64E1-B35E-4077-AB04-3BC573EEF911}" name="Kolonna11299"/>
    <tableColumn id="11638" xr3:uid="{8B5C72C5-C981-4572-A445-B1C3EB54EDC2}" name="Kolonna11300"/>
    <tableColumn id="11639" xr3:uid="{E6D9FD48-9B9C-4DB4-BA0A-DF5B045971E2}" name="Kolonna11301"/>
    <tableColumn id="11640" xr3:uid="{6C5247D3-26ED-49B0-8C41-A388953B6266}" name="Kolonna11302"/>
    <tableColumn id="11641" xr3:uid="{B402207A-EE7F-4FF9-8295-2E190698A128}" name="Kolonna11303"/>
    <tableColumn id="11642" xr3:uid="{F1928C69-19FF-4637-B6B0-8FA655837636}" name="Kolonna11304"/>
    <tableColumn id="11643" xr3:uid="{50B6CECC-F77E-4212-B80A-E58A876BBE5C}" name="Kolonna11305"/>
    <tableColumn id="11644" xr3:uid="{DF432DDE-B789-48A3-BDED-233BA9C56CF7}" name="Kolonna11306"/>
    <tableColumn id="11645" xr3:uid="{C06BCD85-927E-4525-ADD6-8C2A5498BC5C}" name="Kolonna11307"/>
    <tableColumn id="11646" xr3:uid="{CEE72C24-B26B-4988-939A-DCFE116CB665}" name="Kolonna11308"/>
    <tableColumn id="11647" xr3:uid="{4ACD80D2-2218-48B0-A32C-8442448484A5}" name="Kolonna11309"/>
    <tableColumn id="11648" xr3:uid="{E75A0D9F-237B-4AFD-B018-6E8CC683BAC6}" name="Kolonna11310"/>
    <tableColumn id="11649" xr3:uid="{0BE42195-BED9-45B9-9066-34A2D961FD47}" name="Kolonna11311"/>
    <tableColumn id="11650" xr3:uid="{EE6A4723-5428-4450-8A5C-AF1DAE96EE01}" name="Kolonna11312"/>
    <tableColumn id="11651" xr3:uid="{39DF1E3F-4313-4E97-BEF7-D313550DCD09}" name="Kolonna11313"/>
    <tableColumn id="11652" xr3:uid="{3AB65378-8289-428C-81F3-EB053F02DF14}" name="Kolonna11314"/>
    <tableColumn id="11653" xr3:uid="{11D70EF7-8322-4AD4-83A1-713CF4688368}" name="Kolonna11315"/>
    <tableColumn id="11654" xr3:uid="{FBB9F9EC-4A83-40BF-BAC2-700FF8496AD9}" name="Kolonna11316"/>
    <tableColumn id="11655" xr3:uid="{4E3B2988-2D05-4F38-8A53-CF8D6691362B}" name="Kolonna11317"/>
    <tableColumn id="11656" xr3:uid="{5B9455AB-42D0-45C0-971B-277FECC2D1F1}" name="Kolonna11318"/>
    <tableColumn id="11657" xr3:uid="{5B0696FF-7415-4FF5-AE08-ADFCB36E16E2}" name="Kolonna11319"/>
    <tableColumn id="11658" xr3:uid="{818D30C4-3640-4D64-9634-C01BD00C848C}" name="Kolonna11320"/>
    <tableColumn id="11659" xr3:uid="{E72A8FD3-2624-4038-8790-4959782A779F}" name="Kolonna11321"/>
    <tableColumn id="11660" xr3:uid="{8C87BAA4-616E-416E-B1E6-55E932E28F4C}" name="Kolonna11322"/>
    <tableColumn id="11661" xr3:uid="{FE1F38BD-9681-467D-95C3-27CBC1D75F3F}" name="Kolonna11323"/>
    <tableColumn id="11662" xr3:uid="{FA28B8C0-1591-4957-9259-B60221B5AC63}" name="Kolonna11324"/>
    <tableColumn id="11663" xr3:uid="{B1EEAE43-0E18-446E-B779-0460494DBD54}" name="Kolonna11325"/>
    <tableColumn id="11664" xr3:uid="{AF524EB6-CEC1-46F5-A490-349D61020E14}" name="Kolonna11326"/>
    <tableColumn id="11665" xr3:uid="{A1215146-56BC-4788-BF44-4276351E7BC0}" name="Kolonna11327"/>
    <tableColumn id="11666" xr3:uid="{FC79433E-6B5E-466D-AD60-E8960FA59F6F}" name="Kolonna11328"/>
    <tableColumn id="11667" xr3:uid="{11F425D8-DD3A-4D13-9D51-C56B3AAAA9D5}" name="Kolonna11329"/>
    <tableColumn id="11668" xr3:uid="{449A2AD6-E685-4426-931A-4C8E9211D39B}" name="Kolonna11330"/>
    <tableColumn id="11669" xr3:uid="{FD194827-E225-4516-8DC2-0F1B295DAAE2}" name="Kolonna11331"/>
    <tableColumn id="11670" xr3:uid="{890589A4-B100-4400-B5B4-13F2E57E98CA}" name="Kolonna11332"/>
    <tableColumn id="11671" xr3:uid="{C1F38660-8D50-4A22-9D1F-76C945222F10}" name="Kolonna11333"/>
    <tableColumn id="11672" xr3:uid="{F84AA618-8C2A-4BBE-92C0-DF2B4ADB7979}" name="Kolonna11334"/>
    <tableColumn id="11673" xr3:uid="{3D46B303-82D9-4CF8-9A58-B2E173CC71D1}" name="Kolonna11335"/>
    <tableColumn id="11674" xr3:uid="{F4020E1F-8B96-4604-AB4B-6ED002017B99}" name="Kolonna11336"/>
    <tableColumn id="11675" xr3:uid="{9476E28D-967F-46E0-9CEE-5656F71080B6}" name="Kolonna11337"/>
    <tableColumn id="11676" xr3:uid="{E35C0359-3BCB-4854-912C-5BA7DA350E95}" name="Kolonna11338"/>
    <tableColumn id="11677" xr3:uid="{FD7AA3B1-7CA3-4606-881D-28D1D3A83E1C}" name="Kolonna11339"/>
    <tableColumn id="11678" xr3:uid="{4BA2542A-212C-4F6A-93A8-9EB31C6CC6EF}" name="Kolonna11340"/>
    <tableColumn id="11679" xr3:uid="{A41AB01C-E088-4F9D-88D1-1C2952B0D114}" name="Kolonna11341"/>
    <tableColumn id="11680" xr3:uid="{98048FBB-B596-4523-915B-1B7E9785EFE7}" name="Kolonna11342"/>
    <tableColumn id="11681" xr3:uid="{FC96649F-F7D7-4B83-ACAC-955089B5BA52}" name="Kolonna11343"/>
    <tableColumn id="11682" xr3:uid="{DF4B72FB-4D30-433A-B77D-BE701E023611}" name="Kolonna11344"/>
    <tableColumn id="11683" xr3:uid="{EF834909-9965-4CAD-B285-C62FC1E97260}" name="Kolonna11345"/>
    <tableColumn id="11684" xr3:uid="{07A293D3-8A47-40C7-9197-AA74B49E947F}" name="Kolonna11346"/>
    <tableColumn id="11685" xr3:uid="{8E220090-D5C7-431F-93DE-F74C4CBD264F}" name="Kolonna11347"/>
    <tableColumn id="11686" xr3:uid="{4570EB70-0A33-450A-92FB-330F6A10902B}" name="Kolonna11348"/>
    <tableColumn id="11687" xr3:uid="{9407C6D1-38CA-4EB4-874F-61A55150A238}" name="Kolonna11349"/>
    <tableColumn id="11688" xr3:uid="{C5293248-E97A-43C2-BADC-3E178FE923E6}" name="Kolonna11350"/>
    <tableColumn id="11689" xr3:uid="{AEDEB3B1-5C17-4F5A-A26B-E626DB99B99D}" name="Kolonna11351"/>
    <tableColumn id="11690" xr3:uid="{9E4378F7-234C-433B-BAB2-E58197679E25}" name="Kolonna11352"/>
    <tableColumn id="11691" xr3:uid="{83C98BDB-0566-4C47-8832-5D9DCAA561E1}" name="Kolonna11353"/>
    <tableColumn id="11692" xr3:uid="{905C566E-4B41-4093-BA8D-DDB164287329}" name="Kolonna11354"/>
    <tableColumn id="11693" xr3:uid="{7BD8B579-0966-47B9-8514-85DC1B3B4B86}" name="Kolonna11355"/>
    <tableColumn id="11694" xr3:uid="{C0425100-C958-40D2-B0A9-CBFB6232B67A}" name="Kolonna11356"/>
    <tableColumn id="11695" xr3:uid="{1A790248-8F9D-451A-9E7D-58C2E2157702}" name="Kolonna11357"/>
    <tableColumn id="11696" xr3:uid="{808EF167-C81A-4B08-980B-41C5DB893C03}" name="Kolonna11358"/>
    <tableColumn id="11697" xr3:uid="{F3841425-88D2-4A8B-A1CA-85992C30A7CB}" name="Kolonna11359"/>
    <tableColumn id="11698" xr3:uid="{641CCE04-9A47-4460-A95C-2DAB23819998}" name="Kolonna11360"/>
    <tableColumn id="11699" xr3:uid="{C92856C7-B52D-4EC1-A0BA-9344C75E2777}" name="Kolonna11361"/>
    <tableColumn id="11700" xr3:uid="{38201819-AA56-4BC6-A4F9-BF1C5289CAC2}" name="Kolonna11362"/>
    <tableColumn id="11701" xr3:uid="{94638793-7194-4CC3-8040-B2B5FF6DFE4B}" name="Kolonna11363"/>
    <tableColumn id="11702" xr3:uid="{CF4AD3A1-524E-46C0-9EB6-3BBCED1E31DD}" name="Kolonna11364"/>
    <tableColumn id="11703" xr3:uid="{52B6D0B0-12CA-428C-BF8F-DD4B70A14D04}" name="Kolonna11365"/>
    <tableColumn id="11704" xr3:uid="{C9BB40E3-DB50-4B87-A113-07D991F296DB}" name="Kolonna11366"/>
    <tableColumn id="11705" xr3:uid="{CDD23B3B-7828-413C-85D5-80F6A7AA792D}" name="Kolonna11367"/>
    <tableColumn id="11706" xr3:uid="{E20BEB2F-B573-4C4E-BA73-2AEF1C880A57}" name="Kolonna11368"/>
    <tableColumn id="11707" xr3:uid="{42E45C69-BE47-48C3-8A6B-6D626A27D4E5}" name="Kolonna11369"/>
    <tableColumn id="11708" xr3:uid="{ACCCC20C-6FA3-4676-A25C-9789E3D6A451}" name="Kolonna11370"/>
    <tableColumn id="11709" xr3:uid="{5A9C7A8E-59BE-4A49-B003-CA18B302F206}" name="Kolonna11371"/>
    <tableColumn id="11710" xr3:uid="{6366121B-68B0-47CB-9182-35DE18FA26F4}" name="Kolonna11372"/>
    <tableColumn id="11711" xr3:uid="{3302E5F6-3143-4513-A8AA-D14E2D90051D}" name="Kolonna11373"/>
    <tableColumn id="11712" xr3:uid="{B4F1371B-3322-467D-A9FC-112C414999C3}" name="Kolonna11374"/>
    <tableColumn id="11713" xr3:uid="{F174297A-E36C-46CD-8F31-0FB9E9482CD3}" name="Kolonna11375"/>
    <tableColumn id="11714" xr3:uid="{51B3AD1F-353B-42C3-A3EC-BC6C4E927A0C}" name="Kolonna11376"/>
    <tableColumn id="11715" xr3:uid="{7AA17767-B923-4B75-ADD0-958F7708BF99}" name="Kolonna11377"/>
    <tableColumn id="11716" xr3:uid="{F8D8402B-2BB4-4EB5-A784-F55AFD6F75CB}" name="Kolonna11378"/>
    <tableColumn id="11717" xr3:uid="{3C237997-3689-4B64-A9CD-621CF7F6E0A3}" name="Kolonna11379"/>
    <tableColumn id="11718" xr3:uid="{45A924A6-D990-4F81-91D8-7C767D72B50E}" name="Kolonna11380"/>
    <tableColumn id="11719" xr3:uid="{677B56B8-F702-43C0-9EC2-746DA3A0E3E3}" name="Kolonna11381"/>
    <tableColumn id="11720" xr3:uid="{7FB7CB8B-6FB1-4583-98AA-6FB3371A2FE3}" name="Kolonna11382"/>
    <tableColumn id="11721" xr3:uid="{08F21B41-529F-4C80-A783-54DB6C972AB5}" name="Kolonna11383"/>
    <tableColumn id="11722" xr3:uid="{4CF17501-AA1E-459B-9C44-76D337CDE51F}" name="Kolonna11384"/>
    <tableColumn id="11723" xr3:uid="{36D6643F-0843-487D-A31D-A4DAF2DFCDD7}" name="Kolonna11385"/>
    <tableColumn id="11724" xr3:uid="{5C50E387-1590-47D5-A0A9-CC49F043B15B}" name="Kolonna11386"/>
    <tableColumn id="11725" xr3:uid="{75F1FBE9-ED7F-4070-AB41-1380B6892F8C}" name="Kolonna11387"/>
    <tableColumn id="11726" xr3:uid="{252846D4-B8BD-40C7-8CC2-96C97D933CDC}" name="Kolonna11388"/>
    <tableColumn id="11727" xr3:uid="{3EF4C4EB-FF7D-43C2-B298-2946A0B38D8F}" name="Kolonna11389"/>
    <tableColumn id="11728" xr3:uid="{763C8DDC-2604-41F2-B14E-5BD246718509}" name="Kolonna11390"/>
    <tableColumn id="11729" xr3:uid="{E58DC666-AF7B-41AC-AFD6-4F607ABB5FDE}" name="Kolonna11391"/>
    <tableColumn id="11730" xr3:uid="{612BD8DF-2560-4A32-919C-81B03D661C0A}" name="Kolonna11392"/>
    <tableColumn id="11731" xr3:uid="{A0911DB2-DD4E-4B22-B140-AF2015D0B70F}" name="Kolonna11393"/>
    <tableColumn id="11732" xr3:uid="{4E8C0F1F-6156-4E80-A5AD-7D0A034EC3F6}" name="Kolonna11394"/>
    <tableColumn id="11733" xr3:uid="{612E72D4-5696-49F9-98FF-A3284E3C36A5}" name="Kolonna11395"/>
    <tableColumn id="11734" xr3:uid="{CC94E9E4-3558-402D-8388-F73E5E9CA84F}" name="Kolonna11396"/>
    <tableColumn id="11735" xr3:uid="{412B114B-EAD2-4230-B1D9-7398E7E1489D}" name="Kolonna11397"/>
    <tableColumn id="11736" xr3:uid="{7808B80B-7DAD-49A1-BCE9-A3E6BB62C11C}" name="Kolonna11398"/>
    <tableColumn id="11737" xr3:uid="{9EF99402-93BB-4566-B364-0C62C4981B1C}" name="Kolonna11399"/>
    <tableColumn id="11738" xr3:uid="{6307ED35-2472-4292-83EB-56E7F1766D73}" name="Kolonna11400"/>
    <tableColumn id="11739" xr3:uid="{C7DD8BDD-B4DE-47FF-8158-0E19A6CC5D25}" name="Kolonna11401"/>
    <tableColumn id="11740" xr3:uid="{ADE66BC6-1499-4B55-9783-F780EDF5E832}" name="Kolonna11402"/>
    <tableColumn id="11741" xr3:uid="{681F4EB9-921D-4B54-AE3A-6AD28CD78D0D}" name="Kolonna11403"/>
    <tableColumn id="11742" xr3:uid="{CF22F602-952B-4DDA-86AA-C0769DAAE0A7}" name="Kolonna11404"/>
    <tableColumn id="11743" xr3:uid="{C3E4EB01-9DF7-48C7-AB10-BF2D92F4A5D1}" name="Kolonna11405"/>
    <tableColumn id="11744" xr3:uid="{6F0DA4AC-FDB8-4D15-AF30-94D2BB52D9B8}" name="Kolonna11406"/>
    <tableColumn id="11745" xr3:uid="{65A85B49-DBC7-425A-97AA-EF460119DD54}" name="Kolonna11407"/>
    <tableColumn id="11746" xr3:uid="{F779B601-E5E0-4336-A2FB-F108D4B16E24}" name="Kolonna11408"/>
    <tableColumn id="11747" xr3:uid="{AF8170EC-80B3-4496-B70D-258FF2E3A35B}" name="Kolonna11409"/>
    <tableColumn id="11748" xr3:uid="{CF9F8B69-2EE8-4F6B-BA1D-3DCD1FF8E1E8}" name="Kolonna11410"/>
    <tableColumn id="11749" xr3:uid="{27D9D5C3-0AD0-403E-8F60-EE7701F98308}" name="Kolonna11411"/>
    <tableColumn id="11750" xr3:uid="{CCDFD116-57D7-4F7C-969E-E065AC2BC473}" name="Kolonna11412"/>
    <tableColumn id="11751" xr3:uid="{30A324D8-E310-4B96-A0A8-09873DCABD00}" name="Kolonna11413"/>
    <tableColumn id="11752" xr3:uid="{B542CE87-93BD-4C80-9A73-A85C4BEDAD36}" name="Kolonna11414"/>
    <tableColumn id="11753" xr3:uid="{EFBB7871-5363-4094-877A-930095A3B1A0}" name="Kolonna11415"/>
    <tableColumn id="11754" xr3:uid="{35E42D87-D165-4886-8A14-018494C7AA63}" name="Kolonna11416"/>
    <tableColumn id="11755" xr3:uid="{21291BB2-07BF-41FA-82F8-E245EBE96157}" name="Kolonna11417"/>
    <tableColumn id="11756" xr3:uid="{88090490-1242-43C6-961F-076B03D5476A}" name="Kolonna11418"/>
    <tableColumn id="11757" xr3:uid="{F107253C-293E-48AA-87E7-426D67BC6DA0}" name="Kolonna11419"/>
    <tableColumn id="11758" xr3:uid="{AAB80FED-5CCC-4E6E-A6BF-A1F90168F717}" name="Kolonna11420"/>
    <tableColumn id="11759" xr3:uid="{DAD2112B-4AEE-432D-A323-7051EDEB1574}" name="Kolonna11421"/>
    <tableColumn id="11760" xr3:uid="{063EB63D-DA69-4C4F-887F-B5A25563C63D}" name="Kolonna11422"/>
    <tableColumn id="11761" xr3:uid="{5D7273C9-BD4A-4900-8F9B-B856F8EBD919}" name="Kolonna11423"/>
    <tableColumn id="11762" xr3:uid="{9074287A-D49B-4D9E-AC5C-B1F07DD156DF}" name="Kolonna11424"/>
    <tableColumn id="11763" xr3:uid="{0EC5048C-FABC-4F23-A7C3-D6584879BA43}" name="Kolonna11425"/>
    <tableColumn id="11764" xr3:uid="{FB716739-1CC2-4A44-9A87-22F9D381A135}" name="Kolonna11426"/>
    <tableColumn id="11765" xr3:uid="{14DBCEC2-D0E0-4994-8C68-3F74499DA0BC}" name="Kolonna11427"/>
    <tableColumn id="11766" xr3:uid="{21BA7802-3BE1-41D0-80E8-F8F4F58F55A8}" name="Kolonna11428"/>
    <tableColumn id="11767" xr3:uid="{2DCC7DAB-F9EA-4FDD-944C-780DB4CBFD1E}" name="Kolonna11429"/>
    <tableColumn id="11768" xr3:uid="{F53AC463-32D6-4DBD-8C64-BAF666E69147}" name="Kolonna11430"/>
    <tableColumn id="11769" xr3:uid="{4FF0D79D-E407-4B9D-B6AB-B9DB5704E136}" name="Kolonna11431"/>
    <tableColumn id="11770" xr3:uid="{404EA5B4-9361-48FB-BFF0-02F12517B67B}" name="Kolonna11432"/>
    <tableColumn id="11771" xr3:uid="{3A230511-768D-47D2-913B-2EFC3287C8E4}" name="Kolonna11433"/>
    <tableColumn id="11772" xr3:uid="{30897A9E-3DBC-45A6-A0E4-6EC9AFDAB121}" name="Kolonna11434"/>
    <tableColumn id="11773" xr3:uid="{498D2B16-48D4-4D87-B8EC-CDA111F9F026}" name="Kolonna11435"/>
    <tableColumn id="11774" xr3:uid="{555B0996-E7A8-4329-83DD-FF4FD3E6A27D}" name="Kolonna11436"/>
    <tableColumn id="11775" xr3:uid="{799C5C91-2EB6-4F96-BDD4-BC305EBD82A6}" name="Kolonna11437"/>
    <tableColumn id="11776" xr3:uid="{F559FF1F-FB91-4C98-A1E9-3B590AC9B590}" name="Kolonna11438"/>
    <tableColumn id="11777" xr3:uid="{B2DA89D5-182E-4BD3-B6CE-4B58A2FF281F}" name="Kolonna11439"/>
    <tableColumn id="11778" xr3:uid="{DC2D76E6-E6FD-4433-9C26-C63F0A5C7A89}" name="Kolonna11440"/>
    <tableColumn id="11779" xr3:uid="{7EF9B48E-F890-43F8-892E-875169E83CB4}" name="Kolonna11441"/>
    <tableColumn id="11780" xr3:uid="{8032769E-F82C-4A3F-8AAB-FDF788081882}" name="Kolonna11442"/>
    <tableColumn id="11781" xr3:uid="{72597997-2BAE-4605-BCE0-808239855C6E}" name="Kolonna11443"/>
    <tableColumn id="11782" xr3:uid="{102F4DFE-8E88-415C-AB55-2BA38F5C1F69}" name="Kolonna11444"/>
    <tableColumn id="11783" xr3:uid="{6DCD200C-6E57-4F86-88D8-9155AF1FBDBA}" name="Kolonna11445"/>
    <tableColumn id="11784" xr3:uid="{8B74E282-EA2E-4AB9-A985-16C8AD390F72}" name="Kolonna11446"/>
    <tableColumn id="11785" xr3:uid="{B1942139-C4B5-4883-922E-7644437127B8}" name="Kolonna11447"/>
    <tableColumn id="11786" xr3:uid="{0F5F8683-09E1-4434-A9BA-CA4F6E9F1C61}" name="Kolonna11448"/>
    <tableColumn id="11787" xr3:uid="{0CAE07B4-67CC-4C35-A808-FFD26666F011}" name="Kolonna11449"/>
    <tableColumn id="11788" xr3:uid="{6687E87B-55D6-4185-AED2-F2ECC3889F62}" name="Kolonna11450"/>
    <tableColumn id="11789" xr3:uid="{9C731020-0D5A-4BE8-BE5D-BC3E760FE66B}" name="Kolonna11451"/>
    <tableColumn id="11790" xr3:uid="{FAD72DB2-8105-4BFD-891D-0464265D75A3}" name="Kolonna11452"/>
    <tableColumn id="11791" xr3:uid="{C132BFD3-07FB-4795-AA3F-7540D9448687}" name="Kolonna11453"/>
    <tableColumn id="11792" xr3:uid="{2325225C-572A-48EA-9CDC-C98C3E94998E}" name="Kolonna11454"/>
    <tableColumn id="11793" xr3:uid="{66EC0FE4-B232-46FE-87EC-CC8BF5937C8F}" name="Kolonna11455"/>
    <tableColumn id="11794" xr3:uid="{DE09E90F-0D1E-44EF-B36E-BCCFC7180BB1}" name="Kolonna11456"/>
    <tableColumn id="11795" xr3:uid="{E428AAAA-A48F-4961-9896-4E277A3C7C5F}" name="Kolonna11457"/>
    <tableColumn id="11796" xr3:uid="{A3DF7E4F-A721-4310-8E0C-F17A01C39CC6}" name="Kolonna11458"/>
    <tableColumn id="11797" xr3:uid="{31DFE8B5-6A13-40E5-9ACA-33FE98EDC4B7}" name="Kolonna11459"/>
    <tableColumn id="11798" xr3:uid="{835F65CD-1701-4B92-AB60-DEA952553D8D}" name="Kolonna11460"/>
    <tableColumn id="11799" xr3:uid="{526D7F81-0BB8-4E3C-B802-FD6961993368}" name="Kolonna11461"/>
    <tableColumn id="11800" xr3:uid="{29711562-7C96-461F-842B-3771A62E79BB}" name="Kolonna11462"/>
    <tableColumn id="11801" xr3:uid="{DC329988-C381-48A4-8213-793CB84854A3}" name="Kolonna11463"/>
    <tableColumn id="11802" xr3:uid="{A9097D51-8C5E-447E-91B7-23E86C770689}" name="Kolonna11464"/>
    <tableColumn id="11803" xr3:uid="{80AA2278-415A-4E7C-A0FF-4F22EA8AF118}" name="Kolonna11465"/>
    <tableColumn id="11804" xr3:uid="{6AE964C0-8E50-40A2-A8CE-A8781A314DD1}" name="Kolonna11466"/>
    <tableColumn id="11805" xr3:uid="{361F557F-2D55-4133-A54B-7A71FB796DE1}" name="Kolonna11467"/>
    <tableColumn id="11806" xr3:uid="{56F995A1-1A39-41E0-98B8-0E4BCFB5EE2D}" name="Kolonna11468"/>
    <tableColumn id="11807" xr3:uid="{342D482E-6A51-4CAF-9DA5-190062ADE4D0}" name="Kolonna11469"/>
    <tableColumn id="11808" xr3:uid="{396D17BB-D365-41F5-9186-344AA3090C18}" name="Kolonna11470"/>
    <tableColumn id="11809" xr3:uid="{9AA2122B-D635-485E-B880-CA0BB1AF2C09}" name="Kolonna11471"/>
    <tableColumn id="11810" xr3:uid="{F02883AB-FBDE-41DC-9BFD-1E44B894E024}" name="Kolonna11472"/>
    <tableColumn id="11811" xr3:uid="{3143E695-DB47-42E1-8A2D-520F49B5B178}" name="Kolonna11473"/>
    <tableColumn id="11812" xr3:uid="{506F9A39-19BA-4A33-BD6A-A6E6BA413328}" name="Kolonna11474"/>
    <tableColumn id="11813" xr3:uid="{97403BD7-100A-4663-81AF-54E5FCF4B507}" name="Kolonna11475"/>
    <tableColumn id="11814" xr3:uid="{052CE439-0402-450E-9489-56EB78381203}" name="Kolonna11476"/>
    <tableColumn id="11815" xr3:uid="{66A7B346-8420-4E6F-9C2C-C5A66FD8D0E3}" name="Kolonna11477"/>
    <tableColumn id="11816" xr3:uid="{16DB37C7-29A7-4D12-8088-07A5F26A8F05}" name="Kolonna11478"/>
    <tableColumn id="11817" xr3:uid="{429B3427-FF08-499E-A3B9-A20891242340}" name="Kolonna11479"/>
    <tableColumn id="11818" xr3:uid="{EEFCC060-7BF3-4FDB-AD3C-D30F3908F99F}" name="Kolonna11480"/>
    <tableColumn id="11819" xr3:uid="{A3532DE5-941F-4D57-A525-02248EFC4A01}" name="Kolonna11481"/>
    <tableColumn id="11820" xr3:uid="{B4BDA352-784A-409D-8618-C2DA693A303D}" name="Kolonna11482"/>
    <tableColumn id="11821" xr3:uid="{2EE7172E-E0A4-4F61-8EE5-723A642C1977}" name="Kolonna11483"/>
    <tableColumn id="11822" xr3:uid="{67D1CA94-1A99-4772-8BAB-6ECD0B9E89CB}" name="Kolonna11484"/>
    <tableColumn id="11823" xr3:uid="{A1E5DA18-8BBF-4FBD-9067-990C677E6699}" name="Kolonna11485"/>
    <tableColumn id="11824" xr3:uid="{F7D68C34-BB97-4689-9E7A-E757A6FBA686}" name="Kolonna11486"/>
    <tableColumn id="11825" xr3:uid="{D7EA44F2-FB59-43F0-B225-D6ED34384541}" name="Kolonna11487"/>
    <tableColumn id="11826" xr3:uid="{EF7F3415-81C6-4C14-92F2-F0AA9EEF6839}" name="Kolonna11488"/>
    <tableColumn id="11827" xr3:uid="{3DC70F00-2A1A-408D-BB36-CEF4CA7FEDDC}" name="Kolonna11489"/>
    <tableColumn id="11828" xr3:uid="{88948939-084B-498D-B28F-BA11B1B6991E}" name="Kolonna11490"/>
    <tableColumn id="11829" xr3:uid="{B2FDAE9D-7600-4F00-AD5A-6CB00313619E}" name="Kolonna11491"/>
    <tableColumn id="11830" xr3:uid="{366F9D4E-1961-4760-AB79-36777860E54C}" name="Kolonna11492"/>
    <tableColumn id="11831" xr3:uid="{B4C83265-2A74-48FF-B2B2-2F703AD2EA00}" name="Kolonna11493"/>
    <tableColumn id="11832" xr3:uid="{545562B5-B58D-4382-A0A5-194E96154C8D}" name="Kolonna11494"/>
    <tableColumn id="11833" xr3:uid="{F4DE99D1-A015-499E-A548-D1C7A400085A}" name="Kolonna11495"/>
    <tableColumn id="11834" xr3:uid="{3DC6A5CD-B940-42A9-A0D2-ED6EABD5BFE6}" name="Kolonna11496"/>
    <tableColumn id="11835" xr3:uid="{FD29160C-95A6-4A07-BDAB-EBEB6F3EE0DA}" name="Kolonna11497"/>
    <tableColumn id="11836" xr3:uid="{BBDF4480-D434-4C36-818D-88C023B1EB21}" name="Kolonna11498"/>
    <tableColumn id="11837" xr3:uid="{0D9634A2-BCB5-47CD-A7BD-3E3020784AE6}" name="Kolonna11499"/>
    <tableColumn id="11838" xr3:uid="{E394BD47-E3F9-4419-AB18-1088FAA3F8DF}" name="Kolonna11500"/>
    <tableColumn id="11839" xr3:uid="{FD6989C0-188D-4599-AB8F-F04716507439}" name="Kolonna11501"/>
    <tableColumn id="11840" xr3:uid="{61FFA0B6-98BE-4875-B220-CA2D3BD4ADD5}" name="Kolonna11502"/>
    <tableColumn id="11841" xr3:uid="{E839F970-AA20-46E4-B710-DCFAEC545D3F}" name="Kolonna11503"/>
    <tableColumn id="11842" xr3:uid="{2F9B4811-76A2-4C1E-BD61-F75600938AD0}" name="Kolonna11504"/>
    <tableColumn id="11843" xr3:uid="{A7093B55-041F-44C1-8776-E78370166D71}" name="Kolonna11505"/>
    <tableColumn id="11844" xr3:uid="{4E02502A-ABB8-4DE4-8CFF-C0CD3DE961B1}" name="Kolonna11506"/>
    <tableColumn id="11845" xr3:uid="{1E1ACF34-3D6A-4FF7-96A7-26DB525CF64C}" name="Kolonna11507"/>
    <tableColumn id="11846" xr3:uid="{A32C2A4B-A144-4546-B987-ED14C5F006C9}" name="Kolonna11508"/>
    <tableColumn id="11847" xr3:uid="{8F7BE1E0-994A-4462-BB13-F0659E018D14}" name="Kolonna11509"/>
    <tableColumn id="11848" xr3:uid="{2B4A2CEB-AF0A-404B-8347-33F9D95F1DF5}" name="Kolonna11510"/>
    <tableColumn id="11849" xr3:uid="{C733EA9C-0F9A-4221-878C-62AFDCC3D616}" name="Kolonna11511"/>
    <tableColumn id="11850" xr3:uid="{894E0F3E-5AD9-4CB1-A033-4D899F25496C}" name="Kolonna11512"/>
    <tableColumn id="11851" xr3:uid="{8F506958-198D-4737-ADE5-32EA4D1F2AE6}" name="Kolonna11513"/>
    <tableColumn id="11852" xr3:uid="{8CF24ABB-A1BB-4A90-BC6A-E2AAE3E1D32B}" name="Kolonna11514"/>
    <tableColumn id="11853" xr3:uid="{2F3B399D-9BC8-4525-9B2C-152AE6FB093A}" name="Kolonna11515"/>
    <tableColumn id="11854" xr3:uid="{526F0941-B242-4830-853B-45F569F24E94}" name="Kolonna11516"/>
    <tableColumn id="11855" xr3:uid="{D883E0F1-AA34-4D35-B583-FD8DEED4856E}" name="Kolonna11517"/>
    <tableColumn id="11856" xr3:uid="{29181AF7-009E-4C59-9808-862EB2441967}" name="Kolonna11518"/>
    <tableColumn id="11857" xr3:uid="{55EE57D8-1E6A-49A1-9D32-74B428C832B6}" name="Kolonna11519"/>
    <tableColumn id="11858" xr3:uid="{D8770D6F-BB06-4123-A406-1819C009632D}" name="Kolonna11520"/>
    <tableColumn id="11859" xr3:uid="{F40FC58F-E4F9-4D9C-A720-D9CA89D05132}" name="Kolonna11521"/>
    <tableColumn id="11860" xr3:uid="{FEB65004-C2EC-47E6-B965-460CBE0F9F9D}" name="Kolonna11522"/>
    <tableColumn id="11861" xr3:uid="{F3B8669B-E4CD-497B-98B1-B64855150FA0}" name="Kolonna11523"/>
    <tableColumn id="11862" xr3:uid="{365C9B54-A493-400E-A4AF-7350D693278A}" name="Kolonna11524"/>
    <tableColumn id="11863" xr3:uid="{2121CD56-87B3-41B9-AAB1-4A5F895743E9}" name="Kolonna11525"/>
    <tableColumn id="11864" xr3:uid="{853ACA04-DD71-4581-A46E-A66765DFDEC7}" name="Kolonna11526"/>
    <tableColumn id="11865" xr3:uid="{465668FE-8F5C-440C-B895-83AF4992DEA4}" name="Kolonna11527"/>
    <tableColumn id="11866" xr3:uid="{FBE17F52-5B8A-467A-8CF9-8C1F211A62A5}" name="Kolonna11528"/>
    <tableColumn id="11867" xr3:uid="{33C5D781-25BE-4DE3-B1D8-96E8C319B98B}" name="Kolonna11529"/>
    <tableColumn id="11868" xr3:uid="{C56A9A5B-87CA-428B-90DB-B64B63863A89}" name="Kolonna11530"/>
    <tableColumn id="11869" xr3:uid="{B7C750FF-37A9-4706-A798-4E1CCA578D83}" name="Kolonna11531"/>
    <tableColumn id="11870" xr3:uid="{55B22043-099E-489C-99AC-27209851FDB4}" name="Kolonna11532"/>
    <tableColumn id="11871" xr3:uid="{1C6103FE-2439-48FA-8CEA-16A0961F10D0}" name="Kolonna11533"/>
    <tableColumn id="11872" xr3:uid="{91CE033C-00D2-4868-8CFC-7423D9022648}" name="Kolonna11534"/>
    <tableColumn id="11873" xr3:uid="{4EEB0B9F-9ED4-44FA-AACC-2D7F5A0FCEA4}" name="Kolonna11535"/>
    <tableColumn id="11874" xr3:uid="{8B043AD0-C952-4D5D-B115-4D94CE100BE9}" name="Kolonna11536"/>
    <tableColumn id="11875" xr3:uid="{1F0880DE-E007-4116-A970-F3798BCD9F36}" name="Kolonna11537"/>
    <tableColumn id="11876" xr3:uid="{AC54BD45-5653-4169-95F7-39C1091DE68F}" name="Kolonna11538"/>
    <tableColumn id="11877" xr3:uid="{7DC9453B-5222-4322-B4A7-E4EFDA83C28B}" name="Kolonna11539"/>
    <tableColumn id="11878" xr3:uid="{ED0AAB21-C95B-4A90-815D-87D1AE5BDCC9}" name="Kolonna11540"/>
    <tableColumn id="11879" xr3:uid="{BDD75F48-4AD1-4E82-B354-9C5C92BAB60B}" name="Kolonna11541"/>
    <tableColumn id="11880" xr3:uid="{16DA323C-0653-4BB1-B172-427084B48C09}" name="Kolonna11542"/>
    <tableColumn id="11881" xr3:uid="{BCC5DA1A-91C3-42DA-9915-1603FDCD2750}" name="Kolonna11543"/>
    <tableColumn id="11882" xr3:uid="{030E8C70-BC91-4296-983E-21CAC29E56A2}" name="Kolonna11544"/>
    <tableColumn id="11883" xr3:uid="{AA3A0AA6-F007-4F70-8051-AB4B6D869369}" name="Kolonna11545"/>
    <tableColumn id="11884" xr3:uid="{A610D752-DF46-4454-9466-27DADEFC831C}" name="Kolonna11546"/>
    <tableColumn id="11885" xr3:uid="{81D917C5-0E39-40AE-B05E-A179AB78BACD}" name="Kolonna11547"/>
    <tableColumn id="11886" xr3:uid="{3BE417EB-62B2-4DFA-85D3-BF652EA1AC21}" name="Kolonna11548"/>
    <tableColumn id="11887" xr3:uid="{E54339A5-A8BC-47BA-BD61-DF6865DEEFC6}" name="Kolonna11549"/>
    <tableColumn id="11888" xr3:uid="{D9E7C63A-0CCB-498E-BBE0-7D6ED9026AA3}" name="Kolonna11550"/>
    <tableColumn id="11889" xr3:uid="{EE765175-8BB5-4C17-9165-25761EA09C38}" name="Kolonna11551"/>
    <tableColumn id="11890" xr3:uid="{26A31A62-F713-480C-B946-3759B2BDB86E}" name="Kolonna11552"/>
    <tableColumn id="11891" xr3:uid="{7F7289B9-C6AD-4726-A379-9B567364F000}" name="Kolonna11553"/>
    <tableColumn id="11892" xr3:uid="{8AC1715F-C5CC-4BD4-BB78-B4777F84072E}" name="Kolonna11554"/>
    <tableColumn id="11893" xr3:uid="{91EAC387-18D4-47B0-94C0-9738D4775BA2}" name="Kolonna11555"/>
    <tableColumn id="11894" xr3:uid="{A8369E8D-B32D-4F51-8200-5DE22733EEFB}" name="Kolonna11556"/>
    <tableColumn id="11895" xr3:uid="{E63CC01A-9AE3-40C2-82CE-1B15B834F952}" name="Kolonna11557"/>
    <tableColumn id="11896" xr3:uid="{3B8E597B-1D61-4E23-ABF1-F786CD756000}" name="Kolonna11558"/>
    <tableColumn id="11897" xr3:uid="{1BF9DFD1-25F3-485B-B1F2-24194FAC862A}" name="Kolonna11559"/>
    <tableColumn id="11898" xr3:uid="{3CFA08F0-46A3-4877-BADD-C3C1BB69DD85}" name="Kolonna11560"/>
    <tableColumn id="11899" xr3:uid="{ED664C6F-9E20-405A-9496-3229EFD6474E}" name="Kolonna11561"/>
    <tableColumn id="11900" xr3:uid="{DC52D1BD-F564-44E7-BB83-F5A1F6F11CB8}" name="Kolonna11562"/>
    <tableColumn id="11901" xr3:uid="{17BD0DF7-1B35-40AA-A0BF-3CCECF402BBB}" name="Kolonna11563"/>
    <tableColumn id="11902" xr3:uid="{340089F5-6B13-4D7B-972A-5CA80F774C8C}" name="Kolonna11564"/>
    <tableColumn id="11903" xr3:uid="{C8188426-D356-46B0-88E8-F2F46ED7D218}" name="Kolonna11565"/>
    <tableColumn id="11904" xr3:uid="{B28036DE-EFEB-4FB8-B7B8-B64C68650FA0}" name="Kolonna11566"/>
    <tableColumn id="11905" xr3:uid="{C4003197-CA53-4FAF-94D0-68ADF0F01E7C}" name="Kolonna11567"/>
    <tableColumn id="11906" xr3:uid="{F2091622-8F3A-43AA-A69E-EA603A942D9C}" name="Kolonna11568"/>
    <tableColumn id="11907" xr3:uid="{9F0B0A9A-AD2B-4CFD-8D9A-70B3AFDBDBA2}" name="Kolonna11569"/>
    <tableColumn id="11908" xr3:uid="{417F8C2D-A0C3-48C7-B405-7522E48F5A58}" name="Kolonna11570"/>
    <tableColumn id="11909" xr3:uid="{D2F4E2D2-B7F1-4DEE-8FFA-94C9CFEBA106}" name="Kolonna11571"/>
    <tableColumn id="11910" xr3:uid="{E2134C25-2D5C-4617-B44C-9169DAAD3C50}" name="Kolonna11572"/>
    <tableColumn id="11911" xr3:uid="{C62CCDDF-B53F-4B48-BCCA-4F0B8A8B90BF}" name="Kolonna11573"/>
    <tableColumn id="11912" xr3:uid="{DA156A4D-0C22-40F1-878E-83558B6AE46F}" name="Kolonna11574"/>
    <tableColumn id="11913" xr3:uid="{CD7B12FC-36BC-4DE9-AD7C-3656BEFC97B0}" name="Kolonna11575"/>
    <tableColumn id="11914" xr3:uid="{C4AA0A79-65C9-4176-8562-9B8F21FC5583}" name="Kolonna11576"/>
    <tableColumn id="11915" xr3:uid="{11620B49-6C02-4489-A28B-0A2765087882}" name="Kolonna11577"/>
    <tableColumn id="11916" xr3:uid="{2316C100-67D8-4E46-954A-EE9388BCAD1A}" name="Kolonna11578"/>
    <tableColumn id="11917" xr3:uid="{09F6CC7C-FA61-47BB-B16F-DC17478311E6}" name="Kolonna11579"/>
    <tableColumn id="11918" xr3:uid="{98334892-C65F-461B-B80C-E78861700656}" name="Kolonna11580"/>
    <tableColumn id="11919" xr3:uid="{B0A3FB95-7B65-4B8D-9079-AECD550B9264}" name="Kolonna11581"/>
    <tableColumn id="11920" xr3:uid="{C7330ED4-3502-4A68-A10B-BB98E46C25B4}" name="Kolonna11582"/>
    <tableColumn id="11921" xr3:uid="{1A8E6744-1B39-4397-A9EC-21981FB6EE69}" name="Kolonna11583"/>
    <tableColumn id="11922" xr3:uid="{D194F452-2F0D-4C66-888B-C483C58AD1CA}" name="Kolonna11584"/>
    <tableColumn id="11923" xr3:uid="{3AF89801-12C8-40DB-A007-A2092DC20778}" name="Kolonna11585"/>
    <tableColumn id="11924" xr3:uid="{328B99F4-680C-41A3-A129-5B90E2314343}" name="Kolonna11586"/>
    <tableColumn id="11925" xr3:uid="{61613D59-7674-457F-B333-775EBF80C463}" name="Kolonna11587"/>
    <tableColumn id="11926" xr3:uid="{9405A7EA-2FDA-4D1F-B23B-9BE57036BE8C}" name="Kolonna11588"/>
    <tableColumn id="11927" xr3:uid="{5E84C0D7-6898-40D1-B249-A501611D3381}" name="Kolonna11589"/>
    <tableColumn id="11928" xr3:uid="{87E7AF4C-D3E3-446E-88E5-4DBD9709F4CC}" name="Kolonna11590"/>
    <tableColumn id="11929" xr3:uid="{05A228AA-D801-467F-86FB-F312D0FCAF38}" name="Kolonna11591"/>
    <tableColumn id="11930" xr3:uid="{3A2965AA-AC13-430A-846D-200A0F2588D7}" name="Kolonna11592"/>
    <tableColumn id="11931" xr3:uid="{F6B12EE5-60FA-4CC8-8D5A-351CC8432CF9}" name="Kolonna11593"/>
    <tableColumn id="11932" xr3:uid="{E0174F59-8E93-46C9-87B9-93136117331C}" name="Kolonna11594"/>
    <tableColumn id="11933" xr3:uid="{9D029E29-58E9-47FE-929E-DC4FF6455896}" name="Kolonna11595"/>
    <tableColumn id="11934" xr3:uid="{3A4EE664-D446-4740-9ABC-9DE5D3148A43}" name="Kolonna11596"/>
    <tableColumn id="11935" xr3:uid="{862950E6-1B87-49B2-A0F6-C699596C553F}" name="Kolonna11597"/>
    <tableColumn id="11936" xr3:uid="{7759C213-960F-45D1-A536-444AC539C39B}" name="Kolonna11598"/>
    <tableColumn id="11937" xr3:uid="{1260A320-5CB6-4BA5-B14E-CF31E9FFC6EF}" name="Kolonna11599"/>
    <tableColumn id="11938" xr3:uid="{159CBA05-04A6-42A1-8D54-68CF31B51E8C}" name="Kolonna11600"/>
    <tableColumn id="11939" xr3:uid="{C0930D44-F1BA-4FB4-99F8-A6372B816BF4}" name="Kolonna11601"/>
    <tableColumn id="11940" xr3:uid="{8DB46F74-DAD2-43C8-9E00-714FADAC3AB1}" name="Kolonna11602"/>
    <tableColumn id="11941" xr3:uid="{7EB7C231-AD35-453B-B433-648274C01BA3}" name="Kolonna11603"/>
    <tableColumn id="11942" xr3:uid="{29290C0B-BD28-4ED1-BC24-C8342FA2FCDE}" name="Kolonna11604"/>
    <tableColumn id="11943" xr3:uid="{599BA6FA-C682-4A89-A220-985804013802}" name="Kolonna11605"/>
    <tableColumn id="11944" xr3:uid="{3924C7E6-6BCE-412B-93BF-1A0F6F6E831E}" name="Kolonna11606"/>
    <tableColumn id="11945" xr3:uid="{B552056B-129C-4EF6-8E18-41B60F0EFB58}" name="Kolonna11607"/>
    <tableColumn id="11946" xr3:uid="{DD2C4900-FE21-4830-96F2-E2595125183E}" name="Kolonna11608"/>
    <tableColumn id="11947" xr3:uid="{47814F88-7EB3-47A5-8DFD-9061FE52C251}" name="Kolonna11609"/>
    <tableColumn id="11948" xr3:uid="{9ADF6A6A-EC87-4AEF-8370-B66048F3C4A8}" name="Kolonna11610"/>
    <tableColumn id="11949" xr3:uid="{D47345BF-660B-4154-8B6F-8CE53BC09D5B}" name="Kolonna11611"/>
    <tableColumn id="11950" xr3:uid="{23A34237-5C24-4A86-816C-283342035718}" name="Kolonna11612"/>
    <tableColumn id="11951" xr3:uid="{F752D8E2-AC49-4F43-B9F7-4B32E0EC957D}" name="Kolonna11613"/>
    <tableColumn id="11952" xr3:uid="{C73087AA-1655-4EED-8780-28F847657674}" name="Kolonna11614"/>
    <tableColumn id="11953" xr3:uid="{1ECD2626-FDD1-4A49-B839-969C90522DED}" name="Kolonna11615"/>
    <tableColumn id="11954" xr3:uid="{93559127-FB7E-49C7-8C63-BE7DC7A88CF4}" name="Kolonna11616"/>
    <tableColumn id="11955" xr3:uid="{BF221444-F676-4D3B-A6BD-F07C3F3751DE}" name="Kolonna11617"/>
    <tableColumn id="11956" xr3:uid="{62F4AF7B-A4D9-4E73-984D-F0BC725CB26A}" name="Kolonna11618"/>
    <tableColumn id="11957" xr3:uid="{43C50BFA-1DD7-431C-BE6F-42259425FC73}" name="Kolonna11619"/>
    <tableColumn id="11958" xr3:uid="{057B5389-6E8F-47E4-BDB9-2DFF964467EA}" name="Kolonna11620"/>
    <tableColumn id="11959" xr3:uid="{15C01C3F-1522-407B-A58F-0FDA8F4A1992}" name="Kolonna11621"/>
    <tableColumn id="11960" xr3:uid="{C59B13B3-FC9D-40F8-889F-E38A6C6978DC}" name="Kolonna11622"/>
    <tableColumn id="11961" xr3:uid="{8D0E7578-4F18-401B-A9A7-0DECC6FCBF01}" name="Kolonna11623"/>
    <tableColumn id="11962" xr3:uid="{FF971BFC-96FE-49A6-B906-028BBE53EAC8}" name="Kolonna11624"/>
    <tableColumn id="11963" xr3:uid="{E5CFAE64-0C03-44DF-AE40-7371CBAD7C76}" name="Kolonna11625"/>
    <tableColumn id="11964" xr3:uid="{7A392C66-0BD4-411A-B3FC-2FB49BEB8B76}" name="Kolonna11626"/>
    <tableColumn id="11965" xr3:uid="{C527A993-DA36-4D05-B50F-4269453D9FBF}" name="Kolonna11627"/>
    <tableColumn id="11966" xr3:uid="{D57618AB-DF87-477C-A6A6-63EF4FCD2DD5}" name="Kolonna11628"/>
    <tableColumn id="11967" xr3:uid="{2A5EAFAC-995B-422D-AB34-FE8FC64E1D68}" name="Kolonna11629"/>
    <tableColumn id="11968" xr3:uid="{96898D4E-B7DF-4C57-895F-3734F87C3200}" name="Kolonna11630"/>
    <tableColumn id="11969" xr3:uid="{D405DDD2-637F-4466-926E-BDD7BE75ACD9}" name="Kolonna11631"/>
    <tableColumn id="11970" xr3:uid="{4253A5ED-0CB2-4C94-88EE-4890A1A61484}" name="Kolonna11632"/>
    <tableColumn id="11971" xr3:uid="{7AC6B879-D8E5-4A50-A261-3C19DC269BB9}" name="Kolonna11633"/>
    <tableColumn id="11972" xr3:uid="{112559C9-FFEE-47B4-BEA5-351521AC8CC4}" name="Kolonna11634"/>
    <tableColumn id="11973" xr3:uid="{A75C7A6F-6A06-4AFB-9483-8820279EC981}" name="Kolonna11635"/>
    <tableColumn id="11974" xr3:uid="{8F350A42-7E25-441C-835A-D66DEB27C330}" name="Kolonna11636"/>
    <tableColumn id="11975" xr3:uid="{05A67133-24F6-4F25-B18E-D6FFC37079BB}" name="Kolonna11637"/>
    <tableColumn id="11976" xr3:uid="{81D5BCA5-2D80-4E88-8FBE-EC9C4420DAD7}" name="Kolonna11638"/>
    <tableColumn id="11977" xr3:uid="{F4B1C328-A807-4265-8B12-CF7C97E41332}" name="Kolonna11639"/>
    <tableColumn id="11978" xr3:uid="{2289BECB-96A3-48A9-902A-3307D9A1B928}" name="Kolonna11640"/>
    <tableColumn id="11979" xr3:uid="{DE645391-E2BF-47F4-B460-0986B5FAC90E}" name="Kolonna11641"/>
    <tableColumn id="11980" xr3:uid="{79127FB4-EAB1-443B-B477-0C537101CDAB}" name="Kolonna11642"/>
    <tableColumn id="11981" xr3:uid="{6202F1DA-FBDE-4F20-B484-8239073D604B}" name="Kolonna11643"/>
    <tableColumn id="11982" xr3:uid="{7DA35CFB-718B-4BD9-919B-CF2E2821C88A}" name="Kolonna11644"/>
    <tableColumn id="11983" xr3:uid="{1BE50663-E304-41F1-A480-BC0E384403E0}" name="Kolonna11645"/>
    <tableColumn id="11984" xr3:uid="{5B57B5D7-5189-43A7-B1E6-04F3C6AF1708}" name="Kolonna11646"/>
    <tableColumn id="11985" xr3:uid="{730A13BB-1C21-4691-A4EB-565F57DE9AA1}" name="Kolonna11647"/>
    <tableColumn id="11986" xr3:uid="{563EAF22-5959-462B-846D-D915B1852957}" name="Kolonna11648"/>
    <tableColumn id="11987" xr3:uid="{D9B8B4F7-85C4-4DDD-B7EA-2DE284FE97B7}" name="Kolonna11649"/>
    <tableColumn id="11988" xr3:uid="{C11BAFC4-04ED-4149-89A1-104786345557}" name="Kolonna11650"/>
    <tableColumn id="11989" xr3:uid="{01087A80-3C6D-4B43-90DC-8B6478108772}" name="Kolonna11651"/>
    <tableColumn id="11990" xr3:uid="{9A430601-C0A4-40B8-B630-298CC572368E}" name="Kolonna11652"/>
    <tableColumn id="11991" xr3:uid="{860EF8BE-71CE-4789-877F-BC7E4E666B9E}" name="Kolonna11653"/>
    <tableColumn id="11992" xr3:uid="{B4BD62E4-89CB-4A3F-8E8C-5BCD84578A36}" name="Kolonna11654"/>
    <tableColumn id="11993" xr3:uid="{0906E5DE-F126-4006-91FB-9CA4DD3EFE3D}" name="Kolonna11655"/>
    <tableColumn id="11994" xr3:uid="{91810C01-99A7-4813-807D-38E52D8180A8}" name="Kolonna11656"/>
    <tableColumn id="11995" xr3:uid="{125426CC-AC7F-4B8D-90C9-D1C5E2BB6616}" name="Kolonna11657"/>
    <tableColumn id="11996" xr3:uid="{BD9A9529-87BC-4B78-B5F0-42AD17D9A2A4}" name="Kolonna11658"/>
    <tableColumn id="11997" xr3:uid="{07A44CE6-C1B2-4DE4-B6D2-7AB617646C08}" name="Kolonna11659"/>
    <tableColumn id="11998" xr3:uid="{AC985AEF-07D6-44E4-A765-600CAAADC7CF}" name="Kolonna11660"/>
    <tableColumn id="11999" xr3:uid="{D9957299-CF98-4FA6-BE92-54ACFF052FA3}" name="Kolonna11661"/>
    <tableColumn id="12000" xr3:uid="{D0F9EBEB-AAC4-4C28-8B0F-D8566E5E5DC9}" name="Kolonna11662"/>
    <tableColumn id="12001" xr3:uid="{D0EB5787-5DFA-449B-A27A-D8DB74100FC2}" name="Kolonna11663"/>
    <tableColumn id="12002" xr3:uid="{78B1F960-1910-4D74-BBCA-A8C9DEC5CCA4}" name="Kolonna11664"/>
    <tableColumn id="12003" xr3:uid="{EB82FE51-CB3E-413C-BFFC-282ABE829294}" name="Kolonna11665"/>
    <tableColumn id="12004" xr3:uid="{E9118169-6933-4A6A-94F0-D78A41D33BE4}" name="Kolonna11666"/>
    <tableColumn id="12005" xr3:uid="{F7532C3D-5153-456C-9832-E76594863987}" name="Kolonna11667"/>
    <tableColumn id="12006" xr3:uid="{4DD349FA-4818-4AD2-9011-FD6E440697BB}" name="Kolonna11668"/>
    <tableColumn id="12007" xr3:uid="{7484F82B-D650-4B52-BEEA-C25374D0680F}" name="Kolonna11669"/>
    <tableColumn id="12008" xr3:uid="{90F59654-6567-4E1C-932E-7F593837F028}" name="Kolonna11670"/>
    <tableColumn id="12009" xr3:uid="{29C0336F-40FD-4A92-939B-752500F216D5}" name="Kolonna11671"/>
    <tableColumn id="12010" xr3:uid="{BB899407-516C-45B3-9991-CB812E19472D}" name="Kolonna11672"/>
    <tableColumn id="12011" xr3:uid="{E0EDB477-8109-4229-9346-374102D97B34}" name="Kolonna11673"/>
    <tableColumn id="12012" xr3:uid="{B9C4D77D-57A8-49D1-8BD2-337FB0DA7381}" name="Kolonna11674"/>
    <tableColumn id="12013" xr3:uid="{EF411A9C-D295-4908-BAA6-0CE65FA2324B}" name="Kolonna11675"/>
    <tableColumn id="12014" xr3:uid="{DB8CF726-D364-476E-BF5A-40DAEFB79024}" name="Kolonna11676"/>
    <tableColumn id="12015" xr3:uid="{E63A3E20-4F37-4722-B85D-1BF3643A3CBC}" name="Kolonna11677"/>
    <tableColumn id="12016" xr3:uid="{33C6D1CA-B2FC-4907-B7FC-CADE71B9D9B0}" name="Kolonna11678"/>
    <tableColumn id="12017" xr3:uid="{AD2EB2DA-B0E0-4F9E-950B-5DC1914E2398}" name="Kolonna11679"/>
    <tableColumn id="12018" xr3:uid="{A63481AD-0495-42C6-83D0-816AD272AABD}" name="Kolonna11680"/>
    <tableColumn id="12019" xr3:uid="{5EECA649-3633-4D80-838D-0744FEBAA38E}" name="Kolonna11681"/>
    <tableColumn id="12020" xr3:uid="{3CA08BC3-537C-4077-84FF-F792053C0BAC}" name="Kolonna11682"/>
    <tableColumn id="12021" xr3:uid="{11A49BB5-6BC9-47B0-89CF-D527FD81C2DC}" name="Kolonna11683"/>
    <tableColumn id="12022" xr3:uid="{87E499C9-107C-46EE-9F5D-6518A0BAFDE9}" name="Kolonna11684"/>
    <tableColumn id="12023" xr3:uid="{F1D4230A-01A7-4906-8A48-203CE32425B5}" name="Kolonna11685"/>
    <tableColumn id="12024" xr3:uid="{52230C34-693E-451A-909D-340D5CDF69F9}" name="Kolonna11686"/>
    <tableColumn id="12025" xr3:uid="{D5AD9630-02A6-44DE-87AF-77E1F71B0D52}" name="Kolonna11687"/>
    <tableColumn id="12026" xr3:uid="{C3E36A73-1829-44F5-ABC8-5A044225E7A8}" name="Kolonna11688"/>
    <tableColumn id="12027" xr3:uid="{D1DCBC0A-18C5-4B1C-A999-5D7A075B2D1A}" name="Kolonna11689"/>
    <tableColumn id="12028" xr3:uid="{B52A443E-DB0B-473F-ADB2-F0910778FC09}" name="Kolonna11690"/>
    <tableColumn id="12029" xr3:uid="{4DDD1D89-D162-4DCF-9EAC-E735A4D5C359}" name="Kolonna11691"/>
    <tableColumn id="12030" xr3:uid="{BA900A0E-27DD-4BC6-B25B-DA24542AB2B0}" name="Kolonna11692"/>
    <tableColumn id="12031" xr3:uid="{95B26E3C-FEA0-4919-A3EF-2F703A96EF17}" name="Kolonna11693"/>
    <tableColumn id="12032" xr3:uid="{B2038DB5-2676-4015-A96A-32C113E10365}" name="Kolonna11694"/>
    <tableColumn id="12033" xr3:uid="{5F5B5432-B170-4733-8891-8165B87D2261}" name="Kolonna11695"/>
    <tableColumn id="12034" xr3:uid="{254CC55E-F117-4FDE-9A36-45F781D0D015}" name="Kolonna11696"/>
    <tableColumn id="12035" xr3:uid="{F4D41B7D-CE6C-40AA-84AB-337A23BA7838}" name="Kolonna11697"/>
    <tableColumn id="12036" xr3:uid="{C32BCE6A-0F38-4823-8D51-CDEF645DE279}" name="Kolonna11698"/>
    <tableColumn id="12037" xr3:uid="{B27996C5-78AF-4BF8-82BE-A70F9F632F80}" name="Kolonna11699"/>
    <tableColumn id="12038" xr3:uid="{018FF098-5D89-4164-A038-69AEAB8E3E93}" name="Kolonna11700"/>
    <tableColumn id="12039" xr3:uid="{A6A773A4-575A-415F-AFB3-DE32E9E9C8DB}" name="Kolonna11701"/>
    <tableColumn id="12040" xr3:uid="{CB1C13EF-1642-4073-B44D-0A489A195C4E}" name="Kolonna11702"/>
    <tableColumn id="12041" xr3:uid="{CD1CB62C-C00D-4F83-B224-7097CA75AC78}" name="Kolonna11703"/>
    <tableColumn id="12042" xr3:uid="{00CF9748-2872-4247-A8AA-3DE9730F1209}" name="Kolonna11704"/>
    <tableColumn id="12043" xr3:uid="{6A8A8D51-50FA-4CDC-8D18-F621787639E4}" name="Kolonna11705"/>
    <tableColumn id="12044" xr3:uid="{97E30519-459B-44CC-B585-00238DD095A5}" name="Kolonna11706"/>
    <tableColumn id="12045" xr3:uid="{AC9D4E14-30C0-48EA-8EF6-09A1624330AC}" name="Kolonna11707"/>
    <tableColumn id="12046" xr3:uid="{FA4E5975-10D7-41F3-A59F-DC88AE53162D}" name="Kolonna11708"/>
    <tableColumn id="12047" xr3:uid="{732D71E5-A722-4BF8-B531-E191BA34EF13}" name="Kolonna11709"/>
    <tableColumn id="12048" xr3:uid="{1827103D-96F3-4A5F-A43E-61D072CBA6A8}" name="Kolonna11710"/>
    <tableColumn id="12049" xr3:uid="{3E2276C7-BFBD-42AB-80C2-CD06B2181053}" name="Kolonna11711"/>
    <tableColumn id="12050" xr3:uid="{7034D65D-641A-4580-8C99-F6E307561139}" name="Kolonna11712"/>
    <tableColumn id="12051" xr3:uid="{83F0AEFF-0FCC-4988-82C6-E169483B80A6}" name="Kolonna11713"/>
    <tableColumn id="12052" xr3:uid="{4AC5CE33-6F92-46AE-B998-D1A3DB9A25D8}" name="Kolonna11714"/>
    <tableColumn id="12053" xr3:uid="{E3D96A6A-CDDA-45B7-B3C7-2E5682CBCF08}" name="Kolonna11715"/>
    <tableColumn id="12054" xr3:uid="{FAD087CD-4977-4F3D-B2DA-D10F1FE1B163}" name="Kolonna11716"/>
    <tableColumn id="12055" xr3:uid="{B1980CBE-D004-4C97-B000-3C03FF5024ED}" name="Kolonna11717"/>
    <tableColumn id="12056" xr3:uid="{318E1E14-4DDA-49D7-A3C3-00D5702180F8}" name="Kolonna11718"/>
    <tableColumn id="12057" xr3:uid="{C4E4BF42-A4E4-430B-ACF6-C677BB0FE16E}" name="Kolonna11719"/>
    <tableColumn id="12058" xr3:uid="{09E1525C-D182-4A42-95EC-2DBB9344BCFD}" name="Kolonna11720"/>
    <tableColumn id="12059" xr3:uid="{033D6EF0-33E4-4BA2-9C1A-68B7DA2F40D9}" name="Kolonna11721"/>
    <tableColumn id="12060" xr3:uid="{1D72AEBD-8E85-4719-A5E3-3B1BAFF73940}" name="Kolonna11722"/>
    <tableColumn id="12061" xr3:uid="{44CB618E-BEF7-4D7C-B89E-0199BA14F584}" name="Kolonna11723"/>
    <tableColumn id="12062" xr3:uid="{D19D8E13-33FF-43A0-A1AB-29391E2BC7C0}" name="Kolonna11724"/>
    <tableColumn id="12063" xr3:uid="{A387EB45-31BF-4432-93BA-9B507175CD7A}" name="Kolonna11725"/>
    <tableColumn id="12064" xr3:uid="{360508A4-5E19-4332-ADD4-801E12B99751}" name="Kolonna11726"/>
    <tableColumn id="12065" xr3:uid="{9AAD31A5-015F-4C29-9D1E-3F2A9DA09E18}" name="Kolonna11727"/>
    <tableColumn id="12066" xr3:uid="{CC6F07B7-4099-49D1-B96C-47FD4CC413FF}" name="Kolonna11728"/>
    <tableColumn id="12067" xr3:uid="{AAC7A734-3629-40D4-BF2F-52C43A0B50A0}" name="Kolonna11729"/>
    <tableColumn id="12068" xr3:uid="{8124A835-7AF1-4ABE-9A6E-9F739644623F}" name="Kolonna11730"/>
    <tableColumn id="12069" xr3:uid="{3A6159D0-06CB-49F0-AC88-04504B37C21C}" name="Kolonna11731"/>
    <tableColumn id="12070" xr3:uid="{F6E48A1C-2086-403C-A647-6FE344335FE2}" name="Kolonna11732"/>
    <tableColumn id="12071" xr3:uid="{74F55FA7-8345-4C11-A8A3-0ED2A97ECEB6}" name="Kolonna11733"/>
    <tableColumn id="12072" xr3:uid="{E7FB9F8E-F1A7-4AC5-AED8-BE96F76017B7}" name="Kolonna11734"/>
    <tableColumn id="12073" xr3:uid="{76A83FBF-685C-4114-9312-B48B5B6DF3CA}" name="Kolonna11735"/>
    <tableColumn id="12074" xr3:uid="{9656AAA3-9C07-42E2-BA2E-B26C25954D1C}" name="Kolonna11736"/>
    <tableColumn id="12075" xr3:uid="{DC21B209-81E6-4C42-B571-6DB97DCF50B4}" name="Kolonna11737"/>
    <tableColumn id="12076" xr3:uid="{6B6BE3CF-965A-43A8-B479-40A3DE59B932}" name="Kolonna11738"/>
    <tableColumn id="12077" xr3:uid="{33B86E9F-0717-49B4-A0D0-F614AD212065}" name="Kolonna11739"/>
    <tableColumn id="12078" xr3:uid="{93BE2B9B-B868-4022-8563-9E0EF52D94B4}" name="Kolonna11740"/>
    <tableColumn id="12079" xr3:uid="{A3E9B990-FE6A-44C6-9C69-6CBA5F56168A}" name="Kolonna11741"/>
    <tableColumn id="12080" xr3:uid="{9FBC3B1B-7781-4E34-981C-C55019E3F51B}" name="Kolonna11742"/>
    <tableColumn id="12081" xr3:uid="{6CE02BB9-0A11-44A9-A648-E01203C40668}" name="Kolonna11743"/>
    <tableColumn id="12082" xr3:uid="{6EF11E86-3BED-4900-ABDA-E4E6A13D895E}" name="Kolonna11744"/>
    <tableColumn id="12083" xr3:uid="{21437A20-7F6B-4963-877C-E61612643E6B}" name="Kolonna11745"/>
    <tableColumn id="12084" xr3:uid="{D6FC7C56-0184-4EAD-B44F-8FB10D01A575}" name="Kolonna11746"/>
    <tableColumn id="12085" xr3:uid="{EEB1E536-8B42-4C2E-A626-3F6F9EC79945}" name="Kolonna11747"/>
    <tableColumn id="12086" xr3:uid="{2225E803-B360-4A68-9F56-738CCD291DBE}" name="Kolonna11748"/>
    <tableColumn id="12087" xr3:uid="{5AF115B6-7A51-4993-BE3A-A051F76F6B3E}" name="Kolonna11749"/>
    <tableColumn id="12088" xr3:uid="{B9801C82-2DCE-4101-9ED1-EDEFFF81C174}" name="Kolonna11750"/>
    <tableColumn id="12089" xr3:uid="{5EA02511-0558-418F-A0B5-3E48803E0A31}" name="Kolonna11751"/>
    <tableColumn id="12090" xr3:uid="{635B59D8-D546-4E72-AD43-4DE827295AD3}" name="Kolonna11752"/>
    <tableColumn id="12091" xr3:uid="{41B97CD0-9214-4BD4-9686-0D38F4DB7D54}" name="Kolonna11753"/>
    <tableColumn id="12092" xr3:uid="{9C556931-56AD-4E28-86FA-70C6DEE0D0CB}" name="Kolonna11754"/>
    <tableColumn id="12093" xr3:uid="{B402CDBA-F10D-4A1F-9A33-A26C0EC50717}" name="Kolonna11755"/>
    <tableColumn id="12094" xr3:uid="{7B055737-4709-4321-8C00-C5D3D315C97E}" name="Kolonna11756"/>
    <tableColumn id="12095" xr3:uid="{2FD86040-A8E6-4FF4-8EDF-984BA49C6DCA}" name="Kolonna11757"/>
    <tableColumn id="12096" xr3:uid="{8F1F2996-A8DA-4B11-A4F1-4452BE1B923B}" name="Kolonna11758"/>
    <tableColumn id="12097" xr3:uid="{BCDC7BD9-B264-4907-AA3E-454A3A5F2DBC}" name="Kolonna11759"/>
    <tableColumn id="12098" xr3:uid="{3B0E526F-C750-4EBB-8608-6388A1BC5C99}" name="Kolonna11760"/>
    <tableColumn id="12099" xr3:uid="{3E70E06D-D5CB-4FAD-8756-03376EAAE856}" name="Kolonna11761"/>
    <tableColumn id="12100" xr3:uid="{0337B3CE-ED82-4FCB-B3C4-F439A1479CDC}" name="Kolonna11762"/>
    <tableColumn id="12101" xr3:uid="{6956EE23-114B-4167-B87E-3DA2DB0EEB27}" name="Kolonna11763"/>
    <tableColumn id="12102" xr3:uid="{2CBFA42F-6857-431B-8E43-7A35BE8ED54B}" name="Kolonna11764"/>
    <tableColumn id="12103" xr3:uid="{08983D8B-3200-49D9-A48D-E50C33A3388A}" name="Kolonna11765"/>
    <tableColumn id="12104" xr3:uid="{BB59C648-E03F-4980-AEC7-353FCFF12901}" name="Kolonna11766"/>
    <tableColumn id="12105" xr3:uid="{220CCC66-D6A6-4A5D-AE5E-880484395948}" name="Kolonna11767"/>
    <tableColumn id="12106" xr3:uid="{C9522A6F-A2BE-434A-B6AB-DCE850FBF620}" name="Kolonna11768"/>
    <tableColumn id="12107" xr3:uid="{FED37020-3EE9-43B7-B591-C8963C08C648}" name="Kolonna11769"/>
    <tableColumn id="12108" xr3:uid="{E92533BD-41D8-4720-9D25-CDA643AC616C}" name="Kolonna11770"/>
    <tableColumn id="12109" xr3:uid="{194BF01B-6939-468B-9BF9-4656D7D082AC}" name="Kolonna11771"/>
    <tableColumn id="12110" xr3:uid="{E98B1B0A-FF53-44C3-8A5C-C445E85CE95D}" name="Kolonna11772"/>
    <tableColumn id="12111" xr3:uid="{46937175-689B-4508-ABBC-285CF85CEDF1}" name="Kolonna11773"/>
    <tableColumn id="12112" xr3:uid="{6737732A-F2DF-4477-BCEE-2DCAF392037B}" name="Kolonna11774"/>
    <tableColumn id="12113" xr3:uid="{784B813E-DC9E-4489-8798-88ABA56E4050}" name="Kolonna11775"/>
    <tableColumn id="12114" xr3:uid="{5B1941C4-C300-4F2F-9ABC-DAE915EAB4F6}" name="Kolonna11776"/>
    <tableColumn id="12115" xr3:uid="{F6956EE8-4B70-4983-A9ED-D8E73CED1BC9}" name="Kolonna11777"/>
    <tableColumn id="12116" xr3:uid="{7D644AD3-FC33-4670-80EF-9A5CE17078EA}" name="Kolonna11778"/>
    <tableColumn id="12117" xr3:uid="{B277E76C-1C56-4FD7-B5F0-C00060669F78}" name="Kolonna11779"/>
    <tableColumn id="12118" xr3:uid="{FB794B1C-EF96-4F09-9D4F-50149D1A9104}" name="Kolonna11780"/>
    <tableColumn id="12119" xr3:uid="{B37C4123-287A-4F2A-AEE6-4705A1A954F5}" name="Kolonna11781"/>
    <tableColumn id="12120" xr3:uid="{1BA60910-C5DC-4491-89D5-BA9D43F8C13C}" name="Kolonna11782"/>
    <tableColumn id="12121" xr3:uid="{94BFEDC8-8A9E-49B3-B359-A4050A70C9F2}" name="Kolonna11783"/>
    <tableColumn id="12122" xr3:uid="{F300821F-883A-40B5-9522-E1A7972725B5}" name="Kolonna11784"/>
    <tableColumn id="12123" xr3:uid="{FC3B25BB-A4D5-4160-A34B-0F276EBF13EF}" name="Kolonna11785"/>
    <tableColumn id="12124" xr3:uid="{E1CFE4D2-AE41-42C3-B183-79672AF9A54B}" name="Kolonna11786"/>
    <tableColumn id="12125" xr3:uid="{6E28B44E-70D6-4E4E-88F8-95C8BC061185}" name="Kolonna11787"/>
    <tableColumn id="12126" xr3:uid="{5D5E6119-D86F-4A38-AA74-003007ECF15F}" name="Kolonna11788"/>
    <tableColumn id="12127" xr3:uid="{9ADBD988-70AA-4EA1-ADE2-25D7F6FB4FAC}" name="Kolonna11789"/>
    <tableColumn id="12128" xr3:uid="{6C5F0788-D2D9-47E5-BFA4-EEBE3AAB830E}" name="Kolonna11790"/>
    <tableColumn id="12129" xr3:uid="{BDF6AC1C-FE34-45E2-B60A-AC7CB3C2D3C4}" name="Kolonna11791"/>
    <tableColumn id="12130" xr3:uid="{53850B84-BAC3-4267-B852-22C0636B0747}" name="Kolonna11792"/>
    <tableColumn id="12131" xr3:uid="{4B7ED7D1-84C1-4612-9944-B521511C56A6}" name="Kolonna11793"/>
    <tableColumn id="12132" xr3:uid="{FEA2C57C-A6EF-426A-B709-105BA1B8B52B}" name="Kolonna11794"/>
    <tableColumn id="12133" xr3:uid="{77EEBFEE-B3C1-49CB-A475-94311DFA1945}" name="Kolonna11795"/>
    <tableColumn id="12134" xr3:uid="{B4962E36-C6CE-41D7-AE84-2B8278B3079F}" name="Kolonna11796"/>
    <tableColumn id="12135" xr3:uid="{E1A3A177-8C21-4E24-B81E-27192411D312}" name="Kolonna11797"/>
    <tableColumn id="12136" xr3:uid="{F73848DE-0A14-4F94-AAC1-743371FFF714}" name="Kolonna11798"/>
    <tableColumn id="12137" xr3:uid="{F112FEB2-14F9-421A-98D8-C1EC0F1C66E8}" name="Kolonna11799"/>
    <tableColumn id="12138" xr3:uid="{D04B9329-BE10-4288-AFD0-9CF81F94A3C3}" name="Kolonna11800"/>
    <tableColumn id="12139" xr3:uid="{5D25DB2E-0BA7-44F3-96F5-55A1A371E63C}" name="Kolonna11801"/>
    <tableColumn id="12140" xr3:uid="{9EC8ED92-3F98-4523-909E-6733F6DCE554}" name="Kolonna11802"/>
    <tableColumn id="12141" xr3:uid="{5C674CEB-6981-4DEC-8E21-65A16EF37776}" name="Kolonna11803"/>
    <tableColumn id="12142" xr3:uid="{208E9DCE-5AB3-462E-A804-065A2BFE024D}" name="Kolonna11804"/>
    <tableColumn id="12143" xr3:uid="{D4671995-A4A3-4C97-B10E-F85585EA9A36}" name="Kolonna11805"/>
    <tableColumn id="12144" xr3:uid="{FF39CA0C-FD3D-4A6C-BB09-AE1A7B5048F6}" name="Kolonna11806"/>
    <tableColumn id="12145" xr3:uid="{543AD602-A221-455D-B3F7-E5FF676DBD2B}" name="Kolonna11807"/>
    <tableColumn id="12146" xr3:uid="{72D0C559-F5BD-43CC-A618-7FE43C2AACDA}" name="Kolonna11808"/>
    <tableColumn id="12147" xr3:uid="{AEE54E2F-0BA5-45C7-BB16-0DE7B391CA8E}" name="Kolonna11809"/>
    <tableColumn id="12148" xr3:uid="{77AC9326-A087-49C1-96BB-4F8EB4C78C64}" name="Kolonna11810"/>
    <tableColumn id="12149" xr3:uid="{E6F94225-01A4-479B-BD5B-014B73E0A95A}" name="Kolonna11811"/>
    <tableColumn id="12150" xr3:uid="{05FC647C-15B5-4403-86AD-B5A157B377E8}" name="Kolonna11812"/>
    <tableColumn id="12151" xr3:uid="{C9825083-E4BA-4C33-92EA-694E3C636100}" name="Kolonna11813"/>
    <tableColumn id="12152" xr3:uid="{FAC57A25-EAEF-4B6B-B302-0484355C3489}" name="Kolonna11814"/>
    <tableColumn id="12153" xr3:uid="{5558A34E-A366-40A1-A96E-D720CC5F3466}" name="Kolonna11815"/>
    <tableColumn id="12154" xr3:uid="{0C7D5B81-02D0-4158-BE21-964EFF3824E0}" name="Kolonna11816"/>
    <tableColumn id="12155" xr3:uid="{3E878F18-1B60-4E3F-AF0B-100142681881}" name="Kolonna11817"/>
    <tableColumn id="12156" xr3:uid="{34446EA8-A50C-4903-8D82-09D65A738435}" name="Kolonna11818"/>
    <tableColumn id="12157" xr3:uid="{69FCAD8D-B92D-4D08-A8CA-DA75245498C2}" name="Kolonna11819"/>
    <tableColumn id="12158" xr3:uid="{184D4D02-F953-41AA-9EC5-90DB6528C4F3}" name="Kolonna11820"/>
    <tableColumn id="12159" xr3:uid="{8E9CE668-A5B2-484F-8565-957A43C24E52}" name="Kolonna11821"/>
    <tableColumn id="12160" xr3:uid="{A201CCB2-F962-489F-AE18-53BF5B8720B0}" name="Kolonna11822"/>
    <tableColumn id="12161" xr3:uid="{9A4AA2E8-2FA5-425E-8E0A-FC4AADE2F8FB}" name="Kolonna11823"/>
    <tableColumn id="12162" xr3:uid="{3ACE2A73-CEBD-419E-87A3-216A5F1702C6}" name="Kolonna11824"/>
    <tableColumn id="12163" xr3:uid="{ACA3094C-3685-4D08-A609-02C7EBE47FD6}" name="Kolonna11825"/>
    <tableColumn id="12164" xr3:uid="{884F9003-BE70-44C1-B50B-244F93C25C7C}" name="Kolonna11826"/>
    <tableColumn id="12165" xr3:uid="{69CAB51A-4F38-41A8-ABB2-92DCECB2FB2A}" name="Kolonna11827"/>
    <tableColumn id="12166" xr3:uid="{3ADB65F9-C242-4B5A-A268-75DE8521B007}" name="Kolonna11828"/>
    <tableColumn id="12167" xr3:uid="{EA3ECA8C-ABA2-41F9-A4CF-724B0A0C744E}" name="Kolonna11829"/>
    <tableColumn id="12168" xr3:uid="{3669C2A3-C10B-4D3C-A03C-716A7146DE70}" name="Kolonna11830"/>
    <tableColumn id="12169" xr3:uid="{2B8689BB-1B5B-440F-BC6C-084EE3F56B8D}" name="Kolonna11831"/>
    <tableColumn id="12170" xr3:uid="{FA96963D-377D-41CC-81CD-4C4CFCE346A5}" name="Kolonna11832"/>
    <tableColumn id="12171" xr3:uid="{DAA15CDB-547A-4B6E-B69C-1A70253CE8BB}" name="Kolonna11833"/>
    <tableColumn id="12172" xr3:uid="{984FA9A0-77B6-402F-94EB-387DF30B7F6E}" name="Kolonna11834"/>
    <tableColumn id="12173" xr3:uid="{27D834D5-15EA-48D9-9F6D-79A37E1F48AC}" name="Kolonna11835"/>
    <tableColumn id="12174" xr3:uid="{33C318E2-BC07-4766-9D54-60326310D3D8}" name="Kolonna11836"/>
    <tableColumn id="12175" xr3:uid="{5F073C5F-BEBD-441D-9710-CADD85889AFD}" name="Kolonna11837"/>
    <tableColumn id="12176" xr3:uid="{C55E6936-CBE5-4748-9787-2B25607494A8}" name="Kolonna11838"/>
    <tableColumn id="12177" xr3:uid="{34104C80-81B5-4837-A728-BE46BE990E94}" name="Kolonna11839"/>
    <tableColumn id="12178" xr3:uid="{697B9169-F4FE-44B9-B656-6F97A8C92A4D}" name="Kolonna11840"/>
    <tableColumn id="12179" xr3:uid="{FD1D17A3-84FE-48E2-A253-269DE181488E}" name="Kolonna11841"/>
    <tableColumn id="12180" xr3:uid="{67DB816B-89A9-4A57-8976-52B0B6324627}" name="Kolonna11842"/>
    <tableColumn id="12181" xr3:uid="{7020373D-2915-475A-9516-77AA07D9AC69}" name="Kolonna11843"/>
    <tableColumn id="12182" xr3:uid="{CE6FE206-33FC-463B-BA0B-F60FFC1248E1}" name="Kolonna11844"/>
    <tableColumn id="12183" xr3:uid="{19243E00-D145-4CD3-8AE9-EA1382A39D86}" name="Kolonna11845"/>
    <tableColumn id="12184" xr3:uid="{C49AFCD3-51B8-46E9-81C9-556CBA7DBF64}" name="Kolonna11846"/>
    <tableColumn id="12185" xr3:uid="{4CFD915D-D9E9-489B-BEE8-76ED607F6730}" name="Kolonna11847"/>
    <tableColumn id="12186" xr3:uid="{14DCFC09-3E40-4718-836C-A8042F285647}" name="Kolonna11848"/>
    <tableColumn id="12187" xr3:uid="{885FBEE3-0446-4C4A-A9C3-5387040FD342}" name="Kolonna11849"/>
    <tableColumn id="12188" xr3:uid="{39A4078E-DBAD-4D80-AD51-EF265557D6ED}" name="Kolonna11850"/>
    <tableColumn id="12189" xr3:uid="{7A8E0575-A1DD-43A0-B891-158279F735C8}" name="Kolonna11851"/>
    <tableColumn id="12190" xr3:uid="{DB532B43-002F-43B7-A5F5-CB9EAF08BE2B}" name="Kolonna11852"/>
    <tableColumn id="12191" xr3:uid="{2E379A62-FB4B-4430-BBD3-3BBC62AAC964}" name="Kolonna11853"/>
    <tableColumn id="12192" xr3:uid="{ABCF9245-E846-4D63-A52A-FFC890B6508D}" name="Kolonna11854"/>
    <tableColumn id="12193" xr3:uid="{24739A7F-79BC-4B01-AEE0-2FABCB7216EE}" name="Kolonna11855"/>
    <tableColumn id="12194" xr3:uid="{A3CB9D3D-0709-4008-B409-D78880C865A9}" name="Kolonna11856"/>
    <tableColumn id="12195" xr3:uid="{8B70FBA4-0322-4A23-8200-A8B58841C48C}" name="Kolonna11857"/>
    <tableColumn id="12196" xr3:uid="{92D6F991-7E77-452F-A7FF-B87D6858E383}" name="Kolonna11858"/>
    <tableColumn id="12197" xr3:uid="{921B643E-02C6-4E10-8F7D-A4AC0B391D26}" name="Kolonna11859"/>
    <tableColumn id="12198" xr3:uid="{B79F3667-CA05-45CC-8A52-7B4758199961}" name="Kolonna11860"/>
    <tableColumn id="12199" xr3:uid="{CC98F9E3-AE10-4F76-A537-6D4BD1E14577}" name="Kolonna11861"/>
    <tableColumn id="12200" xr3:uid="{7BC0F2B5-7101-443F-B76B-BF86B17D4CB6}" name="Kolonna11862"/>
    <tableColumn id="12201" xr3:uid="{218C4E7A-0CF9-45C0-B67A-4BF0D3BEAD8C}" name="Kolonna11863"/>
    <tableColumn id="12202" xr3:uid="{44E66FE6-A4CC-4DCA-A0C4-B11EA0AC6AA3}" name="Kolonna11864"/>
    <tableColumn id="12203" xr3:uid="{D8D1EB3D-0E4C-4CA0-BEC4-AD7A4337AB10}" name="Kolonna11865"/>
    <tableColumn id="12204" xr3:uid="{E0B713EC-39CD-4FB4-A9FE-6C762727B311}" name="Kolonna11866"/>
    <tableColumn id="12205" xr3:uid="{68A17904-0AB9-40A4-8FC9-D2F5D82B8C61}" name="Kolonna11867"/>
    <tableColumn id="12206" xr3:uid="{24B6B77E-372C-4B3E-905F-1CC0B85D86D3}" name="Kolonna11868"/>
    <tableColumn id="12207" xr3:uid="{28DF7B1B-9BFB-485D-A003-8AE58621F91E}" name="Kolonna11869"/>
    <tableColumn id="12208" xr3:uid="{BA3B777D-978E-4A9E-B00D-73743389047E}" name="Kolonna11870"/>
    <tableColumn id="12209" xr3:uid="{59DB3ABF-BDCD-4589-8E16-DCFA21DB6A74}" name="Kolonna11871"/>
    <tableColumn id="12210" xr3:uid="{8147BAA1-A60A-46C0-82CA-B43E24A44779}" name="Kolonna11872"/>
    <tableColumn id="12211" xr3:uid="{5BA50634-D787-4B07-8860-9334FECA5271}" name="Kolonna11873"/>
    <tableColumn id="12212" xr3:uid="{599BAC51-A09E-4ED9-AB84-7A76436F750A}" name="Kolonna11874"/>
    <tableColumn id="12213" xr3:uid="{A5900CB8-9CD2-484A-A24F-752543B6B3C6}" name="Kolonna11875"/>
    <tableColumn id="12214" xr3:uid="{02E2742D-3B52-4A27-BF36-3B8C227EDA20}" name="Kolonna11876"/>
    <tableColumn id="12215" xr3:uid="{7C683EEC-1235-43B6-8C8C-007CB5C45F67}" name="Kolonna11877"/>
    <tableColumn id="12216" xr3:uid="{2F935AD6-C9BE-4FE1-BE22-D05754AD2ADA}" name="Kolonna11878"/>
    <tableColumn id="12217" xr3:uid="{E2B0B718-01C1-4E80-8246-A2E1A6D223CA}" name="Kolonna11879"/>
    <tableColumn id="12218" xr3:uid="{0907456A-CBF5-46F1-978B-1F1D310CF1FB}" name="Kolonna11880"/>
    <tableColumn id="12219" xr3:uid="{3BCE3A97-2821-47CD-9EB1-4E1D1479A907}" name="Kolonna11881"/>
    <tableColumn id="12220" xr3:uid="{0D1D1604-A3A7-49B1-B6BF-F3EB5C8CBD0D}" name="Kolonna11882"/>
    <tableColumn id="12221" xr3:uid="{80E51E22-D8D6-4034-BBEC-3796E4731A9A}" name="Kolonna11883"/>
    <tableColumn id="12222" xr3:uid="{9E0884D0-B17E-4455-848A-F1787015153D}" name="Kolonna11884"/>
    <tableColumn id="12223" xr3:uid="{DEB4C4BC-965F-4048-99E8-65D112688B06}" name="Kolonna11885"/>
    <tableColumn id="12224" xr3:uid="{B78267BF-2EA6-4E6F-9BB7-F12759D25ABC}" name="Kolonna11886"/>
    <tableColumn id="12225" xr3:uid="{D265BFB4-D046-466E-B26C-E40A3AC54128}" name="Kolonna11887"/>
    <tableColumn id="12226" xr3:uid="{424BDFD7-A720-4D7F-8B24-75A28EEB3058}" name="Kolonna11888"/>
    <tableColumn id="12227" xr3:uid="{6B0A7DE0-A282-40FE-93A8-7067FF7553E7}" name="Kolonna11889"/>
    <tableColumn id="12228" xr3:uid="{549A3C72-EF3B-47F6-A586-574C0CF57159}" name="Kolonna11890"/>
    <tableColumn id="12229" xr3:uid="{80A7C318-69DA-49C7-8AE5-195E74016557}" name="Kolonna11891"/>
    <tableColumn id="12230" xr3:uid="{E8D0AD3F-8601-4DBF-8859-BC33137DD69D}" name="Kolonna11892"/>
    <tableColumn id="12231" xr3:uid="{BAD0F291-33C8-4E6D-B67E-7D6C4E80FE5A}" name="Kolonna11893"/>
    <tableColumn id="12232" xr3:uid="{55458BEA-47C6-408E-9C0C-FD4B0FDDF321}" name="Kolonna11894"/>
    <tableColumn id="12233" xr3:uid="{B0B72D86-43F7-49D2-ABC1-4DDFCAE4EC6F}" name="Kolonna11895"/>
    <tableColumn id="12234" xr3:uid="{2C59E177-2238-4DC6-9D7B-D3726CD83862}" name="Kolonna11896"/>
    <tableColumn id="12235" xr3:uid="{A92165E7-483D-4A98-A5A6-19C78181F448}" name="Kolonna11897"/>
    <tableColumn id="12236" xr3:uid="{334109FF-6A41-45F4-9B3D-F08B6502D732}" name="Kolonna11898"/>
    <tableColumn id="12237" xr3:uid="{DE0307E6-225C-4298-8A34-62EA0249185B}" name="Kolonna11899"/>
    <tableColumn id="12238" xr3:uid="{823A6BD2-35EC-48A0-B049-80D50F0B3F83}" name="Kolonna11900"/>
    <tableColumn id="12239" xr3:uid="{40FDD103-80EF-413A-A37C-460B0451410A}" name="Kolonna11901"/>
    <tableColumn id="12240" xr3:uid="{7DEF6C70-1EC3-4948-9F70-BF950211132E}" name="Kolonna11902"/>
    <tableColumn id="12241" xr3:uid="{4EBA35C5-D30C-41C5-9FDC-FC2FB7442290}" name="Kolonna11903"/>
    <tableColumn id="12242" xr3:uid="{6BA3F2D7-D740-4601-B3F6-1B6081551EF7}" name="Kolonna11904"/>
    <tableColumn id="12243" xr3:uid="{785398DE-D731-4CFD-A86D-2A06A4EDFCD4}" name="Kolonna11905"/>
    <tableColumn id="12244" xr3:uid="{38CB87B5-A167-4F86-84E2-105F7D31A8B1}" name="Kolonna11906"/>
    <tableColumn id="12245" xr3:uid="{36C8BFD9-0EF2-4FA7-A24E-B6342411AEC6}" name="Kolonna11907"/>
    <tableColumn id="12246" xr3:uid="{A606F391-F15B-4E3A-BE6C-E3FE96B607A3}" name="Kolonna11908"/>
    <tableColumn id="12247" xr3:uid="{1F40D41A-734B-49B0-A081-2525B49383CF}" name="Kolonna11909"/>
    <tableColumn id="12248" xr3:uid="{171B380F-8A0D-41CB-988E-A089733FCF1B}" name="Kolonna11910"/>
    <tableColumn id="12249" xr3:uid="{A47DABBE-7E93-4258-AABF-1A5C8496DD1C}" name="Kolonna11911"/>
    <tableColumn id="12250" xr3:uid="{E2DD46EF-7D03-4B2E-BB0E-8808E386617C}" name="Kolonna11912"/>
    <tableColumn id="12251" xr3:uid="{A9C54FC4-EB89-4956-9CF4-CC22BFB657D7}" name="Kolonna11913"/>
    <tableColumn id="12252" xr3:uid="{2DE6D2E7-C720-4496-9784-D82D267ACF7F}" name="Kolonna11914"/>
    <tableColumn id="12253" xr3:uid="{E5D3D9A3-B45F-43D6-BC46-34106AAB8378}" name="Kolonna11915"/>
    <tableColumn id="12254" xr3:uid="{425D6D23-3883-462C-8112-D0545ED4BDD8}" name="Kolonna11916"/>
    <tableColumn id="12255" xr3:uid="{FCBAE6A7-36E3-44F7-96F8-5CA30B116ADB}" name="Kolonna11917"/>
    <tableColumn id="12256" xr3:uid="{982A9A46-8B80-4880-A8F0-F25FB012427D}" name="Kolonna11918"/>
    <tableColumn id="12257" xr3:uid="{531C0997-4E36-4FDB-8E12-6F778B26D62F}" name="Kolonna11919"/>
    <tableColumn id="12258" xr3:uid="{3F673265-EE79-4550-9416-B214D6E80CCC}" name="Kolonna11920"/>
    <tableColumn id="12259" xr3:uid="{8B4FB7BA-BF85-42A5-B075-8F739A0FBD1A}" name="Kolonna11921"/>
    <tableColumn id="12260" xr3:uid="{CA5A1FF9-4E4B-4E1F-8301-8748583C9E49}" name="Kolonna11922"/>
    <tableColumn id="12261" xr3:uid="{C6B6BC36-7719-44A6-A9BB-8A1BB638306A}" name="Kolonna11923"/>
    <tableColumn id="12262" xr3:uid="{3139B5D9-F910-4552-8769-775200A370F2}" name="Kolonna11924"/>
    <tableColumn id="12263" xr3:uid="{468E437C-52EA-449D-B25F-9D9590102E6D}" name="Kolonna11925"/>
    <tableColumn id="12264" xr3:uid="{AC212921-B170-48D6-91C1-B4EF9A5CA361}" name="Kolonna11926"/>
    <tableColumn id="12265" xr3:uid="{9356FF7C-E054-4DF5-9731-8247AB937B00}" name="Kolonna11927"/>
    <tableColumn id="12266" xr3:uid="{25F19EF8-2502-4886-A7E5-B6451327DA8E}" name="Kolonna11928"/>
    <tableColumn id="12267" xr3:uid="{899AE853-209B-46A8-969F-CC694C86B796}" name="Kolonna11929"/>
    <tableColumn id="12268" xr3:uid="{F91D544C-BD02-4B07-8C84-D27F39234DBD}" name="Kolonna11930"/>
    <tableColumn id="12269" xr3:uid="{64DB7EB5-3E2F-4A7C-B365-230032335B2C}" name="Kolonna11931"/>
    <tableColumn id="12270" xr3:uid="{90D6E10A-BB3F-4D03-9B14-314DEE56C271}" name="Kolonna11932"/>
    <tableColumn id="12271" xr3:uid="{237C14CF-D0F6-4B9C-A444-620480EA69C4}" name="Kolonna11933"/>
    <tableColumn id="12272" xr3:uid="{7B4A024B-079A-4A4B-8381-F2C2EA169564}" name="Kolonna11934"/>
    <tableColumn id="12273" xr3:uid="{F023DEC2-B076-4C5A-B812-6F50271EE540}" name="Kolonna11935"/>
    <tableColumn id="12274" xr3:uid="{2B4BB376-1F30-452D-AADF-1F7FF0714F28}" name="Kolonna11936"/>
    <tableColumn id="12275" xr3:uid="{262D17F6-E111-4C7E-9659-E738618A7D70}" name="Kolonna11937"/>
    <tableColumn id="12276" xr3:uid="{B27D8BD8-FAB5-42E4-A773-A8D1264078E1}" name="Kolonna11938"/>
    <tableColumn id="12277" xr3:uid="{15C1C302-78D7-4E7E-9EC5-D90AF712957A}" name="Kolonna11939"/>
    <tableColumn id="12278" xr3:uid="{662C1589-2A63-4E10-925B-F4578B2458A0}" name="Kolonna11940"/>
    <tableColumn id="12279" xr3:uid="{7176417E-8A58-46F1-AC2B-ED1FA47A64ED}" name="Kolonna11941"/>
    <tableColumn id="12280" xr3:uid="{6B706065-FD5C-411F-8D9E-AA16CFEDC3A2}" name="Kolonna11942"/>
    <tableColumn id="12281" xr3:uid="{B0956A3D-40DD-4901-B265-CC0F7901555E}" name="Kolonna11943"/>
    <tableColumn id="12282" xr3:uid="{A42CF6FB-D442-4CDC-BB50-52ACC71BAE6F}" name="Kolonna11944"/>
    <tableColumn id="12283" xr3:uid="{68055D65-3C5B-465B-897B-7403AD975C1F}" name="Kolonna11945"/>
    <tableColumn id="12284" xr3:uid="{C7756136-C255-4536-A4E0-72FA83800211}" name="Kolonna11946"/>
    <tableColumn id="12285" xr3:uid="{1D3C3F98-7E9A-40FA-9A2B-7E7131AD7E2C}" name="Kolonna11947"/>
    <tableColumn id="12286" xr3:uid="{2EC96CB7-449A-4D82-9FC8-7249129E33CF}" name="Kolonna11948"/>
    <tableColumn id="12287" xr3:uid="{6BF00202-C657-4206-92FF-64BF3A2FECCD}" name="Kolonna11949"/>
    <tableColumn id="12288" xr3:uid="{6E224807-20A6-457C-8ED7-D203E4E578C8}" name="Kolonna11950"/>
    <tableColumn id="12289" xr3:uid="{85B57ED8-7B98-4F66-A178-A88E65A51AEC}" name="Kolonna11951"/>
    <tableColumn id="12290" xr3:uid="{BE7A7185-1180-4F91-9FA0-9E03463EB5DA}" name="Kolonna11952"/>
    <tableColumn id="12291" xr3:uid="{11DC2B12-E67E-488D-A089-A17E90D0C692}" name="Kolonna11953"/>
    <tableColumn id="12292" xr3:uid="{570F344F-0E2D-416A-81A3-B83EEEA31820}" name="Kolonna11954"/>
    <tableColumn id="12293" xr3:uid="{B2707514-9D2D-4EF4-9234-77B6F1CE7ECE}" name="Kolonna11955"/>
    <tableColumn id="12294" xr3:uid="{85D6E984-7D4F-4884-9372-B34C9C80E5CA}" name="Kolonna11956"/>
    <tableColumn id="12295" xr3:uid="{336D5126-8A9D-43A8-9F0C-369312A6F861}" name="Kolonna11957"/>
    <tableColumn id="12296" xr3:uid="{9CB9CBBC-142D-4836-834D-21D822FCD025}" name="Kolonna11958"/>
    <tableColumn id="12297" xr3:uid="{2B30438B-7FC0-4C83-86BE-81F4C548C2D0}" name="Kolonna11959"/>
    <tableColumn id="12298" xr3:uid="{B2846DE7-C7BE-4039-B45C-3BC6FF91C030}" name="Kolonna11960"/>
    <tableColumn id="12299" xr3:uid="{ED5F6B32-AAA9-4AC6-8A92-ADEE3652D9A7}" name="Kolonna11961"/>
    <tableColumn id="12300" xr3:uid="{7A32F936-E2D2-4799-990C-A0FCD8480ED7}" name="Kolonna11962"/>
    <tableColumn id="12301" xr3:uid="{F4CF076B-9A31-4DE3-B218-15935F19A5D4}" name="Kolonna11963"/>
    <tableColumn id="12302" xr3:uid="{9F6A66BC-5D73-4FD3-B934-E1E4E97AA388}" name="Kolonna11964"/>
    <tableColumn id="12303" xr3:uid="{F12C143C-E70E-4872-BFA7-68D710BF9CF1}" name="Kolonna11965"/>
    <tableColumn id="12304" xr3:uid="{E213517B-0C6D-4A28-85C6-12336D5DA477}" name="Kolonna11966"/>
    <tableColumn id="12305" xr3:uid="{52F6999D-0CAE-4DCA-B4CE-BBCCD56FDDA9}" name="Kolonna11967"/>
    <tableColumn id="12306" xr3:uid="{D54002B5-CB1B-484E-9228-A5148749E7FC}" name="Kolonna11968"/>
    <tableColumn id="12307" xr3:uid="{0FB50239-5D44-423F-8C75-669FB4D252C5}" name="Kolonna11969"/>
    <tableColumn id="12308" xr3:uid="{0BA8CCDA-30DD-4614-A205-F229BEA7531E}" name="Kolonna11970"/>
    <tableColumn id="12309" xr3:uid="{DF18F3D5-BADE-4AC5-A857-2EB20521E754}" name="Kolonna11971"/>
    <tableColumn id="12310" xr3:uid="{FA2E1DB0-5D01-4D81-B05F-367DC4B7905B}" name="Kolonna11972"/>
    <tableColumn id="12311" xr3:uid="{D6B35A11-53CF-4173-B19C-6BA7A593E529}" name="Kolonna11973"/>
    <tableColumn id="12312" xr3:uid="{97237B4B-9745-4422-8918-2F787078F936}" name="Kolonna11974"/>
    <tableColumn id="12313" xr3:uid="{0FB48829-A8C5-430F-BA04-C8B348DF0DD3}" name="Kolonna11975"/>
    <tableColumn id="12314" xr3:uid="{226CBDC1-8151-49B2-92BE-0EB55BE3AD41}" name="Kolonna11976"/>
    <tableColumn id="12315" xr3:uid="{35E2D87A-F04D-4649-BD7F-B109992E669F}" name="Kolonna11977"/>
    <tableColumn id="12316" xr3:uid="{90A48CE7-F1AC-48B1-91DC-4E8AF52E3BDA}" name="Kolonna11978"/>
    <tableColumn id="12317" xr3:uid="{2E4A6F06-377F-4987-BB5E-D7AF17FA6D76}" name="Kolonna11979"/>
    <tableColumn id="12318" xr3:uid="{7BC09571-C6CE-4117-AB81-062E8F9A0934}" name="Kolonna11980"/>
    <tableColumn id="12319" xr3:uid="{AC788324-051B-4CD0-9BDB-63CAF6BEDE87}" name="Kolonna11981"/>
    <tableColumn id="12320" xr3:uid="{AAC26367-C95B-42F6-8F62-E4EE3AC95680}" name="Kolonna11982"/>
    <tableColumn id="12321" xr3:uid="{BFF11BD0-283C-43A8-B30F-A79CCD93A315}" name="Kolonna11983"/>
    <tableColumn id="12322" xr3:uid="{EBA44582-E058-44DD-B342-00F70F5B9EE8}" name="Kolonna11984"/>
    <tableColumn id="12323" xr3:uid="{75BBE306-D4E4-44E5-9547-8843CD2E7352}" name="Kolonna11985"/>
    <tableColumn id="12324" xr3:uid="{8D060CCF-8A88-4DB4-9BC1-6450B32A37E4}" name="Kolonna11986"/>
    <tableColumn id="12325" xr3:uid="{6F7D2432-244C-4E7D-B4AB-A55035415A2D}" name="Kolonna11987"/>
    <tableColumn id="12326" xr3:uid="{622B7365-ED6A-484E-ABBF-BFE5C96467B6}" name="Kolonna11988"/>
    <tableColumn id="12327" xr3:uid="{E11FBAFC-B4A8-4F52-A8C8-D5970C34ACC5}" name="Kolonna11989"/>
    <tableColumn id="12328" xr3:uid="{C9185953-7C90-4640-B6A7-3B6A7B77D9E1}" name="Kolonna11990"/>
    <tableColumn id="12329" xr3:uid="{CC121F68-8FBE-48D4-8E69-650BE702E40C}" name="Kolonna11991"/>
    <tableColumn id="12330" xr3:uid="{4CE15A53-6E06-4AAD-AB87-E9AD699F2F7A}" name="Kolonna11992"/>
    <tableColumn id="12331" xr3:uid="{1A0A7222-4753-4F3B-8FD5-E8A40F6D8138}" name="Kolonna11993"/>
    <tableColumn id="12332" xr3:uid="{2B6EB688-551E-434A-B9BA-4B561775B714}" name="Kolonna11994"/>
    <tableColumn id="12333" xr3:uid="{B624C8DE-431C-4EEA-B715-1DA7E0B500FC}" name="Kolonna11995"/>
    <tableColumn id="12334" xr3:uid="{99EA15EC-FD70-4CC8-89FC-32CB95C8602B}" name="Kolonna11996"/>
    <tableColumn id="12335" xr3:uid="{40D1991D-7BE4-4AA3-8030-D0EDB3A52E55}" name="Kolonna11997"/>
    <tableColumn id="12336" xr3:uid="{9157C353-215B-4CBC-B33E-C9A2E46F3EAD}" name="Kolonna11998"/>
    <tableColumn id="12337" xr3:uid="{94C6670F-F21C-49BE-A3F8-887C4E964C4D}" name="Kolonna11999"/>
    <tableColumn id="12338" xr3:uid="{6E2204C6-010B-46BF-ACDA-052F50EFF303}" name="Kolonna12000"/>
    <tableColumn id="12339" xr3:uid="{FBD3497E-DBCA-4EAE-9EA0-7AF15A8D5D59}" name="Kolonna12001"/>
    <tableColumn id="12340" xr3:uid="{700CDC15-CE0F-4162-B4EB-CC0DDE0199C8}" name="Kolonna12002"/>
    <tableColumn id="12341" xr3:uid="{5DFDFC56-C803-40A3-AD32-E462CA7E7BF5}" name="Kolonna12003"/>
    <tableColumn id="12342" xr3:uid="{9E63E8B6-7BD0-4121-AB95-405E1A3549F0}" name="Kolonna12004"/>
    <tableColumn id="12343" xr3:uid="{973DA6A1-81B0-4D2E-BAEA-C66BDCE092F6}" name="Kolonna12005"/>
    <tableColumn id="12344" xr3:uid="{4AD25AAE-113E-482D-9D50-6FC1F7145B32}" name="Kolonna12006"/>
    <tableColumn id="12345" xr3:uid="{E69EB0B4-BED3-4175-913B-649827138839}" name="Kolonna12007"/>
    <tableColumn id="12346" xr3:uid="{A493B5C0-49CE-43CF-9F80-E14461F0BDAF}" name="Kolonna12008"/>
    <tableColumn id="12347" xr3:uid="{5D230CF0-F9DF-4D58-B670-CF9220BE0FAF}" name="Kolonna12009"/>
    <tableColumn id="12348" xr3:uid="{92148B23-C065-4659-BEF8-A6D192D129FA}" name="Kolonna12010"/>
    <tableColumn id="12349" xr3:uid="{59153CBE-B1E7-40B0-AC47-A57D8234E5B3}" name="Kolonna12011"/>
    <tableColumn id="12350" xr3:uid="{ED872B4B-C827-4C82-AAC4-729BAF1D6527}" name="Kolonna12012"/>
    <tableColumn id="12351" xr3:uid="{73D4240C-237D-4BF4-8C7A-D5152F41E566}" name="Kolonna12013"/>
    <tableColumn id="12352" xr3:uid="{139EE3D0-188F-4862-8DD4-F52475CA0E7D}" name="Kolonna12014"/>
    <tableColumn id="12353" xr3:uid="{907C55D6-80EC-4F14-93FE-37B9E7E92B59}" name="Kolonna12015"/>
    <tableColumn id="12354" xr3:uid="{283A773C-FE09-444B-8998-526FC73D843F}" name="Kolonna12016"/>
    <tableColumn id="12355" xr3:uid="{EFCC0CC4-A828-4781-B981-5CE30224BD76}" name="Kolonna12017"/>
    <tableColumn id="12356" xr3:uid="{C5F939F8-7B1C-4509-9E58-586D2800ADA8}" name="Kolonna12018"/>
    <tableColumn id="12357" xr3:uid="{1D9468C0-79FB-4BDC-B389-9763574D9B44}" name="Kolonna12019"/>
    <tableColumn id="12358" xr3:uid="{9E9D103E-6B42-4727-8490-486AF2249CED}" name="Kolonna12020"/>
    <tableColumn id="12359" xr3:uid="{F191463F-4CBD-4D50-BBF0-1238D63F0D98}" name="Kolonna12021"/>
    <tableColumn id="12360" xr3:uid="{BA20A4EF-A39F-4C46-85EF-F49E45F10229}" name="Kolonna12022"/>
    <tableColumn id="12361" xr3:uid="{469CAE95-8725-406A-9811-9A95B039D579}" name="Kolonna12023"/>
    <tableColumn id="12362" xr3:uid="{275B267E-0BF1-4B6D-A111-92D80E0D0A6C}" name="Kolonna12024"/>
    <tableColumn id="12363" xr3:uid="{1682A2A7-852B-4D90-8BAC-D93FC2B835F5}" name="Kolonna12025"/>
    <tableColumn id="12364" xr3:uid="{CFE69B5A-20DD-4166-9B51-0E7AF70E2AAD}" name="Kolonna12026"/>
    <tableColumn id="12365" xr3:uid="{85B9931A-45C9-4320-8803-FF9AD0557C5D}" name="Kolonna12027"/>
    <tableColumn id="12366" xr3:uid="{52C88141-000B-4DFA-8801-35AE2A7EF9EA}" name="Kolonna12028"/>
    <tableColumn id="12367" xr3:uid="{0D0927B6-BF0E-400B-9B3D-35D8A84E1562}" name="Kolonna12029"/>
    <tableColumn id="12368" xr3:uid="{87652CEC-AAEF-4BB0-8F89-2594E9774ADF}" name="Kolonna12030"/>
    <tableColumn id="12369" xr3:uid="{664F4D88-8F91-47CF-AB5C-9A592844E8E9}" name="Kolonna12031"/>
    <tableColumn id="12370" xr3:uid="{672F2F77-0D9A-4A7F-A2FB-D961A8F47DD7}" name="Kolonna12032"/>
    <tableColumn id="12371" xr3:uid="{317CC223-8DD6-455E-A78C-9B65F14FCFD5}" name="Kolonna12033"/>
    <tableColumn id="12372" xr3:uid="{7A433996-B930-4293-A98A-163F5E1BBF0E}" name="Kolonna12034"/>
    <tableColumn id="12373" xr3:uid="{53862BF7-AF6C-4473-B251-2DB59BB92513}" name="Kolonna12035"/>
    <tableColumn id="12374" xr3:uid="{CADC859C-6268-46AE-8DA9-315ACA58B597}" name="Kolonna12036"/>
    <tableColumn id="12375" xr3:uid="{A69A900F-6946-4179-98D0-4229D0E9729E}" name="Kolonna12037"/>
    <tableColumn id="12376" xr3:uid="{042B8A95-0F23-43F4-9E85-0F58BC19A640}" name="Kolonna12038"/>
    <tableColumn id="12377" xr3:uid="{9B14B221-9A57-40F2-A692-73958F6130AF}" name="Kolonna12039"/>
    <tableColumn id="12378" xr3:uid="{234B7314-8395-4117-AF9B-AA0B8A184958}" name="Kolonna12040"/>
    <tableColumn id="12379" xr3:uid="{AB787861-0290-4861-8908-8715BEA99DC9}" name="Kolonna12041"/>
    <tableColumn id="12380" xr3:uid="{46105E7C-E33D-42DE-9422-959CD4D485F5}" name="Kolonna12042"/>
    <tableColumn id="12381" xr3:uid="{7C4FC766-690A-4D42-A45A-15E57842C0FD}" name="Kolonna12043"/>
    <tableColumn id="12382" xr3:uid="{1F51635B-60DE-4839-A97A-BB3B5E6BBF4F}" name="Kolonna12044"/>
    <tableColumn id="12383" xr3:uid="{31BE6B9D-D5D8-40CB-BA2A-D7843EE9EF5B}" name="Kolonna12045"/>
    <tableColumn id="12384" xr3:uid="{4618A6D6-3710-4DCD-9FC5-C69BBC7C303D}" name="Kolonna12046"/>
    <tableColumn id="12385" xr3:uid="{D37BE8A3-A1C0-420B-B331-30F1A00C172F}" name="Kolonna12047"/>
    <tableColumn id="12386" xr3:uid="{7E7D78D2-BC4A-4E2F-A59A-C0B268CD0E68}" name="Kolonna12048"/>
    <tableColumn id="12387" xr3:uid="{A7AF824C-C4E0-4486-A2D3-7C5F16666EB6}" name="Kolonna12049"/>
    <tableColumn id="12388" xr3:uid="{CCF2A0C8-397C-41DF-9F0E-4FF2D584333F}" name="Kolonna12050"/>
    <tableColumn id="12389" xr3:uid="{313A4734-9C1F-436E-9BC0-53D07BEF8207}" name="Kolonna12051"/>
    <tableColumn id="12390" xr3:uid="{4A7EC222-90E1-4285-B066-60B73C202C82}" name="Kolonna12052"/>
    <tableColumn id="12391" xr3:uid="{D2507DDA-623D-47F6-AE77-6A772A0563AD}" name="Kolonna12053"/>
    <tableColumn id="12392" xr3:uid="{9FC9DCB3-8E1C-4BCA-8B10-8168A9205CB1}" name="Kolonna12054"/>
    <tableColumn id="12393" xr3:uid="{469845A3-5C64-4644-B898-3B41ADF3928B}" name="Kolonna12055"/>
    <tableColumn id="12394" xr3:uid="{727E97B2-21B0-4709-9F2F-4CCE4619EBE4}" name="Kolonna12056"/>
    <tableColumn id="12395" xr3:uid="{B47AE949-CC94-4826-928A-FB6C24C1A505}" name="Kolonna12057"/>
    <tableColumn id="12396" xr3:uid="{702126D4-00C2-4214-BDED-17459CF15F55}" name="Kolonna12058"/>
    <tableColumn id="12397" xr3:uid="{3CA0F5DD-D2AE-42D6-AAF8-CD2DDEF5A290}" name="Kolonna12059"/>
    <tableColumn id="12398" xr3:uid="{2D5A5412-9CA9-4D5C-8222-E8AF05A61C2D}" name="Kolonna12060"/>
    <tableColumn id="12399" xr3:uid="{9BF292C7-7061-4225-86A4-6BD0B41FE605}" name="Kolonna12061"/>
    <tableColumn id="12400" xr3:uid="{FC57A0BA-768E-473C-B0B4-C3DDDE2A601C}" name="Kolonna12062"/>
    <tableColumn id="12401" xr3:uid="{6822A091-519F-4C18-B5BB-D58091EDC3B7}" name="Kolonna12063"/>
    <tableColumn id="12402" xr3:uid="{40B6FAA1-71E3-4EDC-A984-F684439C2741}" name="Kolonna12064"/>
    <tableColumn id="12403" xr3:uid="{69288E32-2BD7-45BC-81A2-D7B3D354FC00}" name="Kolonna12065"/>
    <tableColumn id="12404" xr3:uid="{E3545A58-D688-4379-BD75-DC19C2168CA3}" name="Kolonna12066"/>
    <tableColumn id="12405" xr3:uid="{9BB56D01-0D89-47A2-889D-24EA67A16F79}" name="Kolonna12067"/>
    <tableColumn id="12406" xr3:uid="{722DAAA4-01BE-413A-8ED5-35440CC93554}" name="Kolonna12068"/>
    <tableColumn id="12407" xr3:uid="{705437E0-DDC0-4708-96A8-F615A179FDE9}" name="Kolonna12069"/>
    <tableColumn id="12408" xr3:uid="{7B5214FF-F734-4DA0-8D36-3CF512ED337D}" name="Kolonna12070"/>
    <tableColumn id="12409" xr3:uid="{A5596BFC-AE64-4822-99AD-087DC9D6225F}" name="Kolonna12071"/>
    <tableColumn id="12410" xr3:uid="{DFC3E238-3547-45E4-BE55-2E2A0718A92C}" name="Kolonna12072"/>
    <tableColumn id="12411" xr3:uid="{71BC731E-0556-4EE3-89B8-52AA9C187EDB}" name="Kolonna12073"/>
    <tableColumn id="12412" xr3:uid="{D57A9512-553E-45AA-A091-76E99B47A363}" name="Kolonna12074"/>
    <tableColumn id="12413" xr3:uid="{6E67C249-8D32-4176-91C9-11AB3DE51F80}" name="Kolonna12075"/>
    <tableColumn id="12414" xr3:uid="{2148BD5D-455F-4303-A194-E1A66F019ADC}" name="Kolonna12076"/>
    <tableColumn id="12415" xr3:uid="{6ACC20E4-E8DD-4759-A7BC-8E00987B0694}" name="Kolonna12077"/>
    <tableColumn id="12416" xr3:uid="{CF8399EE-3A88-4AA9-B97B-F3CD2E7FCE33}" name="Kolonna12078"/>
    <tableColumn id="12417" xr3:uid="{7E540ECE-48C0-4E16-9F5B-3B78B8EDD223}" name="Kolonna12079"/>
    <tableColumn id="12418" xr3:uid="{7C5A6911-1279-49B9-8A14-46E69C7AAE87}" name="Kolonna12080"/>
    <tableColumn id="12419" xr3:uid="{21B8C639-816B-4CA8-BEBB-C50A5707F6D0}" name="Kolonna12081"/>
    <tableColumn id="12420" xr3:uid="{E1B55293-61E2-49DD-B3E8-64252F201BB3}" name="Kolonna12082"/>
    <tableColumn id="12421" xr3:uid="{D56599B3-F248-43D0-8344-417BAFD02B97}" name="Kolonna12083"/>
    <tableColumn id="12422" xr3:uid="{A97EFB30-8181-4483-9EC6-C970EA77525F}" name="Kolonna12084"/>
    <tableColumn id="12423" xr3:uid="{D5E13574-F127-4B93-836A-A34D19EC49D3}" name="Kolonna12085"/>
    <tableColumn id="12424" xr3:uid="{104055F4-E3FF-449B-A8A3-2BDB2DD788F2}" name="Kolonna12086"/>
    <tableColumn id="12425" xr3:uid="{16F760A0-BEF9-468D-8EE5-E904F97DD48A}" name="Kolonna12087"/>
    <tableColumn id="12426" xr3:uid="{C4594D81-3EC9-4C10-920D-E72760F9CBA8}" name="Kolonna12088"/>
    <tableColumn id="12427" xr3:uid="{0A76E2BB-C800-4AC6-A3F2-A5D5F962CC9F}" name="Kolonna12089"/>
    <tableColumn id="12428" xr3:uid="{D32F6FD8-73EE-4FD9-83F2-4574D7D8BD26}" name="Kolonna12090"/>
    <tableColumn id="12429" xr3:uid="{9642FAB9-3C39-4F02-9010-3239EEC26CFB}" name="Kolonna12091"/>
    <tableColumn id="12430" xr3:uid="{926664F7-577C-4841-9E1D-ECD43B9413CB}" name="Kolonna12092"/>
    <tableColumn id="12431" xr3:uid="{DFDAB8E7-E845-41B9-822F-E3A168D4287F}" name="Kolonna12093"/>
    <tableColumn id="12432" xr3:uid="{D474FA02-B7CF-4091-8889-8F3C91949D80}" name="Kolonna12094"/>
    <tableColumn id="12433" xr3:uid="{93B43797-8CDE-498D-AAFE-B51699EA68F5}" name="Kolonna12095"/>
    <tableColumn id="12434" xr3:uid="{C44D35DB-1E39-442D-81C5-337B7FE089B7}" name="Kolonna12096"/>
    <tableColumn id="12435" xr3:uid="{BC369E0C-1EDB-4108-A793-1EA69C0579C4}" name="Kolonna12097"/>
    <tableColumn id="12436" xr3:uid="{8B1A0182-17A6-4343-8A12-617E8A2B0454}" name="Kolonna12098"/>
    <tableColumn id="12437" xr3:uid="{3BDAA333-943F-4520-8D9F-AD9044A888E1}" name="Kolonna12099"/>
    <tableColumn id="12438" xr3:uid="{861D9F32-5B40-43AC-A8AF-7E153007E258}" name="Kolonna12100"/>
    <tableColumn id="12439" xr3:uid="{7EE9D838-34AB-4460-971F-E70C224468C2}" name="Kolonna12101"/>
    <tableColumn id="12440" xr3:uid="{E02A1F1F-834F-4193-B30A-02CA1323F3CD}" name="Kolonna12102"/>
    <tableColumn id="12441" xr3:uid="{A7BAF0E9-1B52-457B-BA88-047CD52136EB}" name="Kolonna12103"/>
    <tableColumn id="12442" xr3:uid="{4FB8CF7D-8B4A-45A6-8B67-B86F8B970367}" name="Kolonna12104"/>
    <tableColumn id="12443" xr3:uid="{DBB9C195-22C1-424B-9DE2-1033FD1BA576}" name="Kolonna12105"/>
    <tableColumn id="12444" xr3:uid="{716A7A9E-2ACD-4279-8DED-4942D61DB808}" name="Kolonna12106"/>
    <tableColumn id="12445" xr3:uid="{A3142B21-3750-4193-AD03-17A69CD61C41}" name="Kolonna12107"/>
    <tableColumn id="12446" xr3:uid="{AD678E63-1075-4310-A858-6D03A3FFC2E0}" name="Kolonna12108"/>
    <tableColumn id="12447" xr3:uid="{09662B3B-20C0-441C-A2DE-84F27F8A5E72}" name="Kolonna12109"/>
    <tableColumn id="12448" xr3:uid="{682098DF-A0BC-4F0F-B4A2-3EAB81F51985}" name="Kolonna12110"/>
    <tableColumn id="12449" xr3:uid="{75352597-DA7F-4958-88C4-CB804838DE1C}" name="Kolonna12111"/>
    <tableColumn id="12450" xr3:uid="{3000C6C1-5E05-411E-A391-6DF672500F12}" name="Kolonna12112"/>
    <tableColumn id="12451" xr3:uid="{25EDF6EF-9BE1-4485-905E-321B9F4923A1}" name="Kolonna12113"/>
    <tableColumn id="12452" xr3:uid="{5144ADFE-ED2D-4E61-BE01-733FCB2ED8EB}" name="Kolonna12114"/>
    <tableColumn id="12453" xr3:uid="{F5A52CC5-27CC-441E-9B4B-D766A9D4DBE9}" name="Kolonna12115"/>
    <tableColumn id="12454" xr3:uid="{D9568CD1-A91F-479E-9D62-CF146B91789B}" name="Kolonna12116"/>
    <tableColumn id="12455" xr3:uid="{B1190F4F-ED64-4D72-9C93-86477B3F4770}" name="Kolonna12117"/>
    <tableColumn id="12456" xr3:uid="{AEABE1A5-A575-4B1D-80BF-76DB783DFA54}" name="Kolonna12118"/>
    <tableColumn id="12457" xr3:uid="{548331C9-D4AB-4C92-89BD-3AA7409C64AF}" name="Kolonna12119"/>
    <tableColumn id="12458" xr3:uid="{C5C87E8C-3CE4-49EA-9FF0-233A9B7E59DA}" name="Kolonna12120"/>
    <tableColumn id="12459" xr3:uid="{D22FF8DE-7B16-4A94-9D79-09A8343B8AF6}" name="Kolonna12121"/>
    <tableColumn id="12460" xr3:uid="{ADBF4E43-8B93-4E87-8BAE-01F9EDB73C4B}" name="Kolonna12122"/>
    <tableColumn id="12461" xr3:uid="{7500E809-BB3A-42C5-8903-892AD05170A0}" name="Kolonna12123"/>
    <tableColumn id="12462" xr3:uid="{8CA8D0B8-607F-42EA-9BF7-E92775B8C578}" name="Kolonna12124"/>
    <tableColumn id="12463" xr3:uid="{5F2737F1-4486-45DB-BB65-568A76AE5E57}" name="Kolonna12125"/>
    <tableColumn id="12464" xr3:uid="{1E9D9870-E73E-421C-B48A-D6D3699A4F9C}" name="Kolonna12126"/>
    <tableColumn id="12465" xr3:uid="{F1AD2302-AA7E-4A38-9A8A-63F66E9557FF}" name="Kolonna12127"/>
    <tableColumn id="12466" xr3:uid="{11925E1B-D3F1-4C26-A658-D5A3B763A748}" name="Kolonna12128"/>
    <tableColumn id="12467" xr3:uid="{B35A0042-3AA3-4E67-B199-E74AC4333D4E}" name="Kolonna12129"/>
    <tableColumn id="12468" xr3:uid="{05C15722-E7EB-4F49-A46E-D23B63163703}" name="Kolonna12130"/>
    <tableColumn id="12469" xr3:uid="{5DF3574C-7F49-43DD-B525-9D720C76A9DF}" name="Kolonna12131"/>
    <tableColumn id="12470" xr3:uid="{9960DE04-1E0E-4187-8743-EACCA53954A2}" name="Kolonna12132"/>
    <tableColumn id="12471" xr3:uid="{22A21ADB-4351-4D64-A4C6-CEDC6022C107}" name="Kolonna12133"/>
    <tableColumn id="12472" xr3:uid="{7BF2CB62-6F54-47FE-9AFB-DCEB42152926}" name="Kolonna12134"/>
    <tableColumn id="12473" xr3:uid="{509391B6-B4E0-4AF6-ADE2-2D7BEBED9DCE}" name="Kolonna12135"/>
    <tableColumn id="12474" xr3:uid="{9EEFADA8-8085-4EB0-832D-58A36D33F549}" name="Kolonna12136"/>
    <tableColumn id="12475" xr3:uid="{00ACC75E-E733-41EA-9E28-E986488FD0DF}" name="Kolonna12137"/>
    <tableColumn id="12476" xr3:uid="{1C3DEB25-4CBC-4F8F-8F0D-1E94B47686E2}" name="Kolonna12138"/>
    <tableColumn id="12477" xr3:uid="{6E8CD5D9-5E68-4E8A-A2C4-604D57C1A49E}" name="Kolonna12139"/>
    <tableColumn id="12478" xr3:uid="{AA0024E7-CA16-4559-97EE-2F1782866D5F}" name="Kolonna12140"/>
    <tableColumn id="12479" xr3:uid="{A02BB07F-4B93-417D-ACAD-A31E725AB3DA}" name="Kolonna12141"/>
    <tableColumn id="12480" xr3:uid="{E212387F-4426-4726-B3D1-C2A220442CD1}" name="Kolonna12142"/>
    <tableColumn id="12481" xr3:uid="{8BF76E3D-73FE-4338-B8D9-72ED176DDA4D}" name="Kolonna12143"/>
    <tableColumn id="12482" xr3:uid="{EF57D540-D663-466A-87E5-773A2CD6B5DA}" name="Kolonna12144"/>
    <tableColumn id="12483" xr3:uid="{6BD89EE3-1EC0-4F3E-8C73-AD6A660BF71A}" name="Kolonna12145"/>
    <tableColumn id="12484" xr3:uid="{B84BA8B4-FEC2-4D51-AB9D-79C4D786F24E}" name="Kolonna12146"/>
    <tableColumn id="12485" xr3:uid="{5C3C436C-7B02-47F4-9754-6131F39257B1}" name="Kolonna12147"/>
    <tableColumn id="12486" xr3:uid="{07244EA6-B64D-4578-9CF8-A3EDD126277F}" name="Kolonna12148"/>
    <tableColumn id="12487" xr3:uid="{C49018D0-3DA8-4A3F-8FC2-F9A1B4263099}" name="Kolonna12149"/>
    <tableColumn id="12488" xr3:uid="{CEBEE85C-56F2-4F65-94A7-2092A5DB6E04}" name="Kolonna12150"/>
    <tableColumn id="12489" xr3:uid="{FAE83120-4EF4-40B5-A102-500D03AE7C8E}" name="Kolonna12151"/>
    <tableColumn id="12490" xr3:uid="{BB5DBAA7-35EE-4FF3-A170-C8561C7584EA}" name="Kolonna12152"/>
    <tableColumn id="12491" xr3:uid="{0A9FAB22-7F4D-44C9-B9A3-305AA3B6F99C}" name="Kolonna12153"/>
    <tableColumn id="12492" xr3:uid="{B9FDD950-6E5D-4507-AEBD-A534C03D738F}" name="Kolonna12154"/>
    <tableColumn id="12493" xr3:uid="{18B0BCDD-42CD-44E7-A813-2ECDFCD32CCE}" name="Kolonna12155"/>
    <tableColumn id="12494" xr3:uid="{C7E4B0E0-00A7-4FE9-BA7B-9678D219F9F9}" name="Kolonna12156"/>
    <tableColumn id="12495" xr3:uid="{FF08D788-249E-4783-AE61-766947A152A3}" name="Kolonna12157"/>
    <tableColumn id="12496" xr3:uid="{263C78B3-3945-4709-9556-6A03FC2E1A9D}" name="Kolonna12158"/>
    <tableColumn id="12497" xr3:uid="{84BACF80-11F2-46A4-812A-AC026AB94238}" name="Kolonna12159"/>
    <tableColumn id="12498" xr3:uid="{AB2508A6-8E25-462B-AED0-D4D6CD88EACD}" name="Kolonna12160"/>
    <tableColumn id="12499" xr3:uid="{BD530AEE-3E8A-4F75-A2E8-ADE483677A81}" name="Kolonna12161"/>
    <tableColumn id="12500" xr3:uid="{E5E59F11-EB2C-41E7-AA27-921397AB385A}" name="Kolonna12162"/>
    <tableColumn id="12501" xr3:uid="{6D625DA7-C0D5-4608-AA02-8249226E00AF}" name="Kolonna12163"/>
    <tableColumn id="12502" xr3:uid="{1B1F9FC7-EF20-463B-917E-0161AB32C37F}" name="Kolonna12164"/>
    <tableColumn id="12503" xr3:uid="{EFF1480A-664D-4134-9E53-58DA0B969B36}" name="Kolonna12165"/>
    <tableColumn id="12504" xr3:uid="{BF9B0A54-F472-403B-A43A-95751AD5E1F5}" name="Kolonna12166"/>
    <tableColumn id="12505" xr3:uid="{8B784073-8A4A-4955-875D-009F06D8BEA3}" name="Kolonna12167"/>
    <tableColumn id="12506" xr3:uid="{7281C156-B008-4126-8B9D-099F359FAD7E}" name="Kolonna12168"/>
    <tableColumn id="12507" xr3:uid="{1C4E1FC2-6827-447E-8BE4-206CD030B702}" name="Kolonna12169"/>
    <tableColumn id="12508" xr3:uid="{2F8B877B-73BC-4F59-954D-2832043EE935}" name="Kolonna12170"/>
    <tableColumn id="12509" xr3:uid="{AC2621A5-FE7C-42D6-95A5-DA0CA58E72F3}" name="Kolonna12171"/>
    <tableColumn id="12510" xr3:uid="{6F444975-D56A-4FAA-8DD9-2DF6185288C9}" name="Kolonna12172"/>
    <tableColumn id="12511" xr3:uid="{B492C3F3-0343-4562-85D5-B109CEC5A576}" name="Kolonna12173"/>
    <tableColumn id="12512" xr3:uid="{3B387CF1-FEAC-4AE5-902A-D4E2EFEB8FE4}" name="Kolonna12174"/>
    <tableColumn id="12513" xr3:uid="{9F06C235-CE79-4C29-9883-D74DF0503142}" name="Kolonna12175"/>
    <tableColumn id="12514" xr3:uid="{A3C6569A-FA13-4165-BCEA-E1C8EB175C48}" name="Kolonna12176"/>
    <tableColumn id="12515" xr3:uid="{FB6E88C3-C765-4A76-96D9-C82FB1B6EA45}" name="Kolonna12177"/>
    <tableColumn id="12516" xr3:uid="{1BE5F147-F225-4EED-88CE-D6C01A1B8B1E}" name="Kolonna12178"/>
    <tableColumn id="12517" xr3:uid="{53B8F73B-2060-4C37-A5D9-8ABDAF04136E}" name="Kolonna12179"/>
    <tableColumn id="12518" xr3:uid="{166218BE-4D22-41C2-9DBD-1AD6A68BC79C}" name="Kolonna12180"/>
    <tableColumn id="12519" xr3:uid="{A88365DC-AD77-444C-B581-3924C09D847C}" name="Kolonna12181"/>
    <tableColumn id="12520" xr3:uid="{11116B92-B208-4DBC-AB10-2878BCE52000}" name="Kolonna12182"/>
    <tableColumn id="12521" xr3:uid="{76C23B66-AD51-486A-AF91-1B847533B772}" name="Kolonna12183"/>
    <tableColumn id="12522" xr3:uid="{F4354957-B913-4607-B26A-1EF83F3A34A4}" name="Kolonna12184"/>
    <tableColumn id="12523" xr3:uid="{A5CBB990-EF98-421B-A535-F31B7917C190}" name="Kolonna12185"/>
    <tableColumn id="12524" xr3:uid="{9A6DFAA5-3FE6-41B6-93B1-23FB0740A120}" name="Kolonna12186"/>
    <tableColumn id="12525" xr3:uid="{872B5AEF-2ED9-42B1-A4CE-7E5A3DE7DAEA}" name="Kolonna12187"/>
    <tableColumn id="12526" xr3:uid="{632B25F7-7C7E-4F9C-A9EE-789D542D3F7C}" name="Kolonna12188"/>
    <tableColumn id="12527" xr3:uid="{F40D2FB8-DD90-4D2F-A383-F8EBD63F894C}" name="Kolonna12189"/>
    <tableColumn id="12528" xr3:uid="{5F88413B-FC65-4C2A-BC8B-F11AA008CD06}" name="Kolonna12190"/>
    <tableColumn id="12529" xr3:uid="{9C6AE609-FBBD-4F73-8606-A1A1A28A9641}" name="Kolonna12191"/>
    <tableColumn id="12530" xr3:uid="{19EDE81E-14EF-4DB8-9CF1-F37404C7C0A7}" name="Kolonna12192"/>
    <tableColumn id="12531" xr3:uid="{F13E4020-E8D9-4589-8EB6-B216207CCA07}" name="Kolonna12193"/>
    <tableColumn id="12532" xr3:uid="{302A13AB-95BC-493D-9E1A-290D1FD5D19A}" name="Kolonna12194"/>
    <tableColumn id="12533" xr3:uid="{F7C2771B-BB00-4656-BA18-18F492E7A0F3}" name="Kolonna12195"/>
    <tableColumn id="12534" xr3:uid="{A3FDA38B-08AF-4838-88FC-F8E038AE6763}" name="Kolonna12196"/>
    <tableColumn id="12535" xr3:uid="{3F6BC463-1CFA-4722-BC17-041F21F3AC9C}" name="Kolonna12197"/>
    <tableColumn id="12536" xr3:uid="{B79D9E0F-D6AB-4B99-9E51-B0E9D7395969}" name="Kolonna12198"/>
    <tableColumn id="12537" xr3:uid="{C6364D57-A6AA-4130-AFF1-5015DA91556E}" name="Kolonna12199"/>
    <tableColumn id="12538" xr3:uid="{BEE66134-00E5-47F2-9942-C497463E5BD0}" name="Kolonna12200"/>
    <tableColumn id="12539" xr3:uid="{14689E8B-3FCE-4A6D-802C-DF5AF43ACEC2}" name="Kolonna12201"/>
    <tableColumn id="12540" xr3:uid="{FF14696F-9478-4FFE-97ED-462EFDAC6564}" name="Kolonna12202"/>
    <tableColumn id="12541" xr3:uid="{85D622D1-87AF-4E7C-9E6E-F6E07347F96C}" name="Kolonna12203"/>
    <tableColumn id="12542" xr3:uid="{E0A2B690-39AF-46C6-BD85-4DC17BB30DE5}" name="Kolonna12204"/>
    <tableColumn id="12543" xr3:uid="{07D62BE4-96D5-4966-8042-E22EF03234F3}" name="Kolonna12205"/>
    <tableColumn id="12544" xr3:uid="{8BEEE814-C4CE-4649-8D1F-F3F81DE55D9A}" name="Kolonna12206"/>
    <tableColumn id="12545" xr3:uid="{04D73023-75BF-433F-9819-01D53DF25935}" name="Kolonna12207"/>
    <tableColumn id="12546" xr3:uid="{EDD28345-A1F6-44AE-910F-F0F20CBD5829}" name="Kolonna12208"/>
    <tableColumn id="12547" xr3:uid="{135F3EAA-2F22-493A-A5B2-6A6826A33542}" name="Kolonna12209"/>
    <tableColumn id="12548" xr3:uid="{95B53513-D7E0-4403-B9E5-939F8AB99F8F}" name="Kolonna12210"/>
    <tableColumn id="12549" xr3:uid="{D994B468-8B59-4B68-AB28-FB97A372F88D}" name="Kolonna12211"/>
    <tableColumn id="12550" xr3:uid="{BD6F77B4-3079-4C8F-8948-21748EB87F81}" name="Kolonna12212"/>
    <tableColumn id="12551" xr3:uid="{E54464CD-6E4C-48D2-AD75-25B827038EA9}" name="Kolonna12213"/>
    <tableColumn id="12552" xr3:uid="{B3E4C450-9683-4F2A-A604-A8C465928A42}" name="Kolonna12214"/>
    <tableColumn id="12553" xr3:uid="{8384F18E-0114-4771-A5DE-00A385693894}" name="Kolonna12215"/>
    <tableColumn id="12554" xr3:uid="{2F14CBB4-47F4-4BC5-8BA1-ACD89E5B4831}" name="Kolonna12216"/>
    <tableColumn id="12555" xr3:uid="{F57C4EBE-60ED-4ED0-94A2-21A1965EB286}" name="Kolonna12217"/>
    <tableColumn id="12556" xr3:uid="{6C759A4A-4B2C-4E07-B171-0C226DEEAD08}" name="Kolonna12218"/>
    <tableColumn id="12557" xr3:uid="{3333409A-CFDE-48EE-9401-F939CD227F4C}" name="Kolonna12219"/>
    <tableColumn id="12558" xr3:uid="{BAE22E58-7042-43F1-9555-DD51CACCA1A9}" name="Kolonna12220"/>
    <tableColumn id="12559" xr3:uid="{7A6B459F-4F81-42B5-A29B-356ABCE45773}" name="Kolonna12221"/>
    <tableColumn id="12560" xr3:uid="{3BF4FE29-A9B1-490F-8A76-B6EBAA2837FF}" name="Kolonna12222"/>
    <tableColumn id="12561" xr3:uid="{99292C5F-1EE4-40F3-A98C-CECCB81D7F8C}" name="Kolonna12223"/>
    <tableColumn id="12562" xr3:uid="{BA07F7C2-FEE1-4B46-B931-A63C52FB410E}" name="Kolonna12224"/>
    <tableColumn id="12563" xr3:uid="{0F00CCCA-7495-480A-A2BF-3B474DF95706}" name="Kolonna12225"/>
    <tableColumn id="12564" xr3:uid="{1DF9C75E-A3C1-453C-A182-0027BD8D7A37}" name="Kolonna12226"/>
    <tableColumn id="12565" xr3:uid="{BB560F3C-2C52-4BAC-8C6B-FFB26107F5C8}" name="Kolonna12227"/>
    <tableColumn id="12566" xr3:uid="{B1C1C1A3-FFD9-48A3-9B71-C61600BD4D36}" name="Kolonna12228"/>
    <tableColumn id="12567" xr3:uid="{07B233E0-8D6A-4AD3-AAA9-D9820E1AC68A}" name="Kolonna12229"/>
    <tableColumn id="12568" xr3:uid="{6B5CAEED-2EDB-411D-A1E5-137B97CDB8CC}" name="Kolonna12230"/>
    <tableColumn id="12569" xr3:uid="{31B5838C-ED19-4FF4-A8ED-CABA1CC4C22A}" name="Kolonna12231"/>
    <tableColumn id="12570" xr3:uid="{9BAD9DFB-51C3-4165-BBC3-77C204886FB1}" name="Kolonna12232"/>
    <tableColumn id="12571" xr3:uid="{245B6DF2-3C2F-4D3F-A511-0DB3EA84E586}" name="Kolonna12233"/>
    <tableColumn id="12572" xr3:uid="{89623123-1D0C-47DA-A54E-6A602E4999EC}" name="Kolonna12234"/>
    <tableColumn id="12573" xr3:uid="{6D4973F0-5CF0-47A8-80D0-6417E7ED7C9F}" name="Kolonna12235"/>
    <tableColumn id="12574" xr3:uid="{E6D866CD-A791-45DE-B654-335D0E1ED890}" name="Kolonna12236"/>
    <tableColumn id="12575" xr3:uid="{A9A2787F-C63E-4A61-BCD9-D3902EAD5934}" name="Kolonna12237"/>
    <tableColumn id="12576" xr3:uid="{5E810FAE-A024-4FAF-AA67-A8F2A8F6B279}" name="Kolonna12238"/>
    <tableColumn id="12577" xr3:uid="{AD2FF3E2-B7FE-4736-9049-D839C4D82D7B}" name="Kolonna12239"/>
    <tableColumn id="12578" xr3:uid="{01726114-62AC-4258-968E-4510FB63892D}" name="Kolonna12240"/>
    <tableColumn id="12579" xr3:uid="{D013A93A-E835-4ED6-AB82-EB59AC58573E}" name="Kolonna12241"/>
    <tableColumn id="12580" xr3:uid="{8143AB67-447A-42F6-AED5-DD40750E86C2}" name="Kolonna12242"/>
    <tableColumn id="12581" xr3:uid="{3CC87CBA-4A69-462D-AB57-EE70AC01399F}" name="Kolonna12243"/>
    <tableColumn id="12582" xr3:uid="{D7DFC3C6-8954-4317-9E32-25D099A4512C}" name="Kolonna12244"/>
    <tableColumn id="12583" xr3:uid="{907AB505-C184-440D-BC8D-A3BC0ACD983A}" name="Kolonna12245"/>
    <tableColumn id="12584" xr3:uid="{DB6D7D5F-2A8A-497E-A19E-8B0DF47DC86E}" name="Kolonna12246"/>
    <tableColumn id="12585" xr3:uid="{3FDC958E-22A1-44A7-A75C-1699E7C628A7}" name="Kolonna12247"/>
    <tableColumn id="12586" xr3:uid="{D55E77A2-892D-41E6-A726-8AB59FC0EF80}" name="Kolonna12248"/>
    <tableColumn id="12587" xr3:uid="{C8D103FF-3F02-44AB-A90E-E2ACD8B4E7BD}" name="Kolonna12249"/>
    <tableColumn id="12588" xr3:uid="{896C71B0-ABD7-4609-9E35-61E8034F85B9}" name="Kolonna12250"/>
    <tableColumn id="12589" xr3:uid="{8710C406-BF95-46E5-8158-A5997B287D3D}" name="Kolonna12251"/>
    <tableColumn id="12590" xr3:uid="{F2320CB3-9F65-4BAB-9F50-CDED68A24C37}" name="Kolonna12252"/>
    <tableColumn id="12591" xr3:uid="{97ED2D58-8911-4722-8FA4-F98214AF0A84}" name="Kolonna12253"/>
    <tableColumn id="12592" xr3:uid="{6FBE13BF-968A-4C50-B474-2D7F6124BF1E}" name="Kolonna12254"/>
    <tableColumn id="12593" xr3:uid="{67BEF64C-FE23-4060-837B-6803C609E673}" name="Kolonna12255"/>
    <tableColumn id="12594" xr3:uid="{CE321272-27C6-436A-A438-9E1A8C45F4B1}" name="Kolonna12256"/>
    <tableColumn id="12595" xr3:uid="{490624D7-FE0B-4629-9413-E6C8427671D5}" name="Kolonna12257"/>
    <tableColumn id="12596" xr3:uid="{6C5F8995-6260-4685-9141-7DA275D44F7A}" name="Kolonna12258"/>
    <tableColumn id="12597" xr3:uid="{A5B4D32B-2D64-4213-93F6-F3F7BFB71D42}" name="Kolonna12259"/>
    <tableColumn id="12598" xr3:uid="{138BA5A4-D1A2-4F4C-A8FD-27EDBDB8DF22}" name="Kolonna12260"/>
    <tableColumn id="12599" xr3:uid="{B5F51FCA-A11A-4EC7-9FB3-9A8B23EC52F2}" name="Kolonna12261"/>
    <tableColumn id="12600" xr3:uid="{D91C821E-D26F-4806-BA92-CC2A038D7040}" name="Kolonna12262"/>
    <tableColumn id="12601" xr3:uid="{2AFE786C-3588-4CF8-8D86-369C8FD4E191}" name="Kolonna12263"/>
    <tableColumn id="12602" xr3:uid="{605E35F7-12B1-42DE-8DE9-95B1B5EA4E02}" name="Kolonna12264"/>
    <tableColumn id="12603" xr3:uid="{32BDCF05-D6AE-48F1-84B1-000E69782D5A}" name="Kolonna12265"/>
    <tableColumn id="12604" xr3:uid="{6A6A7635-9AA9-4D9E-A20C-70DC2AA0CADE}" name="Kolonna12266"/>
    <tableColumn id="12605" xr3:uid="{921AAD86-3B98-43F3-9E29-9A0C2B3E542B}" name="Kolonna12267"/>
    <tableColumn id="12606" xr3:uid="{1280C5C6-6BF9-4CFB-82FD-700FEFD6DBB9}" name="Kolonna12268"/>
    <tableColumn id="12607" xr3:uid="{27C2B18C-DB4B-4689-B6A3-FCBEF84DF846}" name="Kolonna12269"/>
    <tableColumn id="12608" xr3:uid="{77576D75-CDBD-4D3D-AFC4-01FFE32486C3}" name="Kolonna12270"/>
    <tableColumn id="12609" xr3:uid="{11D36C4C-2B3C-40CA-B231-1449E9D2F3B2}" name="Kolonna12271"/>
    <tableColumn id="12610" xr3:uid="{2367A459-22A0-44E5-AA6E-CE86DEE7060E}" name="Kolonna12272"/>
    <tableColumn id="12611" xr3:uid="{8AB7B1D8-0349-40A3-BE71-E2E2DC70E1F9}" name="Kolonna12273"/>
    <tableColumn id="12612" xr3:uid="{2A850771-8BE8-4374-9007-739D591E1CA8}" name="Kolonna12274"/>
    <tableColumn id="12613" xr3:uid="{4A93EDDA-E2E8-4178-9BE4-E5B7BB615479}" name="Kolonna12275"/>
    <tableColumn id="12614" xr3:uid="{4DE80FD9-5A6D-482A-83FA-B0A99726699A}" name="Kolonna12276"/>
    <tableColumn id="12615" xr3:uid="{411C9BC2-1756-40C5-BC96-B693A7ED5D45}" name="Kolonna12277"/>
    <tableColumn id="12616" xr3:uid="{5B6506FE-A20E-4796-AE9C-367DB6A595B5}" name="Kolonna12278"/>
    <tableColumn id="12617" xr3:uid="{67CBD4F3-082D-4B1D-966D-B466C434BE02}" name="Kolonna12279"/>
    <tableColumn id="12618" xr3:uid="{7C103F49-3448-45F4-814A-98C710618A9B}" name="Kolonna12280"/>
    <tableColumn id="12619" xr3:uid="{CAF0D80B-D133-4226-BEF1-889951EB77E0}" name="Kolonna12281"/>
    <tableColumn id="12620" xr3:uid="{414A15F7-66C2-4144-B288-5DF959C6777F}" name="Kolonna12282"/>
    <tableColumn id="12621" xr3:uid="{50BFC22E-9D10-414B-8FC5-65E3BBF0327A}" name="Kolonna12283"/>
    <tableColumn id="12622" xr3:uid="{B8AD4DAE-ABA4-4695-94BB-FCBE6336B248}" name="Kolonna12284"/>
    <tableColumn id="12623" xr3:uid="{8B88D188-4107-479B-BB98-A392F09DAAF5}" name="Kolonna12285"/>
    <tableColumn id="12624" xr3:uid="{76454B0F-8505-4DA6-9E8D-B662FE8A21E0}" name="Kolonna12286"/>
    <tableColumn id="12625" xr3:uid="{6B5CDFF8-AB97-4843-8253-835A83FFB3E4}" name="Kolonna12287"/>
    <tableColumn id="12626" xr3:uid="{D16AB056-D359-4792-B106-DE054D056EF2}" name="Kolonna12288"/>
    <tableColumn id="12627" xr3:uid="{6EA58860-31A9-4535-8D92-339FB8C1363F}" name="Kolonna12289"/>
    <tableColumn id="12628" xr3:uid="{3A80C5D3-63DA-43EA-B85B-60D091C4BE68}" name="Kolonna12290"/>
    <tableColumn id="12629" xr3:uid="{27A8AAE2-9269-4FD0-A20C-B77868ACB887}" name="Kolonna12291"/>
    <tableColumn id="12630" xr3:uid="{F97EF1FF-A4C7-4C4B-AB54-695ABD03F3F6}" name="Kolonna12292"/>
    <tableColumn id="12631" xr3:uid="{B45A0C56-C0F6-441D-91E4-1D998D5D7C4A}" name="Kolonna12293"/>
    <tableColumn id="12632" xr3:uid="{5C8EFC5F-A418-4378-B1C2-62F660E885A4}" name="Kolonna12294"/>
    <tableColumn id="12633" xr3:uid="{D88DE115-17B0-4872-86ED-136A22A71AD4}" name="Kolonna12295"/>
    <tableColumn id="12634" xr3:uid="{137A1194-1361-46BD-816D-B8BDE93039FD}" name="Kolonna12296"/>
    <tableColumn id="12635" xr3:uid="{8D581846-C4AA-4CD2-9E04-556BCEBC4136}" name="Kolonna12297"/>
    <tableColumn id="12636" xr3:uid="{BDA099E9-06B1-4C0F-8601-FBB6C24902CF}" name="Kolonna12298"/>
    <tableColumn id="12637" xr3:uid="{3F80CCAE-16BF-4021-B50F-3E94309269AC}" name="Kolonna12299"/>
    <tableColumn id="12638" xr3:uid="{C052621E-7C8A-4C9C-A24A-E053C70C04E7}" name="Kolonna12300"/>
    <tableColumn id="12639" xr3:uid="{A5CADD14-6035-4B99-878E-213B2A06BB22}" name="Kolonna12301"/>
    <tableColumn id="12640" xr3:uid="{72677C7F-EF8E-4ECB-B709-A8FCA9CB41BC}" name="Kolonna12302"/>
    <tableColumn id="12641" xr3:uid="{4BA06B7B-F651-4EC5-A303-E8F21CF41349}" name="Kolonna12303"/>
    <tableColumn id="12642" xr3:uid="{91333127-0B7C-46DD-A1A4-8ECA62FD8531}" name="Kolonna12304"/>
    <tableColumn id="12643" xr3:uid="{55C44AF7-47A8-4F5F-89CC-D5D3FCF2C027}" name="Kolonna12305"/>
    <tableColumn id="12644" xr3:uid="{F1A42787-4263-45E0-818D-1F6C6B05C50B}" name="Kolonna12306"/>
    <tableColumn id="12645" xr3:uid="{548B572C-4510-468A-A008-7DB4024C0980}" name="Kolonna12307"/>
    <tableColumn id="12646" xr3:uid="{01FE7EB8-218A-4696-908A-CF18F97CF48C}" name="Kolonna12308"/>
    <tableColumn id="12647" xr3:uid="{9D7FE896-4417-4D49-B153-8DF6CED7A00A}" name="Kolonna12309"/>
    <tableColumn id="12648" xr3:uid="{372C12D0-4352-432C-A929-807C6901428D}" name="Kolonna12310"/>
    <tableColumn id="12649" xr3:uid="{F95F8912-6D2B-4F7E-B24F-27ACE9FDBFDD}" name="Kolonna12311"/>
    <tableColumn id="12650" xr3:uid="{A4653E89-DE08-4EB7-98ED-AAEE73682EA7}" name="Kolonna12312"/>
    <tableColumn id="12651" xr3:uid="{AF20195B-2215-4D9C-8BD1-721E2C836B9B}" name="Kolonna12313"/>
    <tableColumn id="12652" xr3:uid="{DA94C93D-7C39-4341-B685-62BFF63CDB3A}" name="Kolonna12314"/>
    <tableColumn id="12653" xr3:uid="{6D0AB7B1-B7F3-4B0F-AB2F-F1359D2384DB}" name="Kolonna12315"/>
    <tableColumn id="12654" xr3:uid="{FED3602E-C52C-4A94-A06E-3F4B2A1FBDE5}" name="Kolonna12316"/>
    <tableColumn id="12655" xr3:uid="{4E97E15D-023E-4C7E-90BC-FD153484F874}" name="Kolonna12317"/>
    <tableColumn id="12656" xr3:uid="{9A702B72-F133-4FEF-8575-91C283F081A3}" name="Kolonna12318"/>
    <tableColumn id="12657" xr3:uid="{5531DF92-F7AC-4223-9029-02D20985EC45}" name="Kolonna12319"/>
    <tableColumn id="12658" xr3:uid="{F60953BB-C2F3-4F24-81A7-3590FBFFD079}" name="Kolonna12320"/>
    <tableColumn id="12659" xr3:uid="{ADC9502A-D55E-45B5-9407-274503CEC194}" name="Kolonna12321"/>
    <tableColumn id="12660" xr3:uid="{41D2F424-07AF-4735-B0AC-AE5A688851F6}" name="Kolonna12322"/>
    <tableColumn id="12661" xr3:uid="{C10E3D93-4B72-403B-A591-857C75BA461C}" name="Kolonna12323"/>
    <tableColumn id="12662" xr3:uid="{B2548A94-A6E2-4C2E-AB07-EA81B2D8844B}" name="Kolonna12324"/>
    <tableColumn id="12663" xr3:uid="{26E51A50-009F-437E-A681-103F237DE249}" name="Kolonna12325"/>
    <tableColumn id="12664" xr3:uid="{CF909997-DE91-4141-9EA7-AA4AEBE43D0A}" name="Kolonna12326"/>
    <tableColumn id="12665" xr3:uid="{6FBB693D-6353-4E48-BFF4-31C3E8C0EECE}" name="Kolonna12327"/>
    <tableColumn id="12666" xr3:uid="{53C481F2-A28E-4BCD-A84B-F3E9346EEDCF}" name="Kolonna12328"/>
    <tableColumn id="12667" xr3:uid="{4E92D53B-DC2A-4C3D-99C5-BFCA57D7442A}" name="Kolonna12329"/>
    <tableColumn id="12668" xr3:uid="{C96DB908-E812-4B1F-8670-223384AC5298}" name="Kolonna12330"/>
    <tableColumn id="12669" xr3:uid="{76DC9353-0F2A-4E42-A4D7-18033D08F15F}" name="Kolonna12331"/>
    <tableColumn id="12670" xr3:uid="{6948901C-17A2-4396-BDCF-C0364E5624EA}" name="Kolonna12332"/>
    <tableColumn id="12671" xr3:uid="{0A2BE43D-142C-4F13-AC01-4C0E4E5BB76B}" name="Kolonna12333"/>
    <tableColumn id="12672" xr3:uid="{36BA4237-9F31-4419-9005-09FCF7B45D65}" name="Kolonna12334"/>
    <tableColumn id="12673" xr3:uid="{BC0874E5-6B9A-4B0F-8EB2-D9939A474781}" name="Kolonna12335"/>
    <tableColumn id="12674" xr3:uid="{921C490F-B885-44FF-AE67-85DB59681A2F}" name="Kolonna12336"/>
    <tableColumn id="12675" xr3:uid="{81E71662-B6F1-489D-B4C4-FEB8AB152A32}" name="Kolonna12337"/>
    <tableColumn id="12676" xr3:uid="{69B8069C-64D9-406C-97D6-02B1B98F25CE}" name="Kolonna12338"/>
    <tableColumn id="12677" xr3:uid="{2AB57D12-D3C6-47F0-BC78-0B9A52BE0F67}" name="Kolonna12339"/>
    <tableColumn id="12678" xr3:uid="{EC93E262-3DF1-448F-B268-E3BC61A57AF1}" name="Kolonna12340"/>
    <tableColumn id="12679" xr3:uid="{ECD06328-0785-42C1-B85B-F3FEF4D42722}" name="Kolonna12341"/>
    <tableColumn id="12680" xr3:uid="{AED70984-4B01-41E2-81C5-C24E0DB48260}" name="Kolonna12342"/>
    <tableColumn id="12681" xr3:uid="{AA23E3D3-FE0E-4347-AEA7-957B9279294E}" name="Kolonna12343"/>
    <tableColumn id="12682" xr3:uid="{809FB6CB-6AF3-4FA7-A78C-8298A780E83C}" name="Kolonna12344"/>
    <tableColumn id="12683" xr3:uid="{4DFE3497-9D14-4FC9-A510-1833D1CAAF21}" name="Kolonna12345"/>
    <tableColumn id="12684" xr3:uid="{43D68E71-A089-418E-A8AD-DC6E55ED001E}" name="Kolonna12346"/>
    <tableColumn id="12685" xr3:uid="{3D337FB6-2247-4B87-A427-34634DCD1328}" name="Kolonna12347"/>
    <tableColumn id="12686" xr3:uid="{64A583FA-1C6E-48ED-8DEC-145CF26F34F1}" name="Kolonna12348"/>
    <tableColumn id="12687" xr3:uid="{3C9C65F9-A054-4B10-AA0E-1F3C3E7BB2C2}" name="Kolonna12349"/>
    <tableColumn id="12688" xr3:uid="{927AB2CA-D24D-4648-868C-46894DD273FB}" name="Kolonna12350"/>
    <tableColumn id="12689" xr3:uid="{DFEE5B51-06CA-4FAF-AA74-417820637154}" name="Kolonna12351"/>
    <tableColumn id="12690" xr3:uid="{1ECE79F4-4F6C-4DAE-B466-3D9B81952819}" name="Kolonna12352"/>
    <tableColumn id="12691" xr3:uid="{EA3CF7D9-5A6E-4105-A2D6-76F446A039D2}" name="Kolonna12353"/>
    <tableColumn id="12692" xr3:uid="{40402E87-7595-435A-84C3-28B542DF0F54}" name="Kolonna12354"/>
    <tableColumn id="12693" xr3:uid="{F098D9A1-246D-4E1C-A2B1-8EF2BE2CD103}" name="Kolonna12355"/>
    <tableColumn id="12694" xr3:uid="{057ED048-C339-4C3C-8624-9C69590781D3}" name="Kolonna12356"/>
    <tableColumn id="12695" xr3:uid="{431EEAA3-A976-4047-AC24-D52A8912AC71}" name="Kolonna12357"/>
    <tableColumn id="12696" xr3:uid="{628DE748-8C93-4781-ACF4-01331AC342DC}" name="Kolonna12358"/>
    <tableColumn id="12697" xr3:uid="{93841453-564C-4400-86AC-230393E8F096}" name="Kolonna12359"/>
    <tableColumn id="12698" xr3:uid="{CE6F4C2A-3B45-46CA-9BF9-5E2B71E54D10}" name="Kolonna12360"/>
    <tableColumn id="12699" xr3:uid="{0976D58E-4102-4620-B54E-13358B7B69FD}" name="Kolonna12361"/>
    <tableColumn id="12700" xr3:uid="{A79F8B25-8C60-4873-9DA6-C31BD3A0B618}" name="Kolonna12362"/>
    <tableColumn id="12701" xr3:uid="{CB137089-C543-480E-8AE0-F0B5FF741320}" name="Kolonna12363"/>
    <tableColumn id="12702" xr3:uid="{3C997286-88B7-4219-BC3C-66CB1039B3E3}" name="Kolonna12364"/>
    <tableColumn id="12703" xr3:uid="{E70E68DE-6260-45A6-8883-3D88AFDA1893}" name="Kolonna12365"/>
    <tableColumn id="12704" xr3:uid="{D3999A19-61C4-49EC-9241-0FC7CA5528A2}" name="Kolonna12366"/>
    <tableColumn id="12705" xr3:uid="{45755937-51BA-4650-BB5C-D8625427CC11}" name="Kolonna12367"/>
    <tableColumn id="12706" xr3:uid="{93FB5719-C84C-4FC1-9D00-54B412C87BB2}" name="Kolonna12368"/>
    <tableColumn id="12707" xr3:uid="{337D8A43-830E-4D41-92EE-973460550AE1}" name="Kolonna12369"/>
    <tableColumn id="12708" xr3:uid="{CF2EC454-9432-4A6A-8AA4-B9ECF0191705}" name="Kolonna12370"/>
    <tableColumn id="12709" xr3:uid="{944BA324-381D-4EEA-989A-52F1C1909DA9}" name="Kolonna12371"/>
    <tableColumn id="12710" xr3:uid="{A81BA90E-CCEE-429D-AC64-BF5FC4B8B67F}" name="Kolonna12372"/>
    <tableColumn id="12711" xr3:uid="{754DFAE5-5468-422D-9CAC-74A931395130}" name="Kolonna12373"/>
    <tableColumn id="12712" xr3:uid="{F461D715-E450-458E-9B6E-68826CE57CF0}" name="Kolonna12374"/>
    <tableColumn id="12713" xr3:uid="{6798B59F-0DBF-4D78-8CC6-A7613E2B75E3}" name="Kolonna12375"/>
    <tableColumn id="12714" xr3:uid="{4F321D5F-559B-49A6-BAAD-D3376BB3974E}" name="Kolonna12376"/>
    <tableColumn id="12715" xr3:uid="{EE976CBE-23FB-49CF-8568-4451D51E680D}" name="Kolonna12377"/>
    <tableColumn id="12716" xr3:uid="{95593B61-9642-4FE3-92BB-7F901969C1E0}" name="Kolonna12378"/>
    <tableColumn id="12717" xr3:uid="{2E1BEB37-8331-48C3-8AFA-0505F38DF199}" name="Kolonna12379"/>
    <tableColumn id="12718" xr3:uid="{A808B87D-D5A8-4982-B248-BE31BEB86754}" name="Kolonna12380"/>
    <tableColumn id="12719" xr3:uid="{C08993D7-0591-41B2-B01F-37A7980FE276}" name="Kolonna12381"/>
    <tableColumn id="12720" xr3:uid="{8EC8555F-C766-419C-AF28-39B6EF0070D4}" name="Kolonna12382"/>
    <tableColumn id="12721" xr3:uid="{3AD0169B-3C6E-45EC-826D-68CA69121B9F}" name="Kolonna12383"/>
    <tableColumn id="12722" xr3:uid="{26720D78-5C35-483C-83F0-4814D62A96F2}" name="Kolonna12384"/>
    <tableColumn id="12723" xr3:uid="{BA613169-090B-47CA-A91B-339AFC043FEB}" name="Kolonna12385"/>
    <tableColumn id="12724" xr3:uid="{2150A557-F5C0-4010-9B72-C981747B735F}" name="Kolonna12386"/>
    <tableColumn id="12725" xr3:uid="{916E86E2-0D17-464D-91EE-B1A9F8FD042C}" name="Kolonna12387"/>
    <tableColumn id="12726" xr3:uid="{0008E6D0-3B67-40E6-BCC5-028252D4B58D}" name="Kolonna12388"/>
    <tableColumn id="12727" xr3:uid="{0FCD4491-0C75-4743-B96C-DA0CC413D5D6}" name="Kolonna12389"/>
    <tableColumn id="12728" xr3:uid="{EEFD6FF2-089D-418A-8098-5D4FF491202D}" name="Kolonna12390"/>
    <tableColumn id="12729" xr3:uid="{BDFB9BA8-C3BC-4E66-8F46-E4A9698FAAB0}" name="Kolonna12391"/>
    <tableColumn id="12730" xr3:uid="{E79A19B3-7C31-4CF7-B43A-3BD2A04969B1}" name="Kolonna12392"/>
    <tableColumn id="12731" xr3:uid="{DF7A5C16-D67D-4D04-A1DB-A337330CFE3C}" name="Kolonna12393"/>
    <tableColumn id="12732" xr3:uid="{2A2C28CA-BCB4-4C54-9543-E69462D14B7C}" name="Kolonna12394"/>
    <tableColumn id="12733" xr3:uid="{68D6EB7B-B306-4908-AB17-749EA0F48D66}" name="Kolonna12395"/>
    <tableColumn id="12734" xr3:uid="{C7FE8DDF-F7BA-4ADA-A022-50B0E2DE2671}" name="Kolonna12396"/>
    <tableColumn id="12735" xr3:uid="{9B6F38BE-D18F-4179-B52B-F8239224A840}" name="Kolonna12397"/>
    <tableColumn id="12736" xr3:uid="{80762A27-B4AD-47CA-886E-2E4CA74C0E40}" name="Kolonna12398"/>
    <tableColumn id="12737" xr3:uid="{089B7904-F162-4611-ACB4-036858C6970F}" name="Kolonna12399"/>
    <tableColumn id="12738" xr3:uid="{871C58E5-5869-4A12-9CE6-ABA5914BC62A}" name="Kolonna12400"/>
    <tableColumn id="12739" xr3:uid="{3F9746BC-6907-4C33-8B44-21DA07359598}" name="Kolonna12401"/>
    <tableColumn id="12740" xr3:uid="{1A922EDD-FC4A-44D5-88CB-C3D741D6B4A4}" name="Kolonna12402"/>
    <tableColumn id="12741" xr3:uid="{F3260FED-599E-4E8F-BBF5-88EA0245B6C7}" name="Kolonna12403"/>
    <tableColumn id="12742" xr3:uid="{6CC4A5A0-73AE-4A36-8E7C-F1EA77B85FCE}" name="Kolonna12404"/>
    <tableColumn id="12743" xr3:uid="{264FE550-B901-4329-BD97-E9662FDBD644}" name="Kolonna12405"/>
    <tableColumn id="12744" xr3:uid="{13220481-77DD-4A0C-A888-124B47301C04}" name="Kolonna12406"/>
    <tableColumn id="12745" xr3:uid="{A0D6A5EF-7516-4B6F-ABF5-7859950CD6F6}" name="Kolonna12407"/>
    <tableColumn id="12746" xr3:uid="{573D1D0B-2EF2-40A6-92B0-1E39BECCBC89}" name="Kolonna12408"/>
    <tableColumn id="12747" xr3:uid="{DD907648-F903-4D89-B737-671BB9E467BD}" name="Kolonna12409"/>
    <tableColumn id="12748" xr3:uid="{E250757B-3172-4307-B8AE-7DCC56C7FD43}" name="Kolonna12410"/>
    <tableColumn id="12749" xr3:uid="{46082EC6-528F-48C2-A8DD-D0AE39218ED6}" name="Kolonna12411"/>
    <tableColumn id="12750" xr3:uid="{E0D42BFE-DA81-4DD5-8ED1-B6DEB41DD91F}" name="Kolonna12412"/>
    <tableColumn id="12751" xr3:uid="{E8DD0111-C777-4289-BF06-0B2706594410}" name="Kolonna12413"/>
    <tableColumn id="12752" xr3:uid="{4F9D36B8-EDB0-4D87-AFDE-1202047E3F52}" name="Kolonna12414"/>
    <tableColumn id="12753" xr3:uid="{FBD7C262-3CD6-4C82-A64A-A5C64D5593AD}" name="Kolonna12415"/>
    <tableColumn id="12754" xr3:uid="{5A7F1E2D-7F34-4FCB-902D-5E89C6FABE0E}" name="Kolonna12416"/>
    <tableColumn id="12755" xr3:uid="{18B267CA-EDC6-4585-882A-590CF3C28EDD}" name="Kolonna12417"/>
    <tableColumn id="12756" xr3:uid="{5BEBE911-AE1A-4E78-A1DA-A06F43B5739F}" name="Kolonna12418"/>
    <tableColumn id="12757" xr3:uid="{3DC89621-23CD-46B9-BEFB-BC9B56B907ED}" name="Kolonna12419"/>
    <tableColumn id="12758" xr3:uid="{2B018D7C-991B-4878-B48D-6299F72BEB13}" name="Kolonna12420"/>
    <tableColumn id="12759" xr3:uid="{5256579C-16B3-43F6-AA65-CD135C78D2BC}" name="Kolonna12421"/>
    <tableColumn id="12760" xr3:uid="{3153EED4-D22D-412F-8FFF-836669DCD01E}" name="Kolonna12422"/>
    <tableColumn id="12761" xr3:uid="{C29CDBCB-86E7-4C83-9C7A-3887F3A03522}" name="Kolonna12423"/>
    <tableColumn id="12762" xr3:uid="{488E4B94-8B0C-4949-B2A0-C13492E4B49C}" name="Kolonna12424"/>
    <tableColumn id="12763" xr3:uid="{BDFBEA6B-4EA6-4080-8A1F-1137CEBB88AB}" name="Kolonna12425"/>
    <tableColumn id="12764" xr3:uid="{96BC8423-DEE5-441C-8BE5-9A55F103A291}" name="Kolonna12426"/>
    <tableColumn id="12765" xr3:uid="{C5DC2A27-217E-45A0-80F4-106C7181D2CC}" name="Kolonna12427"/>
    <tableColumn id="12766" xr3:uid="{AA17C7A6-BAA3-4783-B195-EFC34F1FA86B}" name="Kolonna12428"/>
    <tableColumn id="12767" xr3:uid="{E25746BA-0BED-4132-A53D-FD39ED944694}" name="Kolonna12429"/>
    <tableColumn id="12768" xr3:uid="{EE384DEA-AA4E-4180-9CF4-ACA58194961A}" name="Kolonna12430"/>
    <tableColumn id="12769" xr3:uid="{08419FB5-C513-4C91-A972-C4B87BD594D8}" name="Kolonna12431"/>
    <tableColumn id="12770" xr3:uid="{FF85BE1E-5A8C-48DE-B094-E0C6087F3552}" name="Kolonna12432"/>
    <tableColumn id="12771" xr3:uid="{68EEEAFA-F762-4E3A-8C26-71AF7760BC22}" name="Kolonna12433"/>
    <tableColumn id="12772" xr3:uid="{073F4FD4-7EE3-44FA-80E9-BA184EF25751}" name="Kolonna12434"/>
    <tableColumn id="12773" xr3:uid="{B85AF265-49E7-4A93-9044-AC4317BB32A6}" name="Kolonna12435"/>
    <tableColumn id="12774" xr3:uid="{F5752737-96D0-4A70-85F3-5696FA227720}" name="Kolonna12436"/>
    <tableColumn id="12775" xr3:uid="{2731A5FA-B1ED-4273-9E0B-F8D8302FE07C}" name="Kolonna12437"/>
    <tableColumn id="12776" xr3:uid="{C3C1E3E5-E2FF-4A99-9726-16A033C9580B}" name="Kolonna12438"/>
    <tableColumn id="12777" xr3:uid="{93A12D51-A9CE-48A3-9EC2-3451D75A1326}" name="Kolonna12439"/>
    <tableColumn id="12778" xr3:uid="{F6CF14D1-CD3D-44F2-B542-F06B78503EAF}" name="Kolonna12440"/>
    <tableColumn id="12779" xr3:uid="{64938BB0-498F-41C0-8379-F5A97115DE76}" name="Kolonna12441"/>
    <tableColumn id="12780" xr3:uid="{A078EC1B-9731-42BE-9127-74393E11E980}" name="Kolonna12442"/>
    <tableColumn id="12781" xr3:uid="{D33FA7E2-5388-4D2A-A9BD-B126CD8D9480}" name="Kolonna12443"/>
    <tableColumn id="12782" xr3:uid="{DD4BC3C2-F835-4311-B885-4E75D48783FF}" name="Kolonna12444"/>
    <tableColumn id="12783" xr3:uid="{4333D1BA-F0E9-4E5F-BA7E-A3D754DE6800}" name="Kolonna12445"/>
    <tableColumn id="12784" xr3:uid="{01C19476-0367-4EDE-806A-9F1E6849B313}" name="Kolonna12446"/>
    <tableColumn id="12785" xr3:uid="{AD43E0E6-7B0A-4AB5-A030-0939D1589CFC}" name="Kolonna12447"/>
    <tableColumn id="12786" xr3:uid="{2AB79D72-5074-4434-A862-57EC82E43447}" name="Kolonna12448"/>
    <tableColumn id="12787" xr3:uid="{5BEF8433-910D-4EAE-990B-1FD56B382E3E}" name="Kolonna12449"/>
    <tableColumn id="12788" xr3:uid="{21B02AE0-FC90-45AB-9F7F-F97DB4FC9353}" name="Kolonna12450"/>
    <tableColumn id="12789" xr3:uid="{A3A0D195-6967-4086-8CA0-41BCBD953266}" name="Kolonna12451"/>
    <tableColumn id="12790" xr3:uid="{ED017E88-2912-4FD0-95C0-A2DB4A63083D}" name="Kolonna12452"/>
    <tableColumn id="12791" xr3:uid="{8D9BCB1C-C79D-4877-AF14-71704CF45B92}" name="Kolonna12453"/>
    <tableColumn id="12792" xr3:uid="{C0816D5D-F0B4-4646-BE5D-BD2C0D20E65E}" name="Kolonna12454"/>
    <tableColumn id="12793" xr3:uid="{A0EE6072-E541-4F38-98E0-F2AEC9889C4A}" name="Kolonna12455"/>
    <tableColumn id="12794" xr3:uid="{7F0DF40D-B6FF-4BE9-8369-D433D10D2F3B}" name="Kolonna12456"/>
    <tableColumn id="12795" xr3:uid="{8C9BE9B6-F5DE-48D4-A65D-016874B14E59}" name="Kolonna12457"/>
    <tableColumn id="12796" xr3:uid="{EDB3B36F-9817-4422-848D-408CC93A62BB}" name="Kolonna12458"/>
    <tableColumn id="12797" xr3:uid="{52A1DDEB-86F2-4B15-86FE-E5CB3300D5E8}" name="Kolonna12459"/>
    <tableColumn id="12798" xr3:uid="{65ECE99F-E6BF-4E59-8599-1618036511EF}" name="Kolonna12460"/>
    <tableColumn id="12799" xr3:uid="{ABB83360-BAC2-476C-AB13-318B36C58631}" name="Kolonna12461"/>
    <tableColumn id="12800" xr3:uid="{329F32D6-F6AA-4CE3-8C61-20891C9F4412}" name="Kolonna12462"/>
    <tableColumn id="12801" xr3:uid="{692E0B96-F56C-4594-A281-F565A7621E29}" name="Kolonna12463"/>
    <tableColumn id="12802" xr3:uid="{44942B92-5EAD-4DD9-A7F1-6A75A891A652}" name="Kolonna12464"/>
    <tableColumn id="12803" xr3:uid="{6533979F-B196-4048-83AB-43A8D78ADC98}" name="Kolonna12465"/>
    <tableColumn id="12804" xr3:uid="{D0C5D68C-A426-4F73-BA79-008D13567032}" name="Kolonna12466"/>
    <tableColumn id="12805" xr3:uid="{A29C7A02-7587-4CFD-8FF6-71D36C4338B0}" name="Kolonna12467"/>
    <tableColumn id="12806" xr3:uid="{764767A7-E701-43D5-A8DE-6637BE9D2DD3}" name="Kolonna12468"/>
    <tableColumn id="12807" xr3:uid="{353198F4-0B2F-4A8B-96D2-57E36A6425A2}" name="Kolonna12469"/>
    <tableColumn id="12808" xr3:uid="{1378D0F9-F18A-41F6-90F9-8B9B592F5A34}" name="Kolonna12470"/>
    <tableColumn id="12809" xr3:uid="{93C5FF00-2215-4821-A53F-E3ADDA6D1E87}" name="Kolonna12471"/>
    <tableColumn id="12810" xr3:uid="{B642E63E-2CBE-4E3C-81A8-EA01A8E1BF43}" name="Kolonna12472"/>
    <tableColumn id="12811" xr3:uid="{DA05DAA5-82E0-48AA-BE6D-6F3AAC72D0EE}" name="Kolonna12473"/>
    <tableColumn id="12812" xr3:uid="{3CB049C6-19BF-4178-A969-057AE2F95C35}" name="Kolonna12474"/>
    <tableColumn id="12813" xr3:uid="{110B6D82-7165-41E5-968A-00D741DDAADC}" name="Kolonna12475"/>
    <tableColumn id="12814" xr3:uid="{206D863E-6712-404E-A4F8-D024AEB5F026}" name="Kolonna12476"/>
    <tableColumn id="12815" xr3:uid="{0A9EF0DA-4D4D-4CC2-A284-25CA28F1E43E}" name="Kolonna12477"/>
    <tableColumn id="12816" xr3:uid="{C7508616-373F-434E-9A4C-635CAC6E1584}" name="Kolonna12478"/>
    <tableColumn id="12817" xr3:uid="{2229D651-CE30-4CBB-95D5-E78C685599E0}" name="Kolonna12479"/>
    <tableColumn id="12818" xr3:uid="{823472C0-4F94-495B-A668-FF112DCFDFEE}" name="Kolonna12480"/>
    <tableColumn id="12819" xr3:uid="{FE57050E-718E-4223-BA80-CCB54269D708}" name="Kolonna12481"/>
    <tableColumn id="12820" xr3:uid="{9023812A-57A2-4C7C-B760-7EEF0F9121C7}" name="Kolonna12482"/>
    <tableColumn id="12821" xr3:uid="{E219F6AA-F01D-494D-A9A8-AC552E562588}" name="Kolonna12483"/>
    <tableColumn id="12822" xr3:uid="{D487663B-A858-46DC-B890-B19D5722DBC8}" name="Kolonna12484"/>
    <tableColumn id="12823" xr3:uid="{DA35CA76-F68F-48BF-9073-22D1C2CAA703}" name="Kolonna12485"/>
    <tableColumn id="12824" xr3:uid="{9FB371D7-F664-48CD-B491-93D887C04EE7}" name="Kolonna12486"/>
    <tableColumn id="12825" xr3:uid="{15160262-754E-4D78-ACBC-47AD2861BDF6}" name="Kolonna12487"/>
    <tableColumn id="12826" xr3:uid="{47DFD01F-0545-42AA-9B3F-615A1A9EEE25}" name="Kolonna12488"/>
    <tableColumn id="12827" xr3:uid="{748CE7E4-F7FB-413A-BF4C-EBC04F62D255}" name="Kolonna12489"/>
    <tableColumn id="12828" xr3:uid="{97DDF1C5-9F3E-40B1-85EA-A87819613EEF}" name="Kolonna12490"/>
    <tableColumn id="12829" xr3:uid="{5F0F37A4-60FF-4442-B5CA-69972A886B0E}" name="Kolonna12491"/>
    <tableColumn id="12830" xr3:uid="{F736F403-1E1C-4F33-A291-B4F3B66F53D4}" name="Kolonna12492"/>
    <tableColumn id="12831" xr3:uid="{B6A177DC-3C8F-4AFC-B8B3-6E59B5C7FBBF}" name="Kolonna12493"/>
    <tableColumn id="12832" xr3:uid="{9F66E996-C7E9-4768-9FC3-810869CA30FA}" name="Kolonna12494"/>
    <tableColumn id="12833" xr3:uid="{4C7F2AD3-914F-4083-AB38-B6251D6FA584}" name="Kolonna12495"/>
    <tableColumn id="12834" xr3:uid="{FA91602E-3037-4A47-A56B-3E17BD0C60FA}" name="Kolonna12496"/>
    <tableColumn id="12835" xr3:uid="{10F80E6B-68EF-4694-AD11-D01930A2ABC3}" name="Kolonna12497"/>
    <tableColumn id="12836" xr3:uid="{CC6E43FD-5D10-4C60-8BC7-05F1029F9ED3}" name="Kolonna12498"/>
    <tableColumn id="12837" xr3:uid="{2F7BD18A-77F6-4A01-9400-C4B3B4E9CC30}" name="Kolonna12499"/>
    <tableColumn id="12838" xr3:uid="{8998C035-4D32-4ABF-B87C-0EB96CE837D1}" name="Kolonna12500"/>
    <tableColumn id="12839" xr3:uid="{5721F331-7D42-484B-86BB-C14F42677BAA}" name="Kolonna12501"/>
    <tableColumn id="12840" xr3:uid="{F4690291-C729-444E-AB93-F6A432E08FF2}" name="Kolonna12502"/>
    <tableColumn id="12841" xr3:uid="{BEE655D4-28AB-48C5-8524-2F0AE2C53A39}" name="Kolonna12503"/>
    <tableColumn id="12842" xr3:uid="{9FAF3903-BEA6-4985-BA2A-99B80DC22782}" name="Kolonna12504"/>
    <tableColumn id="12843" xr3:uid="{2AB76F7F-E10A-4B81-9975-427C2164537E}" name="Kolonna12505"/>
    <tableColumn id="12844" xr3:uid="{412AE9DB-3CF5-4D44-9F69-A6F4A770EED1}" name="Kolonna12506"/>
    <tableColumn id="12845" xr3:uid="{045B15C3-804C-4708-8094-55D0F93FD1BC}" name="Kolonna12507"/>
    <tableColumn id="12846" xr3:uid="{49E86F0C-7E3C-43C1-A403-04D4A7D163AA}" name="Kolonna12508"/>
    <tableColumn id="12847" xr3:uid="{F3991AE5-4F4A-4C1C-B6BB-32EAC5AA3BCF}" name="Kolonna12509"/>
    <tableColumn id="12848" xr3:uid="{F11C9407-402D-4BE9-8AE3-EC99F8326CD0}" name="Kolonna12510"/>
    <tableColumn id="12849" xr3:uid="{E1E1E1C7-8630-44E6-BB71-CD453F4FDF9D}" name="Kolonna12511"/>
    <tableColumn id="12850" xr3:uid="{69BC9B71-7A09-493F-AE25-A2A6F557A6F4}" name="Kolonna12512"/>
    <tableColumn id="12851" xr3:uid="{402E7FC9-08B1-418D-8C31-2E01DC22D20F}" name="Kolonna12513"/>
    <tableColumn id="12852" xr3:uid="{489DC90D-2D9A-4808-A9C2-31E62211B785}" name="Kolonna12514"/>
    <tableColumn id="12853" xr3:uid="{1613DB74-39B2-47A6-8848-77CCC560ADA2}" name="Kolonna12515"/>
    <tableColumn id="12854" xr3:uid="{50D58E3F-4426-4939-87C4-92051AA08B62}" name="Kolonna12516"/>
    <tableColumn id="12855" xr3:uid="{2CBAD08D-8F1B-467E-B5C4-8F24B59A77AB}" name="Kolonna12517"/>
    <tableColumn id="12856" xr3:uid="{C750848C-F553-47C1-90F3-927D25168E19}" name="Kolonna12518"/>
    <tableColumn id="12857" xr3:uid="{3A6B25B8-215D-429C-913B-29FB50E31183}" name="Kolonna12519"/>
    <tableColumn id="12858" xr3:uid="{6D5032C3-75BA-4089-8F47-3A725A53932C}" name="Kolonna12520"/>
    <tableColumn id="12859" xr3:uid="{7CDD7745-5B3C-4E57-8FF4-690B42385849}" name="Kolonna12521"/>
    <tableColumn id="12860" xr3:uid="{3219BC5B-49AE-4083-9067-4A60B15F0F61}" name="Kolonna12522"/>
    <tableColumn id="12861" xr3:uid="{74ED56F1-E433-481F-8AA0-96703D14BE1A}" name="Kolonna12523"/>
    <tableColumn id="12862" xr3:uid="{B08A518B-127C-4AA5-ADA7-C601DEAC8341}" name="Kolonna12524"/>
    <tableColumn id="12863" xr3:uid="{FE55140B-AE8E-46C4-A526-C78D4CFE19A8}" name="Kolonna12525"/>
    <tableColumn id="12864" xr3:uid="{5287228B-50F0-4CA0-9C67-902ED600986B}" name="Kolonna12526"/>
    <tableColumn id="12865" xr3:uid="{D456D8AE-EDFC-4ECD-9C56-337731CD3BFA}" name="Kolonna12527"/>
    <tableColumn id="12866" xr3:uid="{58892880-2A60-432F-8F4C-C29E4F473132}" name="Kolonna12528"/>
    <tableColumn id="12867" xr3:uid="{8EDFAFF5-58D2-4FB7-87F3-22B9337FD620}" name="Kolonna12529"/>
    <tableColumn id="12868" xr3:uid="{83E6D73C-1FD9-44B3-9695-DE5087D6D269}" name="Kolonna12530"/>
    <tableColumn id="12869" xr3:uid="{EFD34D08-DAD3-4A80-B15D-645250523FA3}" name="Kolonna12531"/>
    <tableColumn id="12870" xr3:uid="{63A9F476-CD51-4FA1-808F-4003ABAB20D4}" name="Kolonna12532"/>
    <tableColumn id="12871" xr3:uid="{5C1086F8-28A1-40F4-AD95-9706E4FC4F24}" name="Kolonna12533"/>
    <tableColumn id="12872" xr3:uid="{8BDA8B7A-775B-448B-A306-15E55C758EA4}" name="Kolonna12534"/>
    <tableColumn id="12873" xr3:uid="{F829DB2E-839D-4821-B3CD-3D66EBCE5CD9}" name="Kolonna12535"/>
    <tableColumn id="12874" xr3:uid="{F0370413-96F3-4872-BC21-20A79113AB51}" name="Kolonna12536"/>
    <tableColumn id="12875" xr3:uid="{504111AD-6955-47D5-88C4-DAC58952D5B0}" name="Kolonna12537"/>
    <tableColumn id="12876" xr3:uid="{D733A9C1-B659-4076-8EDE-E8A434540FE9}" name="Kolonna12538"/>
    <tableColumn id="12877" xr3:uid="{B981CC56-81E6-41A9-926C-FB9FA4E16E79}" name="Kolonna12539"/>
    <tableColumn id="12878" xr3:uid="{939593DC-C1CE-4FC7-A88B-536A86EC2BC5}" name="Kolonna12540"/>
    <tableColumn id="12879" xr3:uid="{AEE67C6C-9BDE-4D28-A7DC-F71E027D7A41}" name="Kolonna12541"/>
    <tableColumn id="12880" xr3:uid="{97598CBE-D043-4F80-A442-C6407D15D231}" name="Kolonna12542"/>
    <tableColumn id="12881" xr3:uid="{44DA2E4F-A135-43BA-BABF-BB291CE7D7BC}" name="Kolonna12543"/>
    <tableColumn id="12882" xr3:uid="{AAC58921-6234-49F9-8FDE-57CC5B9CB826}" name="Kolonna12544"/>
    <tableColumn id="12883" xr3:uid="{37E358AE-6D6E-4E8B-9719-528658643A61}" name="Kolonna12545"/>
    <tableColumn id="12884" xr3:uid="{39FB9E3D-3823-449E-8319-FACF16A30B84}" name="Kolonna12546"/>
    <tableColumn id="12885" xr3:uid="{982B3542-4B9F-446D-A54E-65C4369B7BA8}" name="Kolonna12547"/>
    <tableColumn id="12886" xr3:uid="{7FE92505-C68A-4856-9DAB-AEE2BCFA201C}" name="Kolonna12548"/>
    <tableColumn id="12887" xr3:uid="{98F6206E-6547-42B8-A109-4E1EE4409866}" name="Kolonna12549"/>
    <tableColumn id="12888" xr3:uid="{C1DBAE22-228D-448E-992A-F0FF18601AC5}" name="Kolonna12550"/>
    <tableColumn id="12889" xr3:uid="{0C2249D8-3B98-489C-9DA0-5F7D5484CC90}" name="Kolonna12551"/>
    <tableColumn id="12890" xr3:uid="{B5CE0486-AFE2-4B15-A97A-1CABD9E12FFE}" name="Kolonna12552"/>
    <tableColumn id="12891" xr3:uid="{82150025-8FB4-4D6E-94F4-C518EE8A0CA1}" name="Kolonna12553"/>
    <tableColumn id="12892" xr3:uid="{350CB4B8-6722-46EC-B60A-541696A64D53}" name="Kolonna12554"/>
    <tableColumn id="12893" xr3:uid="{64F8E116-DFCD-4BA0-BD3D-4A73948CCA3D}" name="Kolonna12555"/>
    <tableColumn id="12894" xr3:uid="{1C4287EF-0E79-4F2D-9E17-956C06CDBDCD}" name="Kolonna12556"/>
    <tableColumn id="12895" xr3:uid="{ADD2D40E-6BC4-4961-8926-B2B3C5516CA6}" name="Kolonna12557"/>
    <tableColumn id="12896" xr3:uid="{968617C5-D3AC-4AE3-A5C0-EDB330A3E850}" name="Kolonna12558"/>
    <tableColumn id="12897" xr3:uid="{92F753F7-A771-44B1-B227-971DA2DB9228}" name="Kolonna12559"/>
    <tableColumn id="12898" xr3:uid="{E3213CA1-0706-4404-A6EE-188332005999}" name="Kolonna12560"/>
    <tableColumn id="12899" xr3:uid="{D45C5815-204F-4977-8FAD-EDD6C04A495F}" name="Kolonna12561"/>
    <tableColumn id="12900" xr3:uid="{D77C2305-D9C2-405E-B008-F0713218FC40}" name="Kolonna12562"/>
    <tableColumn id="12901" xr3:uid="{EF5C61AB-305A-4F68-9EC6-18C0E9B62779}" name="Kolonna12563"/>
    <tableColumn id="12902" xr3:uid="{2BAC3BE0-101B-4092-9C5A-577DEC6C5256}" name="Kolonna12564"/>
    <tableColumn id="12903" xr3:uid="{F2BDE1A8-9195-4465-A834-2BF2926BACC9}" name="Kolonna12565"/>
    <tableColumn id="12904" xr3:uid="{09FFD4FA-53AB-4FD7-8BCB-B8937CC2BDDB}" name="Kolonna12566"/>
    <tableColumn id="12905" xr3:uid="{82B20D5A-47A4-474C-9736-74EE33CD0423}" name="Kolonna12567"/>
    <tableColumn id="12906" xr3:uid="{ADA5990F-77C9-4F62-BD19-7D8B6423F328}" name="Kolonna12568"/>
    <tableColumn id="12907" xr3:uid="{4C0224E7-B019-4002-9217-CA9D487FCBF6}" name="Kolonna12569"/>
    <tableColumn id="12908" xr3:uid="{8039D8CE-9361-41BC-A691-096E36EB0374}" name="Kolonna12570"/>
    <tableColumn id="12909" xr3:uid="{3F94B90B-2768-4806-A14C-EFECD9309086}" name="Kolonna12571"/>
    <tableColumn id="12910" xr3:uid="{28C2541F-EEB0-42AD-8734-698C345B5D5A}" name="Kolonna12572"/>
    <tableColumn id="12911" xr3:uid="{8A6BE19A-C433-4F12-A2D6-F1B59C2874A5}" name="Kolonna12573"/>
    <tableColumn id="12912" xr3:uid="{0B552969-B8E7-46FF-811C-B315C40B0C7F}" name="Kolonna12574"/>
    <tableColumn id="12913" xr3:uid="{7C6048B8-D338-44BE-8AA2-59F8686E0971}" name="Kolonna12575"/>
    <tableColumn id="12914" xr3:uid="{49351B87-FEB7-45FF-84EE-3BD6E73C23FD}" name="Kolonna12576"/>
    <tableColumn id="12915" xr3:uid="{CFE95E36-377E-483A-BA97-62B3DD4A42D3}" name="Kolonna12577"/>
    <tableColumn id="12916" xr3:uid="{C8FCD781-A9DE-4D75-ACE5-5749D16E82A6}" name="Kolonna12578"/>
    <tableColumn id="12917" xr3:uid="{221D45BA-18E9-405A-984A-B5743ACA909F}" name="Kolonna12579"/>
    <tableColumn id="12918" xr3:uid="{81DE6CBA-9EE9-443B-963D-AA7938AB271A}" name="Kolonna12580"/>
    <tableColumn id="12919" xr3:uid="{08AE03AA-EA19-4C69-BB6E-0A7013264C1E}" name="Kolonna12581"/>
    <tableColumn id="12920" xr3:uid="{1AEC4D6E-BCAD-4077-9FC8-006A25B8566B}" name="Kolonna12582"/>
    <tableColumn id="12921" xr3:uid="{5790A800-8170-4746-ABAF-2E7F9EEA50C3}" name="Kolonna12583"/>
    <tableColumn id="12922" xr3:uid="{FD2B614B-1B37-4DF4-BCAB-E209E03400E6}" name="Kolonna12584"/>
    <tableColumn id="12923" xr3:uid="{7CFC9215-E71A-412D-B80F-0F1DE4814A77}" name="Kolonna12585"/>
    <tableColumn id="12924" xr3:uid="{BED57809-495B-4772-9B81-A87690D53732}" name="Kolonna12586"/>
    <tableColumn id="12925" xr3:uid="{8F310CCE-1F51-4D23-94E5-CB58F6C0487C}" name="Kolonna12587"/>
    <tableColumn id="12926" xr3:uid="{FCB70A08-5673-4116-BA4B-1EB7E48785EA}" name="Kolonna12588"/>
    <tableColumn id="12927" xr3:uid="{EF330FCB-9843-4DD6-82EA-2EE25ECB589E}" name="Kolonna12589"/>
    <tableColumn id="12928" xr3:uid="{08F5DA42-BEB0-47B2-83D5-E1B6E74ABB43}" name="Kolonna12590"/>
    <tableColumn id="12929" xr3:uid="{1E3F9CA2-9252-401E-A41E-33FAEE7C8C64}" name="Kolonna12591"/>
    <tableColumn id="12930" xr3:uid="{92E7662A-578B-47AA-803E-32CA8B6E937C}" name="Kolonna12592"/>
    <tableColumn id="12931" xr3:uid="{7718DFF6-8C05-4216-95FD-D62F03C79C79}" name="Kolonna12593"/>
    <tableColumn id="12932" xr3:uid="{8799886B-318D-49A0-9F9E-506D55C23E5C}" name="Kolonna12594"/>
    <tableColumn id="12933" xr3:uid="{E76A2E78-F343-44E6-8D66-849B226FC73E}" name="Kolonna12595"/>
    <tableColumn id="12934" xr3:uid="{29B3E09E-DB8F-428C-A738-039F0E35B5B1}" name="Kolonna12596"/>
    <tableColumn id="12935" xr3:uid="{122608AB-89E7-46F1-A29A-4855B21882D8}" name="Kolonna12597"/>
    <tableColumn id="12936" xr3:uid="{A6E18B42-7A58-4B81-B0D2-83BC0CC3BAC2}" name="Kolonna12598"/>
    <tableColumn id="12937" xr3:uid="{DFA7E5BD-A715-408B-8718-CDD6F2D04AD7}" name="Kolonna12599"/>
    <tableColumn id="12938" xr3:uid="{F852834E-3F67-4BEA-B31E-7621D92EEA3B}" name="Kolonna12600"/>
    <tableColumn id="12939" xr3:uid="{40E41ABD-61C6-45D8-9279-ADEA100BF04B}" name="Kolonna12601"/>
    <tableColumn id="12940" xr3:uid="{B1D8A5B7-8754-4DD7-9523-CF76EB04D0C2}" name="Kolonna12602"/>
    <tableColumn id="12941" xr3:uid="{056E4B82-1A12-4126-94D4-2A49D76AE2E2}" name="Kolonna12603"/>
    <tableColumn id="12942" xr3:uid="{3E36DFCB-F709-48BD-BF6D-9031B8438C31}" name="Kolonna12604"/>
    <tableColumn id="12943" xr3:uid="{29AA91FD-17C9-4248-98E9-BD18550A928A}" name="Kolonna12605"/>
    <tableColumn id="12944" xr3:uid="{E40F98DB-86DE-412D-8957-D8EF6C875B32}" name="Kolonna12606"/>
    <tableColumn id="12945" xr3:uid="{3FF25451-7EB7-4374-A362-D829DF7DC0E7}" name="Kolonna12607"/>
    <tableColumn id="12946" xr3:uid="{59DA9DAB-02E5-48A9-9B84-99CD89FBEBF4}" name="Kolonna12608"/>
    <tableColumn id="12947" xr3:uid="{F93B6C89-AB95-4327-A6A3-566DA0741855}" name="Kolonna12609"/>
    <tableColumn id="12948" xr3:uid="{342432FD-0EFA-490F-BDD6-C6151E17A87C}" name="Kolonna12610"/>
    <tableColumn id="12949" xr3:uid="{736DBCEE-7F9B-43B4-9428-CA2F7A3810D5}" name="Kolonna12611"/>
    <tableColumn id="12950" xr3:uid="{67DF141D-99B0-4F62-90AD-9DE09FB32ADC}" name="Kolonna12612"/>
    <tableColumn id="12951" xr3:uid="{5CD95333-FBE3-4DC0-8A29-E8096DC4607D}" name="Kolonna12613"/>
    <tableColumn id="12952" xr3:uid="{70BE157D-7FA5-4C5B-B417-8FEA5711B1E7}" name="Kolonna12614"/>
    <tableColumn id="12953" xr3:uid="{FADCAFCC-3343-40AB-AA1C-6758B6FCE245}" name="Kolonna12615"/>
    <tableColumn id="12954" xr3:uid="{34C6911F-CD20-4573-956E-0E901A49227A}" name="Kolonna12616"/>
    <tableColumn id="12955" xr3:uid="{ECB93ED6-7CA0-42BC-B1C1-EF01F6871F2A}" name="Kolonna12617"/>
    <tableColumn id="12956" xr3:uid="{32DFF1E0-5081-4A37-AF8F-8F4348C161E9}" name="Kolonna12618"/>
    <tableColumn id="12957" xr3:uid="{EF82FB9E-E34A-40E5-A9BF-C25C4CBB6871}" name="Kolonna12619"/>
    <tableColumn id="12958" xr3:uid="{88E12877-916B-443B-97FD-B7B9E0AD5679}" name="Kolonna12620"/>
    <tableColumn id="12959" xr3:uid="{2AA36EF5-C814-4DEB-956D-20DE5AB6950E}" name="Kolonna12621"/>
    <tableColumn id="12960" xr3:uid="{A850A7EC-CA5E-4B61-AEA1-4E9B7413A887}" name="Kolonna12622"/>
    <tableColumn id="12961" xr3:uid="{4315F7CD-30E7-49C7-B494-6A9B4FEBD0A3}" name="Kolonna12623"/>
    <tableColumn id="12962" xr3:uid="{991DD233-2FD5-4714-A839-E7EBAEAD541F}" name="Kolonna12624"/>
    <tableColumn id="12963" xr3:uid="{2423E37F-BF29-41A8-9D2E-FE9E534A9942}" name="Kolonna12625"/>
    <tableColumn id="12964" xr3:uid="{D448D7D5-B0E3-4F75-BBDE-0B067405BAD1}" name="Kolonna12626"/>
    <tableColumn id="12965" xr3:uid="{7AB39310-BCA0-40C5-AE0B-0754BB74B48F}" name="Kolonna12627"/>
    <tableColumn id="12966" xr3:uid="{FF3F5746-C6F8-42C4-90C2-D3A68C5E5CDA}" name="Kolonna12628"/>
    <tableColumn id="12967" xr3:uid="{E647484A-8116-4856-A88E-231A1E7DE265}" name="Kolonna12629"/>
    <tableColumn id="12968" xr3:uid="{FB7443EC-DD8F-47D6-8917-0FB590B2E07D}" name="Kolonna12630"/>
    <tableColumn id="12969" xr3:uid="{0ED3A367-F988-4FFD-A39B-2F6A40069B2E}" name="Kolonna12631"/>
    <tableColumn id="12970" xr3:uid="{0CB870E5-4CA0-4E1B-8707-EFF680B96A60}" name="Kolonna12632"/>
    <tableColumn id="12971" xr3:uid="{796832C0-ECA9-4E14-8A13-D44A6CC71FAD}" name="Kolonna12633"/>
    <tableColumn id="12972" xr3:uid="{5BDC6181-FEAA-49B1-AA91-FB0E3DD96757}" name="Kolonna12634"/>
    <tableColumn id="12973" xr3:uid="{A5EF758E-7C4E-4083-9B16-CD22564D1357}" name="Kolonna12635"/>
    <tableColumn id="12974" xr3:uid="{C965C2F5-5EB0-4C91-A721-23C7E8D4C465}" name="Kolonna12636"/>
    <tableColumn id="12975" xr3:uid="{36EDF651-5B6C-40B4-A7A2-CEDB6305AB81}" name="Kolonna12637"/>
    <tableColumn id="12976" xr3:uid="{60BB0562-6ECC-4774-A906-4CD76D1F6946}" name="Kolonna12638"/>
    <tableColumn id="12977" xr3:uid="{8441C07D-6E2F-4C81-88C0-2759282D7673}" name="Kolonna12639"/>
    <tableColumn id="12978" xr3:uid="{F490F894-C0CD-465C-9C21-F2FD25F7798B}" name="Kolonna12640"/>
    <tableColumn id="12979" xr3:uid="{BEADE2A2-4546-42A6-BBFD-80B9AF833E0C}" name="Kolonna12641"/>
    <tableColumn id="12980" xr3:uid="{3DBB05B0-3541-4181-B27E-8A01602CB3C5}" name="Kolonna12642"/>
    <tableColumn id="12981" xr3:uid="{2C79C48F-B010-475D-A730-FE2FD70C5F9C}" name="Kolonna12643"/>
    <tableColumn id="12982" xr3:uid="{920F49D8-737B-4354-9122-F4D9553FAFC6}" name="Kolonna12644"/>
    <tableColumn id="12983" xr3:uid="{265B11C4-D298-4692-8314-A26C2224CBA9}" name="Kolonna12645"/>
    <tableColumn id="12984" xr3:uid="{53CC3EAF-DC39-4B72-B887-D37FE8B427BB}" name="Kolonna12646"/>
    <tableColumn id="12985" xr3:uid="{FA946515-2E31-4733-BE61-5378DA9D8732}" name="Kolonna12647"/>
    <tableColumn id="12986" xr3:uid="{C3F2FB7B-07B3-42C4-8A59-A43D17862570}" name="Kolonna12648"/>
    <tableColumn id="12987" xr3:uid="{4F965D61-EDC2-499A-B492-883D94E758AF}" name="Kolonna12649"/>
    <tableColumn id="12988" xr3:uid="{30AE01BB-D6A0-4403-982A-CBCFF70BB911}" name="Kolonna12650"/>
    <tableColumn id="12989" xr3:uid="{3B649497-399B-4D6F-AC7D-358082BF2287}" name="Kolonna12651"/>
    <tableColumn id="12990" xr3:uid="{7F63F47A-5C1B-44DF-AC33-B9A33AB60BCB}" name="Kolonna12652"/>
    <tableColumn id="12991" xr3:uid="{3D1E5E27-EC38-487E-AF1A-21AFA3B70B71}" name="Kolonna12653"/>
    <tableColumn id="12992" xr3:uid="{05E3F47A-DE26-47A2-A830-2987C52333A0}" name="Kolonna12654"/>
    <tableColumn id="12993" xr3:uid="{39DB37B0-E0E7-4334-A0E6-BCAA11689AEE}" name="Kolonna12655"/>
    <tableColumn id="12994" xr3:uid="{7838654B-3245-4158-A3C1-F3BBEEB332CB}" name="Kolonna12656"/>
    <tableColumn id="12995" xr3:uid="{C5B227CA-8A3F-46C8-81FC-0A0AD5F53643}" name="Kolonna12657"/>
    <tableColumn id="12996" xr3:uid="{2170D7CD-7359-4AD6-AFFD-0935D781F3BF}" name="Kolonna12658"/>
    <tableColumn id="12997" xr3:uid="{E8035F28-97F4-452A-8DD7-7844B984887C}" name="Kolonna12659"/>
    <tableColumn id="12998" xr3:uid="{5CD9A88A-B65F-406C-9EED-1CDF5E4BB407}" name="Kolonna12660"/>
    <tableColumn id="12999" xr3:uid="{66887E1E-0B06-4F3F-89E9-4EFDF0871DCF}" name="Kolonna12661"/>
    <tableColumn id="13000" xr3:uid="{7D4731E9-C9A9-4E2C-A0DF-E19FA58D0C5D}" name="Kolonna12662"/>
    <tableColumn id="13001" xr3:uid="{6182B49B-EB44-4E1F-A9E6-505C438F3A4C}" name="Kolonna12663"/>
    <tableColumn id="13002" xr3:uid="{40B4BB69-110D-47B6-9DAF-FF944E6BBFD5}" name="Kolonna12664"/>
    <tableColumn id="13003" xr3:uid="{A18F313A-1FAB-4310-AC45-E5EE943FA600}" name="Kolonna12665"/>
    <tableColumn id="13004" xr3:uid="{FD0772CE-68BF-425B-BB3A-AC3620633C32}" name="Kolonna12666"/>
    <tableColumn id="13005" xr3:uid="{5C340250-C0BF-4C43-9611-82FCF3698833}" name="Kolonna12667"/>
    <tableColumn id="13006" xr3:uid="{87DBD45C-C0FF-4CC9-AC0D-B84E1DA3DCD5}" name="Kolonna12668"/>
    <tableColumn id="13007" xr3:uid="{87B8C0BC-1AED-4146-9622-231245E1D35E}" name="Kolonna12669"/>
    <tableColumn id="13008" xr3:uid="{9BB7FCFE-982F-463E-90E4-2883FA08A5B9}" name="Kolonna12670"/>
    <tableColumn id="13009" xr3:uid="{60E6D7F6-EFFA-481C-A6C1-23DF509201BC}" name="Kolonna12671"/>
    <tableColumn id="13010" xr3:uid="{FCEF8393-CD9B-4D96-93BD-87C8525DD321}" name="Kolonna12672"/>
    <tableColumn id="13011" xr3:uid="{FD7901A8-F4D4-4E35-AF92-90D095D7794C}" name="Kolonna12673"/>
    <tableColumn id="13012" xr3:uid="{1F90BAE8-D305-4E8C-BA96-9DAC71239A58}" name="Kolonna12674"/>
    <tableColumn id="13013" xr3:uid="{647595F4-0D51-45A7-BB0B-FDC46BC78612}" name="Kolonna12675"/>
    <tableColumn id="13014" xr3:uid="{408DAEA1-23A7-43C1-8ED9-185ADA5548B1}" name="Kolonna12676"/>
    <tableColumn id="13015" xr3:uid="{1E6D1A03-17AA-4C05-A948-009E6B80CB0F}" name="Kolonna12677"/>
    <tableColumn id="13016" xr3:uid="{FBE9538A-4D6E-41D8-9964-C945077B6FA6}" name="Kolonna12678"/>
    <tableColumn id="13017" xr3:uid="{3859D38C-3EF0-4042-819F-5AEF5238FE13}" name="Kolonna12679"/>
    <tableColumn id="13018" xr3:uid="{5866B739-AFB4-4413-933E-99A8D61DB0E5}" name="Kolonna12680"/>
    <tableColumn id="13019" xr3:uid="{8E04EE51-EDEC-4F04-9941-545B8E62B3B3}" name="Kolonna12681"/>
    <tableColumn id="13020" xr3:uid="{533B72F3-E888-45C6-89AE-AA226EEA42C9}" name="Kolonna12682"/>
    <tableColumn id="13021" xr3:uid="{44F6F1BC-08D5-4F03-83ED-40A03A2DB945}" name="Kolonna12683"/>
    <tableColumn id="13022" xr3:uid="{3BFE3DE4-2509-46EA-9932-0A13591FD4BE}" name="Kolonna12684"/>
    <tableColumn id="13023" xr3:uid="{DF6C7D4F-EAD2-47E3-B5F2-2C48A3E448DC}" name="Kolonna12685"/>
    <tableColumn id="13024" xr3:uid="{C2EBBA97-009A-47F0-92D4-B9DE9EEF200F}" name="Kolonna12686"/>
    <tableColumn id="13025" xr3:uid="{8283AFCA-589A-496C-B88E-F4E6EE94B5BC}" name="Kolonna12687"/>
    <tableColumn id="13026" xr3:uid="{2F7A44A7-EC15-4163-8AB8-1335931D83D7}" name="Kolonna12688"/>
    <tableColumn id="13027" xr3:uid="{2C6DEDBC-FDE3-4E54-B8CD-70A06EA7B826}" name="Kolonna12689"/>
    <tableColumn id="13028" xr3:uid="{4C0489DD-2C4A-44B6-AE97-88A7DF82A226}" name="Kolonna12690"/>
    <tableColumn id="13029" xr3:uid="{977F4EC4-B935-4233-8851-8E0FD53EB48D}" name="Kolonna12691"/>
    <tableColumn id="13030" xr3:uid="{B75BDD24-48AF-4CB3-B8C4-5580C6ADA769}" name="Kolonna12692"/>
    <tableColumn id="13031" xr3:uid="{9E77EC1A-5B5B-4E3B-A685-AF88025B117B}" name="Kolonna12693"/>
    <tableColumn id="13032" xr3:uid="{9BBEEBDB-EE30-4186-BB97-8DDD968FD929}" name="Kolonna12694"/>
    <tableColumn id="13033" xr3:uid="{460DD245-E151-43F9-B0B6-8FB85E869E78}" name="Kolonna12695"/>
    <tableColumn id="13034" xr3:uid="{5358CF73-CBEE-4A1D-83D5-FE3CFF9F8F9D}" name="Kolonna12696"/>
    <tableColumn id="13035" xr3:uid="{434F6DCC-9CC1-4049-9020-D2F0709245BA}" name="Kolonna12697"/>
    <tableColumn id="13036" xr3:uid="{60936F91-F65B-4A91-A1ED-82F77876C4D6}" name="Kolonna12698"/>
    <tableColumn id="13037" xr3:uid="{592BA770-681C-47F5-8484-99961A99E772}" name="Kolonna12699"/>
    <tableColumn id="13038" xr3:uid="{AF18A7A8-F33C-4D0D-9933-6BB19374132E}" name="Kolonna12700"/>
    <tableColumn id="13039" xr3:uid="{E9F840BC-B3EE-4FA7-9444-7F0A64B74B8A}" name="Kolonna12701"/>
    <tableColumn id="13040" xr3:uid="{812864DE-E70C-4F01-A1BF-FBC806749CA0}" name="Kolonna12702"/>
    <tableColumn id="13041" xr3:uid="{9DB10CB2-5D0C-41EE-8227-EE5253BD2E0A}" name="Kolonna12703"/>
    <tableColumn id="13042" xr3:uid="{68228DF3-1D94-4A84-A2CE-B7F45008222F}" name="Kolonna12704"/>
    <tableColumn id="13043" xr3:uid="{2A273A62-7C33-4ADE-AB9C-C27392F72D6B}" name="Kolonna12705"/>
    <tableColumn id="13044" xr3:uid="{07993B57-9ED5-43B4-830B-2C6603BAA32C}" name="Kolonna12706"/>
    <tableColumn id="13045" xr3:uid="{52A0C30B-B9D8-48D6-86C5-8FEC5346E9E0}" name="Kolonna12707"/>
    <tableColumn id="13046" xr3:uid="{D6241C47-A436-4D59-A0DD-31EE5B389CAA}" name="Kolonna12708"/>
    <tableColumn id="13047" xr3:uid="{4E3A0DB2-609A-4C38-8305-4317777E6BF7}" name="Kolonna12709"/>
    <tableColumn id="13048" xr3:uid="{DF57FDF5-64D9-4A9B-82CA-F002E00C3DF7}" name="Kolonna12710"/>
    <tableColumn id="13049" xr3:uid="{91F0F284-CD49-44F3-BBE4-F62A24066CBC}" name="Kolonna12711"/>
    <tableColumn id="13050" xr3:uid="{997F71D1-2B99-47AF-9E81-DCC187FE226F}" name="Kolonna12712"/>
    <tableColumn id="13051" xr3:uid="{3648FA5B-3290-40C4-92BB-D76A3F41BC09}" name="Kolonna12713"/>
    <tableColumn id="13052" xr3:uid="{667E249E-E707-4D8B-AB38-5146943D96BF}" name="Kolonna12714"/>
    <tableColumn id="13053" xr3:uid="{EA4DC5C7-00A7-41FB-8053-5868FF98920C}" name="Kolonna12715"/>
    <tableColumn id="13054" xr3:uid="{72CBAC5E-1BAF-4424-8EB2-6FAB1E6F673C}" name="Kolonna12716"/>
    <tableColumn id="13055" xr3:uid="{0D361577-4142-4128-A5B5-7363AC804BC2}" name="Kolonna12717"/>
    <tableColumn id="13056" xr3:uid="{AD00052F-F314-4BF9-847D-AB553FD11D27}" name="Kolonna12718"/>
    <tableColumn id="13057" xr3:uid="{7E64D551-47F3-4295-BBC1-02182CD7E78B}" name="Kolonna12719"/>
    <tableColumn id="13058" xr3:uid="{925D31D3-4E63-46EE-9765-37147C652727}" name="Kolonna12720"/>
    <tableColumn id="13059" xr3:uid="{C44DB5A4-A248-4BC6-A690-34AC949FEDED}" name="Kolonna12721"/>
    <tableColumn id="13060" xr3:uid="{9158DD6B-947A-4262-8CD5-E86BDA328ADE}" name="Kolonna12722"/>
    <tableColumn id="13061" xr3:uid="{D79FFFCF-CDD8-40A5-8EF9-D4C0D27C0EED}" name="Kolonna12723"/>
    <tableColumn id="13062" xr3:uid="{B4A51986-C02A-4A35-B230-B332C5071E48}" name="Kolonna12724"/>
    <tableColumn id="13063" xr3:uid="{2F0A7E22-D629-47E4-8242-EBD7E52C07A7}" name="Kolonna12725"/>
    <tableColumn id="13064" xr3:uid="{07C48A8D-481E-4A7C-8E0B-34308EC956DF}" name="Kolonna12726"/>
    <tableColumn id="13065" xr3:uid="{F0130DF4-060C-4E9A-9282-3116C07644AC}" name="Kolonna12727"/>
    <tableColumn id="13066" xr3:uid="{3F4E6028-37C5-4522-979D-3D5AEC493DE2}" name="Kolonna12728"/>
    <tableColumn id="13067" xr3:uid="{99D800C0-AB05-4224-B5A5-FECEAAA7FCDC}" name="Kolonna12729"/>
    <tableColumn id="13068" xr3:uid="{CF64A922-1004-4492-AD26-207CE5452986}" name="Kolonna12730"/>
    <tableColumn id="13069" xr3:uid="{295F7FD0-9BEC-4245-B70F-CDD423B1D117}" name="Kolonna12731"/>
    <tableColumn id="13070" xr3:uid="{1764F2B9-AAE5-48F2-804D-55B8263E5F63}" name="Kolonna12732"/>
    <tableColumn id="13071" xr3:uid="{9BE8265D-B5EE-4F1F-B596-D888C166BD18}" name="Kolonna12733"/>
    <tableColumn id="13072" xr3:uid="{21F67726-635C-4D4E-AD3F-62653F820C09}" name="Kolonna12734"/>
    <tableColumn id="13073" xr3:uid="{8BB541CD-1D06-4B52-8173-37D47A764971}" name="Kolonna12735"/>
    <tableColumn id="13074" xr3:uid="{683B7882-8A47-4FF7-9981-7FC6E0F2CC9A}" name="Kolonna12736"/>
    <tableColumn id="13075" xr3:uid="{9D5D06BE-7F41-40DF-B079-201A9E371298}" name="Kolonna12737"/>
    <tableColumn id="13076" xr3:uid="{F4FBE3FF-E768-42E8-A122-0640FB024803}" name="Kolonna12738"/>
    <tableColumn id="13077" xr3:uid="{966D2525-E680-43A7-9414-8012BDA6E08D}" name="Kolonna12739"/>
    <tableColumn id="13078" xr3:uid="{AF09A63C-5EE4-449B-9ECB-77E5BDD4443F}" name="Kolonna12740"/>
    <tableColumn id="13079" xr3:uid="{7CA9147A-6761-4C7D-9571-6E8F455F07C1}" name="Kolonna12741"/>
    <tableColumn id="13080" xr3:uid="{4980B436-593A-493F-87EB-934CA25E0E91}" name="Kolonna12742"/>
    <tableColumn id="13081" xr3:uid="{1F372F3A-B23C-4890-A1CE-E1E4D5C1759F}" name="Kolonna12743"/>
    <tableColumn id="13082" xr3:uid="{525B4C9A-2E8E-4665-927F-A7FBDBF6375E}" name="Kolonna12744"/>
    <tableColumn id="13083" xr3:uid="{E7103039-AE03-4999-9908-348E94ABE690}" name="Kolonna12745"/>
    <tableColumn id="13084" xr3:uid="{F993BF6E-BE21-40C9-9246-6488B15F0629}" name="Kolonna12746"/>
    <tableColumn id="13085" xr3:uid="{F5710FFE-97C9-4998-B7A0-A7D4AA8CBCB9}" name="Kolonna12747"/>
    <tableColumn id="13086" xr3:uid="{F8828621-2B65-48CB-A077-2938BB66F32F}" name="Kolonna12748"/>
    <tableColumn id="13087" xr3:uid="{75711547-ED4B-4D17-B7E3-E99B951395D9}" name="Kolonna12749"/>
    <tableColumn id="13088" xr3:uid="{B8D62271-11C4-4089-86A6-5230AC943FC2}" name="Kolonna12750"/>
    <tableColumn id="13089" xr3:uid="{2685651B-AF4E-417D-AAA3-3BD0EEE01C68}" name="Kolonna12751"/>
    <tableColumn id="13090" xr3:uid="{8D378454-9DC2-4925-BF00-EC3FFF4910B2}" name="Kolonna12752"/>
    <tableColumn id="13091" xr3:uid="{EC5B5BEA-60EA-495E-A841-EC907C759699}" name="Kolonna12753"/>
    <tableColumn id="13092" xr3:uid="{C73710F0-C4EA-4FC8-8797-7DD952AB2935}" name="Kolonna12754"/>
    <tableColumn id="13093" xr3:uid="{9586A281-FC98-4BE8-AF91-30272F21F9E1}" name="Kolonna12755"/>
    <tableColumn id="13094" xr3:uid="{6F82D44A-EAFD-4397-A75C-CAF86ED4903E}" name="Kolonna12756"/>
    <tableColumn id="13095" xr3:uid="{82B9A1D9-98B5-4053-96D6-9C6FB70666B2}" name="Kolonna12757"/>
    <tableColumn id="13096" xr3:uid="{BA8FEC36-4B24-4365-8978-DE78AF710CD7}" name="Kolonna12758"/>
    <tableColumn id="13097" xr3:uid="{640642F4-4281-497C-85BD-5844BC333B01}" name="Kolonna12759"/>
    <tableColumn id="13098" xr3:uid="{522E17A4-98A5-4C0E-B120-55C41E1963D5}" name="Kolonna12760"/>
    <tableColumn id="13099" xr3:uid="{7D1FC722-A7AD-4689-BD39-133039610647}" name="Kolonna12761"/>
    <tableColumn id="13100" xr3:uid="{08B12959-DC48-4976-94C9-D98454131E4D}" name="Kolonna12762"/>
    <tableColumn id="13101" xr3:uid="{AB52AEEF-A09E-4A26-8989-C250C8B04BCF}" name="Kolonna12763"/>
    <tableColumn id="13102" xr3:uid="{3A8724F1-CDCD-4094-A4D4-341ED0F33DDE}" name="Kolonna12764"/>
    <tableColumn id="13103" xr3:uid="{A771D7B3-412C-4DE6-B9ED-4372D8D95C75}" name="Kolonna12765"/>
    <tableColumn id="13104" xr3:uid="{4B10627E-694B-4BE6-AF61-469BBB6559CE}" name="Kolonna12766"/>
    <tableColumn id="13105" xr3:uid="{1E45546E-A599-44DD-88EF-6A8047ABC797}" name="Kolonna12767"/>
    <tableColumn id="13106" xr3:uid="{04FB7330-956A-43F6-A149-875DC8C049BA}" name="Kolonna12768"/>
    <tableColumn id="13107" xr3:uid="{B3650AC8-DFC1-4984-A421-87D546758726}" name="Kolonna12769"/>
    <tableColumn id="13108" xr3:uid="{0921F285-E063-4871-8913-5C05A806229A}" name="Kolonna12770"/>
    <tableColumn id="13109" xr3:uid="{513807BB-94FE-4393-92AB-C6170518639A}" name="Kolonna12771"/>
    <tableColumn id="13110" xr3:uid="{381B15FA-515F-4C83-A82E-C81D034B586C}" name="Kolonna12772"/>
    <tableColumn id="13111" xr3:uid="{FAFC72B9-32DA-408C-9E29-61B34FFBB4D2}" name="Kolonna12773"/>
    <tableColumn id="13112" xr3:uid="{041B315F-2D99-4B98-934B-021EF0FAB334}" name="Kolonna12774"/>
    <tableColumn id="13113" xr3:uid="{49062DDB-ECDE-461A-919D-A8FEF0D33FB9}" name="Kolonna12775"/>
    <tableColumn id="13114" xr3:uid="{837B6FE7-69F7-4B51-BF07-3C3A3D4002FE}" name="Kolonna12776"/>
    <tableColumn id="13115" xr3:uid="{8DE89482-9133-40C5-A9EB-05CFE2A03D96}" name="Kolonna12777"/>
    <tableColumn id="13116" xr3:uid="{9512C188-A1F8-4634-B5EA-E27625CA7EF2}" name="Kolonna12778"/>
    <tableColumn id="13117" xr3:uid="{46C81142-CFFB-46CF-B08B-A6EE45945DAA}" name="Kolonna12779"/>
    <tableColumn id="13118" xr3:uid="{63F70555-CED5-481B-A29E-B82ABAD98FA0}" name="Kolonna12780"/>
    <tableColumn id="13119" xr3:uid="{7F573890-BEA7-4AB7-BFAF-A1A54ECC4AE6}" name="Kolonna12781"/>
    <tableColumn id="13120" xr3:uid="{E2B3FBF4-5D38-4714-B8CA-0B782AD8BA49}" name="Kolonna12782"/>
    <tableColumn id="13121" xr3:uid="{0E782940-085A-4439-8C26-63F31B788A1B}" name="Kolonna12783"/>
    <tableColumn id="13122" xr3:uid="{18F9E999-D03A-4760-A400-9C02D1EA5543}" name="Kolonna12784"/>
    <tableColumn id="13123" xr3:uid="{214E670F-E136-4C8C-A512-D8E464C39972}" name="Kolonna12785"/>
    <tableColumn id="13124" xr3:uid="{2E56F4C8-B5AC-46C4-BC3B-987C6971F98B}" name="Kolonna12786"/>
    <tableColumn id="13125" xr3:uid="{321D5984-33E8-47F4-9885-27E278DF0901}" name="Kolonna12787"/>
    <tableColumn id="13126" xr3:uid="{57E9A4BF-B169-4083-90D5-34E62165488A}" name="Kolonna12788"/>
    <tableColumn id="13127" xr3:uid="{25846D13-0C0B-47ED-9151-0058D9B3A5E7}" name="Kolonna12789"/>
    <tableColumn id="13128" xr3:uid="{FFDE300A-ACF6-4B55-849D-6117E808CF4D}" name="Kolonna12790"/>
    <tableColumn id="13129" xr3:uid="{9DFA5589-DE2E-440E-9804-5822B3DD43A9}" name="Kolonna12791"/>
    <tableColumn id="13130" xr3:uid="{D8451BCC-13AF-4C2B-B38D-D620CCB60A9E}" name="Kolonna12792"/>
    <tableColumn id="13131" xr3:uid="{A7164A0B-9AAC-4987-BE10-565D60FE4672}" name="Kolonna12793"/>
    <tableColumn id="13132" xr3:uid="{9D2B6067-50A2-4CE4-9A02-6E047EB13ACE}" name="Kolonna12794"/>
    <tableColumn id="13133" xr3:uid="{9A8A071B-615E-4E5C-9226-3568FCA22566}" name="Kolonna12795"/>
    <tableColumn id="13134" xr3:uid="{CBBB3D6D-E7C5-46FA-B4D1-2DE82344D984}" name="Kolonna12796"/>
    <tableColumn id="13135" xr3:uid="{6F3F3898-19AB-46FD-9963-2FB7D76CDAD0}" name="Kolonna12797"/>
    <tableColumn id="13136" xr3:uid="{3470D2BF-2D9D-433E-8A5B-8ABBBBE3D6A5}" name="Kolonna12798"/>
    <tableColumn id="13137" xr3:uid="{1EE1AF82-9201-4389-8A80-9CC9F284DDF5}" name="Kolonna12799"/>
    <tableColumn id="13138" xr3:uid="{2CD86236-E746-405A-822F-A18A3B87E360}" name="Kolonna12800"/>
    <tableColumn id="13139" xr3:uid="{3143EB63-88A8-498C-93A6-5DFFB0F173A1}" name="Kolonna12801"/>
    <tableColumn id="13140" xr3:uid="{2B39C75A-6D35-4D86-9C20-8C4119E704E7}" name="Kolonna12802"/>
    <tableColumn id="13141" xr3:uid="{AA8CC0BB-25C0-4A28-B59B-50DB98891D13}" name="Kolonna12803"/>
    <tableColumn id="13142" xr3:uid="{50BE0535-1CCF-4B78-955C-5F7BCBB649CD}" name="Kolonna12804"/>
    <tableColumn id="13143" xr3:uid="{09E1E477-12F8-4A6E-9A94-31943D35A5AB}" name="Kolonna12805"/>
    <tableColumn id="13144" xr3:uid="{74CB25D1-AD35-4F2C-8890-FF6753FAD372}" name="Kolonna12806"/>
    <tableColumn id="13145" xr3:uid="{96773AAB-11A5-43D9-AE3E-3B217F1290E4}" name="Kolonna12807"/>
    <tableColumn id="13146" xr3:uid="{59C9AD1A-066A-474E-A3A4-3ADE58C04BC9}" name="Kolonna12808"/>
    <tableColumn id="13147" xr3:uid="{6F3812B9-7759-42E1-9D67-84903B6C0729}" name="Kolonna12809"/>
    <tableColumn id="13148" xr3:uid="{E7E98549-2ABE-4C91-B43A-06AF8AA0F8B4}" name="Kolonna12810"/>
    <tableColumn id="13149" xr3:uid="{067C2863-3E8D-4AF4-810D-207477C58BDA}" name="Kolonna12811"/>
    <tableColumn id="13150" xr3:uid="{989873CB-FE80-4577-B667-3E229E8F0526}" name="Kolonna12812"/>
    <tableColumn id="13151" xr3:uid="{878A12BB-39BC-4319-974A-30B6EF788A16}" name="Kolonna12813"/>
    <tableColumn id="13152" xr3:uid="{CA667971-369F-4779-8161-93687ABEEDB0}" name="Kolonna12814"/>
    <tableColumn id="13153" xr3:uid="{1BA68085-B5A1-4DA9-8665-B8C4331044E3}" name="Kolonna12815"/>
    <tableColumn id="13154" xr3:uid="{C85FA27F-43E2-4BB3-9332-6878F5212A60}" name="Kolonna12816"/>
    <tableColumn id="13155" xr3:uid="{7713D762-60C0-4726-A003-FCDF1336AC07}" name="Kolonna12817"/>
    <tableColumn id="13156" xr3:uid="{A422B4D1-5027-47B9-8BA6-F5149A72C6EE}" name="Kolonna12818"/>
    <tableColumn id="13157" xr3:uid="{D80C307D-C076-4B8D-9B23-D284AC2312F6}" name="Kolonna12819"/>
    <tableColumn id="13158" xr3:uid="{58554CFF-762E-41E5-8AE3-F73D998AA994}" name="Kolonna12820"/>
    <tableColumn id="13159" xr3:uid="{6768CF5A-700F-421B-87A2-2210ADB6D6CA}" name="Kolonna12821"/>
    <tableColumn id="13160" xr3:uid="{28EBF17B-AD34-466C-9E49-BBD3A2357631}" name="Kolonna12822"/>
    <tableColumn id="13161" xr3:uid="{483B40AD-4833-4DA7-90DF-CEBBB6284C0F}" name="Kolonna12823"/>
    <tableColumn id="13162" xr3:uid="{83822232-0A1D-4666-BF25-4BD480B310EB}" name="Kolonna12824"/>
    <tableColumn id="13163" xr3:uid="{09AFA677-8C81-4F8F-96AE-C3A55F905990}" name="Kolonna12825"/>
    <tableColumn id="13164" xr3:uid="{FA45780A-9F4C-4BDC-84C9-CB680C61AE7F}" name="Kolonna12826"/>
    <tableColumn id="13165" xr3:uid="{0B76A681-B1F8-4C4C-A40C-6634F628C24D}" name="Kolonna12827"/>
    <tableColumn id="13166" xr3:uid="{D35A2C9F-55CB-4EE2-BAA2-3AF2FB7EDE94}" name="Kolonna12828"/>
    <tableColumn id="13167" xr3:uid="{29C70874-B043-40FE-8ECC-74BF388ADE7C}" name="Kolonna12829"/>
    <tableColumn id="13168" xr3:uid="{3D64CD7D-B900-47A3-95C7-22A02072E023}" name="Kolonna12830"/>
    <tableColumn id="13169" xr3:uid="{ABBD24CC-FA63-4A72-8EF0-C6D19018012A}" name="Kolonna12831"/>
    <tableColumn id="13170" xr3:uid="{8AEFAF7E-8064-46DF-AF22-20B749EE3AB3}" name="Kolonna12832"/>
    <tableColumn id="13171" xr3:uid="{FCC95A10-B7F7-4037-84BD-518656E82696}" name="Kolonna12833"/>
    <tableColumn id="13172" xr3:uid="{5ED7B6CB-F52B-447F-B091-3B52DBE517AA}" name="Kolonna12834"/>
    <tableColumn id="13173" xr3:uid="{33E0CCD9-4401-4E55-8FA6-DA3BA4EA019F}" name="Kolonna12835"/>
    <tableColumn id="13174" xr3:uid="{4EC62F80-6ED5-40F9-8FB4-FA48DE4ED791}" name="Kolonna12836"/>
    <tableColumn id="13175" xr3:uid="{5BAD4EF1-6F98-4F7A-9944-805B6A006FA8}" name="Kolonna12837"/>
    <tableColumn id="13176" xr3:uid="{FBA1816C-C62F-47B8-AB77-3CF2B5FE498B}" name="Kolonna12838"/>
    <tableColumn id="13177" xr3:uid="{B2F50E57-21E6-4B62-BA93-2BA1819B7372}" name="Kolonna12839"/>
    <tableColumn id="13178" xr3:uid="{22D0CA0E-2F4F-406D-BFB1-1FC190A76A23}" name="Kolonna12840"/>
    <tableColumn id="13179" xr3:uid="{9172F0A5-2DEB-4C05-9877-8524D52DFDC7}" name="Kolonna12841"/>
    <tableColumn id="13180" xr3:uid="{A2D51739-9FA2-40CA-86AA-52AB4B4F68A9}" name="Kolonna12842"/>
    <tableColumn id="13181" xr3:uid="{5820088C-E963-40B7-AF71-6AB77FEA8A53}" name="Kolonna12843"/>
    <tableColumn id="13182" xr3:uid="{DAC9073F-EA4B-42F9-9ACE-5E0067E0D07F}" name="Kolonna12844"/>
    <tableColumn id="13183" xr3:uid="{F7BDB50D-0F8B-4AA7-AB5E-D3AC190C0C11}" name="Kolonna12845"/>
    <tableColumn id="13184" xr3:uid="{76308BBE-373B-450B-8D2E-4B2F3B528A82}" name="Kolonna12846"/>
    <tableColumn id="13185" xr3:uid="{12431E41-106E-453F-8B0A-AB19FBE56ED0}" name="Kolonna12847"/>
    <tableColumn id="13186" xr3:uid="{A633BFD7-1A83-4738-A515-DB7269174633}" name="Kolonna12848"/>
    <tableColumn id="13187" xr3:uid="{2ED7E60C-CB71-4DE4-9217-DD56CC02EE3E}" name="Kolonna12849"/>
    <tableColumn id="13188" xr3:uid="{1BF3AD2C-E78A-469B-8C35-67A477706EE5}" name="Kolonna12850"/>
    <tableColumn id="13189" xr3:uid="{1DADABE4-4A96-45EB-A267-576FA45C4448}" name="Kolonna12851"/>
    <tableColumn id="13190" xr3:uid="{829372F3-2A15-4776-A2B2-32A5290D374B}" name="Kolonna12852"/>
    <tableColumn id="13191" xr3:uid="{5865E89D-4FB1-4781-810D-2CB71E9C000F}" name="Kolonna12853"/>
    <tableColumn id="13192" xr3:uid="{2E1ADF13-7C1C-4A39-91FB-06A89F32B6AC}" name="Kolonna12854"/>
    <tableColumn id="13193" xr3:uid="{F17DA2F2-8DA0-4220-A428-D082E8319E8F}" name="Kolonna12855"/>
    <tableColumn id="13194" xr3:uid="{6357D071-28A7-4E7B-BFFB-91929932FF6D}" name="Kolonna12856"/>
    <tableColumn id="13195" xr3:uid="{E0D2175A-F5E2-407F-B9AB-CBF5A8B756C4}" name="Kolonna12857"/>
    <tableColumn id="13196" xr3:uid="{A8CF1283-C8BB-454A-9019-F945DE6CB9D2}" name="Kolonna12858"/>
    <tableColumn id="13197" xr3:uid="{7C17D704-C3C4-468B-8018-5B4F09D96766}" name="Kolonna12859"/>
    <tableColumn id="13198" xr3:uid="{B7B149BA-E9C0-4A60-823E-AEB599E8BA1D}" name="Kolonna12860"/>
    <tableColumn id="13199" xr3:uid="{A61CC513-EBC1-42CC-B6B7-2877BD52A031}" name="Kolonna12861"/>
    <tableColumn id="13200" xr3:uid="{A7631F0A-979A-4816-814E-8571E9A242CE}" name="Kolonna12862"/>
    <tableColumn id="13201" xr3:uid="{DC6E036D-9F4D-4A1B-9C91-4887778828B3}" name="Kolonna12863"/>
    <tableColumn id="13202" xr3:uid="{C9A0928E-46A4-42A1-B53B-E3C8039ED7EC}" name="Kolonna12864"/>
    <tableColumn id="13203" xr3:uid="{C2D88F65-1299-419E-8D0F-69E9BEB4BE56}" name="Kolonna12865"/>
    <tableColumn id="13204" xr3:uid="{6A8C73AB-03C9-4475-9CF7-7BDEA9D3F280}" name="Kolonna12866"/>
    <tableColumn id="13205" xr3:uid="{3BB2AE59-7DA6-43EC-AB4E-B95F430F6861}" name="Kolonna12867"/>
    <tableColumn id="13206" xr3:uid="{D8A12763-9C5E-4B92-ACB0-3C9B6C142093}" name="Kolonna12868"/>
    <tableColumn id="13207" xr3:uid="{630D9A47-0BE9-49D9-B2A8-0A146ABE924C}" name="Kolonna12869"/>
    <tableColumn id="13208" xr3:uid="{1418CB1E-94EF-4598-A2E2-03389E1758B7}" name="Kolonna12870"/>
    <tableColumn id="13209" xr3:uid="{FA2448CF-8ED4-450A-955B-2F68778C1BDF}" name="Kolonna12871"/>
    <tableColumn id="13210" xr3:uid="{4D46FB9A-1CFF-4349-94E8-2977111A79AF}" name="Kolonna12872"/>
    <tableColumn id="13211" xr3:uid="{0C035478-DEC3-4152-BBEB-F1AE69010691}" name="Kolonna12873"/>
    <tableColumn id="13212" xr3:uid="{FD321389-6FB7-4D62-94BF-7EE1AC569BDF}" name="Kolonna12874"/>
    <tableColumn id="13213" xr3:uid="{CBBA6C60-6393-481C-9A4C-5459366ED18B}" name="Kolonna12875"/>
    <tableColumn id="13214" xr3:uid="{96580C1E-871C-431F-81FE-B5E26508D87E}" name="Kolonna12876"/>
    <tableColumn id="13215" xr3:uid="{EC7D41BF-457C-4854-996B-8BC825954555}" name="Kolonna12877"/>
    <tableColumn id="13216" xr3:uid="{A90CC92E-E371-47FA-8AC0-39DD41ABEBC5}" name="Kolonna12878"/>
    <tableColumn id="13217" xr3:uid="{DDA5F263-2B4F-4476-92B4-246E232E55C1}" name="Kolonna12879"/>
    <tableColumn id="13218" xr3:uid="{F2162D51-C196-4E3A-A5DB-A12D4298915F}" name="Kolonna12880"/>
    <tableColumn id="13219" xr3:uid="{620DDAA3-1498-4231-B78D-84A458732CBE}" name="Kolonna12881"/>
    <tableColumn id="13220" xr3:uid="{D058219D-7110-4C6D-B95B-E1CE8FE7A081}" name="Kolonna12882"/>
    <tableColumn id="13221" xr3:uid="{55822826-24C4-4966-ACDB-3A74327D0F7A}" name="Kolonna12883"/>
    <tableColumn id="13222" xr3:uid="{86620B71-B56C-432F-98B0-966D6CF362D7}" name="Kolonna12884"/>
    <tableColumn id="13223" xr3:uid="{EDCEF86F-FA68-4294-9EE6-51C93136C2B5}" name="Kolonna12885"/>
    <tableColumn id="13224" xr3:uid="{2B1A5A1A-4423-496A-B56A-3F6EB3B1D88C}" name="Kolonna12886"/>
    <tableColumn id="13225" xr3:uid="{82DB2071-5056-4488-B6E5-864DA4879DB5}" name="Kolonna12887"/>
    <tableColumn id="13226" xr3:uid="{70A43675-3945-48BE-B487-D0494782D5A1}" name="Kolonna12888"/>
    <tableColumn id="13227" xr3:uid="{C89D3F28-7D8F-47B8-A6FE-AEBAC16DF997}" name="Kolonna12889"/>
    <tableColumn id="13228" xr3:uid="{43D09452-BAB7-4FA4-BAD8-914EFBA5EA1F}" name="Kolonna12890"/>
    <tableColumn id="13229" xr3:uid="{A9CE8E7E-C3C7-4BE3-88E7-93249B28F1E0}" name="Kolonna12891"/>
    <tableColumn id="13230" xr3:uid="{688D1AC4-7D8C-47E7-9205-4AD83A638AEA}" name="Kolonna12892"/>
    <tableColumn id="13231" xr3:uid="{892057A9-6949-4BB7-B97C-A134C86FC719}" name="Kolonna12893"/>
    <tableColumn id="13232" xr3:uid="{91DB8D75-0CDB-40AE-958E-0A2E53480013}" name="Kolonna12894"/>
    <tableColumn id="13233" xr3:uid="{9A779B12-771C-43F9-BA6A-8101B08D8DFF}" name="Kolonna12895"/>
    <tableColumn id="13234" xr3:uid="{EE5D1788-4B28-46D4-96E9-02B6B3CF3612}" name="Kolonna12896"/>
    <tableColumn id="13235" xr3:uid="{0942C077-31C8-421C-AEFD-50929231604F}" name="Kolonna12897"/>
    <tableColumn id="13236" xr3:uid="{C8399D7F-97A0-4177-B6EF-D77BE9CCE031}" name="Kolonna12898"/>
    <tableColumn id="13237" xr3:uid="{A49E7915-A4C9-44A7-8499-F55757B8DE49}" name="Kolonna12899"/>
    <tableColumn id="13238" xr3:uid="{DF0A101E-42C9-449C-884A-E6EA33045943}" name="Kolonna12900"/>
    <tableColumn id="13239" xr3:uid="{92F4B1DF-0EE9-48FA-8903-C5F90005B667}" name="Kolonna12901"/>
    <tableColumn id="13240" xr3:uid="{9DD2AEEC-D978-4345-990E-0644CA06D936}" name="Kolonna12902"/>
    <tableColumn id="13241" xr3:uid="{7A15B88A-5A11-4850-9DE4-4B8D81AEFCC4}" name="Kolonna12903"/>
    <tableColumn id="13242" xr3:uid="{4F7974F2-7657-47C6-9855-352F898EEE2F}" name="Kolonna12904"/>
    <tableColumn id="13243" xr3:uid="{F7F4168F-16C9-4CF8-BB11-D95966724A00}" name="Kolonna12905"/>
    <tableColumn id="13244" xr3:uid="{F450C692-6513-4872-AB0D-834A64C6F8E3}" name="Kolonna12906"/>
    <tableColumn id="13245" xr3:uid="{A9FB3B1F-DBEF-4917-8D3D-688321643A26}" name="Kolonna12907"/>
    <tableColumn id="13246" xr3:uid="{5B83AA4E-FC03-4B76-AD5A-07EB9D236425}" name="Kolonna12908"/>
    <tableColumn id="13247" xr3:uid="{A57A5273-0A1F-45B5-8092-82F58B66D0AC}" name="Kolonna12909"/>
    <tableColumn id="13248" xr3:uid="{2EACECDA-AFBA-438A-A10B-E3A86E6068C4}" name="Kolonna12910"/>
    <tableColumn id="13249" xr3:uid="{22148428-16B2-45A0-B35B-A10A950F8E1F}" name="Kolonna12911"/>
    <tableColumn id="13250" xr3:uid="{D42008F0-2C32-4A22-A6FE-53C82D580254}" name="Kolonna12912"/>
    <tableColumn id="13251" xr3:uid="{F95476D4-9E26-41EB-9BC3-8F85423E0A67}" name="Kolonna12913"/>
    <tableColumn id="13252" xr3:uid="{0E2B30DF-7246-4FEE-8902-E10894A930D7}" name="Kolonna12914"/>
    <tableColumn id="13253" xr3:uid="{3A337D66-CAF9-497C-B181-B82B361C34B3}" name="Kolonna12915"/>
    <tableColumn id="13254" xr3:uid="{3AD708E9-BB69-425E-8A8F-A6057015F2ED}" name="Kolonna12916"/>
    <tableColumn id="13255" xr3:uid="{F6168884-9C15-4F6D-8F99-744A080EDD27}" name="Kolonna12917"/>
    <tableColumn id="13256" xr3:uid="{7EC4331F-3C82-4D6D-BD43-3322B408C440}" name="Kolonna12918"/>
    <tableColumn id="13257" xr3:uid="{527E2DEA-B640-4807-93AF-04C93ACF3E7F}" name="Kolonna12919"/>
    <tableColumn id="13258" xr3:uid="{0AA801AE-E7F8-4D61-830B-822DD02EF765}" name="Kolonna12920"/>
    <tableColumn id="13259" xr3:uid="{FB878468-1CA2-400B-9ACF-9707EDC2656C}" name="Kolonna12921"/>
    <tableColumn id="13260" xr3:uid="{0A3E2FA6-5B8E-40D1-AE3E-407B1760ED31}" name="Kolonna12922"/>
    <tableColumn id="13261" xr3:uid="{48AFBD9A-B5F8-4F03-9C63-2BA914C30D81}" name="Kolonna12923"/>
    <tableColumn id="13262" xr3:uid="{3D27DACB-6018-4ACA-BE79-4AA294D63A0D}" name="Kolonna12924"/>
    <tableColumn id="13263" xr3:uid="{38026499-73D9-401F-AD26-5B4A5155BBB8}" name="Kolonna12925"/>
    <tableColumn id="13264" xr3:uid="{9B19A832-EB7E-4C3F-8502-DF31FF734E54}" name="Kolonna12926"/>
    <tableColumn id="13265" xr3:uid="{847D4D55-275B-4472-954B-19CFD2874E01}" name="Kolonna12927"/>
    <tableColumn id="13266" xr3:uid="{1889A571-B709-4C38-8205-B96BEF15B703}" name="Kolonna12928"/>
    <tableColumn id="13267" xr3:uid="{A7E40C4E-D4B8-4A0A-BB01-6BBBBA1B335E}" name="Kolonna12929"/>
    <tableColumn id="13268" xr3:uid="{0507CB2C-5F11-45D4-944B-A4DE1F8D64BB}" name="Kolonna12930"/>
    <tableColumn id="13269" xr3:uid="{7063CF3E-6E14-415A-84CE-4C75FA1E945D}" name="Kolonna12931"/>
    <tableColumn id="13270" xr3:uid="{EFABAC24-9FAD-4342-B493-154D99A7155D}" name="Kolonna12932"/>
    <tableColumn id="13271" xr3:uid="{C7D3C6F3-5234-497E-BE82-D5577340DD1E}" name="Kolonna12933"/>
    <tableColumn id="13272" xr3:uid="{E1F7264F-3463-41E7-AD26-C88B9F623BF4}" name="Kolonna12934"/>
    <tableColumn id="13273" xr3:uid="{027CE9CB-C907-4584-8CB9-6392403091CA}" name="Kolonna12935"/>
    <tableColumn id="13274" xr3:uid="{5E0A4F7D-F4C9-4142-BD1A-261D32AC57CA}" name="Kolonna12936"/>
    <tableColumn id="13275" xr3:uid="{D7F68D0B-2F6F-4BE0-B9F2-4072C774768E}" name="Kolonna12937"/>
    <tableColumn id="13276" xr3:uid="{6267E235-2DA7-4582-B9E1-FE4DB311A41C}" name="Kolonna12938"/>
    <tableColumn id="13277" xr3:uid="{9983BB45-4F45-4356-989C-4DBEAC07AF3A}" name="Kolonna12939"/>
    <tableColumn id="13278" xr3:uid="{41724C1F-4FAB-406D-BC41-ACE60EAA1294}" name="Kolonna12940"/>
    <tableColumn id="13279" xr3:uid="{C68A271D-1BC8-4543-9DDC-BB3FE1991447}" name="Kolonna12941"/>
    <tableColumn id="13280" xr3:uid="{05ADAC0D-5007-4F37-A3DA-3F6F417DA25E}" name="Kolonna12942"/>
    <tableColumn id="13281" xr3:uid="{D61973A1-8DAE-42AD-ACC6-B7DDF71198E7}" name="Kolonna12943"/>
    <tableColumn id="13282" xr3:uid="{7264994A-BA72-428A-973F-E78E1BA491E0}" name="Kolonna12944"/>
    <tableColumn id="13283" xr3:uid="{72B009BC-B7CE-4D49-A6D3-289E1DAC94F6}" name="Kolonna12945"/>
    <tableColumn id="13284" xr3:uid="{DEC9F910-7799-4CF7-91B4-8D1F0B245564}" name="Kolonna12946"/>
    <tableColumn id="13285" xr3:uid="{87986B06-BCE1-4A73-9305-63D92DB28C7D}" name="Kolonna12947"/>
    <tableColumn id="13286" xr3:uid="{839565FC-4752-4822-9F5A-665377AAE729}" name="Kolonna12948"/>
    <tableColumn id="13287" xr3:uid="{2175BD70-89DD-4E09-8E25-AA12142A37D0}" name="Kolonna12949"/>
    <tableColumn id="13288" xr3:uid="{564793E3-9BE5-4612-81CE-2BFE21266214}" name="Kolonna12950"/>
    <tableColumn id="13289" xr3:uid="{C935720D-B9AC-4364-9B65-4378ABDA992F}" name="Kolonna12951"/>
    <tableColumn id="13290" xr3:uid="{4946F793-2622-4547-B816-2C4ACE2AE690}" name="Kolonna12952"/>
    <tableColumn id="13291" xr3:uid="{DDDD3DC0-6321-48AC-9B75-8D8A38D4F3DE}" name="Kolonna12953"/>
    <tableColumn id="13292" xr3:uid="{EAD94887-8B46-47F5-93F4-FD291AD569F8}" name="Kolonna12954"/>
    <tableColumn id="13293" xr3:uid="{B7B33CDB-8CF6-4A09-B9FA-118706D424D7}" name="Kolonna12955"/>
    <tableColumn id="13294" xr3:uid="{86E3C4D4-3919-4882-A283-AFE849FA35F9}" name="Kolonna12956"/>
    <tableColumn id="13295" xr3:uid="{225D5DB6-4452-45E3-A283-9EE78FDF4B7D}" name="Kolonna12957"/>
    <tableColumn id="13296" xr3:uid="{5FF23B25-8F33-44E9-B11C-310C8BD10FD4}" name="Kolonna12958"/>
    <tableColumn id="13297" xr3:uid="{3AF182D7-C537-41B9-9C5B-9334C4E11FF2}" name="Kolonna12959"/>
    <tableColumn id="13298" xr3:uid="{1068F4A1-9811-4DAB-BEAE-14C244729D99}" name="Kolonna12960"/>
    <tableColumn id="13299" xr3:uid="{CD6710EB-4506-456A-B32B-FAED75EE84FE}" name="Kolonna12961"/>
    <tableColumn id="13300" xr3:uid="{A88EEE90-084B-4045-9083-44971AD5A32D}" name="Kolonna12962"/>
    <tableColumn id="13301" xr3:uid="{BF4B25F7-7512-4AF5-88EB-6B91141F9303}" name="Kolonna12963"/>
    <tableColumn id="13302" xr3:uid="{E44AD658-4E99-4EB7-A54B-E07B7761DBF0}" name="Kolonna12964"/>
    <tableColumn id="13303" xr3:uid="{8F99AE90-330C-4F06-B663-EC3D0D5AF540}" name="Kolonna12965"/>
    <tableColumn id="13304" xr3:uid="{057951FD-F059-4EB5-BECF-1B465E482916}" name="Kolonna12966"/>
    <tableColumn id="13305" xr3:uid="{FD44E06C-9799-45BD-A089-D79CA420C9D0}" name="Kolonna12967"/>
    <tableColumn id="13306" xr3:uid="{2E482408-9799-44AC-A68E-060E1083CB20}" name="Kolonna12968"/>
    <tableColumn id="13307" xr3:uid="{AFE92C83-F23E-4B3A-BC20-2BC6E096A180}" name="Kolonna12969"/>
    <tableColumn id="13308" xr3:uid="{BD876A24-2DF2-4D4B-8FB2-AA33C85BD1CD}" name="Kolonna12970"/>
    <tableColumn id="13309" xr3:uid="{7689A998-BCDB-486B-A3B9-536B253DFB17}" name="Kolonna12971"/>
    <tableColumn id="13310" xr3:uid="{137D39AB-7467-4CBF-856C-65DFAAE06978}" name="Kolonna12972"/>
    <tableColumn id="13311" xr3:uid="{A4D8E200-A15B-4993-951D-424AC93B7C76}" name="Kolonna12973"/>
    <tableColumn id="13312" xr3:uid="{B49CE40B-68B2-46CB-8513-C3D238DAA961}" name="Kolonna12974"/>
    <tableColumn id="13313" xr3:uid="{385E08B0-51B8-4D6F-BC74-4CFE8B1A7F87}" name="Kolonna12975"/>
    <tableColumn id="13314" xr3:uid="{C23E0F0D-E586-4394-A13A-B40139AD264B}" name="Kolonna12976"/>
    <tableColumn id="13315" xr3:uid="{C5DD70AD-0C7C-41F4-8085-AF192BFC3EFD}" name="Kolonna12977"/>
    <tableColumn id="13316" xr3:uid="{75E6BFCF-7F84-47A6-87FA-A4A8971F35B2}" name="Kolonna12978"/>
    <tableColumn id="13317" xr3:uid="{6FE77C30-D530-4863-B80B-D7E3C0697B8A}" name="Kolonna12979"/>
    <tableColumn id="13318" xr3:uid="{64D10387-6796-47A4-B61D-052FF9763E08}" name="Kolonna12980"/>
    <tableColumn id="13319" xr3:uid="{602663C5-0FE1-40DE-BE7D-687778AF37E2}" name="Kolonna12981"/>
    <tableColumn id="13320" xr3:uid="{5FF17FDF-EF8E-4C5D-B263-A2699245CFA3}" name="Kolonna12982"/>
    <tableColumn id="13321" xr3:uid="{0EFCDDFE-A553-4AB1-94F6-2B7193EB0D72}" name="Kolonna12983"/>
    <tableColumn id="13322" xr3:uid="{384F0C2C-9BB0-4F15-96BF-1856B233AB3C}" name="Kolonna12984"/>
    <tableColumn id="13323" xr3:uid="{C2B00DFA-6A8D-441B-82C7-5C220127953B}" name="Kolonna12985"/>
    <tableColumn id="13324" xr3:uid="{DC335DC1-4CAF-43DA-B9F1-03800BAE9480}" name="Kolonna12986"/>
    <tableColumn id="13325" xr3:uid="{0494B76D-A6E2-4AB4-80F8-73D9CD016447}" name="Kolonna12987"/>
    <tableColumn id="13326" xr3:uid="{04FB966A-C81B-4EC0-BA75-E94440BF6200}" name="Kolonna12988"/>
    <tableColumn id="13327" xr3:uid="{EAF80DC6-150F-42B1-A763-13D3782BA410}" name="Kolonna12989"/>
    <tableColumn id="13328" xr3:uid="{F2D88B4C-6359-4542-8E31-6511702C42DA}" name="Kolonna12990"/>
    <tableColumn id="13329" xr3:uid="{8EF5C1DD-EC2B-411B-8B83-7FCED8F6DC0A}" name="Kolonna12991"/>
    <tableColumn id="13330" xr3:uid="{31225E59-680A-4F3E-8A24-402F6B0DA81F}" name="Kolonna12992"/>
    <tableColumn id="13331" xr3:uid="{58A0AAD8-FCC3-44BD-BCA1-DC2584A70D7F}" name="Kolonna12993"/>
    <tableColumn id="13332" xr3:uid="{CBE19C54-9AC7-4528-991C-CBB91C2B292E}" name="Kolonna12994"/>
    <tableColumn id="13333" xr3:uid="{052ECF23-9F1B-46BF-9689-56FC1C4F9205}" name="Kolonna12995"/>
    <tableColumn id="13334" xr3:uid="{BBF4A136-75CC-4DC4-BD93-0E31C3851BD0}" name="Kolonna12996"/>
    <tableColumn id="13335" xr3:uid="{320CBA45-A183-4E95-8DC4-80C5C721DEF4}" name="Kolonna12997"/>
    <tableColumn id="13336" xr3:uid="{3353FE06-9FA9-42D2-A525-4821A51155E4}" name="Kolonna12998"/>
    <tableColumn id="13337" xr3:uid="{42444F23-E0A2-423C-9F26-207A34B6D2E8}" name="Kolonna12999"/>
    <tableColumn id="13338" xr3:uid="{FA1347C1-8ECA-4519-BCBE-26A2BE7F8F18}" name="Kolonna13000"/>
    <tableColumn id="13339" xr3:uid="{0E67696A-51A7-4809-BA9C-953F62162154}" name="Kolonna13001"/>
    <tableColumn id="13340" xr3:uid="{C5B5D6A0-4E51-4E88-98D3-516855CA7A62}" name="Kolonna13002"/>
    <tableColumn id="13341" xr3:uid="{EDE5667D-09E4-46A3-86A1-BE7144730DE4}" name="Kolonna13003"/>
    <tableColumn id="13342" xr3:uid="{B23EB4DC-BDD2-4868-8CB1-E3F026D502BA}" name="Kolonna13004"/>
    <tableColumn id="13343" xr3:uid="{E77767AD-DC3F-4764-8E82-2DE24C77776A}" name="Kolonna13005"/>
    <tableColumn id="13344" xr3:uid="{9ED040E6-F75F-451E-A99A-DC072079D427}" name="Kolonna13006"/>
    <tableColumn id="13345" xr3:uid="{2D298A9A-B7BA-413A-A886-6C86D5E6CC35}" name="Kolonna13007"/>
    <tableColumn id="13346" xr3:uid="{A9CD31C7-4FCC-47DB-874F-2197A766F453}" name="Kolonna13008"/>
    <tableColumn id="13347" xr3:uid="{AF87C450-0C7D-4CB9-B7C2-60849B18358C}" name="Kolonna13009"/>
    <tableColumn id="13348" xr3:uid="{8D3EC75A-38CD-4A5F-AFE5-A7FF25EEDE5C}" name="Kolonna13010"/>
    <tableColumn id="13349" xr3:uid="{C396BAA8-2B07-4DD7-BBEB-C6C2F14EA4DD}" name="Kolonna13011"/>
    <tableColumn id="13350" xr3:uid="{1FEB7035-09FC-4B41-BD37-A3CA2AC584F5}" name="Kolonna13012"/>
    <tableColumn id="13351" xr3:uid="{A16EFF38-34EE-4DF9-B73B-121B0259D315}" name="Kolonna13013"/>
    <tableColumn id="13352" xr3:uid="{252F3419-70E2-40C9-9956-9AFCDAA5528A}" name="Kolonna13014"/>
    <tableColumn id="13353" xr3:uid="{D714E7D1-8B83-401A-9F88-81A0B7AC3FA4}" name="Kolonna13015"/>
    <tableColumn id="13354" xr3:uid="{D6E1B479-9F18-40A5-9D75-41BAC4097C63}" name="Kolonna13016"/>
    <tableColumn id="13355" xr3:uid="{F178FE1F-5EAB-4318-8630-DE6453886938}" name="Kolonna13017"/>
    <tableColumn id="13356" xr3:uid="{713A49CD-9CF8-4FBD-A911-BD14DDAC18F1}" name="Kolonna13018"/>
    <tableColumn id="13357" xr3:uid="{F283D229-74F8-4612-9D90-CE03BBAD9406}" name="Kolonna13019"/>
    <tableColumn id="13358" xr3:uid="{76BEB783-C160-4AE9-80C7-182B99913610}" name="Kolonna13020"/>
    <tableColumn id="13359" xr3:uid="{010CF516-AC79-4FF4-89C8-86266F6B0E6F}" name="Kolonna13021"/>
    <tableColumn id="13360" xr3:uid="{3A9E6391-F527-489F-835D-415E6BE5AB37}" name="Kolonna13022"/>
    <tableColumn id="13361" xr3:uid="{0DE2A2B1-CABB-4864-851E-580E40AD5BC8}" name="Kolonna13023"/>
    <tableColumn id="13362" xr3:uid="{FB1C4EF5-0123-481E-BF34-EA9B7125BC41}" name="Kolonna13024"/>
    <tableColumn id="13363" xr3:uid="{02045A57-9C7C-4C50-8357-B1FE84462006}" name="Kolonna13025"/>
    <tableColumn id="13364" xr3:uid="{77BD1CAB-C1D1-43A6-996F-37299ECA49BA}" name="Kolonna13026"/>
    <tableColumn id="13365" xr3:uid="{F85B8F4E-A4CD-4B2F-89DA-5A4064C36C1D}" name="Kolonna13027"/>
    <tableColumn id="13366" xr3:uid="{9ACA3624-D1C9-4D5A-B92E-B34EFC413858}" name="Kolonna13028"/>
    <tableColumn id="13367" xr3:uid="{C8D22D66-1ADF-4105-BFB0-1B74A9CD3165}" name="Kolonna13029"/>
    <tableColumn id="13368" xr3:uid="{23A4E9BB-0A88-4643-8174-7D5096E9CE39}" name="Kolonna13030"/>
    <tableColumn id="13369" xr3:uid="{4FF1F9AC-A39B-4F8B-AEFA-67C038A7C800}" name="Kolonna13031"/>
    <tableColumn id="13370" xr3:uid="{9A1F3425-EF6A-4883-BF75-0DB4D3FFA960}" name="Kolonna13032"/>
    <tableColumn id="13371" xr3:uid="{44FC5582-BDB0-4887-BECD-C76505A018BD}" name="Kolonna13033"/>
    <tableColumn id="13372" xr3:uid="{864FDE64-2394-43CD-A445-614ABEDF027E}" name="Kolonna13034"/>
    <tableColumn id="13373" xr3:uid="{AEA962A1-48B0-4985-8A2B-C0EB9F9821D8}" name="Kolonna13035"/>
    <tableColumn id="13374" xr3:uid="{813C0521-DA49-4C19-9D73-D573AFEE684C}" name="Kolonna13036"/>
    <tableColumn id="13375" xr3:uid="{34ED1FF6-C0C1-408E-B970-71649C8AFFF2}" name="Kolonna13037"/>
    <tableColumn id="13376" xr3:uid="{9084DDB7-F695-4287-BD54-5DA1117F3EC5}" name="Kolonna13038"/>
    <tableColumn id="13377" xr3:uid="{65DC76F3-367C-48D0-94F3-2BBE2FE9AF59}" name="Kolonna13039"/>
    <tableColumn id="13378" xr3:uid="{E9D5DF18-3740-4FC8-A2B5-1672AD5B7304}" name="Kolonna13040"/>
    <tableColumn id="13379" xr3:uid="{5B5F05FF-B6BC-4290-BF63-327BE06817F8}" name="Kolonna13041"/>
    <tableColumn id="13380" xr3:uid="{2AB3181F-DCB8-43FD-B224-E20D3ACB2872}" name="Kolonna13042"/>
    <tableColumn id="13381" xr3:uid="{15247F88-FAEB-482B-927A-4BE4D0297CE8}" name="Kolonna13043"/>
    <tableColumn id="13382" xr3:uid="{28139044-B572-4705-B144-E840C7ED9988}" name="Kolonna13044"/>
    <tableColumn id="13383" xr3:uid="{8EAAD89E-798C-4371-9672-AB4817BFDC14}" name="Kolonna13045"/>
    <tableColumn id="13384" xr3:uid="{198488AE-D9C0-4945-82CE-5C78FB49DFE6}" name="Kolonna13046"/>
    <tableColumn id="13385" xr3:uid="{C5F7BA10-7D16-4BA5-8C14-F38F3913F391}" name="Kolonna13047"/>
    <tableColumn id="13386" xr3:uid="{63228E24-53B7-462D-BA14-529E788EBA20}" name="Kolonna13048"/>
    <tableColumn id="13387" xr3:uid="{7E83AE0F-683B-42BA-A587-10A4C11A75AE}" name="Kolonna13049"/>
    <tableColumn id="13388" xr3:uid="{70FFE8ED-C100-43C9-9491-EA16114EE719}" name="Kolonna13050"/>
    <tableColumn id="13389" xr3:uid="{1B17FD4B-0F52-4F2E-8294-6513F23CD4A4}" name="Kolonna13051"/>
    <tableColumn id="13390" xr3:uid="{3D275641-7B7B-4251-A5B3-C9D42ADA0241}" name="Kolonna13052"/>
    <tableColumn id="13391" xr3:uid="{82DF6D99-38A9-43E9-9187-DC9633FFA733}" name="Kolonna13053"/>
    <tableColumn id="13392" xr3:uid="{997552B8-5443-43E1-8ADA-92F21E44267B}" name="Kolonna13054"/>
    <tableColumn id="13393" xr3:uid="{61CA0E08-4295-406B-A75B-DD38793C8886}" name="Kolonna13055"/>
    <tableColumn id="13394" xr3:uid="{E4E31A2F-A14B-43CF-94D1-F74B8925A8C5}" name="Kolonna13056"/>
    <tableColumn id="13395" xr3:uid="{7728C1B5-FA7B-4996-9F33-5D6879FD048F}" name="Kolonna13057"/>
    <tableColumn id="13396" xr3:uid="{B4E1ED69-2E4B-4BA2-80DE-01416F2D41B6}" name="Kolonna13058"/>
    <tableColumn id="13397" xr3:uid="{1D507284-FB36-48F8-8F4A-730A2E19BDF3}" name="Kolonna13059"/>
    <tableColumn id="13398" xr3:uid="{B169998B-188C-40B5-AA3A-88A2D8917352}" name="Kolonna13060"/>
    <tableColumn id="13399" xr3:uid="{0F4E3AEF-0457-40D6-BDFF-FC7DF914294C}" name="Kolonna13061"/>
    <tableColumn id="13400" xr3:uid="{1F2582F5-1824-432D-8831-C15A40EBDF8A}" name="Kolonna13062"/>
    <tableColumn id="13401" xr3:uid="{C0967152-C94A-4B61-BEB2-1326F91B739C}" name="Kolonna13063"/>
    <tableColumn id="13402" xr3:uid="{1735C3D2-6884-41F9-9D17-D1FBA9E81778}" name="Kolonna13064"/>
    <tableColumn id="13403" xr3:uid="{7506F7B0-8CF9-406D-AE4F-D9CE50BC4D21}" name="Kolonna13065"/>
    <tableColumn id="13404" xr3:uid="{42A5FA62-058F-4C86-A426-C09E09CC70E1}" name="Kolonna13066"/>
    <tableColumn id="13405" xr3:uid="{5A517EC4-8044-44B0-BFDC-016877BD669F}" name="Kolonna13067"/>
    <tableColumn id="13406" xr3:uid="{BDD25F25-38CA-4E9D-8730-F66FB4F6C300}" name="Kolonna13068"/>
    <tableColumn id="13407" xr3:uid="{A3FB9910-246D-4BF1-91C7-562B3595B80E}" name="Kolonna13069"/>
    <tableColumn id="13408" xr3:uid="{8E394DB9-5B13-4E42-ABB8-5105B08DF82A}" name="Kolonna13070"/>
    <tableColumn id="13409" xr3:uid="{77A60972-F239-4D81-8D2A-F0A5CD27FBD5}" name="Kolonna13071"/>
    <tableColumn id="13410" xr3:uid="{B85DD41C-90FF-442D-BFEC-1D4607455B9B}" name="Kolonna13072"/>
    <tableColumn id="13411" xr3:uid="{DEB52516-D9E9-44E4-9037-120DBA19C1C1}" name="Kolonna13073"/>
    <tableColumn id="13412" xr3:uid="{E6CEEDC9-1CE1-4EFD-9A14-BFCBDD32BAB9}" name="Kolonna13074"/>
    <tableColumn id="13413" xr3:uid="{51E546F0-FF49-4DF4-94DF-795BB7347011}" name="Kolonna13075"/>
    <tableColumn id="13414" xr3:uid="{B7C1EE01-610E-4BA1-954A-7503438A27A8}" name="Kolonna13076"/>
    <tableColumn id="13415" xr3:uid="{635CE6E2-B455-4CCD-829C-C9A3FBCD96F9}" name="Kolonna13077"/>
    <tableColumn id="13416" xr3:uid="{3CC8B238-78BD-4589-8353-8CA75CABD151}" name="Kolonna13078"/>
    <tableColumn id="13417" xr3:uid="{B0EE013F-BB60-469F-8885-16884C76F45C}" name="Kolonna13079"/>
    <tableColumn id="13418" xr3:uid="{CFC044F9-F6BF-4BEB-B7E5-014A4194586F}" name="Kolonna13080"/>
    <tableColumn id="13419" xr3:uid="{31F0D42C-64E7-4040-9150-D486436B50C2}" name="Kolonna13081"/>
    <tableColumn id="13420" xr3:uid="{4C1476A0-9A31-40FF-B30B-80A681418121}" name="Kolonna13082"/>
    <tableColumn id="13421" xr3:uid="{F79D6CF5-9EDD-4C1A-A305-4EA4F4AC1618}" name="Kolonna13083"/>
    <tableColumn id="13422" xr3:uid="{614B8F19-F5F7-486D-ADC7-6FFA34C7B285}" name="Kolonna13084"/>
    <tableColumn id="13423" xr3:uid="{741BF075-7463-4985-A3B6-F812F10FC326}" name="Kolonna13085"/>
    <tableColumn id="13424" xr3:uid="{82002CB7-849B-4006-B59D-25A98168A89F}" name="Kolonna13086"/>
    <tableColumn id="13425" xr3:uid="{AE5DD912-8CC9-4AC5-80EF-C3D7268D05DD}" name="Kolonna13087"/>
    <tableColumn id="13426" xr3:uid="{958015E7-343D-418A-A8E0-955189CB4E8A}" name="Kolonna13088"/>
    <tableColumn id="13427" xr3:uid="{50B62BCD-476A-49D3-BFDF-5A481696823E}" name="Kolonna13089"/>
    <tableColumn id="13428" xr3:uid="{0EC7D325-4F06-458D-844F-271B494B3AE3}" name="Kolonna13090"/>
    <tableColumn id="13429" xr3:uid="{F37C77D6-B64D-41E5-BDA8-C698D8A1F1A8}" name="Kolonna13091"/>
    <tableColumn id="13430" xr3:uid="{4C138B1B-9FF4-43ED-915A-18818E36DEEB}" name="Kolonna13092"/>
    <tableColumn id="13431" xr3:uid="{668165C0-12BB-4AC9-8CF9-333250D2B41A}" name="Kolonna13093"/>
    <tableColumn id="13432" xr3:uid="{165224D1-6DAE-44BB-BB28-BB37CD3D6707}" name="Kolonna13094"/>
    <tableColumn id="13433" xr3:uid="{7E17279E-25A5-4A1C-B6B2-3B17B58BA794}" name="Kolonna13095"/>
    <tableColumn id="13434" xr3:uid="{7639C31D-E22D-4FBC-8DC5-254D6E0AD273}" name="Kolonna13096"/>
    <tableColumn id="13435" xr3:uid="{E266BED4-85AE-4817-97F1-53CADF5D16BE}" name="Kolonna13097"/>
    <tableColumn id="13436" xr3:uid="{3185092C-291B-4A52-9122-A9D37E100FD5}" name="Kolonna13098"/>
    <tableColumn id="13437" xr3:uid="{3BCD851A-165A-49EF-B558-3896A2F6934E}" name="Kolonna13099"/>
    <tableColumn id="13438" xr3:uid="{13A6BC7C-F250-4662-AFDD-D468491E24A3}" name="Kolonna13100"/>
    <tableColumn id="13439" xr3:uid="{3EACC2E1-9000-4F3C-B7FB-722377A5E994}" name="Kolonna13101"/>
    <tableColumn id="13440" xr3:uid="{42A5EDE1-C03B-4A69-9FA2-663EDA0FEB58}" name="Kolonna13102"/>
    <tableColumn id="13441" xr3:uid="{B388249D-2317-40C9-A82A-49C06B51099A}" name="Kolonna13103"/>
    <tableColumn id="13442" xr3:uid="{327C9CAF-8DBD-439A-8BC4-2E8F8C66D8A2}" name="Kolonna13104"/>
    <tableColumn id="13443" xr3:uid="{728B3770-7DB2-4AC0-B979-466FE6EEB361}" name="Kolonna13105"/>
    <tableColumn id="13444" xr3:uid="{1C49A094-FE54-417D-B000-A6219491FD41}" name="Kolonna13106"/>
    <tableColumn id="13445" xr3:uid="{2DE08F7B-B5D7-4DF3-A9E9-D17E15E978F3}" name="Kolonna13107"/>
    <tableColumn id="13446" xr3:uid="{642D016E-71AA-48F0-A4B2-8C10309D86AE}" name="Kolonna13108"/>
    <tableColumn id="13447" xr3:uid="{79F3EC87-8578-4B07-BD6E-C014BA706827}" name="Kolonna13109"/>
    <tableColumn id="13448" xr3:uid="{5809F7F9-C681-4E45-9A44-789489D7155E}" name="Kolonna13110"/>
    <tableColumn id="13449" xr3:uid="{960F1E0D-16C9-4AF3-8209-71732A966D5B}" name="Kolonna13111"/>
    <tableColumn id="13450" xr3:uid="{2E248641-1D8E-40B7-95CB-3943F8601927}" name="Kolonna13112"/>
    <tableColumn id="13451" xr3:uid="{EC598FDE-AC14-46FC-8179-28A46C146329}" name="Kolonna13113"/>
    <tableColumn id="13452" xr3:uid="{2A1E8484-0B1B-4006-90BA-82249B3B60B8}" name="Kolonna13114"/>
    <tableColumn id="13453" xr3:uid="{709D73EF-3DD6-4E34-AAF6-4270B38D6F46}" name="Kolonna13115"/>
    <tableColumn id="13454" xr3:uid="{C0CDFA37-08DD-4021-B0C8-9CA5FC541801}" name="Kolonna13116"/>
    <tableColumn id="13455" xr3:uid="{CF8040BF-8DF0-4E2D-935C-764BEE0F036C}" name="Kolonna13117"/>
    <tableColumn id="13456" xr3:uid="{5BA2ABB6-A263-4B82-986C-F3A84F5A1E88}" name="Kolonna13118"/>
    <tableColumn id="13457" xr3:uid="{4DB9D50B-4E5B-4F76-A102-DECF28060C47}" name="Kolonna13119"/>
    <tableColumn id="13458" xr3:uid="{0968492E-15E4-4A9F-A145-3CB92964C0C9}" name="Kolonna13120"/>
    <tableColumn id="13459" xr3:uid="{B703345F-EDF2-43D1-BB1C-72011A9C7243}" name="Kolonna13121"/>
    <tableColumn id="13460" xr3:uid="{1EFBD03A-7F45-4A83-9FB8-FC2850855275}" name="Kolonna13122"/>
    <tableColumn id="13461" xr3:uid="{C3D76C9F-7105-44E7-8B12-8861642A5985}" name="Kolonna13123"/>
    <tableColumn id="13462" xr3:uid="{AF0FFD1B-560B-4F15-9E3D-78C68C586D86}" name="Kolonna13124"/>
    <tableColumn id="13463" xr3:uid="{E9FE72DA-8257-4565-83D4-C242D8E81403}" name="Kolonna13125"/>
    <tableColumn id="13464" xr3:uid="{98517AFA-CA6A-4F13-8570-D4DFC1B14305}" name="Kolonna13126"/>
    <tableColumn id="13465" xr3:uid="{5F2B920D-F775-463E-AB21-610FFC966A98}" name="Kolonna13127"/>
    <tableColumn id="13466" xr3:uid="{5E2E811D-B696-4FCD-8F0C-49322B707173}" name="Kolonna13128"/>
    <tableColumn id="13467" xr3:uid="{84ABD0E0-A877-4CB1-B2EB-900C9BF2884D}" name="Kolonna13129"/>
    <tableColumn id="13468" xr3:uid="{773D7504-C7F6-4E22-A60F-97BB679304F8}" name="Kolonna13130"/>
    <tableColumn id="13469" xr3:uid="{4FCDF6F0-4626-42DF-95BB-5E6EDC2DB0FF}" name="Kolonna13131"/>
    <tableColumn id="13470" xr3:uid="{FBD7D1A4-5A61-42D9-A940-B1EDC5323BF1}" name="Kolonna13132"/>
    <tableColumn id="13471" xr3:uid="{3BBDDA46-7C70-439D-BD53-79DACAC01362}" name="Kolonna13133"/>
    <tableColumn id="13472" xr3:uid="{0DBC04E5-5C86-47DB-B009-E259C256A10E}" name="Kolonna13134"/>
    <tableColumn id="13473" xr3:uid="{19073754-D895-4E16-820A-5FD9126CC8E6}" name="Kolonna13135"/>
    <tableColumn id="13474" xr3:uid="{3FD0D3BA-6B74-42F9-B974-44FA025C2C1C}" name="Kolonna13136"/>
    <tableColumn id="13475" xr3:uid="{1623C8C5-6AFF-4113-8EFB-C987C775A6BD}" name="Kolonna13137"/>
    <tableColumn id="13476" xr3:uid="{CE9A19A6-44BA-404B-9AB1-32276FB2D5E2}" name="Kolonna13138"/>
    <tableColumn id="13477" xr3:uid="{44B93E17-934D-48D9-93EE-D7359AA2C04F}" name="Kolonna13139"/>
    <tableColumn id="13478" xr3:uid="{5D210443-1E57-4284-8DCA-DD18736812D3}" name="Kolonna13140"/>
    <tableColumn id="13479" xr3:uid="{E3DBC712-3462-4397-A955-DAEAF438FA95}" name="Kolonna13141"/>
    <tableColumn id="13480" xr3:uid="{C1C9D12E-AF3D-4978-950A-6B3199291388}" name="Kolonna13142"/>
    <tableColumn id="13481" xr3:uid="{D1C26B6F-3AB4-4BB0-BFF2-5CC31819CA2F}" name="Kolonna13143"/>
    <tableColumn id="13482" xr3:uid="{631A22DE-24F7-4F0D-9966-A64D4E211AFE}" name="Kolonna13144"/>
    <tableColumn id="13483" xr3:uid="{0A3877D4-38C6-4EC6-B7F2-BC0F94067BB2}" name="Kolonna13145"/>
    <tableColumn id="13484" xr3:uid="{67502365-F60E-41CC-A31F-9FF8E0595B86}" name="Kolonna13146"/>
    <tableColumn id="13485" xr3:uid="{9F6F865A-0B3C-437B-BFC1-408F26EB8DAF}" name="Kolonna13147"/>
    <tableColumn id="13486" xr3:uid="{389F42C9-B8EC-41FC-9EB6-FE0CC4140997}" name="Kolonna13148"/>
    <tableColumn id="13487" xr3:uid="{EFDD4E34-CE0D-4680-A9A3-EACECEBC3C78}" name="Kolonna13149"/>
    <tableColumn id="13488" xr3:uid="{6965E178-F210-46B8-A92E-998E51931A69}" name="Kolonna13150"/>
    <tableColumn id="13489" xr3:uid="{EA421998-1097-4205-827E-946AFD93E0C5}" name="Kolonna13151"/>
    <tableColumn id="13490" xr3:uid="{1A79C42A-BD29-4880-8456-0FAE0C680527}" name="Kolonna13152"/>
    <tableColumn id="13491" xr3:uid="{3E7346B6-1FD3-45B6-B350-0447612E3B5F}" name="Kolonna13153"/>
    <tableColumn id="13492" xr3:uid="{C67708F3-8D23-4781-B468-62C805F49AB2}" name="Kolonna13154"/>
    <tableColumn id="13493" xr3:uid="{17724F70-D9A0-4A28-9928-3BE76BE7890A}" name="Kolonna13155"/>
    <tableColumn id="13494" xr3:uid="{ECE3669E-F3D6-4B0A-ABF6-569B0854A74E}" name="Kolonna13156"/>
    <tableColumn id="13495" xr3:uid="{F841836D-A876-4F94-A050-3537E214A76E}" name="Kolonna13157"/>
    <tableColumn id="13496" xr3:uid="{EB1D6D6D-4C09-4B3E-8931-115ADE709DA3}" name="Kolonna13158"/>
    <tableColumn id="13497" xr3:uid="{E0AE8FF7-3CA9-4C21-B086-54E8195BAC04}" name="Kolonna13159"/>
    <tableColumn id="13498" xr3:uid="{748D163B-1AAA-4312-89B4-DBF19C86CC41}" name="Kolonna13160"/>
    <tableColumn id="13499" xr3:uid="{5E6550C4-F3D9-43DB-B370-9D2E68EFC687}" name="Kolonna13161"/>
    <tableColumn id="13500" xr3:uid="{FAE1178E-9186-4CF4-8E6E-095CAA9F9D8B}" name="Kolonna13162"/>
    <tableColumn id="13501" xr3:uid="{5125BFA7-F49F-450C-894C-C84AD54AC5F7}" name="Kolonna13163"/>
    <tableColumn id="13502" xr3:uid="{0EE5C796-D996-4304-B280-9E39A0ED957D}" name="Kolonna13164"/>
    <tableColumn id="13503" xr3:uid="{87D1A987-37F2-4819-8F53-801FB64B6F54}" name="Kolonna13165"/>
    <tableColumn id="13504" xr3:uid="{F7AA8367-4A9A-426A-B7AB-31045011CB28}" name="Kolonna13166"/>
    <tableColumn id="13505" xr3:uid="{E3856A85-B85E-45D9-9E6F-CA9C5A94B6A8}" name="Kolonna13167"/>
    <tableColumn id="13506" xr3:uid="{0ECC4465-2071-46BC-8939-199C8BB13650}" name="Kolonna13168"/>
    <tableColumn id="13507" xr3:uid="{6A47E673-DB09-4778-845E-26F00AE052BF}" name="Kolonna13169"/>
    <tableColumn id="13508" xr3:uid="{34A2C1DF-E6D2-4590-A3AC-0B208C13BF43}" name="Kolonna13170"/>
    <tableColumn id="13509" xr3:uid="{B203CB2B-4DA0-4E82-BA9B-2B567751AE1D}" name="Kolonna13171"/>
    <tableColumn id="13510" xr3:uid="{A2022D66-0B67-4BD6-950E-D119891D1773}" name="Kolonna13172"/>
    <tableColumn id="13511" xr3:uid="{B58471CF-A2CC-4EC2-8C30-76301820D476}" name="Kolonna13173"/>
    <tableColumn id="13512" xr3:uid="{74EBEB38-DF94-41A0-9D12-17920FD801FA}" name="Kolonna13174"/>
    <tableColumn id="13513" xr3:uid="{417AB04E-8B90-4746-8EB3-AD657F4A3FAE}" name="Kolonna13175"/>
    <tableColumn id="13514" xr3:uid="{D61F2087-A2A0-4D8B-A054-CEBEFBAE1894}" name="Kolonna13176"/>
    <tableColumn id="13515" xr3:uid="{1EA1EF15-1073-40D4-BC2B-9CA5A5C80BF7}" name="Kolonna13177"/>
    <tableColumn id="13516" xr3:uid="{5EDC3C1F-2F8B-47EA-9EB4-3E1617F7CCC2}" name="Kolonna13178"/>
    <tableColumn id="13517" xr3:uid="{90F0EF2E-FC23-4A4D-B3BC-695CA3F022E4}" name="Kolonna13179"/>
    <tableColumn id="13518" xr3:uid="{2364705E-85F3-494F-A5EA-0ABA141A5E5B}" name="Kolonna13180"/>
    <tableColumn id="13519" xr3:uid="{29564F6E-20D9-450C-98AD-DE8E99B99797}" name="Kolonna13181"/>
    <tableColumn id="13520" xr3:uid="{65CECD72-3585-4A93-B7D8-AAFA93F05ED9}" name="Kolonna13182"/>
    <tableColumn id="13521" xr3:uid="{D70E2799-E095-4B68-A6D9-F157EFFE2EA5}" name="Kolonna13183"/>
    <tableColumn id="13522" xr3:uid="{0AA4F209-5A27-4C66-8284-428E01EC7DBC}" name="Kolonna13184"/>
    <tableColumn id="13523" xr3:uid="{7C68C7ED-F16F-4369-B5E7-09CCC9A30AC2}" name="Kolonna13185"/>
    <tableColumn id="13524" xr3:uid="{51C9460E-34F4-419B-AE2B-35C1CA5FEBC2}" name="Kolonna13186"/>
    <tableColumn id="13525" xr3:uid="{E62EA9EB-1621-4E2D-B4C3-BD1453A9C20E}" name="Kolonna13187"/>
    <tableColumn id="13526" xr3:uid="{C3858ED0-8BA9-4F49-B1D9-556C188A0B52}" name="Kolonna13188"/>
    <tableColumn id="13527" xr3:uid="{B1D67917-2074-4E36-9D61-3F847EBC31F9}" name="Kolonna13189"/>
    <tableColumn id="13528" xr3:uid="{EF452C51-5D30-485C-86E6-95C75040F7E1}" name="Kolonna13190"/>
    <tableColumn id="13529" xr3:uid="{8FD30EC3-B508-417A-8669-8F4DA9EC2AFA}" name="Kolonna13191"/>
    <tableColumn id="13530" xr3:uid="{498ACBCB-64AD-4074-B257-7728049DA785}" name="Kolonna13192"/>
    <tableColumn id="13531" xr3:uid="{64FF0CC6-AD9C-4C29-BE2B-D0A9FEF8D101}" name="Kolonna13193"/>
    <tableColumn id="13532" xr3:uid="{666DBB64-60F7-4C10-B173-1D363FEFC620}" name="Kolonna13194"/>
    <tableColumn id="13533" xr3:uid="{F7AF4593-BE15-4633-9E9F-74EC5AA20829}" name="Kolonna13195"/>
    <tableColumn id="13534" xr3:uid="{3C7E1388-4EB2-4EEE-A846-7054EA22F484}" name="Kolonna13196"/>
    <tableColumn id="13535" xr3:uid="{1A28BC1C-27FC-4C31-9AD4-B190CC5E73DE}" name="Kolonna13197"/>
    <tableColumn id="13536" xr3:uid="{922A8E60-62C2-47E0-BA0F-1070967EE92C}" name="Kolonna13198"/>
    <tableColumn id="13537" xr3:uid="{52DB3D12-5289-454A-B300-2CBDE1D43DE0}" name="Kolonna13199"/>
    <tableColumn id="13538" xr3:uid="{BCB02D34-832D-47D1-8DF3-34C7A64A25F3}" name="Kolonna13200"/>
    <tableColumn id="13539" xr3:uid="{72F901B3-E245-480B-90A8-A8B657E24ED3}" name="Kolonna13201"/>
    <tableColumn id="13540" xr3:uid="{A7DC9BDB-9A3C-4BAD-B2E6-2C8BA07AB4C9}" name="Kolonna13202"/>
    <tableColumn id="13541" xr3:uid="{AF6473BF-352C-4312-9CA6-CAE895537EC9}" name="Kolonna13203"/>
    <tableColumn id="13542" xr3:uid="{95379247-4EE6-419B-9ED0-7E7CCF7CC00B}" name="Kolonna13204"/>
    <tableColumn id="13543" xr3:uid="{84649354-D494-41F0-8DE9-5C48257C8567}" name="Kolonna13205"/>
    <tableColumn id="13544" xr3:uid="{6C0228A0-2715-473F-B3ED-F46D10BF436F}" name="Kolonna13206"/>
    <tableColumn id="13545" xr3:uid="{E0AD8500-3718-4B23-A403-4362A9150123}" name="Kolonna13207"/>
    <tableColumn id="13546" xr3:uid="{2A57E8F0-F1E7-44A5-93FB-347D757440D5}" name="Kolonna13208"/>
    <tableColumn id="13547" xr3:uid="{30C4AC36-4F37-4F65-A1EB-3DC170E855DF}" name="Kolonna13209"/>
    <tableColumn id="13548" xr3:uid="{DC387F6C-BDCD-4BE9-9881-90F1F5DA020C}" name="Kolonna13210"/>
    <tableColumn id="13549" xr3:uid="{048BE2A1-EC65-47B1-B2D9-D2C9C243DB34}" name="Kolonna13211"/>
    <tableColumn id="13550" xr3:uid="{6DA666D0-5D0F-42C9-B6BD-7E919D16BA16}" name="Kolonna13212"/>
    <tableColumn id="13551" xr3:uid="{5C78FE05-0187-4778-82D5-204DC9DADA9F}" name="Kolonna13213"/>
    <tableColumn id="13552" xr3:uid="{CFA197C8-219F-4119-95DD-30DFCFA305CB}" name="Kolonna13214"/>
    <tableColumn id="13553" xr3:uid="{ADF9143D-46FD-4A0B-A86A-2413391D4FFE}" name="Kolonna13215"/>
    <tableColumn id="13554" xr3:uid="{2FDEE530-CC21-4532-A41F-6084AF6B1047}" name="Kolonna13216"/>
    <tableColumn id="13555" xr3:uid="{4C109214-711D-41B5-933B-3955B8E5AF50}" name="Kolonna13217"/>
    <tableColumn id="13556" xr3:uid="{C457F906-3927-4685-82CC-CAD71612DE1E}" name="Kolonna13218"/>
    <tableColumn id="13557" xr3:uid="{79D71A50-21A5-490E-95FB-A42D1DD8CF7C}" name="Kolonna13219"/>
    <tableColumn id="13558" xr3:uid="{6B8F4B92-4A28-4130-82DE-F99824640193}" name="Kolonna13220"/>
    <tableColumn id="13559" xr3:uid="{A4B21FCB-F442-44DE-B4CA-32655671ADCE}" name="Kolonna13221"/>
    <tableColumn id="13560" xr3:uid="{B26AAA7E-DDD4-40E0-81EE-CE9B2331439F}" name="Kolonna13222"/>
    <tableColumn id="13561" xr3:uid="{3B37B9FA-24A4-4F74-937A-3BED75A29847}" name="Kolonna13223"/>
    <tableColumn id="13562" xr3:uid="{260AE396-FD9E-44B2-A9DD-B3A3B74F4C1B}" name="Kolonna13224"/>
    <tableColumn id="13563" xr3:uid="{7413C049-FAA7-43FB-A6B1-9D633B71BE97}" name="Kolonna13225"/>
    <tableColumn id="13564" xr3:uid="{4CFE9B3F-1457-4157-A69C-B8052B38B4CD}" name="Kolonna13226"/>
    <tableColumn id="13565" xr3:uid="{EA6AE303-8910-4AE8-88C5-99CE1C2C2F9A}" name="Kolonna13227"/>
    <tableColumn id="13566" xr3:uid="{2F9EEEA9-C2C6-4432-A12B-B1FFD74EA799}" name="Kolonna13228"/>
    <tableColumn id="13567" xr3:uid="{3FADFE4C-1CD5-4D40-8317-9F2B6056860A}" name="Kolonna13229"/>
    <tableColumn id="13568" xr3:uid="{F6EB4834-7E2E-4242-B451-957FBAC04B33}" name="Kolonna13230"/>
    <tableColumn id="13569" xr3:uid="{728556A3-904B-4DED-944B-35C6B5ACFA9D}" name="Kolonna13231"/>
    <tableColumn id="13570" xr3:uid="{756FF43A-B5D8-4686-BE62-80DAE501260D}" name="Kolonna13232"/>
    <tableColumn id="13571" xr3:uid="{BB132B19-4A54-4626-93EA-7719EFDE5AC3}" name="Kolonna13233"/>
    <tableColumn id="13572" xr3:uid="{2B18A601-CA47-4F84-A91A-3F02C90231D9}" name="Kolonna13234"/>
    <tableColumn id="13573" xr3:uid="{DC245533-61F1-4F8D-9C8F-E2660E990C92}" name="Kolonna13235"/>
    <tableColumn id="13574" xr3:uid="{9F8F722B-19FE-4526-8BCA-3010401F8411}" name="Kolonna13236"/>
    <tableColumn id="13575" xr3:uid="{D7793D46-5491-4AEF-977A-9A31FE35A733}" name="Kolonna13237"/>
    <tableColumn id="13576" xr3:uid="{A7BA1467-1A15-45C8-917A-5ED52890E1D3}" name="Kolonna13238"/>
    <tableColumn id="13577" xr3:uid="{3187F11D-9EE5-463B-BA0B-518C6ED2C549}" name="Kolonna13239"/>
    <tableColumn id="13578" xr3:uid="{3B56E07E-F7D8-4F08-BC12-E67B3E2055BC}" name="Kolonna13240"/>
    <tableColumn id="13579" xr3:uid="{514EA088-C809-42F0-A5E7-9D456CDE2A84}" name="Kolonna13241"/>
    <tableColumn id="13580" xr3:uid="{FAB50389-F44E-49CD-905A-6AAD4962406E}" name="Kolonna13242"/>
    <tableColumn id="13581" xr3:uid="{1F67BEBF-B9C2-4D6C-ADBB-775DEAB94E4E}" name="Kolonna13243"/>
    <tableColumn id="13582" xr3:uid="{57DAACC9-D5F0-488E-83A9-779B26BDF4E3}" name="Kolonna13244"/>
    <tableColumn id="13583" xr3:uid="{2EB9ED06-59C5-4EF8-9CA3-9E21A0BCB038}" name="Kolonna13245"/>
    <tableColumn id="13584" xr3:uid="{5292A6D2-85EC-4609-9A94-22C3E2A61506}" name="Kolonna13246"/>
    <tableColumn id="13585" xr3:uid="{33432E26-D170-447A-A291-D7FCA5EE6A0F}" name="Kolonna13247"/>
    <tableColumn id="13586" xr3:uid="{B519338A-2B3E-487B-A519-720E80159F75}" name="Kolonna13248"/>
    <tableColumn id="13587" xr3:uid="{CB70D2CD-9C50-421C-8154-F9EDFF66229E}" name="Kolonna13249"/>
    <tableColumn id="13588" xr3:uid="{99FB8E1B-9582-4A19-80F4-36775FD2AA8F}" name="Kolonna13250"/>
    <tableColumn id="13589" xr3:uid="{E3DE1AB2-0E7E-47ED-A972-FA70DF1EAF9E}" name="Kolonna13251"/>
    <tableColumn id="13590" xr3:uid="{026FA126-ECDC-4823-BBE9-56F5B9DFC94F}" name="Kolonna13252"/>
    <tableColumn id="13591" xr3:uid="{2E0796E9-46EB-46C1-B533-D2B6087A7ACA}" name="Kolonna13253"/>
    <tableColumn id="13592" xr3:uid="{3EDECC4F-9D91-47CA-B5B5-CB1C67CDC049}" name="Kolonna13254"/>
    <tableColumn id="13593" xr3:uid="{D3B14B05-9545-4D76-A653-692E3893FD37}" name="Kolonna13255"/>
    <tableColumn id="13594" xr3:uid="{1BB14D64-1BBF-40DE-B2D0-AD5833A2A01F}" name="Kolonna13256"/>
    <tableColumn id="13595" xr3:uid="{361E3059-1D89-4000-817E-C346A2C4A216}" name="Kolonna13257"/>
    <tableColumn id="13596" xr3:uid="{2D2D2575-30F1-4B12-A722-8B43EA0644C3}" name="Kolonna13258"/>
    <tableColumn id="13597" xr3:uid="{11D79CC3-C171-4559-9AA7-CE31E7099D43}" name="Kolonna13259"/>
    <tableColumn id="13598" xr3:uid="{EC934554-AAA2-42CF-8DEC-E8B255192157}" name="Kolonna13260"/>
    <tableColumn id="13599" xr3:uid="{A3C84A8E-5A9E-4C90-AA62-76ECF912D3F1}" name="Kolonna13261"/>
    <tableColumn id="13600" xr3:uid="{63B38926-1095-4700-BC08-620FEA01D797}" name="Kolonna13262"/>
    <tableColumn id="13601" xr3:uid="{F45AE6CA-1749-4456-8947-DA18F6AB317A}" name="Kolonna13263"/>
    <tableColumn id="13602" xr3:uid="{5BF232B7-9392-49A3-ADCA-92B814B3F2FC}" name="Kolonna13264"/>
    <tableColumn id="13603" xr3:uid="{3A6AF6E2-9F00-49DE-A1A8-1E17E7900721}" name="Kolonna13265"/>
    <tableColumn id="13604" xr3:uid="{89539BB0-EA65-4C3F-B733-228DF4188592}" name="Kolonna13266"/>
    <tableColumn id="13605" xr3:uid="{6A5D1D80-12DD-4670-999D-ABC1F796A039}" name="Kolonna13267"/>
    <tableColumn id="13606" xr3:uid="{6438B6D2-C3CB-4912-A3F3-24A3715563C4}" name="Kolonna13268"/>
    <tableColumn id="13607" xr3:uid="{9BA0CE4E-3B33-4CC2-98AF-2708777E909B}" name="Kolonna13269"/>
    <tableColumn id="13608" xr3:uid="{36C60F2B-4010-41BF-B9BA-60DE58AC5C94}" name="Kolonna13270"/>
    <tableColumn id="13609" xr3:uid="{DE0573CC-151A-4A20-AEA4-F1BA2249B0BA}" name="Kolonna13271"/>
    <tableColumn id="13610" xr3:uid="{7EA85AB2-EE65-4044-B14A-70B2161BD7D5}" name="Kolonna13272"/>
    <tableColumn id="13611" xr3:uid="{9B112C88-1EAF-4A9F-9390-50FC4D8FB07A}" name="Kolonna13273"/>
    <tableColumn id="13612" xr3:uid="{624547B8-0C3F-4F21-A784-71392BA2C70D}" name="Kolonna13274"/>
    <tableColumn id="13613" xr3:uid="{266EDE6B-AE67-41D5-8467-723E84340333}" name="Kolonna13275"/>
    <tableColumn id="13614" xr3:uid="{7B70E329-F207-4E3B-B078-BEB642EB4347}" name="Kolonna13276"/>
    <tableColumn id="13615" xr3:uid="{E187FD29-0E64-4585-BE6C-7B1CF97B8959}" name="Kolonna13277"/>
    <tableColumn id="13616" xr3:uid="{35788197-8072-4074-B7D5-68FD1F356963}" name="Kolonna13278"/>
    <tableColumn id="13617" xr3:uid="{66B6C8F3-A36D-4909-8FB7-4EDCB35360D5}" name="Kolonna13279"/>
    <tableColumn id="13618" xr3:uid="{97C92C85-3416-472B-9C3D-D8EBFCA196B8}" name="Kolonna13280"/>
    <tableColumn id="13619" xr3:uid="{DD21E8EE-3362-479F-89C8-F38FB28F6F2F}" name="Kolonna13281"/>
    <tableColumn id="13620" xr3:uid="{DF439CE9-07CE-49A1-967E-7AD3CD84F5A1}" name="Kolonna13282"/>
    <tableColumn id="13621" xr3:uid="{7C479216-CC3E-4D0C-A29D-ECE93FCEA6B2}" name="Kolonna13283"/>
    <tableColumn id="13622" xr3:uid="{0B843C20-B6A2-4D2F-A8D2-1EBB975AF60D}" name="Kolonna13284"/>
    <tableColumn id="13623" xr3:uid="{B1FF2017-80FD-47F9-A417-CA3DCBD113A5}" name="Kolonna13285"/>
    <tableColumn id="13624" xr3:uid="{B66E2834-B6F5-4802-8759-53FF767FB25C}" name="Kolonna13286"/>
    <tableColumn id="13625" xr3:uid="{BC399DB0-BEAF-4C6A-969B-E0846AC8EF5E}" name="Kolonna13287"/>
    <tableColumn id="13626" xr3:uid="{3F7C1114-8DC1-4FE1-B998-8890B2453C59}" name="Kolonna13288"/>
    <tableColumn id="13627" xr3:uid="{A7EDF516-0DE5-48E2-B596-8916BFFA768B}" name="Kolonna13289"/>
    <tableColumn id="13628" xr3:uid="{FF3B881A-F814-4FFC-97A5-EF0310CFC063}" name="Kolonna13290"/>
    <tableColumn id="13629" xr3:uid="{1ABB30AC-2CDF-4727-B240-B3962E47C24C}" name="Kolonna13291"/>
    <tableColumn id="13630" xr3:uid="{24C421B1-DD13-487E-9336-FD2B669E4BA3}" name="Kolonna13292"/>
    <tableColumn id="13631" xr3:uid="{9EBCAF56-7AA9-4820-8A15-0CEDC6A880CD}" name="Kolonna13293"/>
    <tableColumn id="13632" xr3:uid="{23DC048C-3969-4139-8700-99DFFCE7250F}" name="Kolonna13294"/>
    <tableColumn id="13633" xr3:uid="{C632BF66-7E13-45FD-8E14-371003726932}" name="Kolonna13295"/>
    <tableColumn id="13634" xr3:uid="{3B1927CC-E30B-45F2-B907-E0A4B946408F}" name="Kolonna13296"/>
    <tableColumn id="13635" xr3:uid="{ED55B28F-7688-4B2C-AF20-E22F024D9E43}" name="Kolonna13297"/>
    <tableColumn id="13636" xr3:uid="{FC62DFB0-A785-41A4-AFB9-BAB8EA8559EE}" name="Kolonna13298"/>
    <tableColumn id="13637" xr3:uid="{ECC805E6-FB5B-4F2C-8145-B61EE8D1B78C}" name="Kolonna13299"/>
    <tableColumn id="13638" xr3:uid="{E2E7705E-9907-4895-9123-24DC2B5A73B9}" name="Kolonna13300"/>
    <tableColumn id="13639" xr3:uid="{46BC16C4-1EEF-4462-BCF1-DB77BF4B8467}" name="Kolonna13301"/>
    <tableColumn id="13640" xr3:uid="{3DACF6C1-F56F-4749-B006-935713ED7FC0}" name="Kolonna13302"/>
    <tableColumn id="13641" xr3:uid="{EDA52614-5CB5-4A6B-B010-C7841265E537}" name="Kolonna13303"/>
    <tableColumn id="13642" xr3:uid="{9D6B09AD-4087-491F-93DC-FEAB8AB86FBF}" name="Kolonna13304"/>
    <tableColumn id="13643" xr3:uid="{A48B1AA2-8F60-41D4-9FE9-1018EEB2FEC8}" name="Kolonna13305"/>
    <tableColumn id="13644" xr3:uid="{6D4615B2-AD48-4181-85C7-3F11EA6C2FD4}" name="Kolonna13306"/>
    <tableColumn id="13645" xr3:uid="{BEA21387-A74F-41E8-9012-E99232DE4154}" name="Kolonna13307"/>
    <tableColumn id="13646" xr3:uid="{A0771D75-CACE-420E-AFE3-61E5B31549F6}" name="Kolonna13308"/>
    <tableColumn id="13647" xr3:uid="{14CE5368-A58C-4D6F-97B2-AE93073DA354}" name="Kolonna13309"/>
    <tableColumn id="13648" xr3:uid="{4A9396B5-A0CA-4AEF-B2F5-A0690A089D5B}" name="Kolonna13310"/>
    <tableColumn id="13649" xr3:uid="{006DAB50-7709-419D-9170-C93769ACED46}" name="Kolonna13311"/>
    <tableColumn id="13650" xr3:uid="{07C81656-E522-47F5-8AB7-264FB789956B}" name="Kolonna13312"/>
    <tableColumn id="13651" xr3:uid="{45BD2E6B-EE14-4AE7-9B74-CD8461348CA9}" name="Kolonna13313"/>
    <tableColumn id="13652" xr3:uid="{6B980B7F-4786-435B-9BFB-85D45EBDCC1F}" name="Kolonna13314"/>
    <tableColumn id="13653" xr3:uid="{F1CAEF24-6E81-4330-A33C-1B0972234879}" name="Kolonna13315"/>
    <tableColumn id="13654" xr3:uid="{F87B615A-F8D5-4557-A5F4-2E8D19AC23D4}" name="Kolonna13316"/>
    <tableColumn id="13655" xr3:uid="{A60815C5-B790-45E3-97D7-29A8D175D2B4}" name="Kolonna13317"/>
    <tableColumn id="13656" xr3:uid="{7F9CB89E-DE8A-4541-BB0B-D1BCC5A6E949}" name="Kolonna13318"/>
    <tableColumn id="13657" xr3:uid="{D0650CBC-6C85-4A74-93B1-CAC1095DA2ED}" name="Kolonna13319"/>
    <tableColumn id="13658" xr3:uid="{CC17BC9E-CFF2-4030-B0D4-61DE6B01AC3E}" name="Kolonna13320"/>
    <tableColumn id="13659" xr3:uid="{B0F73C9F-D35A-453D-9BFF-F182D9B87D5A}" name="Kolonna13321"/>
    <tableColumn id="13660" xr3:uid="{DFAAD8A9-9D23-4EFA-8A14-38779B32CF00}" name="Kolonna13322"/>
    <tableColumn id="13661" xr3:uid="{C685D0E8-DDEB-40AA-8964-9A63F99FA7DE}" name="Kolonna13323"/>
    <tableColumn id="13662" xr3:uid="{F7D7E58F-897A-42CA-8BD6-40F71B49E361}" name="Kolonna13324"/>
    <tableColumn id="13663" xr3:uid="{1C0C9CF6-B8E4-48B6-BD14-A7A330F1B67F}" name="Kolonna13325"/>
    <tableColumn id="13664" xr3:uid="{5F6F2E66-1284-4BAF-920E-ABE8C0BAF570}" name="Kolonna13326"/>
    <tableColumn id="13665" xr3:uid="{AA956436-5CA9-447B-9000-A024926F2376}" name="Kolonna13327"/>
    <tableColumn id="13666" xr3:uid="{E67E8D45-96CC-4ABF-8E26-64592FBA9C70}" name="Kolonna13328"/>
    <tableColumn id="13667" xr3:uid="{1AE42235-C240-44C2-86FB-C3B7635C3C10}" name="Kolonna13329"/>
    <tableColumn id="13668" xr3:uid="{9A7B3CD5-F094-44E5-8914-A103A156AE0D}" name="Kolonna13330"/>
    <tableColumn id="13669" xr3:uid="{115DB474-D548-47CD-9157-F0D123B95DA3}" name="Kolonna13331"/>
    <tableColumn id="13670" xr3:uid="{AF7F6918-BE7D-4AA1-9DB5-B69AAA1BF932}" name="Kolonna13332"/>
    <tableColumn id="13671" xr3:uid="{08DDFA44-ACC8-428D-B1A4-9144FC229401}" name="Kolonna13333"/>
    <tableColumn id="13672" xr3:uid="{337B6951-C576-4897-B5BE-218C3575AFF1}" name="Kolonna13334"/>
    <tableColumn id="13673" xr3:uid="{39B9C41C-B0E6-45F8-B095-EA11F21060A1}" name="Kolonna13335"/>
    <tableColumn id="13674" xr3:uid="{45850BB6-34B3-4ACB-81A5-93C96F6D5591}" name="Kolonna13336"/>
    <tableColumn id="13675" xr3:uid="{E30EA51D-E0F9-43C5-917E-9C8CF32C5BA8}" name="Kolonna13337"/>
    <tableColumn id="13676" xr3:uid="{7526AC01-C006-4E07-BDF8-7C11BB40DF6D}" name="Kolonna13338"/>
    <tableColumn id="13677" xr3:uid="{45737EE4-7A8F-44F0-A7A2-24C2BA45F57E}" name="Kolonna13339"/>
    <tableColumn id="13678" xr3:uid="{D2BEC161-5630-4D8F-B305-B15DEB2F0FA8}" name="Kolonna13340"/>
    <tableColumn id="13679" xr3:uid="{4726CF22-82ED-45EF-AD60-CB6D741F7036}" name="Kolonna13341"/>
    <tableColumn id="13680" xr3:uid="{20F67E36-6272-4DEE-9657-9824059CCADC}" name="Kolonna13342"/>
    <tableColumn id="13681" xr3:uid="{6FFA1CB3-8197-4407-B90B-B07D9C2F5395}" name="Kolonna13343"/>
    <tableColumn id="13682" xr3:uid="{D8E1BC10-1A0B-487A-9A0A-A292A25DC8EC}" name="Kolonna13344"/>
    <tableColumn id="13683" xr3:uid="{057CFE63-4780-4F99-8654-2F737213FC3F}" name="Kolonna13345"/>
    <tableColumn id="13684" xr3:uid="{9240E94B-F804-4AFD-9115-FC9CF02AD2BD}" name="Kolonna13346"/>
    <tableColumn id="13685" xr3:uid="{C0DDFDA0-EE14-4104-B90D-8369F5EA10A4}" name="Kolonna13347"/>
    <tableColumn id="13686" xr3:uid="{CD76071B-F2C1-4267-AFFC-7471051E18E1}" name="Kolonna13348"/>
    <tableColumn id="13687" xr3:uid="{8DE96654-DA39-4937-8758-8CFAE18A8599}" name="Kolonna13349"/>
    <tableColumn id="13688" xr3:uid="{0290278D-2813-422A-8EB6-FBD4F5F05F22}" name="Kolonna13350"/>
    <tableColumn id="13689" xr3:uid="{C268B818-52B4-4EC7-9A3E-0567B3D84860}" name="Kolonna13351"/>
    <tableColumn id="13690" xr3:uid="{5020720B-A77E-47F8-AC5A-00CA93DB42D3}" name="Kolonna13352"/>
    <tableColumn id="13691" xr3:uid="{C639F001-7398-4BFA-A397-4274A531978B}" name="Kolonna13353"/>
    <tableColumn id="13692" xr3:uid="{5F5A3651-808B-4748-B1AC-6C2D21BB259F}" name="Kolonna13354"/>
    <tableColumn id="13693" xr3:uid="{6C92EB92-1F3A-407E-8F83-5264E79AD0C3}" name="Kolonna13355"/>
    <tableColumn id="13694" xr3:uid="{465AAFB1-74F2-4380-B802-F0B5526D7D16}" name="Kolonna13356"/>
    <tableColumn id="13695" xr3:uid="{CD84855C-7995-41C4-B503-F534E580ED44}" name="Kolonna13357"/>
    <tableColumn id="13696" xr3:uid="{DE472349-BE3A-489D-A03F-834BEA125902}" name="Kolonna13358"/>
    <tableColumn id="13697" xr3:uid="{A5739753-4F17-454C-ACB2-8D55A60793EA}" name="Kolonna13359"/>
    <tableColumn id="13698" xr3:uid="{3B8AFCB4-BB56-4A50-ABDA-84E0A9151B0B}" name="Kolonna13360"/>
    <tableColumn id="13699" xr3:uid="{772094EF-DC1E-4788-A610-464D40E8B50C}" name="Kolonna13361"/>
    <tableColumn id="13700" xr3:uid="{D1AA516F-89DA-4BB9-89B6-A3BDEA7B9C18}" name="Kolonna13362"/>
    <tableColumn id="13701" xr3:uid="{60280DFC-389A-44DE-B54F-438CC7F75618}" name="Kolonna13363"/>
    <tableColumn id="13702" xr3:uid="{26CF9259-E7FB-4E13-90F8-C70B3348F27F}" name="Kolonna13364"/>
    <tableColumn id="13703" xr3:uid="{71D5B3DD-5424-40C8-A15F-D393B494B15C}" name="Kolonna13365"/>
    <tableColumn id="13704" xr3:uid="{F5E6019B-E6AF-476A-A5E2-DA9D4E8B65C4}" name="Kolonna13366"/>
    <tableColumn id="13705" xr3:uid="{18FC03DF-C37D-47A3-B078-CDDB6D0855FC}" name="Kolonna13367"/>
    <tableColumn id="13706" xr3:uid="{88CC3D4F-2E26-4815-8FDE-935C12D79BB3}" name="Kolonna13368"/>
    <tableColumn id="13707" xr3:uid="{F6D85B4A-629F-40C6-A0DD-A5A3869347F1}" name="Kolonna13369"/>
    <tableColumn id="13708" xr3:uid="{A796DEB4-0D0B-4EB1-8010-1E7715C7FDE7}" name="Kolonna13370"/>
    <tableColumn id="13709" xr3:uid="{387A7CA4-5461-4869-8CD0-7DD2D1680D13}" name="Kolonna13371"/>
    <tableColumn id="13710" xr3:uid="{CE1D34E4-5E2D-44AE-ACE5-4B081EC2ECAD}" name="Kolonna13372"/>
    <tableColumn id="13711" xr3:uid="{EF51FD7E-4670-417B-A9FC-464886CC698C}" name="Kolonna13373"/>
    <tableColumn id="13712" xr3:uid="{47BB65AA-CE87-44C8-82C0-43AB5385C7EB}" name="Kolonna13374"/>
    <tableColumn id="13713" xr3:uid="{1A8E0D6E-CD65-45FE-9C9E-8C9B36BF6D70}" name="Kolonna13375"/>
    <tableColumn id="13714" xr3:uid="{2C5DFB88-09E6-48A7-B96B-C1603FAFD9CD}" name="Kolonna13376"/>
    <tableColumn id="13715" xr3:uid="{77E6A555-14BB-4C5D-974A-707BA5202AC1}" name="Kolonna13377"/>
    <tableColumn id="13716" xr3:uid="{CFF2E813-EE74-43CB-92A0-B34103A8B6E3}" name="Kolonna13378"/>
    <tableColumn id="13717" xr3:uid="{637FBC57-E605-4E75-860C-5D940578F60F}" name="Kolonna13379"/>
    <tableColumn id="13718" xr3:uid="{7FDB94F7-F888-46F7-A2AE-7041FAA3C14E}" name="Kolonna13380"/>
    <tableColumn id="13719" xr3:uid="{8AEC574A-FF1D-4FB3-94F5-1E430D95C870}" name="Kolonna13381"/>
    <tableColumn id="13720" xr3:uid="{B9CA1F7C-4FFB-4B62-BD4C-CEB9F6A4B302}" name="Kolonna13382"/>
    <tableColumn id="13721" xr3:uid="{344712FB-69DA-47F8-A3F9-4508996B07CE}" name="Kolonna13383"/>
    <tableColumn id="13722" xr3:uid="{C23F2248-06A1-45A9-BE47-84123DE55270}" name="Kolonna13384"/>
    <tableColumn id="13723" xr3:uid="{2D901818-2CF6-44DA-A2E9-3B34E8AD5391}" name="Kolonna13385"/>
    <tableColumn id="13724" xr3:uid="{6B1E7FF6-290E-4480-B06D-2700D3948970}" name="Kolonna13386"/>
    <tableColumn id="13725" xr3:uid="{E806E21C-E3FE-47C8-AE23-19F096DB2BB7}" name="Kolonna13387"/>
    <tableColumn id="13726" xr3:uid="{C05BE6ED-69CF-44F9-A305-D0647D8F9067}" name="Kolonna13388"/>
    <tableColumn id="13727" xr3:uid="{284B6630-CA3D-404B-9375-4D339FC7C492}" name="Kolonna13389"/>
    <tableColumn id="13728" xr3:uid="{BDB5EA3E-1991-457C-81B0-D970EBA30A96}" name="Kolonna13390"/>
    <tableColumn id="13729" xr3:uid="{BF5C4861-49DB-43DB-B757-44C436AAD81A}" name="Kolonna13391"/>
    <tableColumn id="13730" xr3:uid="{CD992747-5AA5-49E8-B717-29EEE9BF5481}" name="Kolonna13392"/>
    <tableColumn id="13731" xr3:uid="{B0552400-16D0-464E-A349-492286F25638}" name="Kolonna13393"/>
    <tableColumn id="13732" xr3:uid="{73955A20-154B-4763-8451-39E0156D27C3}" name="Kolonna13394"/>
    <tableColumn id="13733" xr3:uid="{339A36E5-93F9-40E6-B50C-73F906CF0C1F}" name="Kolonna13395"/>
    <tableColumn id="13734" xr3:uid="{7D34C68E-3DC0-4B93-A00C-A635A4A0F84F}" name="Kolonna13396"/>
    <tableColumn id="13735" xr3:uid="{0C47020A-A34E-4120-A8CE-ACCC7855EF51}" name="Kolonna13397"/>
    <tableColumn id="13736" xr3:uid="{275EC84A-FD8A-4AE7-BFD3-E838BDCBFCB1}" name="Kolonna13398"/>
    <tableColumn id="13737" xr3:uid="{D18537AF-10AB-41FD-B259-C2EE7000E528}" name="Kolonna13399"/>
    <tableColumn id="13738" xr3:uid="{EB36251C-4A0F-4DB7-BD22-33FE3484C100}" name="Kolonna13400"/>
    <tableColumn id="13739" xr3:uid="{56D7923F-46B7-4853-9F4A-8D62702F39F7}" name="Kolonna13401"/>
    <tableColumn id="13740" xr3:uid="{CE5F317F-CD47-46CC-9F57-AF8C6A62DBB5}" name="Kolonna13402"/>
    <tableColumn id="13741" xr3:uid="{E0FD6F90-98D4-47A6-8519-7D9CB79CBFC4}" name="Kolonna13403"/>
    <tableColumn id="13742" xr3:uid="{B7A48D51-281C-4EDE-957F-D0D19F9C3064}" name="Kolonna13404"/>
    <tableColumn id="13743" xr3:uid="{16456340-52ED-4506-8FA5-9A19AA92143F}" name="Kolonna13405"/>
    <tableColumn id="13744" xr3:uid="{E81159C1-C2B2-42DA-A738-2EC319B90CBA}" name="Kolonna13406"/>
    <tableColumn id="13745" xr3:uid="{88E3CBCC-260A-4FCF-AF22-5D96C30A32E4}" name="Kolonna13407"/>
    <tableColumn id="13746" xr3:uid="{F319B170-D625-4850-AA8F-F9C9AB58AE42}" name="Kolonna13408"/>
    <tableColumn id="13747" xr3:uid="{C1E1F739-E033-4C99-BAC9-890658B2EF26}" name="Kolonna13409"/>
    <tableColumn id="13748" xr3:uid="{B4164B52-E29B-4FD3-9C3E-5ADF24B93CBC}" name="Kolonna13410"/>
    <tableColumn id="13749" xr3:uid="{264FA2D4-4766-4ADC-BB53-E58BBDB91E92}" name="Kolonna13411"/>
    <tableColumn id="13750" xr3:uid="{0E2FC155-CE00-4421-A59B-235483C5F449}" name="Kolonna13412"/>
    <tableColumn id="13751" xr3:uid="{C41610FF-D2EB-478C-A746-B123815EC532}" name="Kolonna13413"/>
    <tableColumn id="13752" xr3:uid="{7F9C6838-5961-4AF7-A221-487A1ED104AE}" name="Kolonna13414"/>
    <tableColumn id="13753" xr3:uid="{1646BC76-D222-4671-8B5E-F793B20AD236}" name="Kolonna13415"/>
    <tableColumn id="13754" xr3:uid="{E569AC4E-D386-4419-9E72-7584871DEFCB}" name="Kolonna13416"/>
    <tableColumn id="13755" xr3:uid="{27FD0993-4F6B-4B3C-A162-768B158B1239}" name="Kolonna13417"/>
    <tableColumn id="13756" xr3:uid="{30CCA46D-80E6-4576-A2EE-C4C948D44B54}" name="Kolonna13418"/>
    <tableColumn id="13757" xr3:uid="{BB3919D8-578C-48A3-A773-E3FB95D61042}" name="Kolonna13419"/>
    <tableColumn id="13758" xr3:uid="{059E820F-6595-4C48-BA94-87A36F672DEE}" name="Kolonna13420"/>
    <tableColumn id="13759" xr3:uid="{F5029391-FEC3-4C3F-A614-C68EB8BC5D5A}" name="Kolonna13421"/>
    <tableColumn id="13760" xr3:uid="{B62C6DE6-110A-4F43-A1B3-C71573F0B9A6}" name="Kolonna13422"/>
    <tableColumn id="13761" xr3:uid="{BD5CB625-FE74-4537-9AD5-77B031E658D1}" name="Kolonna13423"/>
    <tableColumn id="13762" xr3:uid="{676E5AFF-1841-491C-B0D1-1953B70D9137}" name="Kolonna13424"/>
    <tableColumn id="13763" xr3:uid="{7C0D5B70-9E8D-480D-9276-7C0D7B847815}" name="Kolonna13425"/>
    <tableColumn id="13764" xr3:uid="{96E21CE0-A180-4EB3-BDD8-4E7E0DDF10BA}" name="Kolonna13426"/>
    <tableColumn id="13765" xr3:uid="{0B02A7F2-4312-4058-A441-DAD6A0502DA6}" name="Kolonna13427"/>
    <tableColumn id="13766" xr3:uid="{72D68306-A649-4BB4-BDFA-30B110C65490}" name="Kolonna13428"/>
    <tableColumn id="13767" xr3:uid="{CF8918A5-275B-41F7-A9D0-EFF112BD78F3}" name="Kolonna13429"/>
    <tableColumn id="13768" xr3:uid="{41FF6E31-4CB6-482F-A6DB-C3F0DB909B55}" name="Kolonna13430"/>
    <tableColumn id="13769" xr3:uid="{EDE2EBE5-6035-44BD-8831-85F7E6FFEE45}" name="Kolonna13431"/>
    <tableColumn id="13770" xr3:uid="{E407F2A7-0EBB-4651-8D9A-9158249E0435}" name="Kolonna13432"/>
    <tableColumn id="13771" xr3:uid="{99A771EC-BA65-4946-BA50-B349C0FFBDE6}" name="Kolonna13433"/>
    <tableColumn id="13772" xr3:uid="{0F0C9490-59DC-4715-BB0F-F4E3F50D5E0A}" name="Kolonna13434"/>
    <tableColumn id="13773" xr3:uid="{157BF81B-3E14-4A41-A859-0279948C6DD2}" name="Kolonna13435"/>
    <tableColumn id="13774" xr3:uid="{7301568A-DBA5-436D-BD8C-6D44C57C3BEE}" name="Kolonna13436"/>
    <tableColumn id="13775" xr3:uid="{A51E4D4B-7968-4EBA-96AA-1FFF05415E72}" name="Kolonna13437"/>
    <tableColumn id="13776" xr3:uid="{FFDBA7E2-E986-49CF-97CB-687EFC7B917A}" name="Kolonna13438"/>
    <tableColumn id="13777" xr3:uid="{D86A7849-3B8F-42FB-BF54-CF9DB6AD0CD9}" name="Kolonna13439"/>
    <tableColumn id="13778" xr3:uid="{ECBA90B6-77D6-4133-9B74-6F2BCF524832}" name="Kolonna13440"/>
    <tableColumn id="13779" xr3:uid="{883F86B5-7E8E-4ACA-99D3-7D167F6B3040}" name="Kolonna13441"/>
    <tableColumn id="13780" xr3:uid="{B079436C-C10A-4D9C-9211-AE14D43FD421}" name="Kolonna13442"/>
    <tableColumn id="13781" xr3:uid="{984C7919-32ED-478C-95EE-C1F8B692D790}" name="Kolonna13443"/>
    <tableColumn id="13782" xr3:uid="{4DF0D23C-F700-425D-8AC9-2289FD37E338}" name="Kolonna13444"/>
    <tableColumn id="13783" xr3:uid="{52F844DC-EDB6-4124-B3E2-69CC82D8FB79}" name="Kolonna13445"/>
    <tableColumn id="13784" xr3:uid="{D9A66D4A-5DE6-46DE-B53F-74F450F01FB6}" name="Kolonna13446"/>
    <tableColumn id="13785" xr3:uid="{B323B6AC-0866-4DDD-87B9-E7D18726F851}" name="Kolonna13447"/>
    <tableColumn id="13786" xr3:uid="{BAF9ADD9-2FB0-41F5-BB53-BE8549D1FCBB}" name="Kolonna13448"/>
    <tableColumn id="13787" xr3:uid="{59B6338D-2799-47D8-86E3-8B97A81CADCF}" name="Kolonna13449"/>
    <tableColumn id="13788" xr3:uid="{A136F48C-58C0-4931-8376-226AE9743195}" name="Kolonna13450"/>
    <tableColumn id="13789" xr3:uid="{8B6DC716-6DA3-49BE-8E3D-CE3D3BE69787}" name="Kolonna13451"/>
    <tableColumn id="13790" xr3:uid="{A9D405D1-75D0-4981-8F2D-C0AA3B415BBA}" name="Kolonna13452"/>
    <tableColumn id="13791" xr3:uid="{25005298-B167-4E06-A197-48033FF6A885}" name="Kolonna13453"/>
    <tableColumn id="13792" xr3:uid="{D3086EEF-635F-4DBA-B6B3-34FF64EE63E6}" name="Kolonna13454"/>
    <tableColumn id="13793" xr3:uid="{D08BA92A-416B-454E-903F-184B795C4F81}" name="Kolonna13455"/>
    <tableColumn id="13794" xr3:uid="{FA375C1C-2395-4E94-8C7A-B0EFB6CF85CB}" name="Kolonna13456"/>
    <tableColumn id="13795" xr3:uid="{800ADB1A-D571-423C-97B7-F5AA13B9943C}" name="Kolonna13457"/>
    <tableColumn id="13796" xr3:uid="{8CAE1419-AE73-4F6E-8EB7-6D9286B4BA0B}" name="Kolonna13458"/>
    <tableColumn id="13797" xr3:uid="{87CB0924-B87D-4547-A6FA-6CCA9F3E8E9C}" name="Kolonna13459"/>
    <tableColumn id="13798" xr3:uid="{A450ABB5-3AF1-498A-BB39-5C878F6F5C8C}" name="Kolonna13460"/>
    <tableColumn id="13799" xr3:uid="{99EEF931-4B35-4082-9F42-006117C7F6B0}" name="Kolonna13461"/>
    <tableColumn id="13800" xr3:uid="{FBCB0A88-6482-4DA2-B280-0B6E9895A71E}" name="Kolonna13462"/>
    <tableColumn id="13801" xr3:uid="{F9EA5D69-D05E-4DB2-B1BD-317699011908}" name="Kolonna13463"/>
    <tableColumn id="13802" xr3:uid="{7CCDE9C4-A29A-4A79-BFCB-3DD027564093}" name="Kolonna13464"/>
    <tableColumn id="13803" xr3:uid="{9A66413C-F6D7-4488-87F1-0C06CBAE3EE9}" name="Kolonna13465"/>
    <tableColumn id="13804" xr3:uid="{29094ED5-81C4-422C-964A-7E190C494133}" name="Kolonna13466"/>
    <tableColumn id="13805" xr3:uid="{8DFA07AD-0F1A-43F0-B3EE-03110BC2309F}" name="Kolonna13467"/>
    <tableColumn id="13806" xr3:uid="{4CCB0398-F656-42EA-AEB0-B79D0E84C804}" name="Kolonna13468"/>
    <tableColumn id="13807" xr3:uid="{C7875FBA-D11E-4E78-9349-82CA9BDFE72C}" name="Kolonna13469"/>
    <tableColumn id="13808" xr3:uid="{05B56504-15CF-49B0-8B86-1474547C2A4A}" name="Kolonna13470"/>
    <tableColumn id="13809" xr3:uid="{9E339327-B864-4DD8-B326-65F760065890}" name="Kolonna13471"/>
    <tableColumn id="13810" xr3:uid="{7758C793-0AF1-4AE9-99ED-9A1AB8E7A10F}" name="Kolonna13472"/>
    <tableColumn id="13811" xr3:uid="{2F044849-E0B0-4D26-B06A-708E541D2C97}" name="Kolonna13473"/>
    <tableColumn id="13812" xr3:uid="{09172D3F-0141-45C9-9424-C49D4D5FBBA8}" name="Kolonna13474"/>
    <tableColumn id="13813" xr3:uid="{970FBCBA-4BA0-4440-8618-5F833D6A6F72}" name="Kolonna13475"/>
    <tableColumn id="13814" xr3:uid="{A75AC0D7-468E-4A2C-8CD9-41D619085EDB}" name="Kolonna13476"/>
    <tableColumn id="13815" xr3:uid="{0A9B51B0-911B-40F7-AEB8-FDC3B9DC6ECD}" name="Kolonna13477"/>
    <tableColumn id="13816" xr3:uid="{BD750228-61E8-4CBF-9AE7-197878F87574}" name="Kolonna13478"/>
    <tableColumn id="13817" xr3:uid="{4317D99D-17D8-45F0-ACA4-65780EE0C0A0}" name="Kolonna13479"/>
    <tableColumn id="13818" xr3:uid="{D8F16BB6-550D-4866-875C-AEA1196B3200}" name="Kolonna13480"/>
    <tableColumn id="13819" xr3:uid="{310326EF-4D06-43AD-B058-2C178C8427DF}" name="Kolonna13481"/>
    <tableColumn id="13820" xr3:uid="{CD7202A1-A22E-4570-839D-2AB91768FF67}" name="Kolonna13482"/>
    <tableColumn id="13821" xr3:uid="{9FFCD620-131A-4553-BD99-C92552B1A864}" name="Kolonna13483"/>
    <tableColumn id="13822" xr3:uid="{3753F93E-9C7F-4CD1-822E-BA1303CC8E46}" name="Kolonna13484"/>
    <tableColumn id="13823" xr3:uid="{F8F98837-8F09-4079-8734-B7B321F64BD6}" name="Kolonna13485"/>
    <tableColumn id="13824" xr3:uid="{BCD364E8-A9B8-4B13-A2BB-4229C4FAAF17}" name="Kolonna13486"/>
    <tableColumn id="13825" xr3:uid="{12EFF637-D3FD-4B4D-AB58-C21E662E2ABB}" name="Kolonna13487"/>
    <tableColumn id="13826" xr3:uid="{637A0696-D50C-4BB7-989B-B32BA0671B52}" name="Kolonna13488"/>
    <tableColumn id="13827" xr3:uid="{B0D6570D-DF59-467E-BA17-4CD3A32F950B}" name="Kolonna13489"/>
    <tableColumn id="13828" xr3:uid="{F803B85A-10C7-436B-BFAF-4B7F6E1A581E}" name="Kolonna13490"/>
    <tableColumn id="13829" xr3:uid="{6B198B70-A2D1-4B1F-9711-8F25BF2EFC69}" name="Kolonna13491"/>
    <tableColumn id="13830" xr3:uid="{48502C13-D8A1-4B80-920E-24DED1516C1D}" name="Kolonna13492"/>
    <tableColumn id="13831" xr3:uid="{FA02586A-2477-4718-BADF-193861C6D7FE}" name="Kolonna13493"/>
    <tableColumn id="13832" xr3:uid="{104B48A7-7311-4670-B3C1-348F32C592F5}" name="Kolonna13494"/>
    <tableColumn id="13833" xr3:uid="{0294ABBD-D53E-477F-8302-C45C9188F49E}" name="Kolonna13495"/>
    <tableColumn id="13834" xr3:uid="{464DA146-6A1E-4820-A1FA-55722C6613A1}" name="Kolonna13496"/>
    <tableColumn id="13835" xr3:uid="{C03F2652-D550-4C3E-BCCF-7C53E883FC8B}" name="Kolonna13497"/>
    <tableColumn id="13836" xr3:uid="{04F5E214-173B-449D-8134-D58AC8D8F128}" name="Kolonna13498"/>
    <tableColumn id="13837" xr3:uid="{7730E33B-77C2-451D-BCD6-A0CDBAE24E0A}" name="Kolonna13499"/>
    <tableColumn id="13838" xr3:uid="{BA70A646-EF46-462C-B419-71806AEADB42}" name="Kolonna13500"/>
    <tableColumn id="13839" xr3:uid="{6684786B-4AD4-49D9-839F-1390F06EFD6B}" name="Kolonna13501"/>
    <tableColumn id="13840" xr3:uid="{4C49A45D-DE17-4EBB-A97F-FFCFDA76AF9D}" name="Kolonna13502"/>
    <tableColumn id="13841" xr3:uid="{6CFD0271-B022-4A37-B855-40D371E52300}" name="Kolonna13503"/>
    <tableColumn id="13842" xr3:uid="{3F88B30E-D316-4474-96CC-204BA8BB7B2A}" name="Kolonna13504"/>
    <tableColumn id="13843" xr3:uid="{1EA773F2-3F3C-4332-9F11-0CD32FB65017}" name="Kolonna13505"/>
    <tableColumn id="13844" xr3:uid="{C439AFA5-B549-45E3-A8CE-209EF83B11B9}" name="Kolonna13506"/>
    <tableColumn id="13845" xr3:uid="{21A726BD-1D1F-43F4-A283-0B44BCDFDB07}" name="Kolonna13507"/>
    <tableColumn id="13846" xr3:uid="{E277717B-E9EA-4191-8549-D149F60F2119}" name="Kolonna13508"/>
    <tableColumn id="13847" xr3:uid="{8560DB0C-32AC-4D01-994A-40E8661842D1}" name="Kolonna13509"/>
    <tableColumn id="13848" xr3:uid="{30150853-99D1-4DA5-8467-3935554C3C69}" name="Kolonna13510"/>
    <tableColumn id="13849" xr3:uid="{89C50C99-C2BA-491D-A505-C998D37E459B}" name="Kolonna13511"/>
    <tableColumn id="13850" xr3:uid="{AC0AFF99-4154-4C0C-B183-CE1DA7DE3167}" name="Kolonna13512"/>
    <tableColumn id="13851" xr3:uid="{B214FA74-A294-46F3-9105-4F90D67FA8EE}" name="Kolonna13513"/>
    <tableColumn id="13852" xr3:uid="{0FB72200-3469-4D89-9FA4-22650D2552B7}" name="Kolonna13514"/>
    <tableColumn id="13853" xr3:uid="{FC5ED66A-05BF-4735-A501-2A66ED72A303}" name="Kolonna13515"/>
    <tableColumn id="13854" xr3:uid="{A7D90238-C903-4201-B5E8-5AC365D7B364}" name="Kolonna13516"/>
    <tableColumn id="13855" xr3:uid="{9811ACC8-4D3A-4A9E-9F98-7A0F7A54365D}" name="Kolonna13517"/>
    <tableColumn id="13856" xr3:uid="{F962DF02-2AF8-44CD-B1E7-7A44BDF1D5CC}" name="Kolonna13518"/>
    <tableColumn id="13857" xr3:uid="{A45F26D7-1FEC-4D33-8BC0-0AA77199F780}" name="Kolonna13519"/>
    <tableColumn id="13858" xr3:uid="{3CD8A740-C1EB-4123-874A-3D232438045B}" name="Kolonna13520"/>
    <tableColumn id="13859" xr3:uid="{E8657C5F-8E00-48F9-9FE9-F407D62B1901}" name="Kolonna13521"/>
    <tableColumn id="13860" xr3:uid="{E836E24F-2078-4D9F-BD62-A66719FD44EE}" name="Kolonna13522"/>
    <tableColumn id="13861" xr3:uid="{FFC09515-2634-4692-A3CE-774892B75931}" name="Kolonna13523"/>
    <tableColumn id="13862" xr3:uid="{A10D9D63-EEE5-4A36-BEBA-7DEBF448932E}" name="Kolonna13524"/>
    <tableColumn id="13863" xr3:uid="{3BEA9CBA-73F9-4710-BA82-BA0A598E3FEF}" name="Kolonna13525"/>
    <tableColumn id="13864" xr3:uid="{EF819586-F6BB-46EB-BDA7-7E056C9A74AD}" name="Kolonna13526"/>
    <tableColumn id="13865" xr3:uid="{1FEC7E9D-A2B5-4AEE-B072-678444D99908}" name="Kolonna13527"/>
    <tableColumn id="13866" xr3:uid="{6307CA24-2C01-449B-A611-089AC74A20D0}" name="Kolonna13528"/>
    <tableColumn id="13867" xr3:uid="{9B3718EA-0526-4EB8-9563-CFEF73C58233}" name="Kolonna13529"/>
    <tableColumn id="13868" xr3:uid="{17111C4A-735A-471C-AA58-221691E9F714}" name="Kolonna13530"/>
    <tableColumn id="13869" xr3:uid="{0077A010-3829-4F13-AFF2-096CCFFE8C52}" name="Kolonna13531"/>
    <tableColumn id="13870" xr3:uid="{DD34CD8A-1C06-4B32-9D8C-D3D0534261A9}" name="Kolonna13532"/>
    <tableColumn id="13871" xr3:uid="{04F154F8-6432-4E60-A967-E9A47D7D68AB}" name="Kolonna13533"/>
    <tableColumn id="13872" xr3:uid="{DB2CFF04-A014-4CC9-9109-4DEAD152572D}" name="Kolonna13534"/>
    <tableColumn id="13873" xr3:uid="{4D50AF3E-11AA-4D86-A350-7CD7E7C903BD}" name="Kolonna13535"/>
    <tableColumn id="13874" xr3:uid="{886B2671-3CE4-4563-AD96-A4FEB06E313D}" name="Kolonna13536"/>
    <tableColumn id="13875" xr3:uid="{FA93309B-9627-41B7-A723-543BFCBAFE87}" name="Kolonna13537"/>
    <tableColumn id="13876" xr3:uid="{5F5B7929-2FB2-4E70-8076-3B77B90331E1}" name="Kolonna13538"/>
    <tableColumn id="13877" xr3:uid="{B3B9B0FB-3560-4646-8F53-BAE44F4AF822}" name="Kolonna13539"/>
    <tableColumn id="13878" xr3:uid="{11314878-66C8-4202-B5E0-CC0D5CDFDD38}" name="Kolonna13540"/>
    <tableColumn id="13879" xr3:uid="{AE121892-2A42-4BBC-9608-E39CD5D1916B}" name="Kolonna13541"/>
    <tableColumn id="13880" xr3:uid="{8663C3A2-2644-4910-80AE-3112C60DBE6E}" name="Kolonna13542"/>
    <tableColumn id="13881" xr3:uid="{315238F5-1D69-4561-88C8-6D9AB73DD483}" name="Kolonna13543"/>
    <tableColumn id="13882" xr3:uid="{B60CA47E-944C-43C8-BF0E-BE0BB58B5A18}" name="Kolonna13544"/>
    <tableColumn id="13883" xr3:uid="{6F8F0F6C-8163-4B4B-A1C7-F81897621E45}" name="Kolonna13545"/>
    <tableColumn id="13884" xr3:uid="{543B01D3-D34D-4689-9A02-6BE4ADBFAB01}" name="Kolonna13546"/>
    <tableColumn id="13885" xr3:uid="{1413D49E-ABF6-4E9D-BB95-11922CA02CA6}" name="Kolonna13547"/>
    <tableColumn id="13886" xr3:uid="{44F8E0D5-8864-4C52-8993-2AB571A51BB9}" name="Kolonna13548"/>
    <tableColumn id="13887" xr3:uid="{3ADF9A88-935A-458B-BDBE-B4A801149E70}" name="Kolonna13549"/>
    <tableColumn id="13888" xr3:uid="{D092FC4A-EFC4-4055-9C3D-16FEAFB7A330}" name="Kolonna13550"/>
    <tableColumn id="13889" xr3:uid="{A1A37724-57F9-4FAA-8C62-A169E210E48D}" name="Kolonna13551"/>
    <tableColumn id="13890" xr3:uid="{69BBCA81-8DB6-4754-8B51-EA015C67FE23}" name="Kolonna13552"/>
    <tableColumn id="13891" xr3:uid="{A79F720D-55C5-4FE2-91B0-FD5BA2C20CE9}" name="Kolonna13553"/>
    <tableColumn id="13892" xr3:uid="{8E7CF5FC-CD2A-4CFB-A0BB-E84F2DA9081B}" name="Kolonna13554"/>
    <tableColumn id="13893" xr3:uid="{96E6DF12-BEB2-4B4C-B728-62103B2804E8}" name="Kolonna13555"/>
    <tableColumn id="13894" xr3:uid="{D083E794-3F37-4B44-A0F3-B51A0510283A}" name="Kolonna13556"/>
    <tableColumn id="13895" xr3:uid="{5A05C1E3-EA3C-4633-B731-DC5203FA5838}" name="Kolonna13557"/>
    <tableColumn id="13896" xr3:uid="{3B3BD517-564B-4121-8552-CE6B2B9490B7}" name="Kolonna13558"/>
    <tableColumn id="13897" xr3:uid="{53EABD5D-B85C-45A9-ABC8-E99E2B621DC1}" name="Kolonna13559"/>
    <tableColumn id="13898" xr3:uid="{CF88B9A8-2318-4820-A476-784A685491F3}" name="Kolonna13560"/>
    <tableColumn id="13899" xr3:uid="{04C075D9-4C41-4D33-8F37-9AA9D345F924}" name="Kolonna13561"/>
    <tableColumn id="13900" xr3:uid="{4C2C41B0-487B-4D16-B210-D699590188D7}" name="Kolonna13562"/>
    <tableColumn id="13901" xr3:uid="{B827D248-1752-466D-8596-3217AA332B58}" name="Kolonna13563"/>
    <tableColumn id="13902" xr3:uid="{A20D4603-CD74-4757-9102-A0760E2E453D}" name="Kolonna13564"/>
    <tableColumn id="13903" xr3:uid="{98D595B0-8E16-4159-817F-F1830252A262}" name="Kolonna13565"/>
    <tableColumn id="13904" xr3:uid="{98E3466B-44F3-4F94-A302-EBE9B6C0B550}" name="Kolonna13566"/>
    <tableColumn id="13905" xr3:uid="{AF5EF107-002B-4E81-9B1B-F152A4AFC125}" name="Kolonna13567"/>
    <tableColumn id="13906" xr3:uid="{22F99624-9D61-4610-B781-6B251AD69174}" name="Kolonna13568"/>
    <tableColumn id="13907" xr3:uid="{914064F1-2CDD-4CA8-94CC-F12945F06276}" name="Kolonna13569"/>
    <tableColumn id="13908" xr3:uid="{C52611DB-23F0-4B3B-AD88-B64A44CE5424}" name="Kolonna13570"/>
    <tableColumn id="13909" xr3:uid="{3248757C-47BE-4609-8C40-96749887F000}" name="Kolonna13571"/>
    <tableColumn id="13910" xr3:uid="{2354D7FA-F4B0-467C-BC0A-5282DC55E7A8}" name="Kolonna13572"/>
    <tableColumn id="13911" xr3:uid="{03585B26-B01E-4635-B85C-AE14A72AA1A3}" name="Kolonna13573"/>
    <tableColumn id="13912" xr3:uid="{76D23D22-A1AD-487C-BE3D-694973CA78B2}" name="Kolonna13574"/>
    <tableColumn id="13913" xr3:uid="{5CFEEEF0-D484-4A0C-ADA5-D674361C6DA1}" name="Kolonna13575"/>
    <tableColumn id="13914" xr3:uid="{3B77D9B9-9A21-4448-911B-AC8AA945C719}" name="Kolonna13576"/>
    <tableColumn id="13915" xr3:uid="{0A1A5C70-687C-4338-A8B7-A39BE85DA199}" name="Kolonna13577"/>
    <tableColumn id="13916" xr3:uid="{C1F0AD10-CEEB-4735-A45E-1676A1B87CB9}" name="Kolonna13578"/>
    <tableColumn id="13917" xr3:uid="{B649497B-F02C-424F-9001-E0697628E5F0}" name="Kolonna13579"/>
    <tableColumn id="13918" xr3:uid="{DEC5C24E-EEC9-4C60-8A5F-5FA3C8752B61}" name="Kolonna13580"/>
    <tableColumn id="13919" xr3:uid="{4C43ED0F-520F-4F63-924D-EBE751C009B1}" name="Kolonna13581"/>
    <tableColumn id="13920" xr3:uid="{4C34950F-16A7-4038-913B-64015036BC59}" name="Kolonna13582"/>
    <tableColumn id="13921" xr3:uid="{BAF74E53-EE5E-4BFD-A41B-CD47F1430071}" name="Kolonna13583"/>
    <tableColumn id="13922" xr3:uid="{9771339B-B41D-40D6-9204-908A8B92D03F}" name="Kolonna13584"/>
    <tableColumn id="13923" xr3:uid="{8D1F234C-0359-400D-BCA4-3EC9300236E3}" name="Kolonna13585"/>
    <tableColumn id="13924" xr3:uid="{3CEE1DD0-091D-415B-8D01-BA353F9AFCAE}" name="Kolonna13586"/>
    <tableColumn id="13925" xr3:uid="{4A0C7F74-38EE-4479-860C-FB07144E6EB1}" name="Kolonna13587"/>
    <tableColumn id="13926" xr3:uid="{4BACF10D-EF35-4E10-99E7-C35D9F5BB349}" name="Kolonna13588"/>
    <tableColumn id="13927" xr3:uid="{533D62FE-A745-4DE0-AD24-92E859EDFF53}" name="Kolonna13589"/>
    <tableColumn id="13928" xr3:uid="{221F2C34-0259-428E-9E5F-95EAF724B95A}" name="Kolonna13590"/>
    <tableColumn id="13929" xr3:uid="{61A7CC74-4E3E-4CF9-B493-0A6596D5A4D9}" name="Kolonna13591"/>
    <tableColumn id="13930" xr3:uid="{373F7A75-446F-4ECC-95F1-1E8F21491435}" name="Kolonna13592"/>
    <tableColumn id="13931" xr3:uid="{98E23980-7489-4E2B-95B4-A08D8A74D02E}" name="Kolonna13593"/>
    <tableColumn id="13932" xr3:uid="{87B8E27A-2227-42CD-8DE2-077E4126B96C}" name="Kolonna13594"/>
    <tableColumn id="13933" xr3:uid="{687BA52D-1634-447D-909E-4631D9A50003}" name="Kolonna13595"/>
    <tableColumn id="13934" xr3:uid="{9BA671D9-8DB1-4812-92FE-CE011C518274}" name="Kolonna13596"/>
    <tableColumn id="13935" xr3:uid="{3789438F-CCBD-4191-96AE-CCE52B871A90}" name="Kolonna13597"/>
    <tableColumn id="13936" xr3:uid="{451ED428-6852-4CB7-B444-21D9039C672A}" name="Kolonna13598"/>
    <tableColumn id="13937" xr3:uid="{A722092F-D54C-4F14-93D7-F6C9CB4E5C5F}" name="Kolonna13599"/>
    <tableColumn id="13938" xr3:uid="{88573E54-B9FF-4AC0-B49D-9EFC67690184}" name="Kolonna13600"/>
    <tableColumn id="13939" xr3:uid="{EDA51E74-D259-4F16-86E4-375A6C57728B}" name="Kolonna13601"/>
    <tableColumn id="13940" xr3:uid="{B7BD5E5B-6381-4697-8221-B50C0F8E5C8A}" name="Kolonna13602"/>
    <tableColumn id="13941" xr3:uid="{F16D3B3F-07F7-4372-8195-B14CF6CE79EF}" name="Kolonna13603"/>
    <tableColumn id="13942" xr3:uid="{1A8B8104-F28E-4719-9A11-183CB08D487F}" name="Kolonna13604"/>
    <tableColumn id="13943" xr3:uid="{E8A4F733-3F45-4696-AE2E-8BE9B3CA2833}" name="Kolonna13605"/>
    <tableColumn id="13944" xr3:uid="{1466EFA9-06BE-4014-A974-8CE88A30CC86}" name="Kolonna13606"/>
    <tableColumn id="13945" xr3:uid="{7E2AE71B-8813-4E0A-9ABF-D52027798213}" name="Kolonna13607"/>
    <tableColumn id="13946" xr3:uid="{9E2ABB1C-42D2-4462-824C-60CC20B071C1}" name="Kolonna13608"/>
    <tableColumn id="13947" xr3:uid="{DBE05FD6-9D61-4C7D-AF34-6713C14B3C5C}" name="Kolonna13609"/>
    <tableColumn id="13948" xr3:uid="{D70AF7C6-0F4D-42AC-9CA7-7AA8A9318145}" name="Kolonna13610"/>
    <tableColumn id="13949" xr3:uid="{A2249567-77A3-4A32-BD97-962489E443A8}" name="Kolonna13611"/>
    <tableColumn id="13950" xr3:uid="{FEDCAF13-6855-49B5-8BA8-7E3B4AEB8D50}" name="Kolonna13612"/>
    <tableColumn id="13951" xr3:uid="{4A54E9D0-AB44-4128-ACFB-3A74D0DE8E92}" name="Kolonna13613"/>
    <tableColumn id="13952" xr3:uid="{80880D0F-F063-461B-B1CD-ACE7A545794E}" name="Kolonna13614"/>
    <tableColumn id="13953" xr3:uid="{F53E8438-761D-46CE-8668-C2E0C01549A4}" name="Kolonna13615"/>
    <tableColumn id="13954" xr3:uid="{89EB465C-7613-418A-A2A2-083FE5EE0A03}" name="Kolonna13616"/>
    <tableColumn id="13955" xr3:uid="{40F65339-71AE-417C-A758-0FCAA8478B1E}" name="Kolonna13617"/>
    <tableColumn id="13956" xr3:uid="{C56E658F-B978-483B-9BA1-C121E59D97BC}" name="Kolonna13618"/>
    <tableColumn id="13957" xr3:uid="{558A5782-648B-4E2C-99C1-1E3A4BD6689B}" name="Kolonna13619"/>
    <tableColumn id="13958" xr3:uid="{803A53CF-913A-470F-8484-AEFCBE6E9BE0}" name="Kolonna13620"/>
    <tableColumn id="13959" xr3:uid="{A4C98436-8A54-402B-ADE7-984382003A7B}" name="Kolonna13621"/>
    <tableColumn id="13960" xr3:uid="{E77A7FE0-6064-4FF8-B118-C7E720741B96}" name="Kolonna13622"/>
    <tableColumn id="13961" xr3:uid="{5BAAA872-3C56-4E3C-AA6B-486F0AA5CCB9}" name="Kolonna13623"/>
    <tableColumn id="13962" xr3:uid="{B27434AC-F87F-4D4F-850F-2D7FD9E231BD}" name="Kolonna13624"/>
    <tableColumn id="13963" xr3:uid="{22D788C0-695B-46A9-8EFA-9B4B8F897B94}" name="Kolonna13625"/>
    <tableColumn id="13964" xr3:uid="{BF10020B-2A04-48F4-B1B6-23EAAEA3D109}" name="Kolonna13626"/>
    <tableColumn id="13965" xr3:uid="{BA255A2F-3CA9-4DD1-B269-7965EAB5F8F5}" name="Kolonna13627"/>
    <tableColumn id="13966" xr3:uid="{BA4DBF5D-45DD-4DE3-96BE-E9289DB68C6A}" name="Kolonna13628"/>
    <tableColumn id="13967" xr3:uid="{350BE622-F955-4EBD-90A7-2FFC1A2C404C}" name="Kolonna13629"/>
    <tableColumn id="13968" xr3:uid="{B6D568B1-B172-4A77-9EDB-890EA4AF66D5}" name="Kolonna13630"/>
    <tableColumn id="13969" xr3:uid="{4274C266-9E33-4C6E-B9C5-CAD97613283F}" name="Kolonna13631"/>
    <tableColumn id="13970" xr3:uid="{70DBF11F-B819-4619-855F-62C5DD12FFE8}" name="Kolonna13632"/>
    <tableColumn id="13971" xr3:uid="{8217E8EC-D407-4328-A7F7-32BAC1FB0094}" name="Kolonna13633"/>
    <tableColumn id="13972" xr3:uid="{5961C40C-2A97-4D95-B883-DF016B0A5C1C}" name="Kolonna13634"/>
    <tableColumn id="13973" xr3:uid="{34C241D1-4CCD-4953-AAAD-EAC3F6D58B85}" name="Kolonna13635"/>
    <tableColumn id="13974" xr3:uid="{9839FD7D-BE1F-4F39-928F-16C2281B1185}" name="Kolonna13636"/>
    <tableColumn id="13975" xr3:uid="{1BDB18F9-61D9-4B45-980F-F36D1E9BE35F}" name="Kolonna13637"/>
    <tableColumn id="13976" xr3:uid="{6E92505E-5369-4196-A8F6-BDDC31BC006C}" name="Kolonna13638"/>
    <tableColumn id="13977" xr3:uid="{46F986A3-B308-42FD-83E9-41BF50B2E619}" name="Kolonna13639"/>
    <tableColumn id="13978" xr3:uid="{1C79FA21-B0A5-4DCE-85EE-1BF79E239EA6}" name="Kolonna13640"/>
    <tableColumn id="13979" xr3:uid="{171D7240-B665-40D2-ADAE-CDE462139EBD}" name="Kolonna13641"/>
    <tableColumn id="13980" xr3:uid="{5E2E6627-C69A-4E73-A270-B09952A918A1}" name="Kolonna13642"/>
    <tableColumn id="13981" xr3:uid="{48C5EA8F-E7E8-40CC-85D3-65A2B9B99FB3}" name="Kolonna13643"/>
    <tableColumn id="13982" xr3:uid="{93FCBBF7-6712-4868-B2E3-E993645A65A5}" name="Kolonna13644"/>
    <tableColumn id="13983" xr3:uid="{39B68232-ADB4-424F-B931-A779C3180A1F}" name="Kolonna13645"/>
    <tableColumn id="13984" xr3:uid="{6C1E67AF-8FF4-4E66-AAC5-47F894BAF3CC}" name="Kolonna13646"/>
    <tableColumn id="13985" xr3:uid="{D6430C29-A8A7-4513-A637-8A4576924543}" name="Kolonna13647"/>
    <tableColumn id="13986" xr3:uid="{6FA374FE-D503-4762-9E2D-02E17C7232C9}" name="Kolonna13648"/>
    <tableColumn id="13987" xr3:uid="{1B07E56D-F68F-4FBA-BC0B-2DB743D9269F}" name="Kolonna13649"/>
    <tableColumn id="13988" xr3:uid="{8C34E8F0-E77A-43EB-A650-817D1309F7EB}" name="Kolonna13650"/>
    <tableColumn id="13989" xr3:uid="{F67FAE62-4B5F-4C1F-A7A5-35B9EC7324DB}" name="Kolonna13651"/>
    <tableColumn id="13990" xr3:uid="{E5D434BA-B8F4-4466-91E4-F35547998E47}" name="Kolonna13652"/>
    <tableColumn id="13991" xr3:uid="{D5109B9A-15D7-42C3-B313-16AC2269BAF8}" name="Kolonna13653"/>
    <tableColumn id="13992" xr3:uid="{CA58735E-C6B1-4096-8694-B7269D6F41BC}" name="Kolonna13654"/>
    <tableColumn id="13993" xr3:uid="{EA16A108-206F-4EAB-8DDF-FD9B96291FFA}" name="Kolonna13655"/>
    <tableColumn id="13994" xr3:uid="{2703DF94-60C2-4767-A262-53880E59D085}" name="Kolonna13656"/>
    <tableColumn id="13995" xr3:uid="{257942FC-7479-457E-910E-9AA64B94B4E2}" name="Kolonna13657"/>
    <tableColumn id="13996" xr3:uid="{56A9BAAA-499F-4E15-B92F-B9BF77AD82AC}" name="Kolonna13658"/>
    <tableColumn id="13997" xr3:uid="{AFEC1576-9C68-4DE3-815C-7FFD66F97CF1}" name="Kolonna13659"/>
    <tableColumn id="13998" xr3:uid="{67012D86-C4B5-41B8-99E7-FF6BFE4C3558}" name="Kolonna13660"/>
    <tableColumn id="13999" xr3:uid="{52E96EC9-6461-476B-ACDA-927B98C664B4}" name="Kolonna13661"/>
    <tableColumn id="14000" xr3:uid="{EC6A7E79-35DB-46C4-ABF7-FCDAE00D4314}" name="Kolonna13662"/>
    <tableColumn id="14001" xr3:uid="{ABDD5BEF-DD37-40D7-B002-3BBF1EB5E3D1}" name="Kolonna13663"/>
    <tableColumn id="14002" xr3:uid="{8A959E99-E917-47C2-BEB5-754AFB296C21}" name="Kolonna13664"/>
    <tableColumn id="14003" xr3:uid="{7B02A82E-CAAC-479F-A59C-065DD5C04722}" name="Kolonna13665"/>
    <tableColumn id="14004" xr3:uid="{DE234FCE-FEB1-4E65-8617-0F78C6C18C48}" name="Kolonna13666"/>
    <tableColumn id="14005" xr3:uid="{8C819CD9-F0DF-4490-9F06-B845EC6E0A5A}" name="Kolonna13667"/>
    <tableColumn id="14006" xr3:uid="{19E8636F-3F78-4A9C-91F9-21BE494745CD}" name="Kolonna13668"/>
    <tableColumn id="14007" xr3:uid="{154C8D63-5176-471C-8E6C-37C7D5F81D29}" name="Kolonna13669"/>
    <tableColumn id="14008" xr3:uid="{457D3B6C-9A73-4CB5-A623-DF10E8608D81}" name="Kolonna13670"/>
    <tableColumn id="14009" xr3:uid="{E977BE39-91B2-4C43-9125-C374A0583EC6}" name="Kolonna13671"/>
    <tableColumn id="14010" xr3:uid="{2446C7C3-5CBC-4EEF-9D7B-E1B89BF13B04}" name="Kolonna13672"/>
    <tableColumn id="14011" xr3:uid="{8BF37A86-6329-45D8-BBDD-93E2021F9F48}" name="Kolonna13673"/>
    <tableColumn id="14012" xr3:uid="{F91220FB-A9A3-4AB5-9578-3F7055BC4821}" name="Kolonna13674"/>
    <tableColumn id="14013" xr3:uid="{89CF7EE4-F31B-46E4-B823-9B15FC5DE93E}" name="Kolonna13675"/>
    <tableColumn id="14014" xr3:uid="{A829631F-E53C-44BB-970E-CE1FBB4A4332}" name="Kolonna13676"/>
    <tableColumn id="14015" xr3:uid="{8F8625AA-CCE1-4AA8-AA3D-D6F0F0223A1C}" name="Kolonna13677"/>
    <tableColumn id="14016" xr3:uid="{DAA5A0C1-575A-4D42-AF54-E93E54D25D72}" name="Kolonna13678"/>
    <tableColumn id="14017" xr3:uid="{DE794F66-1ACF-40BC-90AB-105542A0743C}" name="Kolonna13679"/>
    <tableColumn id="14018" xr3:uid="{C8C541E8-7071-4D28-A637-EE0A1104C7DC}" name="Kolonna13680"/>
    <tableColumn id="14019" xr3:uid="{E4797FC3-F10E-45F1-B4CB-A0783B809D48}" name="Kolonna13681"/>
    <tableColumn id="14020" xr3:uid="{97BDED01-8A5E-42ED-91F0-E62A144D228D}" name="Kolonna13682"/>
    <tableColumn id="14021" xr3:uid="{20BB6FBF-EED8-4E2D-B1B0-34D84857E977}" name="Kolonna13683"/>
    <tableColumn id="14022" xr3:uid="{E02C2F33-AF30-4711-96FA-9C64953209C1}" name="Kolonna13684"/>
    <tableColumn id="14023" xr3:uid="{D0C02D90-D833-4772-9ED1-D230B70CC11F}" name="Kolonna13685"/>
    <tableColumn id="14024" xr3:uid="{E9E4A4C0-BFA4-40B0-BBD4-7F3F0A458FB2}" name="Kolonna13686"/>
    <tableColumn id="14025" xr3:uid="{BB7A1D6C-3EC4-428B-8B62-19F5D877B2B9}" name="Kolonna13687"/>
    <tableColumn id="14026" xr3:uid="{14B4A2EC-E21E-478D-8BC4-7A090EB0C798}" name="Kolonna13688"/>
    <tableColumn id="14027" xr3:uid="{BE5E1336-F5DC-4D99-B2E2-0C8C09B4E51E}" name="Kolonna13689"/>
    <tableColumn id="14028" xr3:uid="{FA286A96-E94A-4FEA-BE55-00F95C6F7296}" name="Kolonna13690"/>
    <tableColumn id="14029" xr3:uid="{531C0687-753B-429D-8B4A-EF0AAC5AFBCE}" name="Kolonna13691"/>
    <tableColumn id="14030" xr3:uid="{89CD26C1-636E-4B6F-B2C1-6A97E0FC35C6}" name="Kolonna13692"/>
    <tableColumn id="14031" xr3:uid="{D027D13B-BBA8-4506-8695-5B003FAA337B}" name="Kolonna13693"/>
    <tableColumn id="14032" xr3:uid="{9C62021E-8E54-4B9F-8F1C-2DD626D75042}" name="Kolonna13694"/>
    <tableColumn id="14033" xr3:uid="{6B7CCB74-6C6D-46EF-B9F0-C89B8F08C594}" name="Kolonna13695"/>
    <tableColumn id="14034" xr3:uid="{99E67529-ADA5-456B-BF45-70ED52A42691}" name="Kolonna13696"/>
    <tableColumn id="14035" xr3:uid="{6CEA3122-600C-4468-A2C1-C3BB3226A3C1}" name="Kolonna13697"/>
    <tableColumn id="14036" xr3:uid="{8A9DDB0E-FE7D-413F-9D8B-0DA8A055E611}" name="Kolonna13698"/>
    <tableColumn id="14037" xr3:uid="{4CA6D8CF-F8BE-40DA-8B36-D28F538DCE2D}" name="Kolonna13699"/>
    <tableColumn id="14038" xr3:uid="{AA5FEE87-23E9-4F34-85A0-024E042658A6}" name="Kolonna13700"/>
    <tableColumn id="14039" xr3:uid="{D0500F57-3558-43DB-B8F3-CBA6A0B09A29}" name="Kolonna13701"/>
    <tableColumn id="14040" xr3:uid="{68B42504-9AA8-43D8-B169-3D414D61707D}" name="Kolonna13702"/>
    <tableColumn id="14041" xr3:uid="{748A948C-1888-4B4C-BD5C-25D5B377FF6C}" name="Kolonna13703"/>
    <tableColumn id="14042" xr3:uid="{E7251974-DED4-4506-BD69-E9B6969DBE8F}" name="Kolonna13704"/>
    <tableColumn id="14043" xr3:uid="{EA305AF8-17BE-43AD-88B0-9878BD49FD52}" name="Kolonna13705"/>
    <tableColumn id="14044" xr3:uid="{64AD4CFE-A0BA-4447-8D22-FDF80B55EAFC}" name="Kolonna13706"/>
    <tableColumn id="14045" xr3:uid="{AF18812F-7DB8-499B-9F37-363DA1FE7488}" name="Kolonna13707"/>
    <tableColumn id="14046" xr3:uid="{63D36EFC-FEE8-4A9C-B262-89663186A024}" name="Kolonna13708"/>
    <tableColumn id="14047" xr3:uid="{D4D511BF-0A93-4773-9BAF-E8C00031ACC2}" name="Kolonna13709"/>
    <tableColumn id="14048" xr3:uid="{187A78B4-E6E7-476B-AABE-EA5B31B24628}" name="Kolonna13710"/>
    <tableColumn id="14049" xr3:uid="{0907E9FB-3FE0-4839-A864-9B3B013B327B}" name="Kolonna13711"/>
    <tableColumn id="14050" xr3:uid="{A4392835-020B-4D17-9683-734AFF6F559B}" name="Kolonna13712"/>
    <tableColumn id="14051" xr3:uid="{15FECB03-3D2D-4C26-BD52-2B998039C015}" name="Kolonna13713"/>
    <tableColumn id="14052" xr3:uid="{38228B85-DAD3-410E-A83E-2736E63594D1}" name="Kolonna13714"/>
    <tableColumn id="14053" xr3:uid="{81660D32-5920-4020-8939-9885CA26B17C}" name="Kolonna13715"/>
    <tableColumn id="14054" xr3:uid="{46AEF52A-C49D-4D00-8F93-8EB4C71D9806}" name="Kolonna13716"/>
    <tableColumn id="14055" xr3:uid="{BAA2E049-BD79-4808-AC4C-0BE132543632}" name="Kolonna13717"/>
    <tableColumn id="14056" xr3:uid="{CABD03A1-60E9-466A-80C4-E0C47B679D66}" name="Kolonna13718"/>
    <tableColumn id="14057" xr3:uid="{B041B376-3FC6-4C03-B102-95AA464FF947}" name="Kolonna13719"/>
    <tableColumn id="14058" xr3:uid="{4C30AA40-D1B6-46C9-97CD-4CB460AFBB0A}" name="Kolonna13720"/>
    <tableColumn id="14059" xr3:uid="{9B4B8153-D4E5-4C8A-8F9C-01CC23000621}" name="Kolonna13721"/>
    <tableColumn id="14060" xr3:uid="{C3BC595B-5932-4C1E-891D-108D439DBF49}" name="Kolonna13722"/>
    <tableColumn id="14061" xr3:uid="{0B4F44CC-EFFB-4F1F-B5FF-7D167EE291BC}" name="Kolonna13723"/>
    <tableColumn id="14062" xr3:uid="{2F77B28C-8B85-42B2-8C5E-4BE5A315013A}" name="Kolonna13724"/>
    <tableColumn id="14063" xr3:uid="{BFF5A065-72D3-406D-AE7F-F8AF89FA241A}" name="Kolonna13725"/>
    <tableColumn id="14064" xr3:uid="{EC510264-C801-490A-85B5-E2E14957E889}" name="Kolonna13726"/>
    <tableColumn id="14065" xr3:uid="{1FBE6C86-9F18-4D20-9FDB-9027FE6F4B0A}" name="Kolonna13727"/>
    <tableColumn id="14066" xr3:uid="{765BB1EB-3F78-41D4-969B-09462BE48A5C}" name="Kolonna13728"/>
    <tableColumn id="14067" xr3:uid="{E1CFA53A-8B9C-4C1E-9C64-5A2491CD2A8C}" name="Kolonna13729"/>
    <tableColumn id="14068" xr3:uid="{68FCAFE4-10A5-4361-9622-78058106C53E}" name="Kolonna13730"/>
    <tableColumn id="14069" xr3:uid="{120D28D3-650F-4301-9EDF-F7F797DD9A1B}" name="Kolonna13731"/>
    <tableColumn id="14070" xr3:uid="{D42F76BC-7B04-4FF2-8A73-EA36B1B833BE}" name="Kolonna13732"/>
    <tableColumn id="14071" xr3:uid="{3AA78745-4F0D-4DA8-9048-626B48F47109}" name="Kolonna13733"/>
    <tableColumn id="14072" xr3:uid="{FEA25A9F-766B-4B03-AB92-76BC41A4C872}" name="Kolonna13734"/>
    <tableColumn id="14073" xr3:uid="{5D06DEE8-A3B9-444E-9C57-C8735B7CE1AB}" name="Kolonna13735"/>
    <tableColumn id="14074" xr3:uid="{97364AA5-415F-41E1-8C95-76E5C1FD87E0}" name="Kolonna13736"/>
    <tableColumn id="14075" xr3:uid="{28B940CF-0284-4E4F-B992-672CA8D3FE0C}" name="Kolonna13737"/>
    <tableColumn id="14076" xr3:uid="{C9968B2E-39EE-4BAA-A47F-387ABFCF7A8B}" name="Kolonna13738"/>
    <tableColumn id="14077" xr3:uid="{8061E34E-6F69-4C2D-A894-2DEB4AD54223}" name="Kolonna13739"/>
    <tableColumn id="14078" xr3:uid="{F5DF973F-6AC8-4B9E-BDFF-0DF89F2054D8}" name="Kolonna13740"/>
    <tableColumn id="14079" xr3:uid="{B890CE15-B67A-4FF9-BC79-12B91C179CFD}" name="Kolonna13741"/>
    <tableColumn id="14080" xr3:uid="{33460C5A-A651-49DE-B014-6E0A8C0EF5B5}" name="Kolonna13742"/>
    <tableColumn id="14081" xr3:uid="{E83F0025-EFB1-4FCF-B807-28F408A47670}" name="Kolonna13743"/>
    <tableColumn id="14082" xr3:uid="{1985D8AE-C781-4BA8-87A1-9A1ECDBEF137}" name="Kolonna13744"/>
    <tableColumn id="14083" xr3:uid="{12D99308-B1A7-43BB-B2D1-8E980265C3BA}" name="Kolonna13745"/>
    <tableColumn id="14084" xr3:uid="{7A6C3ACC-80A5-4A16-A8B9-003EC1DC83B3}" name="Kolonna13746"/>
    <tableColumn id="14085" xr3:uid="{3588810F-CFE0-4DB8-AA2D-2B391B450017}" name="Kolonna13747"/>
    <tableColumn id="14086" xr3:uid="{B5D24C02-9837-4C11-854C-0283EF596BB7}" name="Kolonna13748"/>
    <tableColumn id="14087" xr3:uid="{8DB4C8DF-4F14-4A1D-8F5C-441FD621889A}" name="Kolonna13749"/>
    <tableColumn id="14088" xr3:uid="{101FF15A-8C39-4ABF-9327-F1F58E75C0BA}" name="Kolonna13750"/>
    <tableColumn id="14089" xr3:uid="{AADA4ED6-7A3D-4B5E-BEEE-57159F9AF447}" name="Kolonna13751"/>
    <tableColumn id="14090" xr3:uid="{BB80D3FF-E886-4380-ABD5-324B741EA471}" name="Kolonna13752"/>
    <tableColumn id="14091" xr3:uid="{97A9209E-98F1-47B6-8EB1-821EBB303B43}" name="Kolonna13753"/>
    <tableColumn id="14092" xr3:uid="{2E2CF89E-BC49-4E4D-8454-073D87A2A6B1}" name="Kolonna13754"/>
    <tableColumn id="14093" xr3:uid="{A8E727C2-761C-41B1-A8E3-05A7A4B62A5F}" name="Kolonna13755"/>
    <tableColumn id="14094" xr3:uid="{26DA6DE0-8DCD-4895-AD98-ED4EEACF2850}" name="Kolonna13756"/>
    <tableColumn id="14095" xr3:uid="{2450AB7D-C752-4966-A25A-09B768C282A1}" name="Kolonna13757"/>
    <tableColumn id="14096" xr3:uid="{ECA74A0A-FA9A-405A-9254-52687DEAF09E}" name="Kolonna13758"/>
    <tableColumn id="14097" xr3:uid="{01D007A2-BD80-48EF-ACC6-40148881217C}" name="Kolonna13759"/>
    <tableColumn id="14098" xr3:uid="{BB8FFB85-4601-417C-9E5A-BBA1C042E26C}" name="Kolonna13760"/>
    <tableColumn id="14099" xr3:uid="{4DFF63E0-10A7-42BA-90CC-C202164CBB4E}" name="Kolonna13761"/>
    <tableColumn id="14100" xr3:uid="{12444F14-3B56-4660-9F93-79E2189FB83A}" name="Kolonna13762"/>
    <tableColumn id="14101" xr3:uid="{FBCDBA15-7519-4A75-9CE0-A654DB80F764}" name="Kolonna13763"/>
    <tableColumn id="14102" xr3:uid="{CB9D42A8-06CA-41B4-8D48-8FB7C294D375}" name="Kolonna13764"/>
    <tableColumn id="14103" xr3:uid="{305A575E-C319-46AB-8078-DCBABFB55AC5}" name="Kolonna13765"/>
    <tableColumn id="14104" xr3:uid="{F11F8A59-6EF1-4C2B-A43B-0B72DEFA92C3}" name="Kolonna13766"/>
    <tableColumn id="14105" xr3:uid="{9232ADF2-1401-44FC-B32A-2288E1DBFAEE}" name="Kolonna13767"/>
    <tableColumn id="14106" xr3:uid="{89D11183-47B9-4E62-97F7-22767087C448}" name="Kolonna13768"/>
    <tableColumn id="14107" xr3:uid="{56B53D7F-7A4F-4EAB-9B8A-EBE421F416BA}" name="Kolonna13769"/>
    <tableColumn id="14108" xr3:uid="{6298B4F3-547D-446C-9D49-6FC0FD8C2884}" name="Kolonna13770"/>
    <tableColumn id="14109" xr3:uid="{E01DFB80-14B9-47EB-A276-94837C4BBDBE}" name="Kolonna13771"/>
    <tableColumn id="14110" xr3:uid="{6C235191-715B-42CC-ADEB-1B975E972FA6}" name="Kolonna13772"/>
    <tableColumn id="14111" xr3:uid="{8DF41490-EA3D-4781-AA0C-89A8856CDCB7}" name="Kolonna13773"/>
    <tableColumn id="14112" xr3:uid="{E8B1F5BC-0B1C-4FC7-9DB6-1D40FDCE023E}" name="Kolonna13774"/>
    <tableColumn id="14113" xr3:uid="{893652C0-5B92-47AA-AE83-25120A70D87B}" name="Kolonna13775"/>
    <tableColumn id="14114" xr3:uid="{C0C2730E-4C49-4BC0-97AA-3F3EFCC12B15}" name="Kolonna13776"/>
    <tableColumn id="14115" xr3:uid="{B15EE2DC-F0C7-4520-B888-1E597C5AB86B}" name="Kolonna13777"/>
    <tableColumn id="14116" xr3:uid="{17A89FAE-5327-4780-9E01-12A62CCF4D4F}" name="Kolonna13778"/>
    <tableColumn id="14117" xr3:uid="{A3A28B27-21BA-47AC-A725-B16EB09F4AEB}" name="Kolonna13779"/>
    <tableColumn id="14118" xr3:uid="{66E57915-3D4E-45DB-ADE4-39A19701AE5D}" name="Kolonna13780"/>
    <tableColumn id="14119" xr3:uid="{FC19D1CB-2E6C-4513-A6CC-C374A765D19F}" name="Kolonna13781"/>
    <tableColumn id="14120" xr3:uid="{5D8D4FCA-516F-4FF7-913B-FDC17D7A920D}" name="Kolonna13782"/>
    <tableColumn id="14121" xr3:uid="{B17A4B09-0368-4B87-8B69-D5E786C94880}" name="Kolonna13783"/>
    <tableColumn id="14122" xr3:uid="{D88717CB-0284-457D-BF6A-134AB8385AF3}" name="Kolonna13784"/>
    <tableColumn id="14123" xr3:uid="{D6945D80-0080-4018-B4ED-725FC9A7A983}" name="Kolonna13785"/>
    <tableColumn id="14124" xr3:uid="{62E346CA-515D-4171-B27F-80C763520EE7}" name="Kolonna13786"/>
    <tableColumn id="14125" xr3:uid="{D1062B3B-73D7-4F0B-B27B-62DEAF6BF884}" name="Kolonna13787"/>
    <tableColumn id="14126" xr3:uid="{8423358C-5892-44AB-A475-E3CDB862C865}" name="Kolonna13788"/>
    <tableColumn id="14127" xr3:uid="{509308B4-96BD-4A32-8691-5F3FDB2D0108}" name="Kolonna13789"/>
    <tableColumn id="14128" xr3:uid="{3EFA964B-E86D-4ED6-A440-7BED74F01D9F}" name="Kolonna13790"/>
    <tableColumn id="14129" xr3:uid="{E1D0CC72-9EBD-4A86-BF5A-28123F8AA4CB}" name="Kolonna13791"/>
    <tableColumn id="14130" xr3:uid="{C68E3DC7-8ACA-4441-81E4-D410E4521F2B}" name="Kolonna13792"/>
    <tableColumn id="14131" xr3:uid="{116B99E8-E354-48B2-87CA-3A8255208BEB}" name="Kolonna13793"/>
    <tableColumn id="14132" xr3:uid="{ACB2BA14-06DD-4816-82D3-6AE8803A38DE}" name="Kolonna13794"/>
    <tableColumn id="14133" xr3:uid="{2D11307E-E7DA-46E6-A565-EA7331C76E62}" name="Kolonna13795"/>
    <tableColumn id="14134" xr3:uid="{40263AA2-9AB6-4FF7-9C13-6A05FA16509E}" name="Kolonna13796"/>
    <tableColumn id="14135" xr3:uid="{4BAE16E4-3732-4496-A1D6-9848C1C22D46}" name="Kolonna13797"/>
    <tableColumn id="14136" xr3:uid="{4E6B5AA9-7AB2-4B1F-B708-2CB31166CCBC}" name="Kolonna13798"/>
    <tableColumn id="14137" xr3:uid="{4E1D6640-85A2-4FCD-B2FB-D9F896F91203}" name="Kolonna13799"/>
    <tableColumn id="14138" xr3:uid="{E7FBA240-9973-4294-92D1-797AB0609294}" name="Kolonna13800"/>
    <tableColumn id="14139" xr3:uid="{38437206-0427-472C-B518-F7DB67D2DCCC}" name="Kolonna13801"/>
    <tableColumn id="14140" xr3:uid="{F89EECB4-2F12-404C-B59C-D64968C663BF}" name="Kolonna13802"/>
    <tableColumn id="14141" xr3:uid="{183C32BA-157E-47E7-9331-33B703D4590D}" name="Kolonna13803"/>
    <tableColumn id="14142" xr3:uid="{05482293-E9FD-4A88-BDE5-3E1DDF0A7D53}" name="Kolonna13804"/>
    <tableColumn id="14143" xr3:uid="{CC499319-1EA2-4C87-A037-07699C365886}" name="Kolonna13805"/>
    <tableColumn id="14144" xr3:uid="{9559603E-257A-41E6-A0A2-F8B8A645D015}" name="Kolonna13806"/>
    <tableColumn id="14145" xr3:uid="{866853D6-BD2E-484F-93B2-2193256E1321}" name="Kolonna13807"/>
    <tableColumn id="14146" xr3:uid="{D775D1F0-A2BA-4156-ACAB-1A8A8670386B}" name="Kolonna13808"/>
    <tableColumn id="14147" xr3:uid="{CE217248-135E-4317-A1E4-74B6C84F5BD3}" name="Kolonna13809"/>
    <tableColumn id="14148" xr3:uid="{89309963-A460-4DAC-9C62-A8E32203EB4F}" name="Kolonna13810"/>
    <tableColumn id="14149" xr3:uid="{1980FA7A-AE1D-4748-B9E8-1898986AF3A4}" name="Kolonna13811"/>
    <tableColumn id="14150" xr3:uid="{0D64DF04-F46D-4010-8DD5-03FA9640E44D}" name="Kolonna13812"/>
    <tableColumn id="14151" xr3:uid="{7759DDDA-24D4-4983-AA04-6F18E59E9FDE}" name="Kolonna13813"/>
    <tableColumn id="14152" xr3:uid="{7B07EAAA-D1FD-4A12-A20D-BAA57EBD340F}" name="Kolonna13814"/>
    <tableColumn id="14153" xr3:uid="{0DACBAEF-33AF-471F-BB60-220B5FCB81C1}" name="Kolonna13815"/>
    <tableColumn id="14154" xr3:uid="{1ECECA77-6E6D-4D67-B4F6-5A8F80661313}" name="Kolonna13816"/>
    <tableColumn id="14155" xr3:uid="{975924F2-0B6D-4E8C-8816-F1F6B5AF46ED}" name="Kolonna13817"/>
    <tableColumn id="14156" xr3:uid="{598A8BBA-8A1D-42B9-AD7B-43FA444B5AE9}" name="Kolonna13818"/>
    <tableColumn id="14157" xr3:uid="{0117A768-273C-4364-BFC7-617BC069E5A8}" name="Kolonna13819"/>
    <tableColumn id="14158" xr3:uid="{0EFC1D3D-E990-4F97-A1C3-7EBAE888F1A8}" name="Kolonna13820"/>
    <tableColumn id="14159" xr3:uid="{BDAA1D67-FB1B-40B4-A3CF-3DC79C3EDC2F}" name="Kolonna13821"/>
    <tableColumn id="14160" xr3:uid="{DC2E126E-00C6-4AAB-90A7-82D9CCB0391A}" name="Kolonna13822"/>
    <tableColumn id="14161" xr3:uid="{0DC9D9D5-138C-47C0-B3BC-36FEE588219C}" name="Kolonna13823"/>
    <tableColumn id="14162" xr3:uid="{F031C200-63CB-4E58-AF7A-321D09A4B0F6}" name="Kolonna13824"/>
    <tableColumn id="14163" xr3:uid="{C9CDABD0-19B8-4D00-ACD1-B4B497DD4E28}" name="Kolonna13825"/>
    <tableColumn id="14164" xr3:uid="{6C34BE26-B4C5-44A2-B87C-C6ECB95733CD}" name="Kolonna13826"/>
    <tableColumn id="14165" xr3:uid="{D3D665B6-309E-4B23-8A68-0BDA03D4C440}" name="Kolonna13827"/>
    <tableColumn id="14166" xr3:uid="{C8944813-1496-4F5C-A272-E798C0CAA34A}" name="Kolonna13828"/>
    <tableColumn id="14167" xr3:uid="{8D9DCAA2-DEF9-4BCE-8DE8-860D7737D27B}" name="Kolonna13829"/>
    <tableColumn id="14168" xr3:uid="{BA501242-120E-4788-A745-D1AFA6B3EA1F}" name="Kolonna13830"/>
    <tableColumn id="14169" xr3:uid="{C196474C-E215-419D-8226-B3012BA6C0D4}" name="Kolonna13831"/>
    <tableColumn id="14170" xr3:uid="{B646501A-99C2-4D2B-B0B4-D2B3B6FBEDF6}" name="Kolonna13832"/>
    <tableColumn id="14171" xr3:uid="{658D5870-1FB8-4D8E-97B1-BC74A788CEF4}" name="Kolonna13833"/>
    <tableColumn id="14172" xr3:uid="{FC1FC360-61E2-4294-97D3-DE0786F0807A}" name="Kolonna13834"/>
    <tableColumn id="14173" xr3:uid="{C25581D1-D30C-4B98-A90E-F8256739CBBF}" name="Kolonna13835"/>
    <tableColumn id="14174" xr3:uid="{46661A19-A4AF-42CB-9440-4245DB5B8FE3}" name="Kolonna13836"/>
    <tableColumn id="14175" xr3:uid="{A18B81FB-A660-4212-9917-6D4163E8D74F}" name="Kolonna13837"/>
    <tableColumn id="14176" xr3:uid="{5039B2CE-E692-4E1E-AA2A-EBAEC2BD5F0E}" name="Kolonna13838"/>
    <tableColumn id="14177" xr3:uid="{AF7DEB63-12C0-4C93-B518-419E488196F8}" name="Kolonna13839"/>
    <tableColumn id="14178" xr3:uid="{34C4B2A5-E4FC-429D-9CB0-0AC55C47D809}" name="Kolonna13840"/>
    <tableColumn id="14179" xr3:uid="{3BAAAC5A-C8A6-4652-9934-7E42D4EBC039}" name="Kolonna13841"/>
    <tableColumn id="14180" xr3:uid="{29FF937C-A813-4EAA-BB0D-8250E1C35DE8}" name="Kolonna13842"/>
    <tableColumn id="14181" xr3:uid="{D27AD12C-6351-4C9F-854D-81B1BC06B3B1}" name="Kolonna13843"/>
    <tableColumn id="14182" xr3:uid="{8DBDAC5D-B54C-44E1-9F01-5EFCECE0216D}" name="Kolonna13844"/>
    <tableColumn id="14183" xr3:uid="{A0AD8082-E185-4DEC-A0C2-29E1C5197231}" name="Kolonna13845"/>
    <tableColumn id="14184" xr3:uid="{980A10EF-9A29-4BE4-9EDC-9B6086DDC579}" name="Kolonna13846"/>
    <tableColumn id="14185" xr3:uid="{1ED0D000-E2F3-4D4E-9D15-127B3DD5E12E}" name="Kolonna13847"/>
    <tableColumn id="14186" xr3:uid="{CD52659D-EE31-4DE5-88D0-611DAF657C08}" name="Kolonna13848"/>
    <tableColumn id="14187" xr3:uid="{80B2D755-D839-44FA-A0DA-E59C7A5D4967}" name="Kolonna13849"/>
    <tableColumn id="14188" xr3:uid="{7E0195E6-686C-40EE-BBE4-CA1C9E434D9F}" name="Kolonna13850"/>
    <tableColumn id="14189" xr3:uid="{8570B206-3359-46BE-8C69-1A3762F946D5}" name="Kolonna13851"/>
    <tableColumn id="14190" xr3:uid="{9B5DDE18-2A74-4525-B488-D8E38AEF42A4}" name="Kolonna13852"/>
    <tableColumn id="14191" xr3:uid="{05AE7F4C-33EC-4605-A817-54E8CCA3F66A}" name="Kolonna13853"/>
    <tableColumn id="14192" xr3:uid="{1CBBFA08-AA9E-499B-8EDF-204C1448F3E0}" name="Kolonna13854"/>
    <tableColumn id="14193" xr3:uid="{90D178F2-8AD7-480A-B3F1-C7F4A68F6DB8}" name="Kolonna13855"/>
    <tableColumn id="14194" xr3:uid="{3BAA4EEC-15B8-4C87-984A-90E88EE0B368}" name="Kolonna13856"/>
    <tableColumn id="14195" xr3:uid="{0BFF2BCC-5435-4634-ADEF-925CAECE65DB}" name="Kolonna13857"/>
    <tableColumn id="14196" xr3:uid="{C9E1C56C-4AE8-4BA1-8DF4-A29AA0DBAAEB}" name="Kolonna13858"/>
    <tableColumn id="14197" xr3:uid="{7A7321F5-69B2-408E-8ADA-2C8E4BF31ABE}" name="Kolonna13859"/>
    <tableColumn id="14198" xr3:uid="{83AFE5BD-27AA-48E3-B4C1-7C61D72B3439}" name="Kolonna13860"/>
    <tableColumn id="14199" xr3:uid="{D2A50540-1CE1-480A-9525-CB043F9FF466}" name="Kolonna13861"/>
    <tableColumn id="14200" xr3:uid="{A359468F-B703-4C6F-B4F9-167D4D351C81}" name="Kolonna13862"/>
    <tableColumn id="14201" xr3:uid="{4AF625E4-6059-442E-B73E-8F68EF7C6461}" name="Kolonna13863"/>
    <tableColumn id="14202" xr3:uid="{412C2482-053A-4460-9441-037AB0B7CDD1}" name="Kolonna13864"/>
    <tableColumn id="14203" xr3:uid="{D880489B-D627-4C16-A433-313DF08628A0}" name="Kolonna13865"/>
    <tableColumn id="14204" xr3:uid="{60492F47-F162-43E3-83B9-F2352E0896B5}" name="Kolonna13866"/>
    <tableColumn id="14205" xr3:uid="{3483E99D-C0E7-4E8D-B6FE-BED11CDB8452}" name="Kolonna13867"/>
    <tableColumn id="14206" xr3:uid="{79E7CA8E-FA5E-4D2E-8184-8E7039C94376}" name="Kolonna13868"/>
    <tableColumn id="14207" xr3:uid="{0D6AF53F-BECC-4826-AEA9-77D6633E6EA6}" name="Kolonna13869"/>
    <tableColumn id="14208" xr3:uid="{43FB7598-BE85-4BC3-827F-0C0512C66A7E}" name="Kolonna13870"/>
    <tableColumn id="14209" xr3:uid="{368FE44E-254B-4995-93AE-CD90B8DE7299}" name="Kolonna13871"/>
    <tableColumn id="14210" xr3:uid="{5FDBEA1B-AF8C-4FD9-BB6A-66E434921818}" name="Kolonna13872"/>
    <tableColumn id="14211" xr3:uid="{063B46E3-9087-4EA8-8F87-8D830E54CF79}" name="Kolonna13873"/>
    <tableColumn id="14212" xr3:uid="{84681283-67DE-4714-B23A-3E460849090C}" name="Kolonna13874"/>
    <tableColumn id="14213" xr3:uid="{7663B3EC-CF0D-46AC-97D5-DA7C6316195E}" name="Kolonna13875"/>
    <tableColumn id="14214" xr3:uid="{49F41814-AAFB-462E-92D0-74F7064A4D5A}" name="Kolonna13876"/>
    <tableColumn id="14215" xr3:uid="{76B3939B-DB8B-4BEB-91E7-5D6456991960}" name="Kolonna13877"/>
    <tableColumn id="14216" xr3:uid="{5737D1F2-F226-4D7E-975A-8647922D8D83}" name="Kolonna13878"/>
    <tableColumn id="14217" xr3:uid="{ACADA8F5-F4DF-4E92-97C7-BBD36E98A1EA}" name="Kolonna13879"/>
    <tableColumn id="14218" xr3:uid="{CC998E6D-BE81-4596-A0A5-EF3D5FA28F25}" name="Kolonna13880"/>
    <tableColumn id="14219" xr3:uid="{39182BE4-BDEF-400B-BC92-6530D840542B}" name="Kolonna13881"/>
    <tableColumn id="14220" xr3:uid="{B23505AF-9463-4B4E-B13D-2129BFC774D7}" name="Kolonna13882"/>
    <tableColumn id="14221" xr3:uid="{E6D84EC9-CF46-4069-9E46-469098A59DA8}" name="Kolonna13883"/>
    <tableColumn id="14222" xr3:uid="{4F86D86B-2A69-40B8-A91B-2D9366EA6466}" name="Kolonna13884"/>
    <tableColumn id="14223" xr3:uid="{8425FFC0-8221-4AD1-B101-C8A5F2455775}" name="Kolonna13885"/>
    <tableColumn id="14224" xr3:uid="{9BE81B6A-74E5-4521-A494-A7C417E3D059}" name="Kolonna13886"/>
    <tableColumn id="14225" xr3:uid="{77B84532-DEFD-402F-A46A-87C1BBE287EF}" name="Kolonna13887"/>
    <tableColumn id="14226" xr3:uid="{1D864F68-F03D-4085-8F3A-FC9CA4C79852}" name="Kolonna13888"/>
    <tableColumn id="14227" xr3:uid="{30DD72A7-4B59-46C5-8C04-918A2051B12D}" name="Kolonna13889"/>
    <tableColumn id="14228" xr3:uid="{80D2C007-B54E-4425-BA1F-21631511DC5C}" name="Kolonna13890"/>
    <tableColumn id="14229" xr3:uid="{40B537C3-41BB-4B16-9E18-80D0423BD738}" name="Kolonna13891"/>
    <tableColumn id="14230" xr3:uid="{1CFED6B1-ACEC-4D11-BD94-613DCB741FD5}" name="Kolonna13892"/>
    <tableColumn id="14231" xr3:uid="{C5135B48-5A04-41AF-A887-71449FF0D691}" name="Kolonna13893"/>
    <tableColumn id="14232" xr3:uid="{69A66267-B608-4325-980D-672A6F820156}" name="Kolonna13894"/>
    <tableColumn id="14233" xr3:uid="{3788C0D8-660C-4BF6-AA4D-FA942421AA8F}" name="Kolonna13895"/>
    <tableColumn id="14234" xr3:uid="{D26D1CC0-406B-48D9-A576-ACF0FE6AC309}" name="Kolonna13896"/>
    <tableColumn id="14235" xr3:uid="{EA0EF69D-236E-4E85-97EB-555FFE4978DB}" name="Kolonna13897"/>
    <tableColumn id="14236" xr3:uid="{1BD75B7E-0D62-450D-A3F6-1BB8CEEE5868}" name="Kolonna13898"/>
    <tableColumn id="14237" xr3:uid="{75BA3010-0E2D-4A32-A8F1-208D133C68B1}" name="Kolonna13899"/>
    <tableColumn id="14238" xr3:uid="{19E80E88-A87F-4BAB-B5AC-E02DDF291204}" name="Kolonna13900"/>
    <tableColumn id="14239" xr3:uid="{038BC6B6-29CF-41E8-AEA1-FDD01CC3687B}" name="Kolonna13901"/>
    <tableColumn id="14240" xr3:uid="{A57FE90C-00BF-4876-A039-2B935FF56C94}" name="Kolonna13902"/>
    <tableColumn id="14241" xr3:uid="{DFB9F710-490D-47C0-9343-9205FA936931}" name="Kolonna13903"/>
    <tableColumn id="14242" xr3:uid="{C6627C55-D2DF-46C6-8244-8B3E34F67D85}" name="Kolonna13904"/>
    <tableColumn id="14243" xr3:uid="{E4A87BB9-3369-4542-86F3-2858C622BB79}" name="Kolonna13905"/>
    <tableColumn id="14244" xr3:uid="{C349F8EC-86DC-4C33-8AB8-77972458A3EC}" name="Kolonna13906"/>
    <tableColumn id="14245" xr3:uid="{9779A3E9-7085-44EC-B19B-0ECA6CB7FC17}" name="Kolonna13907"/>
    <tableColumn id="14246" xr3:uid="{A77F327D-D732-4C32-AA74-2C7147837022}" name="Kolonna13908"/>
    <tableColumn id="14247" xr3:uid="{D6DC6E9B-E851-4F83-9D2A-663307F324EA}" name="Kolonna13909"/>
    <tableColumn id="14248" xr3:uid="{5418EAD0-133D-4A03-BE28-E52CE8A50FC5}" name="Kolonna13910"/>
    <tableColumn id="14249" xr3:uid="{345223D1-4DB3-4EA0-8587-8431FE45A6B7}" name="Kolonna13911"/>
    <tableColumn id="14250" xr3:uid="{07ECEBAD-17CA-464A-AEA7-88A2D6E15F51}" name="Kolonna13912"/>
    <tableColumn id="14251" xr3:uid="{86B945B7-AE4C-484F-BA5D-25E78C759F23}" name="Kolonna13913"/>
    <tableColumn id="14252" xr3:uid="{2D48147C-964A-45C1-889A-4CAC418B0043}" name="Kolonna13914"/>
    <tableColumn id="14253" xr3:uid="{B9D5CB24-6B59-44A0-AC4B-D045959A350D}" name="Kolonna13915"/>
    <tableColumn id="14254" xr3:uid="{486A1E91-D20B-4D00-B370-D894E34B1BAF}" name="Kolonna13916"/>
    <tableColumn id="14255" xr3:uid="{E770603B-36A2-4E75-9AA5-6F40BBB1C447}" name="Kolonna13917"/>
    <tableColumn id="14256" xr3:uid="{DBCF87F5-1E0F-4C0B-A86D-7D1F5A77BE52}" name="Kolonna13918"/>
    <tableColumn id="14257" xr3:uid="{ACDE1E1E-7DC2-4DBB-B13B-FA0E4E67DE7C}" name="Kolonna13919"/>
    <tableColumn id="14258" xr3:uid="{38816340-FA00-4437-8C03-57045873D951}" name="Kolonna13920"/>
    <tableColumn id="14259" xr3:uid="{9FFCFC6C-6CF5-4EDB-92CC-C5A0F63AF9DE}" name="Kolonna13921"/>
    <tableColumn id="14260" xr3:uid="{A6EADB99-C257-4E42-9C92-6C239F79923C}" name="Kolonna13922"/>
    <tableColumn id="14261" xr3:uid="{AF6608CC-0811-4ED6-B8E2-1A6CEB63EDEC}" name="Kolonna13923"/>
    <tableColumn id="14262" xr3:uid="{44D0BC6D-2F0E-435C-B4BA-A33755317BD4}" name="Kolonna13924"/>
    <tableColumn id="14263" xr3:uid="{874F6A99-336D-4690-BDEC-ABD20295A8F0}" name="Kolonna13925"/>
    <tableColumn id="14264" xr3:uid="{932CDF1D-464F-4B33-9AF6-9DDCCB8B58F4}" name="Kolonna13926"/>
    <tableColumn id="14265" xr3:uid="{DC9BF44D-AC54-4D4E-A7EF-C5EF30DD8C61}" name="Kolonna13927"/>
    <tableColumn id="14266" xr3:uid="{2134B600-BD2D-404B-A819-66E8AF1E00E9}" name="Kolonna13928"/>
    <tableColumn id="14267" xr3:uid="{1DB963EC-9DA4-47CF-907D-8E93DFC23DE6}" name="Kolonna13929"/>
    <tableColumn id="14268" xr3:uid="{02C7032F-CF60-42FE-94C9-F5F2B48A83D6}" name="Kolonna13930"/>
    <tableColumn id="14269" xr3:uid="{CE701CF6-AA3D-4034-9B51-878B077B39BC}" name="Kolonna13931"/>
    <tableColumn id="14270" xr3:uid="{203B91A6-07F9-4595-BAD4-855551B1CDE0}" name="Kolonna13932"/>
    <tableColumn id="14271" xr3:uid="{BBC7FC4F-E122-44E3-95D8-B12F5D5C7761}" name="Kolonna13933"/>
    <tableColumn id="14272" xr3:uid="{2B801005-B345-4E6E-9F65-3AF582480E3D}" name="Kolonna13934"/>
    <tableColumn id="14273" xr3:uid="{CDDE83B5-E167-4619-B75D-B3EEDB575E2C}" name="Kolonna13935"/>
    <tableColumn id="14274" xr3:uid="{EE31E4B1-35FD-4320-BC52-26437740EF87}" name="Kolonna13936"/>
    <tableColumn id="14275" xr3:uid="{65BE8580-7ECB-4395-AAC5-C90294CB30DE}" name="Kolonna13937"/>
    <tableColumn id="14276" xr3:uid="{7D12E517-F3C3-42F8-8BB1-12B11EACD48A}" name="Kolonna13938"/>
    <tableColumn id="14277" xr3:uid="{D50D2682-5291-44DB-8141-6B571C95E3BE}" name="Kolonna13939"/>
    <tableColumn id="14278" xr3:uid="{68D0CA40-D42E-4AF3-B1C1-827415DE8896}" name="Kolonna13940"/>
    <tableColumn id="14279" xr3:uid="{A20A7456-79C2-40AB-9FA7-77F75931C8FC}" name="Kolonna13941"/>
    <tableColumn id="14280" xr3:uid="{8FDD9A63-BB94-4ED8-B82F-09DC9EE7C80D}" name="Kolonna13942"/>
    <tableColumn id="14281" xr3:uid="{DA12FD92-DD03-467A-868E-B51E00AA7050}" name="Kolonna13943"/>
    <tableColumn id="14282" xr3:uid="{D98AF6B6-E121-4BD5-9229-81F606C26AF0}" name="Kolonna13944"/>
    <tableColumn id="14283" xr3:uid="{4DAAFF2A-FF65-4036-AE6B-63C9C084B4F9}" name="Kolonna13945"/>
    <tableColumn id="14284" xr3:uid="{5F061023-7B69-40C8-9D15-14A64B7EA38D}" name="Kolonna13946"/>
    <tableColumn id="14285" xr3:uid="{3295E2F0-AB9F-4A33-A6DA-AE03A41A1049}" name="Kolonna13947"/>
    <tableColumn id="14286" xr3:uid="{A39FF32D-33A5-4C87-B82D-422C2DC10F06}" name="Kolonna13948"/>
    <tableColumn id="14287" xr3:uid="{91C57085-43B0-432B-B533-870431DFF2D8}" name="Kolonna13949"/>
    <tableColumn id="14288" xr3:uid="{200C46D9-A22F-44F3-AC81-EAFAD8DB88A6}" name="Kolonna13950"/>
    <tableColumn id="14289" xr3:uid="{66D3D1AE-3926-42A4-BFA4-B7CB241E8831}" name="Kolonna13951"/>
    <tableColumn id="14290" xr3:uid="{3578BB99-6FE8-4A08-9C23-E6FC94357E02}" name="Kolonna13952"/>
    <tableColumn id="14291" xr3:uid="{2440C2B6-54AC-48F5-8DED-5B2716FB2FB1}" name="Kolonna13953"/>
    <tableColumn id="14292" xr3:uid="{19F23CA0-5BD8-461E-843E-C30EFA7ADFBF}" name="Kolonna13954"/>
    <tableColumn id="14293" xr3:uid="{D1EFA16C-C26F-4BA5-A64D-8FBB0A8ABACD}" name="Kolonna13955"/>
    <tableColumn id="14294" xr3:uid="{485A9621-A509-4AF7-AE8E-AC972A5FBB5B}" name="Kolonna13956"/>
    <tableColumn id="14295" xr3:uid="{EE1A0617-5257-4EE8-8D57-8E7154A54A2F}" name="Kolonna13957"/>
    <tableColumn id="14296" xr3:uid="{E96F1305-EB66-4FAD-AEC6-92FD301FB9E0}" name="Kolonna13958"/>
    <tableColumn id="14297" xr3:uid="{9B21BA4B-5351-4538-8066-D60B405835DE}" name="Kolonna13959"/>
    <tableColumn id="14298" xr3:uid="{32D02B63-E6D5-41E5-B5B9-71122F4938A6}" name="Kolonna13960"/>
    <tableColumn id="14299" xr3:uid="{833B9D73-54F9-4CA0-9060-5B7A150C2A63}" name="Kolonna13961"/>
    <tableColumn id="14300" xr3:uid="{955E1B3E-B6DE-49F1-9235-9ACD066C4836}" name="Kolonna13962"/>
    <tableColumn id="14301" xr3:uid="{5D676666-1D9A-42D3-AC60-9F1AD8AA6D53}" name="Kolonna13963"/>
    <tableColumn id="14302" xr3:uid="{0166DB32-A29A-4D9C-9EB3-8BF2C42CE59F}" name="Kolonna13964"/>
    <tableColumn id="14303" xr3:uid="{16CDB147-768F-4B0C-8D52-CF4729F138D4}" name="Kolonna13965"/>
    <tableColumn id="14304" xr3:uid="{5AB77D7E-4DA5-4432-B517-13B680B2979D}" name="Kolonna13966"/>
    <tableColumn id="14305" xr3:uid="{5BBDA323-72DC-40D3-8802-43483E354CEF}" name="Kolonna13967"/>
    <tableColumn id="14306" xr3:uid="{5906ACAA-8F75-4BE3-BF0A-3DE746926FEC}" name="Kolonna13968"/>
    <tableColumn id="14307" xr3:uid="{37520D5B-81E6-4C51-A737-C58532B613B4}" name="Kolonna13969"/>
    <tableColumn id="14308" xr3:uid="{4ADC3C38-604B-4571-9782-C8385EC348DE}" name="Kolonna13970"/>
    <tableColumn id="14309" xr3:uid="{88556676-7FE9-4C30-A24E-F562BADF1B46}" name="Kolonna13971"/>
    <tableColumn id="14310" xr3:uid="{927E2180-C7E3-48CB-9DDA-738CB5CE32A0}" name="Kolonna13972"/>
    <tableColumn id="14311" xr3:uid="{0157D115-FBE9-4366-B6EA-26FAF3E68970}" name="Kolonna13973"/>
    <tableColumn id="14312" xr3:uid="{5DABB4D2-66EE-4EE1-9C13-473C882D54B3}" name="Kolonna13974"/>
    <tableColumn id="14313" xr3:uid="{B3B509BC-A562-4963-979C-1ECE9F3F3649}" name="Kolonna13975"/>
    <tableColumn id="14314" xr3:uid="{152CDEA9-2E02-4547-80A3-15CB35F2CE34}" name="Kolonna13976"/>
    <tableColumn id="14315" xr3:uid="{2C29ADAC-F158-427F-877F-125FAEDD6872}" name="Kolonna13977"/>
    <tableColumn id="14316" xr3:uid="{99D65634-362C-47FF-9CC0-BB17319C2D74}" name="Kolonna13978"/>
    <tableColumn id="14317" xr3:uid="{1CDB820E-1101-4B42-B60A-C324D65816B5}" name="Kolonna13979"/>
    <tableColumn id="14318" xr3:uid="{75F455C4-E79B-419F-9BB9-6191B0A68097}" name="Kolonna13980"/>
    <tableColumn id="14319" xr3:uid="{3B4DD191-2593-44EC-AC1D-755AAB792D9A}" name="Kolonna13981"/>
    <tableColumn id="14320" xr3:uid="{5072D0C7-A280-423D-A26E-31EB8CD1FC89}" name="Kolonna13982"/>
    <tableColumn id="14321" xr3:uid="{6D1CAC90-E046-4CDD-8502-CE57B203CF4A}" name="Kolonna13983"/>
    <tableColumn id="14322" xr3:uid="{0F32D914-BB85-439A-9963-3D8A596FBCE0}" name="Kolonna13984"/>
    <tableColumn id="14323" xr3:uid="{EF42467A-EAD4-4999-AA80-B024E7EC00D4}" name="Kolonna13985"/>
    <tableColumn id="14324" xr3:uid="{21CCDBB6-5F17-42CA-8A98-74CE9B5BE7E5}" name="Kolonna13986"/>
    <tableColumn id="14325" xr3:uid="{BE1977AE-18F9-4958-ACCB-D9B528817C21}" name="Kolonna13987"/>
    <tableColumn id="14326" xr3:uid="{4631F1DD-2C3E-49D2-8C89-D60B87E9DAF0}" name="Kolonna13988"/>
    <tableColumn id="14327" xr3:uid="{D81E822F-E4FC-4F7A-BA71-9672CB4BE4DD}" name="Kolonna13989"/>
    <tableColumn id="14328" xr3:uid="{F2FE325C-6FBB-4540-A51B-D9B573F69FCA}" name="Kolonna13990"/>
    <tableColumn id="14329" xr3:uid="{ED8F2DD3-3CC3-4EE0-9054-2462CB65E8AE}" name="Kolonna13991"/>
    <tableColumn id="14330" xr3:uid="{04DADF34-B456-42F6-B16B-1361F38E4C19}" name="Kolonna13992"/>
    <tableColumn id="14331" xr3:uid="{D9B40372-186C-4F54-BD63-C8CF4C411C94}" name="Kolonna13993"/>
    <tableColumn id="14332" xr3:uid="{76BF6D2A-BF32-44B8-A683-03703041DC2B}" name="Kolonna13994"/>
    <tableColumn id="14333" xr3:uid="{F0BB38CE-95D6-4ACA-BFDC-28A1AD156717}" name="Kolonna13995"/>
    <tableColumn id="14334" xr3:uid="{9DB7B525-7D68-4FB8-A568-B8AB03B2750B}" name="Kolonna13996"/>
    <tableColumn id="14335" xr3:uid="{AFE99596-CAFD-4DE9-9463-0ACAA40B68A5}" name="Kolonna13997"/>
    <tableColumn id="14336" xr3:uid="{978362CA-235F-4FFF-937D-E6F0495A343A}" name="Kolonna13998"/>
    <tableColumn id="14337" xr3:uid="{0EEAEF3F-DBCB-4F94-8F5C-2444C5A97847}" name="Kolonna13999"/>
    <tableColumn id="14338" xr3:uid="{39BE908F-4E67-488F-AF10-D5E26963E002}" name="Kolonna14000"/>
    <tableColumn id="14339" xr3:uid="{0A98A790-3398-4943-ADDB-59256FD76AE5}" name="Kolonna14001"/>
    <tableColumn id="14340" xr3:uid="{FE697588-5F2E-492E-AFD0-F40E8B273162}" name="Kolonna14002"/>
    <tableColumn id="14341" xr3:uid="{F968EF16-F297-4BAA-878B-0427DA3B86E3}" name="Kolonna14003"/>
    <tableColumn id="14342" xr3:uid="{CB20C900-3161-49E1-BE87-AE7A212CEF91}" name="Kolonna14004"/>
    <tableColumn id="14343" xr3:uid="{7F0741E4-7C5E-406C-9EA8-56D58CC79D4A}" name="Kolonna14005"/>
    <tableColumn id="14344" xr3:uid="{05E5B5F1-1EE7-4906-A14D-AB320E51A8F3}" name="Kolonna14006"/>
    <tableColumn id="14345" xr3:uid="{27D54D06-7F7E-44B8-93C2-E58AD8D58A85}" name="Kolonna14007"/>
    <tableColumn id="14346" xr3:uid="{F726662C-83D8-434C-B67A-B10EB27E37BC}" name="Kolonna14008"/>
    <tableColumn id="14347" xr3:uid="{DADA2C67-35B6-448B-B7A9-40E3E2BED283}" name="Kolonna14009"/>
    <tableColumn id="14348" xr3:uid="{6DB667C8-0752-4A80-A744-82DD149CBF07}" name="Kolonna14010"/>
    <tableColumn id="14349" xr3:uid="{6CF15F1D-1C32-4139-BAE4-AC3AB1B98D3D}" name="Kolonna14011"/>
    <tableColumn id="14350" xr3:uid="{3AB5040A-84A0-49AA-AED3-CCDDF2068BC6}" name="Kolonna14012"/>
    <tableColumn id="14351" xr3:uid="{485807AD-E355-4474-94AF-DCC3E84035B6}" name="Kolonna14013"/>
    <tableColumn id="14352" xr3:uid="{695CD89B-DEBC-47D8-8D72-F272F928C7F5}" name="Kolonna14014"/>
    <tableColumn id="14353" xr3:uid="{72E7D93C-6CB5-46ED-9A73-9B7DDA1AD56E}" name="Kolonna14015"/>
    <tableColumn id="14354" xr3:uid="{9D5FE705-E63C-41F2-9189-33E1EFFF516D}" name="Kolonna14016"/>
    <tableColumn id="14355" xr3:uid="{D4EA4305-D4DA-46DF-B198-8C52F31A51D1}" name="Kolonna14017"/>
    <tableColumn id="14356" xr3:uid="{9F4A485F-623A-472F-A21A-59167D045292}" name="Kolonna14018"/>
    <tableColumn id="14357" xr3:uid="{BDEBF358-E5D7-4665-AA93-6543A0CB6020}" name="Kolonna14019"/>
    <tableColumn id="14358" xr3:uid="{C8918446-E31F-4ACB-9675-A46C817B5B41}" name="Kolonna14020"/>
    <tableColumn id="14359" xr3:uid="{8339E378-02A2-4846-81C7-66A09E5F9D2D}" name="Kolonna14021"/>
    <tableColumn id="14360" xr3:uid="{423A2EED-6408-4E3D-81F6-A2FB6EC8252C}" name="Kolonna14022"/>
    <tableColumn id="14361" xr3:uid="{A1C9F3B6-891E-463D-B000-888E84FEE18A}" name="Kolonna14023"/>
    <tableColumn id="14362" xr3:uid="{D41FE5DB-C0E1-4AF9-8C1F-DC59386B1D2C}" name="Kolonna14024"/>
    <tableColumn id="14363" xr3:uid="{6BED9709-9CA9-491F-95F8-D9688F65635D}" name="Kolonna14025"/>
    <tableColumn id="14364" xr3:uid="{B15707AB-4CED-49A9-8E10-08A655C22120}" name="Kolonna14026"/>
    <tableColumn id="14365" xr3:uid="{B12C75FC-1D83-4CFE-A82F-9182DF2C419D}" name="Kolonna14027"/>
    <tableColumn id="14366" xr3:uid="{9CE3F793-1661-47E0-B9CD-EBF18D8A05E9}" name="Kolonna14028"/>
    <tableColumn id="14367" xr3:uid="{13BCB9F6-0675-486C-B88F-4AFA33ADA3A9}" name="Kolonna14029"/>
    <tableColumn id="14368" xr3:uid="{AC573567-BC31-47B9-875B-C2AC80B0BC67}" name="Kolonna14030"/>
    <tableColumn id="14369" xr3:uid="{8BD4D08E-2C56-4567-8060-AA0E9002B5BE}" name="Kolonna14031"/>
    <tableColumn id="14370" xr3:uid="{5812FCCA-95F6-4444-B58E-28B368DB68B6}" name="Kolonna14032"/>
    <tableColumn id="14371" xr3:uid="{505709DB-E829-42E0-853E-0431D0B31A19}" name="Kolonna14033"/>
    <tableColumn id="14372" xr3:uid="{28D68583-82D9-4E85-93A2-EF1652A4F333}" name="Kolonna14034"/>
    <tableColumn id="14373" xr3:uid="{D0B4A56A-DF4F-4146-B5C0-375CC4B7C4AB}" name="Kolonna14035"/>
    <tableColumn id="14374" xr3:uid="{C9CF2EB8-AF39-4062-8FD4-7C3975F65EA5}" name="Kolonna14036"/>
    <tableColumn id="14375" xr3:uid="{34F55220-13E8-4F4E-99DC-EB197CDD2E68}" name="Kolonna14037"/>
    <tableColumn id="14376" xr3:uid="{F2F21819-A5E6-4E57-B85C-2E1DBDF64B85}" name="Kolonna14038"/>
    <tableColumn id="14377" xr3:uid="{A5E87C45-8D24-434C-BB58-72E2735F6634}" name="Kolonna14039"/>
    <tableColumn id="14378" xr3:uid="{76FED92D-55D1-46FC-AC0F-07ACDD6B61CA}" name="Kolonna14040"/>
    <tableColumn id="14379" xr3:uid="{D9C797DC-E5D2-48D6-9ED0-47F18AC64644}" name="Kolonna14041"/>
    <tableColumn id="14380" xr3:uid="{ECF15EB6-DC1B-4983-80A2-D59366996835}" name="Kolonna14042"/>
    <tableColumn id="14381" xr3:uid="{0322869A-267E-42FD-AA4B-84D7CED06A07}" name="Kolonna14043"/>
    <tableColumn id="14382" xr3:uid="{41AC02C8-BCDF-4C59-9225-23617FBCC3CA}" name="Kolonna14044"/>
    <tableColumn id="14383" xr3:uid="{F1A24FAA-254E-42F0-B797-77C263BF2810}" name="Kolonna14045"/>
    <tableColumn id="14384" xr3:uid="{4183C972-BF9D-46CD-AAAC-472D4EE07650}" name="Kolonna14046"/>
    <tableColumn id="14385" xr3:uid="{84335F92-D3A7-44A6-A99E-14D058FBDAAE}" name="Kolonna14047"/>
    <tableColumn id="14386" xr3:uid="{C342ADE8-D926-49FF-9A92-08C222E24DC6}" name="Kolonna14048"/>
    <tableColumn id="14387" xr3:uid="{970FEE0C-BD90-44E9-BC2D-45511823E8E1}" name="Kolonna14049"/>
    <tableColumn id="14388" xr3:uid="{9D4C0368-6E62-4805-A22B-3B2021A43281}" name="Kolonna14050"/>
    <tableColumn id="14389" xr3:uid="{4BA81336-DF0E-4C44-9F80-57B2B06E204E}" name="Kolonna14051"/>
    <tableColumn id="14390" xr3:uid="{97A121D7-B29A-4E90-873F-7302EF49807A}" name="Kolonna14052"/>
    <tableColumn id="14391" xr3:uid="{4C7A8A42-57FD-48E4-9757-44D905111B0B}" name="Kolonna14053"/>
    <tableColumn id="14392" xr3:uid="{8D10FD6F-A506-4BFD-9AD2-D5FE6BBD5D31}" name="Kolonna14054"/>
    <tableColumn id="14393" xr3:uid="{B4D4AB43-BA30-4DEA-BE18-876FA3967504}" name="Kolonna14055"/>
    <tableColumn id="14394" xr3:uid="{422DFB81-8AE8-4ADE-8751-4E431F255F93}" name="Kolonna14056"/>
    <tableColumn id="14395" xr3:uid="{CE5D741C-E554-49F0-B4F7-24AF2A4DF028}" name="Kolonna14057"/>
    <tableColumn id="14396" xr3:uid="{86B9D223-744A-4217-BA98-32A5ECB4F8A7}" name="Kolonna14058"/>
    <tableColumn id="14397" xr3:uid="{AB6021E8-6CC8-4965-B676-78F524640868}" name="Kolonna14059"/>
    <tableColumn id="14398" xr3:uid="{AA6CC7E4-48C3-4CE2-B05A-83356B4EAEA4}" name="Kolonna14060"/>
    <tableColumn id="14399" xr3:uid="{C2A4BB79-DFBE-41B0-A7F9-344AD70338F7}" name="Kolonna14061"/>
    <tableColumn id="14400" xr3:uid="{15AE4721-A8E0-497D-9FD8-16968E300A98}" name="Kolonna14062"/>
    <tableColumn id="14401" xr3:uid="{C6116458-BB45-41AC-86AF-EAFD88BB5E4E}" name="Kolonna14063"/>
    <tableColumn id="14402" xr3:uid="{94FFBE94-4CF6-4107-84F1-5D4C2B711ACF}" name="Kolonna14064"/>
    <tableColumn id="14403" xr3:uid="{EC34FD8A-E13E-4840-B7D7-2758A0580C97}" name="Kolonna14065"/>
    <tableColumn id="14404" xr3:uid="{74896EA8-EB46-4135-A283-67F531E9BB7C}" name="Kolonna14066"/>
    <tableColumn id="14405" xr3:uid="{39465918-94EF-461D-9035-3713FB3200D9}" name="Kolonna14067"/>
    <tableColumn id="14406" xr3:uid="{9B32F577-345F-469F-A32D-FA9BA7ABF951}" name="Kolonna14068"/>
    <tableColumn id="14407" xr3:uid="{70EB08A9-D227-4AB0-838E-68F643DF5795}" name="Kolonna14069"/>
    <tableColumn id="14408" xr3:uid="{5828112F-8897-4C65-9AFA-9BB5B9A1F503}" name="Kolonna14070"/>
    <tableColumn id="14409" xr3:uid="{01E8EC29-B19A-44DD-83AB-5F548A196002}" name="Kolonna14071"/>
    <tableColumn id="14410" xr3:uid="{1F5D4998-6D13-46F7-A2AA-54490AAF64C6}" name="Kolonna14072"/>
    <tableColumn id="14411" xr3:uid="{36261F48-5044-4BE2-9811-BB0248487CC4}" name="Kolonna14073"/>
    <tableColumn id="14412" xr3:uid="{BB5768AF-DCEE-45AD-967D-C5CF8AFE020D}" name="Kolonna14074"/>
    <tableColumn id="14413" xr3:uid="{2DF4F29C-CCE1-4BA2-8438-B062DC1CF7B0}" name="Kolonna14075"/>
    <tableColumn id="14414" xr3:uid="{FB3FB233-AA10-439C-AC16-9CA16B61C7AC}" name="Kolonna14076"/>
    <tableColumn id="14415" xr3:uid="{043BEFA0-D102-4CFE-8E6C-E9821F0B9BD9}" name="Kolonna14077"/>
    <tableColumn id="14416" xr3:uid="{5D894B6A-67BD-48CB-B457-232FBC0D248A}" name="Kolonna14078"/>
    <tableColumn id="14417" xr3:uid="{427BA128-046E-40B7-B9F1-4CAFE5134F2B}" name="Kolonna14079"/>
    <tableColumn id="14418" xr3:uid="{662284B1-F17E-41AC-9AA6-0C48BF61135E}" name="Kolonna14080"/>
    <tableColumn id="14419" xr3:uid="{F14921EE-A095-44A7-AD32-26E973DCDF82}" name="Kolonna14081"/>
    <tableColumn id="14420" xr3:uid="{9CACDCAD-D8AB-464B-BE8D-F32A2AA42DBF}" name="Kolonna14082"/>
    <tableColumn id="14421" xr3:uid="{5F63DA39-2F9C-456D-BEAE-60F9B0B54ECC}" name="Kolonna14083"/>
    <tableColumn id="14422" xr3:uid="{BEB31D40-9CC6-4B3C-9C92-235E9528AF72}" name="Kolonna14084"/>
    <tableColumn id="14423" xr3:uid="{23D905C9-7D13-45A9-B998-5E85008D2FE3}" name="Kolonna14085"/>
    <tableColumn id="14424" xr3:uid="{2F4DD595-3E71-4673-9B58-D5C24CAEC1D4}" name="Kolonna14086"/>
    <tableColumn id="14425" xr3:uid="{6AAB0CFE-844D-4BD9-9C00-8B2E61466CE9}" name="Kolonna14087"/>
    <tableColumn id="14426" xr3:uid="{98BBAE13-ABB3-47E6-9F11-5EC555C8AB4E}" name="Kolonna14088"/>
    <tableColumn id="14427" xr3:uid="{70903BF9-FB2E-4745-8B29-9329FDD17C56}" name="Kolonna14089"/>
    <tableColumn id="14428" xr3:uid="{B95525B3-FF96-4E78-8163-D2390E4269FD}" name="Kolonna14090"/>
    <tableColumn id="14429" xr3:uid="{E0853CED-A668-44CC-933A-694E5DB340C1}" name="Kolonna14091"/>
    <tableColumn id="14430" xr3:uid="{8DEF0BBE-A631-4D77-AC6F-87B005EFF73E}" name="Kolonna14092"/>
    <tableColumn id="14431" xr3:uid="{33C0D38C-8C8F-4FF3-9B98-737A3B1832A0}" name="Kolonna14093"/>
    <tableColumn id="14432" xr3:uid="{50147BE9-35D7-4257-A3A7-169CD9F5D9AA}" name="Kolonna14094"/>
    <tableColumn id="14433" xr3:uid="{9AB0E12D-ED46-44AF-88D9-C7FEB3787856}" name="Kolonna14095"/>
    <tableColumn id="14434" xr3:uid="{E3202238-89EB-4C8A-91D4-5F433F350993}" name="Kolonna14096"/>
    <tableColumn id="14435" xr3:uid="{CDFDD6A1-FCC2-4279-996B-BB9A32FC6383}" name="Kolonna14097"/>
    <tableColumn id="14436" xr3:uid="{41B84473-DD0F-4C35-BB62-F1D4F2924640}" name="Kolonna14098"/>
    <tableColumn id="14437" xr3:uid="{DBD43673-91F1-4FD1-8410-EDCC796DDED8}" name="Kolonna14099"/>
    <tableColumn id="14438" xr3:uid="{9BE470F4-521A-408A-A84A-8553B0FA0615}" name="Kolonna14100"/>
    <tableColumn id="14439" xr3:uid="{7D5E9C79-7E21-4479-AA1D-EE27A45934F0}" name="Kolonna14101"/>
    <tableColumn id="14440" xr3:uid="{86258C6A-85B1-4D4D-BDB1-4C022D862B42}" name="Kolonna14102"/>
    <tableColumn id="14441" xr3:uid="{D3976251-8C5E-4248-B446-C80ABBC8668A}" name="Kolonna14103"/>
    <tableColumn id="14442" xr3:uid="{7B02CF92-7274-4C54-8C0A-1F98C1DD2284}" name="Kolonna14104"/>
    <tableColumn id="14443" xr3:uid="{934A4CAD-D9E8-40D8-8879-0C03F9B03093}" name="Kolonna14105"/>
    <tableColumn id="14444" xr3:uid="{D673150E-1048-44B3-8461-79C7560DD020}" name="Kolonna14106"/>
    <tableColumn id="14445" xr3:uid="{9E3915F9-3343-452A-BFDA-DBB34B666AE0}" name="Kolonna14107"/>
    <tableColumn id="14446" xr3:uid="{3DABB8D2-65DF-49CF-8AB7-DBD65977503C}" name="Kolonna14108"/>
    <tableColumn id="14447" xr3:uid="{028B432D-3139-449B-97E9-78392A8CF8F5}" name="Kolonna14109"/>
    <tableColumn id="14448" xr3:uid="{18720E80-3879-4991-A228-1EAD85CCBF68}" name="Kolonna14110"/>
    <tableColumn id="14449" xr3:uid="{18127A46-9957-4EC5-B870-E782654A446C}" name="Kolonna14111"/>
    <tableColumn id="14450" xr3:uid="{13E75CE9-3482-4C19-B909-FEA68E17790F}" name="Kolonna14112"/>
    <tableColumn id="14451" xr3:uid="{80B80896-5C0F-4E90-A7E5-8CCABF73DBD7}" name="Kolonna14113"/>
    <tableColumn id="14452" xr3:uid="{08BE8910-64A0-40A7-A5D4-BB15B8ABCB12}" name="Kolonna14114"/>
    <tableColumn id="14453" xr3:uid="{7ECB4542-C9F9-4D8B-B3A4-2042D29E5882}" name="Kolonna14115"/>
    <tableColumn id="14454" xr3:uid="{F2DC2E94-3DF7-491B-9D4A-21579911A425}" name="Kolonna14116"/>
    <tableColumn id="14455" xr3:uid="{15E24B34-8E36-4D85-B803-699FE8C2779C}" name="Kolonna14117"/>
    <tableColumn id="14456" xr3:uid="{53EB00E8-80EC-4376-B2FC-FF2C2148525B}" name="Kolonna14118"/>
    <tableColumn id="14457" xr3:uid="{908D8AB9-ED78-407C-890D-B2D145748F34}" name="Kolonna14119"/>
    <tableColumn id="14458" xr3:uid="{66E65A19-C060-4853-9C97-6BF37B66108F}" name="Kolonna14120"/>
    <tableColumn id="14459" xr3:uid="{D42817CB-4179-4F06-8424-219B140A197C}" name="Kolonna14121"/>
    <tableColumn id="14460" xr3:uid="{ACEC0F27-47E7-411E-AED2-485D919DEC61}" name="Kolonna14122"/>
    <tableColumn id="14461" xr3:uid="{E1441D93-86A8-495D-B6D7-53446C9A1F1B}" name="Kolonna14123"/>
    <tableColumn id="14462" xr3:uid="{2F258559-62DB-4762-8F2B-A8E7760213A2}" name="Kolonna14124"/>
    <tableColumn id="14463" xr3:uid="{6E2A5FBA-A416-4241-AE27-0F06FCBFD414}" name="Kolonna14125"/>
    <tableColumn id="14464" xr3:uid="{F7561C65-1B44-4E5C-8397-8ECD696C6FE0}" name="Kolonna14126"/>
    <tableColumn id="14465" xr3:uid="{A882E610-95A5-433C-AE76-F4718EA46F7A}" name="Kolonna14127"/>
    <tableColumn id="14466" xr3:uid="{59B5A381-F6A0-46D9-AB41-FB9C7497EC2B}" name="Kolonna14128"/>
    <tableColumn id="14467" xr3:uid="{BE6693F8-C470-46D5-8E42-A720524F9C3D}" name="Kolonna14129"/>
    <tableColumn id="14468" xr3:uid="{7CC906A3-DECF-4814-B51C-D5FEF9F5BF77}" name="Kolonna14130"/>
    <tableColumn id="14469" xr3:uid="{F3A9AC5C-24DD-49B5-A2A3-CB24A5A581A4}" name="Kolonna14131"/>
    <tableColumn id="14470" xr3:uid="{76E4EE3D-3047-4079-AD4D-CA3B24F11540}" name="Kolonna14132"/>
    <tableColumn id="14471" xr3:uid="{C968341C-0111-462A-A4EB-C1E110D88CC4}" name="Kolonna14133"/>
    <tableColumn id="14472" xr3:uid="{1B00438D-927F-42CA-BED4-0CDE23CE560B}" name="Kolonna14134"/>
    <tableColumn id="14473" xr3:uid="{2E82145C-7F1C-4907-AFB2-0208F7D7F355}" name="Kolonna14135"/>
    <tableColumn id="14474" xr3:uid="{60C56476-4F28-4C65-ABC0-25EF69E3E9E3}" name="Kolonna14136"/>
    <tableColumn id="14475" xr3:uid="{8C3306EF-F355-47A6-A163-D92515A09EA9}" name="Kolonna14137"/>
    <tableColumn id="14476" xr3:uid="{A71B53FC-EE2B-4B4F-95FC-AB3AB48F875A}" name="Kolonna14138"/>
    <tableColumn id="14477" xr3:uid="{44E6EFE5-67ED-4557-9447-1D77AE36EC87}" name="Kolonna14139"/>
    <tableColumn id="14478" xr3:uid="{5ED11B71-44CA-44FA-9C8C-8CD5D1FEB776}" name="Kolonna14140"/>
    <tableColumn id="14479" xr3:uid="{2B04CCEB-4B0D-4015-B3C7-0077895D6CC7}" name="Kolonna14141"/>
    <tableColumn id="14480" xr3:uid="{F2837CF0-92E9-4110-9AE3-1EC95146A43C}" name="Kolonna14142"/>
    <tableColumn id="14481" xr3:uid="{4F231597-91B0-4FB8-B6A1-76826E424461}" name="Kolonna14143"/>
    <tableColumn id="14482" xr3:uid="{55513B11-FE6A-4277-9D97-F372D543615A}" name="Kolonna14144"/>
    <tableColumn id="14483" xr3:uid="{CEF598CA-25A0-47DE-9FCF-A4D2243D889B}" name="Kolonna14145"/>
    <tableColumn id="14484" xr3:uid="{43B60B77-9125-45AD-B55D-2C885AB2CDE9}" name="Kolonna14146"/>
    <tableColumn id="14485" xr3:uid="{402E3D69-8E00-4247-ACE0-54244C660F61}" name="Kolonna14147"/>
    <tableColumn id="14486" xr3:uid="{B56167FC-3621-4B6C-8A31-CFCC349A8111}" name="Kolonna14148"/>
    <tableColumn id="14487" xr3:uid="{F170CA84-40A3-4D6C-AC43-EC131A18FFF8}" name="Kolonna14149"/>
    <tableColumn id="14488" xr3:uid="{A4557415-80C4-4823-A85D-07B405EC74CF}" name="Kolonna14150"/>
    <tableColumn id="14489" xr3:uid="{2935AEB5-032C-4596-963C-9E1ADFAA8523}" name="Kolonna14151"/>
    <tableColumn id="14490" xr3:uid="{08A6DB47-14D6-47E0-A94E-F89C60FEFBDF}" name="Kolonna14152"/>
    <tableColumn id="14491" xr3:uid="{BF92A999-4F5D-49E8-BEA8-212DA2502CEC}" name="Kolonna14153"/>
    <tableColumn id="14492" xr3:uid="{B926F66D-D358-4EE5-9D9C-E2F0E2908793}" name="Kolonna14154"/>
    <tableColumn id="14493" xr3:uid="{D2D7350C-4FC2-4011-AF2B-D8B158DE72E3}" name="Kolonna14155"/>
    <tableColumn id="14494" xr3:uid="{4B26FECD-C61C-41BC-A811-15EABAA0EE62}" name="Kolonna14156"/>
    <tableColumn id="14495" xr3:uid="{F6416BB1-1C82-46B7-BD7B-303A4E52DDF8}" name="Kolonna14157"/>
    <tableColumn id="14496" xr3:uid="{64DE55E3-C062-4AA2-BDCA-9F60A63734B7}" name="Kolonna14158"/>
    <tableColumn id="14497" xr3:uid="{2308041A-C7DD-4159-AEB1-DEC81589D502}" name="Kolonna14159"/>
    <tableColumn id="14498" xr3:uid="{861E8CDF-EFB6-4B01-AD4B-0FCAFEC2E4B6}" name="Kolonna14160"/>
    <tableColumn id="14499" xr3:uid="{54116BE5-0714-4233-B115-DCF04E71BEF0}" name="Kolonna14161"/>
    <tableColumn id="14500" xr3:uid="{443CA7AB-1AD7-4424-9D8C-944190E90919}" name="Kolonna14162"/>
    <tableColumn id="14501" xr3:uid="{5AF80AC0-D9F6-4EC9-87CD-231AEF845A73}" name="Kolonna14163"/>
    <tableColumn id="14502" xr3:uid="{CA61AFE2-5D50-41E6-8688-22DDFDC963E5}" name="Kolonna14164"/>
    <tableColumn id="14503" xr3:uid="{55FD3727-F1C5-40DF-8142-777F3FD16EDC}" name="Kolonna14165"/>
    <tableColumn id="14504" xr3:uid="{3E7C8252-FCAB-486F-986B-47919C5EBA99}" name="Kolonna14166"/>
    <tableColumn id="14505" xr3:uid="{E652F70A-FD00-4FEA-9AB1-AF7D152CDC56}" name="Kolonna14167"/>
    <tableColumn id="14506" xr3:uid="{A184E9FE-2F45-45B8-B26F-9DDF224BABDE}" name="Kolonna14168"/>
    <tableColumn id="14507" xr3:uid="{63C82686-F29A-407C-922B-81A15E602F6F}" name="Kolonna14169"/>
    <tableColumn id="14508" xr3:uid="{8FCE2D7B-CB3F-48C7-9223-7AE0FEC3DE58}" name="Kolonna14170"/>
    <tableColumn id="14509" xr3:uid="{E054A364-32C9-48C9-ABFC-9AED33BE63C5}" name="Kolonna14171"/>
    <tableColumn id="14510" xr3:uid="{D83D70C3-7C97-4896-AF0D-C221AFD370B1}" name="Kolonna14172"/>
    <tableColumn id="14511" xr3:uid="{5294FF3F-B072-403F-9903-EAF3B99DF429}" name="Kolonna14173"/>
    <tableColumn id="14512" xr3:uid="{F64F8EE0-DE88-4BA9-B169-CFE735C5864E}" name="Kolonna14174"/>
    <tableColumn id="14513" xr3:uid="{89024911-9478-4CB2-8399-E92197F4783E}" name="Kolonna14175"/>
    <tableColumn id="14514" xr3:uid="{EEE4D209-51C4-4AB1-8422-FE57E5632CF2}" name="Kolonna14176"/>
    <tableColumn id="14515" xr3:uid="{88BE9245-D494-40FF-9FC4-D9D3FB177A9D}" name="Kolonna14177"/>
    <tableColumn id="14516" xr3:uid="{6498A54D-C09D-4863-8AF1-30FC02DB7AFD}" name="Kolonna14178"/>
    <tableColumn id="14517" xr3:uid="{179E83A4-8C6E-4720-8B27-1264E4FCE3AB}" name="Kolonna14179"/>
    <tableColumn id="14518" xr3:uid="{0E0E2E09-57F2-4A62-9BAF-3393251AB6DD}" name="Kolonna14180"/>
    <tableColumn id="14519" xr3:uid="{24A3DD08-2F22-4400-B7E0-E20B6FD5DABE}" name="Kolonna14181"/>
    <tableColumn id="14520" xr3:uid="{7FA32546-1B8C-495B-B3C2-88441822B73F}" name="Kolonna14182"/>
    <tableColumn id="14521" xr3:uid="{14EF1371-0687-4D98-8AF6-0BD9D0FD2C5F}" name="Kolonna14183"/>
    <tableColumn id="14522" xr3:uid="{74E6769A-DC87-4598-9E38-531AB803513B}" name="Kolonna14184"/>
    <tableColumn id="14523" xr3:uid="{27E29E00-C1AC-44E1-A4FA-37D8E475457E}" name="Kolonna14185"/>
    <tableColumn id="14524" xr3:uid="{A4B95F3E-6069-431B-84A3-0C840C0CA039}" name="Kolonna14186"/>
    <tableColumn id="14525" xr3:uid="{E833431D-3562-46BD-85B4-9A932A3CA2E3}" name="Kolonna14187"/>
    <tableColumn id="14526" xr3:uid="{2402A355-DF5B-4200-994D-34919582FDD1}" name="Kolonna14188"/>
    <tableColumn id="14527" xr3:uid="{983E29DC-9F70-44F2-808D-037F719F1A7A}" name="Kolonna14189"/>
    <tableColumn id="14528" xr3:uid="{695AE7F0-AE6B-40C1-B807-772FF2B15221}" name="Kolonna14190"/>
    <tableColumn id="14529" xr3:uid="{45E4EE9E-6808-4A20-97A5-108F1CAC0CEC}" name="Kolonna14191"/>
    <tableColumn id="14530" xr3:uid="{A42DC88C-A439-4455-ADCD-3FB3C3CD98EA}" name="Kolonna14192"/>
    <tableColumn id="14531" xr3:uid="{C28050B3-9D78-4BB1-882B-42DE5DEDD8A4}" name="Kolonna14193"/>
    <tableColumn id="14532" xr3:uid="{03BBEC6E-4BD0-43CB-9D0A-DA737E60A792}" name="Kolonna14194"/>
    <tableColumn id="14533" xr3:uid="{0C14A25C-6097-47C3-BEF8-C1D254E7F813}" name="Kolonna14195"/>
    <tableColumn id="14534" xr3:uid="{CEC109B7-B9B2-467F-9221-D49D98C19BFF}" name="Kolonna14196"/>
    <tableColumn id="14535" xr3:uid="{341FFF36-891A-40E0-B095-F3ABD8E9DDEB}" name="Kolonna14197"/>
    <tableColumn id="14536" xr3:uid="{BBB4445C-3C3B-4481-A489-B2340DDE53D5}" name="Kolonna14198"/>
    <tableColumn id="14537" xr3:uid="{BF573791-E66E-498D-BD38-E23F195B7B60}" name="Kolonna14199"/>
    <tableColumn id="14538" xr3:uid="{969C4E91-7F47-46B2-A80A-D5FDC2D6E581}" name="Kolonna14200"/>
    <tableColumn id="14539" xr3:uid="{36BF24B0-285D-4396-BE23-4A9C049834A5}" name="Kolonna14201"/>
    <tableColumn id="14540" xr3:uid="{EC92B70E-9A78-4C73-8457-11B1D29D28E9}" name="Kolonna14202"/>
    <tableColumn id="14541" xr3:uid="{22E145FC-7138-4D77-B060-8495D6712C95}" name="Kolonna14203"/>
    <tableColumn id="14542" xr3:uid="{F43C32AB-E8CE-40C0-A3BC-E72AB462652D}" name="Kolonna14204"/>
    <tableColumn id="14543" xr3:uid="{1DF9C5AD-F45C-430A-84A4-DE415236CBDE}" name="Kolonna14205"/>
    <tableColumn id="14544" xr3:uid="{2DDF51F7-033A-4262-93BA-0185AEAD5405}" name="Kolonna14206"/>
    <tableColumn id="14545" xr3:uid="{9EAE0BF4-9B83-4CBF-9510-6CC57E036899}" name="Kolonna14207"/>
    <tableColumn id="14546" xr3:uid="{2ED07337-740A-455A-8ED5-5D0619C81C6E}" name="Kolonna14208"/>
    <tableColumn id="14547" xr3:uid="{A9501DCC-5179-4EC3-A913-385531A4A396}" name="Kolonna14209"/>
    <tableColumn id="14548" xr3:uid="{20D82E87-E5A9-4285-99FE-896FBC434F6B}" name="Kolonna14210"/>
    <tableColumn id="14549" xr3:uid="{C4CC8798-F960-41FE-85B8-3AFC2C6C304F}" name="Kolonna14211"/>
    <tableColumn id="14550" xr3:uid="{CD698924-6FCF-49AC-839F-06F3358CCF97}" name="Kolonna14212"/>
    <tableColumn id="14551" xr3:uid="{7FD2A6AF-31F5-4B6B-8478-C64EA4080637}" name="Kolonna14213"/>
    <tableColumn id="14552" xr3:uid="{8134BF59-2A8F-431A-B8A9-A19BDC968B7B}" name="Kolonna14214"/>
    <tableColumn id="14553" xr3:uid="{1DF2FDCD-FA86-450D-871D-318D3C0EB890}" name="Kolonna14215"/>
    <tableColumn id="14554" xr3:uid="{8C2D8AA0-D93E-4ED4-A1D0-6F0CB4D16910}" name="Kolonna14216"/>
    <tableColumn id="14555" xr3:uid="{11BEAC5E-0297-489D-B42D-3A54D29D9386}" name="Kolonna14217"/>
    <tableColumn id="14556" xr3:uid="{955A1276-100C-4FA0-995A-A05A6AFD6560}" name="Kolonna14218"/>
    <tableColumn id="14557" xr3:uid="{999A621E-E4E7-4066-B2C5-44E67322C8C8}" name="Kolonna14219"/>
    <tableColumn id="14558" xr3:uid="{16241420-60C0-4E1B-824C-3BC0923FC16E}" name="Kolonna14220"/>
    <tableColumn id="14559" xr3:uid="{D7D9A188-E24E-488E-9FA9-B03EA679BE95}" name="Kolonna14221"/>
    <tableColumn id="14560" xr3:uid="{3671130E-286E-47E5-817F-0C3EA6B64382}" name="Kolonna14222"/>
    <tableColumn id="14561" xr3:uid="{77F37AD6-2105-42D3-8607-73091DA1E7DF}" name="Kolonna14223"/>
    <tableColumn id="14562" xr3:uid="{E769D851-84E5-4ED6-84E2-854108B5A812}" name="Kolonna14224"/>
    <tableColumn id="14563" xr3:uid="{B7DD9B1F-2440-4087-9E45-D762D1C8DF6E}" name="Kolonna14225"/>
    <tableColumn id="14564" xr3:uid="{AA3B599C-48B5-40CA-8DA7-4245CD388B95}" name="Kolonna14226"/>
    <tableColumn id="14565" xr3:uid="{0219DF8C-6EE0-4002-B22C-7ECFCD1C62D1}" name="Kolonna14227"/>
    <tableColumn id="14566" xr3:uid="{51A3572D-5BE5-438A-A552-C23A8545977B}" name="Kolonna14228"/>
    <tableColumn id="14567" xr3:uid="{582AB6C5-F842-44E9-A20A-6022ADAF081B}" name="Kolonna14229"/>
    <tableColumn id="14568" xr3:uid="{FC8E213E-7A57-4700-B0F3-91088C931941}" name="Kolonna14230"/>
    <tableColumn id="14569" xr3:uid="{6CEDC0FB-36F5-4F43-9817-5FFD576B58D0}" name="Kolonna14231"/>
    <tableColumn id="14570" xr3:uid="{53F855FE-0F0C-48BC-B538-EB9AAC8D092F}" name="Kolonna14232"/>
    <tableColumn id="14571" xr3:uid="{F8B8F8A7-EC6C-4AEA-8BA5-4544F659C21C}" name="Kolonna14233"/>
    <tableColumn id="14572" xr3:uid="{2D2A02BF-C78B-4DB6-B7BF-234678AA9DEE}" name="Kolonna14234"/>
    <tableColumn id="14573" xr3:uid="{4595ECE1-5134-43F5-85EB-488EAB40969D}" name="Kolonna14235"/>
    <tableColumn id="14574" xr3:uid="{E6F229E8-DC17-4417-9EEB-25B25F05AB35}" name="Kolonna14236"/>
    <tableColumn id="14575" xr3:uid="{227F0C10-AF64-418E-B0BA-08C5AEB2ABE1}" name="Kolonna14237"/>
    <tableColumn id="14576" xr3:uid="{287A4D67-4B0D-402A-926B-357FBC25CD44}" name="Kolonna14238"/>
    <tableColumn id="14577" xr3:uid="{187B5254-99DE-4140-83F8-2EAF81B998A1}" name="Kolonna14239"/>
    <tableColumn id="14578" xr3:uid="{0F48A7A0-6665-453C-8679-DA4AC423F2EA}" name="Kolonna14240"/>
    <tableColumn id="14579" xr3:uid="{3F2F5206-C700-4397-9DB6-79E5DD216178}" name="Kolonna14241"/>
    <tableColumn id="14580" xr3:uid="{EA924412-7A2F-4BC4-86C9-0CFFC59CCDC9}" name="Kolonna14242"/>
    <tableColumn id="14581" xr3:uid="{A939B9A6-8C2C-4F86-B3D7-49E9EB4BE60C}" name="Kolonna14243"/>
    <tableColumn id="14582" xr3:uid="{6ADCE87F-B8E8-4B2D-B377-2FED40C6D1B1}" name="Kolonna14244"/>
    <tableColumn id="14583" xr3:uid="{7E13F8AA-1703-495A-955B-4FF9A9C6E9B0}" name="Kolonna14245"/>
    <tableColumn id="14584" xr3:uid="{E443223E-7E4C-4FFE-B213-FE2643CD1380}" name="Kolonna14246"/>
    <tableColumn id="14585" xr3:uid="{89A8454B-9274-42E5-871B-0E0B12394702}" name="Kolonna14247"/>
    <tableColumn id="14586" xr3:uid="{A2E393E1-D0EF-4EA4-8706-952723892AD5}" name="Kolonna14248"/>
    <tableColumn id="14587" xr3:uid="{E5C69CBD-4ED3-465F-941F-239A4AD62410}" name="Kolonna14249"/>
    <tableColumn id="14588" xr3:uid="{3BCA759A-047C-4B51-B100-3C2ECB06B151}" name="Kolonna14250"/>
    <tableColumn id="14589" xr3:uid="{E4671142-D7D3-4BB5-854F-25977654AA78}" name="Kolonna14251"/>
    <tableColumn id="14590" xr3:uid="{6EA8A428-AC33-4B02-AB7B-45C2AE18EE14}" name="Kolonna14252"/>
    <tableColumn id="14591" xr3:uid="{52683F53-BE75-4459-AB6D-7EDF40B7B420}" name="Kolonna14253"/>
    <tableColumn id="14592" xr3:uid="{E6ABB38E-D364-4DE6-9A99-F35D0CCF2033}" name="Kolonna14254"/>
    <tableColumn id="14593" xr3:uid="{08FCA1FC-55B5-43D5-9801-F0DD5766E9E9}" name="Kolonna14255"/>
    <tableColumn id="14594" xr3:uid="{5C3E50B7-381D-45F9-B644-196BF1070DC6}" name="Kolonna14256"/>
    <tableColumn id="14595" xr3:uid="{E32EB676-F1A3-46AF-B23C-D39FCF450980}" name="Kolonna14257"/>
    <tableColumn id="14596" xr3:uid="{F3102DF0-937B-440F-90D3-A9AF9FE1BD27}" name="Kolonna14258"/>
    <tableColumn id="14597" xr3:uid="{41614A10-E15D-4839-8AB7-9FC2FF690658}" name="Kolonna14259"/>
    <tableColumn id="14598" xr3:uid="{45BD3D38-E67C-47CE-A8B4-82EFD59165ED}" name="Kolonna14260"/>
    <tableColumn id="14599" xr3:uid="{8701C07E-C3AE-476E-8916-605E03A23DC7}" name="Kolonna14261"/>
    <tableColumn id="14600" xr3:uid="{C5C40F30-9233-469F-9374-3876B937B320}" name="Kolonna14262"/>
    <tableColumn id="14601" xr3:uid="{7FCA9AC6-833A-47DC-9691-512B83417AAD}" name="Kolonna14263"/>
    <tableColumn id="14602" xr3:uid="{DC3A1476-985A-46CC-B872-479839E87CEE}" name="Kolonna14264"/>
    <tableColumn id="14603" xr3:uid="{A0C53C62-38DF-4A18-9401-7E2B33D74C2E}" name="Kolonna14265"/>
    <tableColumn id="14604" xr3:uid="{D7B45AFE-5CF1-4C26-BBA8-30380947F526}" name="Kolonna14266"/>
    <tableColumn id="14605" xr3:uid="{71589CFE-1B76-42B1-9EB7-157998299EEB}" name="Kolonna14267"/>
    <tableColumn id="14606" xr3:uid="{34AD6698-A076-465C-B62E-79C1D7036AC1}" name="Kolonna14268"/>
    <tableColumn id="14607" xr3:uid="{732BD52D-456C-4A89-8726-9C09AC6E6703}" name="Kolonna14269"/>
    <tableColumn id="14608" xr3:uid="{1B7B7BFF-5A72-473F-8E05-4475849FC4B5}" name="Kolonna14270"/>
    <tableColumn id="14609" xr3:uid="{3026AF21-A438-409E-8680-FA5E18CAE061}" name="Kolonna14271"/>
    <tableColumn id="14610" xr3:uid="{4DC7E7A8-BEED-4FA7-BD0A-A445A629C40E}" name="Kolonna14272"/>
    <tableColumn id="14611" xr3:uid="{9D56A03D-75C3-43D2-81D3-7CF073B8C917}" name="Kolonna14273"/>
    <tableColumn id="14612" xr3:uid="{C3319B0A-D4F6-4E60-B5B9-A78AE45A6C9A}" name="Kolonna14274"/>
    <tableColumn id="14613" xr3:uid="{8455B53D-D8DB-41B5-86FD-045CFBAA72E5}" name="Kolonna14275"/>
    <tableColumn id="14614" xr3:uid="{F532DC13-C9C4-4208-8EDF-169F5C77BF0A}" name="Kolonna14276"/>
    <tableColumn id="14615" xr3:uid="{251DF0B9-CEC1-4D60-9E36-4E47D836D0A3}" name="Kolonna14277"/>
    <tableColumn id="14616" xr3:uid="{0EDA8A2D-2BD4-43F2-9388-DF38B0F40B70}" name="Kolonna14278"/>
    <tableColumn id="14617" xr3:uid="{04C37D38-2D67-46C8-8DEA-F5D9A812684B}" name="Kolonna14279"/>
    <tableColumn id="14618" xr3:uid="{39BBF7F1-E7AC-4857-8CA3-2E0DD48C0A7E}" name="Kolonna14280"/>
    <tableColumn id="14619" xr3:uid="{860859C1-97D7-4E32-B0F7-82F905C80E65}" name="Kolonna14281"/>
    <tableColumn id="14620" xr3:uid="{21B30C58-C15C-4E6C-B33A-2A838ABD223F}" name="Kolonna14282"/>
    <tableColumn id="14621" xr3:uid="{EB622834-3791-40B6-A8EA-8FB3CA09BF9F}" name="Kolonna14283"/>
    <tableColumn id="14622" xr3:uid="{64C5D0FA-EF3F-4037-B085-E0FD38F0846C}" name="Kolonna14284"/>
    <tableColumn id="14623" xr3:uid="{ED76058F-BE19-4B08-8431-C6D21F6181C7}" name="Kolonna14285"/>
    <tableColumn id="14624" xr3:uid="{D90A71AE-A2D4-4FB1-8543-3F3971516830}" name="Kolonna14286"/>
    <tableColumn id="14625" xr3:uid="{E5C95E4C-67C4-4323-87AA-3839178767D7}" name="Kolonna14287"/>
    <tableColumn id="14626" xr3:uid="{CF79DDC5-CFBA-4F6E-852E-DB2D5C0245AD}" name="Kolonna14288"/>
    <tableColumn id="14627" xr3:uid="{341647FC-D7AA-4246-BAD9-D5D30D4E2B5D}" name="Kolonna14289"/>
    <tableColumn id="14628" xr3:uid="{D868B0FD-DBDB-45F4-BFE6-5DFA8532A6CF}" name="Kolonna14290"/>
    <tableColumn id="14629" xr3:uid="{55882294-A6EB-4588-9814-94E93194ADD8}" name="Kolonna14291"/>
    <tableColumn id="14630" xr3:uid="{7BFB8494-5E56-43D7-92D3-C8F44EFFC790}" name="Kolonna14292"/>
    <tableColumn id="14631" xr3:uid="{079D052A-2E58-4AEE-9036-B717B6B786C9}" name="Kolonna14293"/>
    <tableColumn id="14632" xr3:uid="{765B3142-C24F-46F1-AE17-1D54C52EA93F}" name="Kolonna14294"/>
    <tableColumn id="14633" xr3:uid="{8572D084-6FC4-461A-A467-C63C76DD77BA}" name="Kolonna14295"/>
    <tableColumn id="14634" xr3:uid="{DF606FF0-932B-4D23-9F4B-A02DC1F722EF}" name="Kolonna14296"/>
    <tableColumn id="14635" xr3:uid="{358B0B58-6D6F-48C9-9AD2-0F4194DF2378}" name="Kolonna14297"/>
    <tableColumn id="14636" xr3:uid="{4E282F81-5C45-4362-9357-30D3A2460EF1}" name="Kolonna14298"/>
    <tableColumn id="14637" xr3:uid="{1B00EED6-9CA1-4601-9421-5DB61A1B2B5E}" name="Kolonna14299"/>
    <tableColumn id="14638" xr3:uid="{15206B30-0BF9-4CEB-ACCD-99721B24C986}" name="Kolonna14300"/>
    <tableColumn id="14639" xr3:uid="{7C12136E-D09D-402D-9036-8752A3AB3979}" name="Kolonna14301"/>
    <tableColumn id="14640" xr3:uid="{9B47C5DB-97A4-429F-BEEA-80F4A3E7239F}" name="Kolonna14302"/>
    <tableColumn id="14641" xr3:uid="{8AAF6097-52C1-439A-84AF-54B80457E78C}" name="Kolonna14303"/>
    <tableColumn id="14642" xr3:uid="{CC226F26-431B-4757-9B10-396F8F4A5CBB}" name="Kolonna14304"/>
    <tableColumn id="14643" xr3:uid="{A097DBAB-84A5-4032-A4C0-4565B8C15835}" name="Kolonna14305"/>
    <tableColumn id="14644" xr3:uid="{F61F6AB9-BBDF-47B5-8423-4855591128D3}" name="Kolonna14306"/>
    <tableColumn id="14645" xr3:uid="{30A2900A-0CC9-440A-ACD1-ADD06E6FD65F}" name="Kolonna14307"/>
    <tableColumn id="14646" xr3:uid="{A9FB1DDC-C1A5-4F30-86B0-F2B3CB54B099}" name="Kolonna14308"/>
    <tableColumn id="14647" xr3:uid="{44C4C714-F360-4ACB-96C2-4F31C03E7520}" name="Kolonna14309"/>
    <tableColumn id="14648" xr3:uid="{30E90E80-B1C2-43FE-9420-9991BEF076D3}" name="Kolonna14310"/>
    <tableColumn id="14649" xr3:uid="{36B65194-D9B7-4B89-B839-BD0D30BF0E06}" name="Kolonna14311"/>
    <tableColumn id="14650" xr3:uid="{DDDD8755-F687-448C-8A42-77B337B7E3B5}" name="Kolonna14312"/>
    <tableColumn id="14651" xr3:uid="{16B3CFDB-6F45-4D79-8E32-ECC532AC717B}" name="Kolonna14313"/>
    <tableColumn id="14652" xr3:uid="{28961E2D-A6BC-4FFA-8EAE-36CDBD4377C8}" name="Kolonna14314"/>
    <tableColumn id="14653" xr3:uid="{AA337974-DB5F-4E9D-B5A1-197072BB41F7}" name="Kolonna14315"/>
    <tableColumn id="14654" xr3:uid="{A243A468-15CF-4B37-9051-831048F7A013}" name="Kolonna14316"/>
    <tableColumn id="14655" xr3:uid="{E0655680-C00F-46F1-823D-B9F62FBD2E9F}" name="Kolonna14317"/>
    <tableColumn id="14656" xr3:uid="{17DC637A-A91F-4B16-A936-FFCE8819741C}" name="Kolonna14318"/>
    <tableColumn id="14657" xr3:uid="{596F4F84-283C-4B8A-B6CB-E989EEC3B460}" name="Kolonna14319"/>
    <tableColumn id="14658" xr3:uid="{AEA3C198-6C52-4D66-ACE5-FE0A9245FAE5}" name="Kolonna14320"/>
    <tableColumn id="14659" xr3:uid="{DAAA136C-F429-4339-A3FB-EDC9F80261DF}" name="Kolonna14321"/>
    <tableColumn id="14660" xr3:uid="{60A76882-5197-4708-9E4B-83F9E0D9D1D3}" name="Kolonna14322"/>
    <tableColumn id="14661" xr3:uid="{3B54C52B-EEE0-4155-B97C-DF15C19CD5B8}" name="Kolonna14323"/>
    <tableColumn id="14662" xr3:uid="{30EA78B8-E8F2-4D84-9DD6-53CCCC8ED554}" name="Kolonna14324"/>
    <tableColumn id="14663" xr3:uid="{FAF46912-02E7-43D2-A027-982DD0B08B01}" name="Kolonna14325"/>
    <tableColumn id="14664" xr3:uid="{B0078206-4BE7-4853-8159-A81C07DD5159}" name="Kolonna14326"/>
    <tableColumn id="14665" xr3:uid="{9B4FB561-3E4A-480F-BA31-BC8A1EFE591B}" name="Kolonna14327"/>
    <tableColumn id="14666" xr3:uid="{F8AD8BB5-FFB2-45FD-9F30-7FB0725A3FEB}" name="Kolonna14328"/>
    <tableColumn id="14667" xr3:uid="{80515977-C003-4C33-8E2F-934A185902A9}" name="Kolonna14329"/>
    <tableColumn id="14668" xr3:uid="{B479ECB0-2B43-4D53-AE50-F84450A888AA}" name="Kolonna14330"/>
    <tableColumn id="14669" xr3:uid="{6088F150-7F8C-4901-84B2-604145B2458E}" name="Kolonna14331"/>
    <tableColumn id="14670" xr3:uid="{8537DEBA-5F00-4D3F-9313-F0FF622D5BE8}" name="Kolonna14332"/>
    <tableColumn id="14671" xr3:uid="{1551F545-160D-4138-BC96-9630807A4988}" name="Kolonna14333"/>
    <tableColumn id="14672" xr3:uid="{EFC51ED4-EE3B-44D9-B614-4BCD4DF0F829}" name="Kolonna14334"/>
    <tableColumn id="14673" xr3:uid="{8591389C-04F3-46B0-82DD-A659836ACE66}" name="Kolonna14335"/>
    <tableColumn id="14674" xr3:uid="{02B823C1-6890-423B-9F7E-BAA87768ED53}" name="Kolonna14336"/>
    <tableColumn id="14675" xr3:uid="{8AC3C296-D3DC-4C05-9E5A-C9B1455C2C5A}" name="Kolonna14337"/>
    <tableColumn id="14676" xr3:uid="{61F35221-FCA4-41B5-AB57-9C0661388C48}" name="Kolonna14338"/>
    <tableColumn id="14677" xr3:uid="{9FFABD3A-3B1F-4AE4-A8E7-57694294BCF2}" name="Kolonna14339"/>
    <tableColumn id="14678" xr3:uid="{8820AA0E-2D76-462E-8776-ABEB62FF3222}" name="Kolonna14340"/>
    <tableColumn id="14679" xr3:uid="{534241A7-D279-41BD-BBCE-17592B9DD4C4}" name="Kolonna14341"/>
    <tableColumn id="14680" xr3:uid="{3EE842DE-8A11-482D-9639-481CA8E800FE}" name="Kolonna14342"/>
    <tableColumn id="14681" xr3:uid="{AF064A72-67C1-48F4-A088-36E040BDCA80}" name="Kolonna14343"/>
    <tableColumn id="14682" xr3:uid="{8E953567-9090-42F5-9C95-E07DE845DBF3}" name="Kolonna14344"/>
    <tableColumn id="14683" xr3:uid="{A5C9FF16-C8C6-476F-A8E7-A2B2A6D200E0}" name="Kolonna14345"/>
    <tableColumn id="14684" xr3:uid="{5159AFD1-FA81-4201-A975-31E8EFC46E36}" name="Kolonna14346"/>
    <tableColumn id="14685" xr3:uid="{CF20D783-3E70-4224-9DCC-82507378A54D}" name="Kolonna14347"/>
    <tableColumn id="14686" xr3:uid="{3999B8A4-3AE6-4999-8979-C35D9BD96E01}" name="Kolonna14348"/>
    <tableColumn id="14687" xr3:uid="{0BA36593-7B0C-4291-AB6B-41AD94BBEC77}" name="Kolonna14349"/>
    <tableColumn id="14688" xr3:uid="{5A2DADB6-95D2-40E6-80CA-F39777F2DF6C}" name="Kolonna14350"/>
    <tableColumn id="14689" xr3:uid="{65EDBAA9-ED3F-4778-BE5D-F611AB5C2198}" name="Kolonna14351"/>
    <tableColumn id="14690" xr3:uid="{4E38DF56-6C2C-48EC-BB87-5F3DAC87C7ED}" name="Kolonna14352"/>
    <tableColumn id="14691" xr3:uid="{D0F15A15-1B41-4E62-BEFB-12D226EC1AF2}" name="Kolonna14353"/>
    <tableColumn id="14692" xr3:uid="{824750BF-EEF4-44B4-855C-6C95BAF729CB}" name="Kolonna14354"/>
    <tableColumn id="14693" xr3:uid="{24E93D80-4610-40E6-87B7-E32C5929EAEC}" name="Kolonna14355"/>
    <tableColumn id="14694" xr3:uid="{088E9C2B-972F-40AF-8706-F585108EE26C}" name="Kolonna14356"/>
    <tableColumn id="14695" xr3:uid="{BAB61130-2453-4FAB-A81B-777D91049D58}" name="Kolonna14357"/>
    <tableColumn id="14696" xr3:uid="{B0F8412B-EC3B-421E-AF6B-617407F6E253}" name="Kolonna14358"/>
    <tableColumn id="14697" xr3:uid="{97A7E07B-68A1-4F5D-9074-F1C6DF1212DA}" name="Kolonna14359"/>
    <tableColumn id="14698" xr3:uid="{E930A218-434F-4686-8440-69DEAE9AB7C9}" name="Kolonna14360"/>
    <tableColumn id="14699" xr3:uid="{C089B069-2BAC-4925-BA0E-CA1526445A6F}" name="Kolonna14361"/>
    <tableColumn id="14700" xr3:uid="{A90216E8-27BC-4D7F-BFF0-1177DB74667C}" name="Kolonna14362"/>
    <tableColumn id="14701" xr3:uid="{FCBAC34F-75E9-4D4A-A5C6-3455DB9F3DBC}" name="Kolonna14363"/>
    <tableColumn id="14702" xr3:uid="{BB02162B-7FE0-4D04-8EE8-409764D065CC}" name="Kolonna14364"/>
    <tableColumn id="14703" xr3:uid="{CE146726-BAA8-4E17-A2D5-1D3BE1E88681}" name="Kolonna14365"/>
    <tableColumn id="14704" xr3:uid="{239E1FA4-2461-4ED8-81F2-19CBA68BFF3C}" name="Kolonna14366"/>
    <tableColumn id="14705" xr3:uid="{E5C7D53A-F237-4EF0-8E54-25E6225D1348}" name="Kolonna14367"/>
    <tableColumn id="14706" xr3:uid="{757153B2-31F5-4FEE-94E4-ADF77DDD3F2B}" name="Kolonna14368"/>
    <tableColumn id="14707" xr3:uid="{DA32278A-25A5-49BF-BDB8-30DA096B831F}" name="Kolonna14369"/>
    <tableColumn id="14708" xr3:uid="{FF2C87B0-A37C-4695-8132-DCD11C46F7E1}" name="Kolonna14370"/>
    <tableColumn id="14709" xr3:uid="{2F02903C-74F6-4673-BC6D-EC760EABD23C}" name="Kolonna14371"/>
    <tableColumn id="14710" xr3:uid="{CA257152-193E-4E65-9689-8F0C0855CBFB}" name="Kolonna14372"/>
    <tableColumn id="14711" xr3:uid="{257A6E97-2EE6-4C99-B4F9-171EDB127451}" name="Kolonna14373"/>
    <tableColumn id="14712" xr3:uid="{583129D1-5FF1-4D7E-A49E-2DC5DF24D4FE}" name="Kolonna14374"/>
    <tableColumn id="14713" xr3:uid="{B2F51369-C7B2-4BC3-BE04-1F8E69580A2E}" name="Kolonna14375"/>
    <tableColumn id="14714" xr3:uid="{5940C7B7-4B25-4BC8-8E2A-977BFD56CC6B}" name="Kolonna14376"/>
    <tableColumn id="14715" xr3:uid="{D0F6B89D-56DF-4611-96B5-A0D45DA32040}" name="Kolonna14377"/>
    <tableColumn id="14716" xr3:uid="{2F969146-33D3-48E3-B9B9-420F6B697E9C}" name="Kolonna14378"/>
    <tableColumn id="14717" xr3:uid="{6D08C00D-AD2B-4138-92CF-5227B4DACD97}" name="Kolonna14379"/>
    <tableColumn id="14718" xr3:uid="{F9975FE1-2C24-4F10-A719-CC452A90AE75}" name="Kolonna14380"/>
    <tableColumn id="14719" xr3:uid="{017D1C3C-1FED-4712-BBC3-732ADBEAF013}" name="Kolonna14381"/>
    <tableColumn id="14720" xr3:uid="{7C7E11CD-C48D-42A0-A516-BEAF82A75EE2}" name="Kolonna14382"/>
    <tableColumn id="14721" xr3:uid="{F316D7BF-69CC-4C8D-84E5-CAF442AA2FE5}" name="Kolonna14383"/>
    <tableColumn id="14722" xr3:uid="{6025BC57-2941-4C8B-B541-21C6B68D9FFE}" name="Kolonna14384"/>
    <tableColumn id="14723" xr3:uid="{00D63CD7-930F-4FDA-985C-CD4A39CFC75C}" name="Kolonna14385"/>
    <tableColumn id="14724" xr3:uid="{9702F7EB-3605-46F9-8F19-B7B065F2C1C6}" name="Kolonna14386"/>
    <tableColumn id="14725" xr3:uid="{C1002265-B066-43EB-AF9A-1E63E30F3471}" name="Kolonna14387"/>
    <tableColumn id="14726" xr3:uid="{6C5BEFA1-6C89-4264-9D48-A5F4403F4BEA}" name="Kolonna14388"/>
    <tableColumn id="14727" xr3:uid="{134C8D60-B5DB-43E6-B8AE-4DE3F34B94B2}" name="Kolonna14389"/>
    <tableColumn id="14728" xr3:uid="{AE04AA20-D826-484C-BB70-A943C497CEB6}" name="Kolonna14390"/>
    <tableColumn id="14729" xr3:uid="{6546C455-4548-4DA7-9857-DD2D8A402F84}" name="Kolonna14391"/>
    <tableColumn id="14730" xr3:uid="{8579D823-24DB-47E6-B223-603E44139C9B}" name="Kolonna14392"/>
    <tableColumn id="14731" xr3:uid="{9C4DC892-2ED6-43D5-8708-2CDF3309BB13}" name="Kolonna14393"/>
    <tableColumn id="14732" xr3:uid="{F1B2AD53-B694-428E-B02D-BDE428EC0B22}" name="Kolonna14394"/>
    <tableColumn id="14733" xr3:uid="{41568E5E-0934-4C7B-9549-B862C8C47EC4}" name="Kolonna14395"/>
    <tableColumn id="14734" xr3:uid="{87B0E859-6F3F-4B28-9713-B545C58F6BE6}" name="Kolonna14396"/>
    <tableColumn id="14735" xr3:uid="{70A83AA2-5316-4FC2-B177-6F0A8754465C}" name="Kolonna14397"/>
    <tableColumn id="14736" xr3:uid="{3E437869-F2C0-4BAE-AE20-648C7E7876B2}" name="Kolonna14398"/>
    <tableColumn id="14737" xr3:uid="{AF5C87AB-EF9A-48D6-8595-E63E4A6E5B7B}" name="Kolonna14399"/>
    <tableColumn id="14738" xr3:uid="{80A7421D-86E5-45C2-AA2A-454BEF1212E9}" name="Kolonna14400"/>
    <tableColumn id="14739" xr3:uid="{62B7F471-E11D-46B9-A313-67D42930FBF3}" name="Kolonna14401"/>
    <tableColumn id="14740" xr3:uid="{57FC5E49-E18D-4F1C-B85A-9A131777070F}" name="Kolonna14402"/>
    <tableColumn id="14741" xr3:uid="{E4418F20-57F9-4593-B922-35D12188B50A}" name="Kolonna14403"/>
    <tableColumn id="14742" xr3:uid="{910AF48A-36E6-4884-81FC-9355DFD1FFCA}" name="Kolonna14404"/>
    <tableColumn id="14743" xr3:uid="{9001532F-000E-4C1C-80B2-A68C28CFE735}" name="Kolonna14405"/>
    <tableColumn id="14744" xr3:uid="{41F3AA87-4632-4BCD-9280-D5E20E226E56}" name="Kolonna14406"/>
    <tableColumn id="14745" xr3:uid="{9D948716-1969-49FB-A706-FECEADA5E69F}" name="Kolonna14407"/>
    <tableColumn id="14746" xr3:uid="{A9BFF699-CE48-43A6-8BCC-730CD16DEE9F}" name="Kolonna14408"/>
    <tableColumn id="14747" xr3:uid="{22ED25B4-C6EC-4A87-A918-08DF07D2FB46}" name="Kolonna14409"/>
    <tableColumn id="14748" xr3:uid="{25F6193A-3947-498A-BC1F-D9CE6BA64059}" name="Kolonna14410"/>
    <tableColumn id="14749" xr3:uid="{C3F94832-4CE4-4272-96EF-63853E8AC11F}" name="Kolonna14411"/>
    <tableColumn id="14750" xr3:uid="{0E4E07AC-E34B-451F-9B27-E3CB9F019AD4}" name="Kolonna14412"/>
    <tableColumn id="14751" xr3:uid="{32A126EA-D826-46DA-BB25-4AF5A73E26DD}" name="Kolonna14413"/>
    <tableColumn id="14752" xr3:uid="{E6500827-3BA8-4680-9FC1-BD4F9DBA3DC7}" name="Kolonna14414"/>
    <tableColumn id="14753" xr3:uid="{C9CC944B-DB16-4FD4-AF92-F858446E01B0}" name="Kolonna14415"/>
    <tableColumn id="14754" xr3:uid="{8E8E6C0A-557E-407A-B21C-59E65056E919}" name="Kolonna14416"/>
    <tableColumn id="14755" xr3:uid="{AF948F05-3BA8-4A88-B3D2-5F32BB07E0D0}" name="Kolonna14417"/>
    <tableColumn id="14756" xr3:uid="{99989E26-1744-41CF-A0D7-7D081EDA8272}" name="Kolonna14418"/>
    <tableColumn id="14757" xr3:uid="{F38EC0D7-2176-4A95-BA4C-37D4CBB1E8CF}" name="Kolonna14419"/>
    <tableColumn id="14758" xr3:uid="{AC20D46A-FBAF-4CC6-94E6-DEEEBEEEBC53}" name="Kolonna14420"/>
    <tableColumn id="14759" xr3:uid="{BEB4A5BB-0172-413B-9E6C-2D7C6B6A0DC0}" name="Kolonna14421"/>
    <tableColumn id="14760" xr3:uid="{21B4F326-9F9F-439F-AE44-FAE0C9B249B3}" name="Kolonna14422"/>
    <tableColumn id="14761" xr3:uid="{BAAA640B-C822-41A4-85EB-D53EA9E74485}" name="Kolonna14423"/>
    <tableColumn id="14762" xr3:uid="{2CF0743D-B6FA-4AFA-A5AF-F7C41876CD3D}" name="Kolonna14424"/>
    <tableColumn id="14763" xr3:uid="{ADEC9590-DD74-4058-A655-6D4AA3567BDF}" name="Kolonna14425"/>
    <tableColumn id="14764" xr3:uid="{07258B3E-0770-466E-A7B0-823ED6DA84E5}" name="Kolonna14426"/>
    <tableColumn id="14765" xr3:uid="{3B8FC9E7-F732-42F3-A0C2-5350ABF1600F}" name="Kolonna14427"/>
    <tableColumn id="14766" xr3:uid="{EF58E6F5-1F65-4A15-8F67-35E5B4DAB267}" name="Kolonna14428"/>
    <tableColumn id="14767" xr3:uid="{E5C3B642-A95C-496C-8449-3725AED69938}" name="Kolonna14429"/>
    <tableColumn id="14768" xr3:uid="{13CF5E73-FF02-4779-9D37-2B18A238AB4E}" name="Kolonna14430"/>
    <tableColumn id="14769" xr3:uid="{8867B766-1B12-4B56-B40C-B034F4CE2A4E}" name="Kolonna14431"/>
    <tableColumn id="14770" xr3:uid="{458E7265-D5C1-42DA-98CD-165E9071EB97}" name="Kolonna14432"/>
    <tableColumn id="14771" xr3:uid="{9AA97B6F-0D3E-4DF9-9D9D-48F7C15D30FB}" name="Kolonna14433"/>
    <tableColumn id="14772" xr3:uid="{A28339FD-158A-4D88-B3AD-07158804B712}" name="Kolonna14434"/>
    <tableColumn id="14773" xr3:uid="{0AB2FC2F-C6B8-4976-94D7-72E6A7F7559C}" name="Kolonna14435"/>
    <tableColumn id="14774" xr3:uid="{5A5BA22E-8F89-408E-8D8B-4D267A19184B}" name="Kolonna14436"/>
    <tableColumn id="14775" xr3:uid="{B077A7F6-5532-4C63-BED6-64C5E65516AF}" name="Kolonna14437"/>
    <tableColumn id="14776" xr3:uid="{B270E99C-F66D-411D-9A42-15ACCE20796D}" name="Kolonna14438"/>
    <tableColumn id="14777" xr3:uid="{FECAFBBC-7321-41B4-BC94-90FD78F67FA3}" name="Kolonna14439"/>
    <tableColumn id="14778" xr3:uid="{398A536D-5B36-4991-BA3E-3AF5C671C26E}" name="Kolonna14440"/>
    <tableColumn id="14779" xr3:uid="{56B6B3A1-250E-47B4-AE51-12814C6F303A}" name="Kolonna14441"/>
    <tableColumn id="14780" xr3:uid="{39325522-3302-4FFD-AF71-F2552BED2629}" name="Kolonna14442"/>
    <tableColumn id="14781" xr3:uid="{BD524111-311D-4F92-BF3C-84BD0C8CC102}" name="Kolonna14443"/>
    <tableColumn id="14782" xr3:uid="{A32F2D5F-B63C-4A5C-9619-0C9411BB49BA}" name="Kolonna14444"/>
    <tableColumn id="14783" xr3:uid="{3E7EB113-CD98-4A9E-90D3-4E01B9566CE1}" name="Kolonna14445"/>
    <tableColumn id="14784" xr3:uid="{66F92C3C-37AB-4411-8FE4-2FC73311C193}" name="Kolonna14446"/>
    <tableColumn id="14785" xr3:uid="{A34BE1AB-3CAA-438C-9CDB-DAAF971C3F0C}" name="Kolonna14447"/>
    <tableColumn id="14786" xr3:uid="{2B4BD56D-3636-4BA8-9CE1-5D1045FEAFAC}" name="Kolonna14448"/>
    <tableColumn id="14787" xr3:uid="{94A47D32-941A-4E45-AF40-4B9A39B6CA94}" name="Kolonna14449"/>
    <tableColumn id="14788" xr3:uid="{6EEE0FB2-1200-4BA8-9A29-A88CDE49F4FF}" name="Kolonna14450"/>
    <tableColumn id="14789" xr3:uid="{24160672-87D5-42D7-96F3-B7C7288EAE92}" name="Kolonna14451"/>
    <tableColumn id="14790" xr3:uid="{C5BAC608-E981-4E1A-B29C-491AD6CD23B9}" name="Kolonna14452"/>
    <tableColumn id="14791" xr3:uid="{487BC86E-F8B0-409B-85E7-BCFB45857816}" name="Kolonna14453"/>
    <tableColumn id="14792" xr3:uid="{3864F3B4-A500-4F53-8BE4-A0A96052AF6B}" name="Kolonna14454"/>
    <tableColumn id="14793" xr3:uid="{E67EAED8-B919-4A3F-900A-7F1C2571FE18}" name="Kolonna14455"/>
    <tableColumn id="14794" xr3:uid="{DF8701AF-894D-4452-9244-446B974ED113}" name="Kolonna14456"/>
    <tableColumn id="14795" xr3:uid="{55748AA0-9ADE-40C5-92EF-1FA9C1ED4B53}" name="Kolonna14457"/>
    <tableColumn id="14796" xr3:uid="{DF2C72EF-EF1F-488F-98AC-FB32CCCD9226}" name="Kolonna14458"/>
    <tableColumn id="14797" xr3:uid="{E4E458AC-F969-4BFA-8A3A-3CDA51851222}" name="Kolonna14459"/>
    <tableColumn id="14798" xr3:uid="{30DABF00-1827-47B2-8FF3-7C2173FE50F2}" name="Kolonna14460"/>
    <tableColumn id="14799" xr3:uid="{8528DF17-8BF7-4F89-8E17-F879C2CE0699}" name="Kolonna14461"/>
    <tableColumn id="14800" xr3:uid="{B99D89A9-BE21-4ED0-A0B2-05E43287D875}" name="Kolonna14462"/>
    <tableColumn id="14801" xr3:uid="{BB54DDE3-F204-47CF-B9A1-2F53246767EA}" name="Kolonna14463"/>
    <tableColumn id="14802" xr3:uid="{72BB35C4-44D8-4A3F-864C-A0DB24D220B8}" name="Kolonna14464"/>
    <tableColumn id="14803" xr3:uid="{6237DAD2-B2DC-44CF-A036-CBEC646727B2}" name="Kolonna14465"/>
    <tableColumn id="14804" xr3:uid="{5474878A-1306-4ABB-B5B1-67E25F9F461B}" name="Kolonna14466"/>
    <tableColumn id="14805" xr3:uid="{09E27C56-BE8E-4973-B372-59B9F5E0321B}" name="Kolonna14467"/>
    <tableColumn id="14806" xr3:uid="{E21E81A3-AACE-402C-8A68-A52EFD13FB57}" name="Kolonna14468"/>
    <tableColumn id="14807" xr3:uid="{C92DDB6F-A911-492D-A29F-E730F185A510}" name="Kolonna14469"/>
    <tableColumn id="14808" xr3:uid="{01983F0E-BAEF-4500-9EFE-913F1C5BA6C0}" name="Kolonna14470"/>
    <tableColumn id="14809" xr3:uid="{7867D6CB-A874-4762-818C-3D4F13E2868D}" name="Kolonna14471"/>
    <tableColumn id="14810" xr3:uid="{6F9145B8-DFDB-4328-AB3A-CDD3CC2AF350}" name="Kolonna14472"/>
    <tableColumn id="14811" xr3:uid="{D90D49B0-3223-4641-980B-BA6C44965B5B}" name="Kolonna14473"/>
    <tableColumn id="14812" xr3:uid="{FEF48C92-A230-4B07-B325-11B4BC4A716C}" name="Kolonna14474"/>
    <tableColumn id="14813" xr3:uid="{E0C77202-46AE-4C95-9C80-B3D21E455F6E}" name="Kolonna14475"/>
    <tableColumn id="14814" xr3:uid="{2D71F4BF-9527-4000-ADBE-5D62290C2179}" name="Kolonna14476"/>
    <tableColumn id="14815" xr3:uid="{937B12F7-66AC-4328-86C3-B45727269E2C}" name="Kolonna14477"/>
    <tableColumn id="14816" xr3:uid="{D577B552-32E5-4D0B-BCBE-C4B654861E59}" name="Kolonna14478"/>
    <tableColumn id="14817" xr3:uid="{053F7E5B-00B2-4A98-BB88-6C1FC8FD3F17}" name="Kolonna14479"/>
    <tableColumn id="14818" xr3:uid="{1B054012-7B71-4E4D-9C33-51A3CE46C8DD}" name="Kolonna14480"/>
    <tableColumn id="14819" xr3:uid="{137A4590-7A3B-4506-ACAB-5576627E7127}" name="Kolonna14481"/>
    <tableColumn id="14820" xr3:uid="{1BE8989F-7275-48D0-8A9A-413B05187F2C}" name="Kolonna14482"/>
    <tableColumn id="14821" xr3:uid="{697AE187-42FA-4632-864A-4BE445BE975B}" name="Kolonna14483"/>
    <tableColumn id="14822" xr3:uid="{00B4F921-166A-4CA8-B7C7-F33FA1BD053B}" name="Kolonna14484"/>
    <tableColumn id="14823" xr3:uid="{E3878A02-60BF-4907-A79B-9327171A32EC}" name="Kolonna14485"/>
    <tableColumn id="14824" xr3:uid="{46A44EC5-6210-4440-B262-64A5C7B42C5A}" name="Kolonna14486"/>
    <tableColumn id="14825" xr3:uid="{57AAEA7F-0784-4DE4-BEEF-6C4C9F98F23F}" name="Kolonna14487"/>
    <tableColumn id="14826" xr3:uid="{0DB6D26D-50E8-47A3-A66B-787044F8DCCE}" name="Kolonna14488"/>
    <tableColumn id="14827" xr3:uid="{465469E5-CA29-4974-8F79-2A8E1AAB424F}" name="Kolonna14489"/>
    <tableColumn id="14828" xr3:uid="{987B69B0-DD9D-4F07-86C2-F8A2894085EC}" name="Kolonna14490"/>
    <tableColumn id="14829" xr3:uid="{0873BB72-BC20-43F5-B8E6-790C0554C7C4}" name="Kolonna14491"/>
    <tableColumn id="14830" xr3:uid="{B7E81506-38FE-437D-B254-04D086463A3E}" name="Kolonna14492"/>
    <tableColumn id="14831" xr3:uid="{A3B92DEA-9E76-41C3-BBD6-77FEAAECEA10}" name="Kolonna14493"/>
    <tableColumn id="14832" xr3:uid="{2F1846AF-6E30-47FB-821A-84AB2AFBFAB5}" name="Kolonna14494"/>
    <tableColumn id="14833" xr3:uid="{9BE4BA18-1009-4C12-A3F2-6EB5B34F2FE5}" name="Kolonna14495"/>
    <tableColumn id="14834" xr3:uid="{FBC9C938-A7A0-4338-971A-050D849C6917}" name="Kolonna14496"/>
    <tableColumn id="14835" xr3:uid="{A017538B-E82F-4D7F-9674-E9C9D11E30FD}" name="Kolonna14497"/>
    <tableColumn id="14836" xr3:uid="{DEA006AE-9757-4338-8A43-C98A44C37C06}" name="Kolonna14498"/>
    <tableColumn id="14837" xr3:uid="{43BE903F-CA73-41D7-81A4-4DDA5818BEDB}" name="Kolonna14499"/>
    <tableColumn id="14838" xr3:uid="{7CBA9D6A-F642-4F42-AC47-6BC90AB23608}" name="Kolonna14500"/>
    <tableColumn id="14839" xr3:uid="{7DB9F8B5-2575-4D38-AF98-0CAF32ED9C0A}" name="Kolonna14501"/>
    <tableColumn id="14840" xr3:uid="{357CF526-1843-4DFF-9B4B-5BA801A1393F}" name="Kolonna14502"/>
    <tableColumn id="14841" xr3:uid="{EF6625A7-4C6F-466F-8B21-B8343BC33BC4}" name="Kolonna14503"/>
    <tableColumn id="14842" xr3:uid="{1DF9C95A-1A19-4FE2-8FB7-3BE799A967B9}" name="Kolonna14504"/>
    <tableColumn id="14843" xr3:uid="{0F36ED5F-DBD9-4A60-BDA3-378FC1A8965B}" name="Kolonna14505"/>
    <tableColumn id="14844" xr3:uid="{5DA5174A-178B-41F1-85DD-0D2D0EEE3FD8}" name="Kolonna14506"/>
    <tableColumn id="14845" xr3:uid="{13F715D7-E356-4C10-BDA9-5AD37799E253}" name="Kolonna14507"/>
    <tableColumn id="14846" xr3:uid="{14FFFB34-5F3C-4268-90F7-9B0C5C629839}" name="Kolonna14508"/>
    <tableColumn id="14847" xr3:uid="{3B9527E4-432D-498A-B4D8-CC7380A75033}" name="Kolonna14509"/>
    <tableColumn id="14848" xr3:uid="{D5B7CDDA-9D4E-4258-8B9F-25825837AEAB}" name="Kolonna14510"/>
    <tableColumn id="14849" xr3:uid="{66EB2087-CE32-4083-ABD9-2FAFCD7AF9CB}" name="Kolonna14511"/>
    <tableColumn id="14850" xr3:uid="{4867F5FE-AF17-4F55-A57D-EC8B4E1BB75C}" name="Kolonna14512"/>
    <tableColumn id="14851" xr3:uid="{81897F90-7D8C-4DDE-9A85-CA3F8AEC8B03}" name="Kolonna14513"/>
    <tableColumn id="14852" xr3:uid="{4B62FD77-2CD3-44BC-B390-F03AE388F3B1}" name="Kolonna14514"/>
    <tableColumn id="14853" xr3:uid="{EC448DB0-EBE3-415F-B3AF-3A1E905F7DE4}" name="Kolonna14515"/>
    <tableColumn id="14854" xr3:uid="{A1554215-A68C-4049-9AE8-BEE83D437C07}" name="Kolonna14516"/>
    <tableColumn id="14855" xr3:uid="{753925A1-11A2-484F-89E5-70E0309BD1DC}" name="Kolonna14517"/>
    <tableColumn id="14856" xr3:uid="{58A5E5DD-10C5-4524-BEDF-BAC1B792A8F5}" name="Kolonna14518"/>
    <tableColumn id="14857" xr3:uid="{440C45C0-04F6-4705-92C5-ECF21AA90C0A}" name="Kolonna14519"/>
    <tableColumn id="14858" xr3:uid="{D14726A9-E882-48E4-BDF6-5A102D3EFE7A}" name="Kolonna14520"/>
    <tableColumn id="14859" xr3:uid="{9DCF737A-BD18-4184-946D-D4EB068CA8C2}" name="Kolonna14521"/>
    <tableColumn id="14860" xr3:uid="{BE260141-8E5C-41C4-8D8D-4CDDF6EBEA32}" name="Kolonna14522"/>
    <tableColumn id="14861" xr3:uid="{C691D243-454A-4E01-877E-C7D93BE28C3F}" name="Kolonna14523"/>
    <tableColumn id="14862" xr3:uid="{B536190C-FCC0-4340-B972-C1C1F3570ABF}" name="Kolonna14524"/>
    <tableColumn id="14863" xr3:uid="{841212CB-46EE-441F-B2F8-7591612FE1C8}" name="Kolonna14525"/>
    <tableColumn id="14864" xr3:uid="{4FF166B1-FD72-486A-A76B-E54B774FB9D2}" name="Kolonna14526"/>
    <tableColumn id="14865" xr3:uid="{F5570311-1D88-4BD8-B363-DA9FD9939417}" name="Kolonna14527"/>
    <tableColumn id="14866" xr3:uid="{8EBA6DC8-F084-4178-9169-8BF4E78ECA60}" name="Kolonna14528"/>
    <tableColumn id="14867" xr3:uid="{FD76CF74-8662-47FF-92B4-EF969FF3103F}" name="Kolonna14529"/>
    <tableColumn id="14868" xr3:uid="{FDF4A611-39D4-48A6-BBD4-490740DB0C17}" name="Kolonna14530"/>
    <tableColumn id="14869" xr3:uid="{5648C1ED-9A1F-4435-8B64-E7913E709C24}" name="Kolonna14531"/>
    <tableColumn id="14870" xr3:uid="{C84B3524-8A6A-42D7-9894-479E26E73F0A}" name="Kolonna14532"/>
    <tableColumn id="14871" xr3:uid="{55272524-0232-4ADE-A509-EACDD61D82E7}" name="Kolonna14533"/>
    <tableColumn id="14872" xr3:uid="{20744226-0625-44F9-A2F4-C8B0BA9ED692}" name="Kolonna14534"/>
    <tableColumn id="14873" xr3:uid="{5A1BD4B6-8AF4-45B6-8A04-EC09F0540FE6}" name="Kolonna14535"/>
    <tableColumn id="14874" xr3:uid="{616F2B42-4311-48C3-BC20-A42676E3A890}" name="Kolonna14536"/>
    <tableColumn id="14875" xr3:uid="{094B10FC-2CA1-42EF-8B25-CF8500528797}" name="Kolonna14537"/>
    <tableColumn id="14876" xr3:uid="{4ABB7E18-60CF-424D-A2AD-0F6917F00EE5}" name="Kolonna14538"/>
    <tableColumn id="14877" xr3:uid="{09217F90-C891-44C7-91DF-2C52518F4DC9}" name="Kolonna14539"/>
    <tableColumn id="14878" xr3:uid="{135877FD-59A4-4826-ABF5-D29955AF12E2}" name="Kolonna14540"/>
    <tableColumn id="14879" xr3:uid="{50A4FEA7-7CB1-4E61-8B84-7A368C28A43A}" name="Kolonna14541"/>
    <tableColumn id="14880" xr3:uid="{F4F34F7E-3316-49E1-8B0A-21174859BF83}" name="Kolonna14542"/>
    <tableColumn id="14881" xr3:uid="{9A2DF14D-B950-4106-8377-4F0BDA817E2B}" name="Kolonna14543"/>
    <tableColumn id="14882" xr3:uid="{D789AA2A-9E29-4226-89CA-625A44A20A13}" name="Kolonna14544"/>
    <tableColumn id="14883" xr3:uid="{A0FC506D-57A7-4C69-9356-B1944C5C3831}" name="Kolonna14545"/>
    <tableColumn id="14884" xr3:uid="{9115E042-F0B2-439E-80EE-072918114A69}" name="Kolonna14546"/>
    <tableColumn id="14885" xr3:uid="{04770595-3751-4AE1-8E5A-DE40D055E019}" name="Kolonna14547"/>
    <tableColumn id="14886" xr3:uid="{80C13D42-AE1F-40D1-A304-26B0CD90ED5B}" name="Kolonna14548"/>
    <tableColumn id="14887" xr3:uid="{7BCC39A3-4F44-4069-8C56-0FF720F9B7D0}" name="Kolonna14549"/>
    <tableColumn id="14888" xr3:uid="{A6BFAD8A-136C-4BF9-B49B-E8BDC760111D}" name="Kolonna14550"/>
    <tableColumn id="14889" xr3:uid="{67E433CD-65FA-4759-B275-450A8190FE41}" name="Kolonna14551"/>
    <tableColumn id="14890" xr3:uid="{E16F992A-BD95-4BC5-9FEF-4ABF4680BE54}" name="Kolonna14552"/>
    <tableColumn id="14891" xr3:uid="{E16512F3-55DD-40B3-8782-EE1FE8124EF7}" name="Kolonna14553"/>
    <tableColumn id="14892" xr3:uid="{8BBDA0C7-A0A9-4E0F-BFD7-9E2B15729D20}" name="Kolonna14554"/>
    <tableColumn id="14893" xr3:uid="{A62F51C6-001F-45C7-B46A-8142811183A4}" name="Kolonna14555"/>
    <tableColumn id="14894" xr3:uid="{005055D7-69C2-46FC-9751-75B40EEC4C63}" name="Kolonna14556"/>
    <tableColumn id="14895" xr3:uid="{47BC0B8B-4BC1-4088-AAA3-BE00E98A7493}" name="Kolonna14557"/>
    <tableColumn id="14896" xr3:uid="{B8D8B27A-1C1F-4B97-8578-3618B1CD6088}" name="Kolonna14558"/>
    <tableColumn id="14897" xr3:uid="{886AA626-2D67-4144-BDA1-791089249A1B}" name="Kolonna14559"/>
    <tableColumn id="14898" xr3:uid="{A8EACC4D-29E1-47FD-B487-146F73F7521D}" name="Kolonna14560"/>
    <tableColumn id="14899" xr3:uid="{636DD4D9-58F1-4EC0-B56A-CBD999368C7F}" name="Kolonna14561"/>
    <tableColumn id="14900" xr3:uid="{47F4FDD3-9063-4E16-912E-1FFEEE895C10}" name="Kolonna14562"/>
    <tableColumn id="14901" xr3:uid="{579C65C5-5145-48EA-9C15-D12874C03A86}" name="Kolonna14563"/>
    <tableColumn id="14902" xr3:uid="{4888D082-7C07-4AEA-9639-35F255E99CFE}" name="Kolonna14564"/>
    <tableColumn id="14903" xr3:uid="{377294A5-613B-4623-BF4E-5DD72AF4B6D5}" name="Kolonna14565"/>
    <tableColumn id="14904" xr3:uid="{D844E001-74D7-4D2B-AAED-C909D6AF5AA0}" name="Kolonna14566"/>
    <tableColumn id="14905" xr3:uid="{E0C6CCF8-42C9-45F3-89D8-19572C6CE56F}" name="Kolonna14567"/>
    <tableColumn id="14906" xr3:uid="{AB393D55-7BD0-4526-9A46-0DC26ADFF55D}" name="Kolonna14568"/>
    <tableColumn id="14907" xr3:uid="{070251E2-A1C6-41E2-B615-0F56C1CA4ADE}" name="Kolonna14569"/>
    <tableColumn id="14908" xr3:uid="{155C9A5C-DE4E-4A7B-90B9-8ED43926F042}" name="Kolonna14570"/>
    <tableColumn id="14909" xr3:uid="{461DBD2A-B104-4D7B-993D-2FAA2014E447}" name="Kolonna14571"/>
    <tableColumn id="14910" xr3:uid="{9276DCF9-F944-49D2-805A-251B7091051D}" name="Kolonna14572"/>
    <tableColumn id="14911" xr3:uid="{50A8186B-9B66-4E75-AD4C-3ABC23E34819}" name="Kolonna14573"/>
    <tableColumn id="14912" xr3:uid="{FE233464-F23E-4B1E-9959-8CFF5334AC3B}" name="Kolonna14574"/>
    <tableColumn id="14913" xr3:uid="{2D783DDC-7832-479B-9950-21363AC938F0}" name="Kolonna14575"/>
    <tableColumn id="14914" xr3:uid="{1C88AA56-444D-4707-9612-D175313A8015}" name="Kolonna14576"/>
    <tableColumn id="14915" xr3:uid="{CD751E84-63FB-4B11-B6A4-2EF70333222C}" name="Kolonna14577"/>
    <tableColumn id="14916" xr3:uid="{F0D66F20-CE53-4B26-8C0D-81F1BE16F4F3}" name="Kolonna14578"/>
    <tableColumn id="14917" xr3:uid="{311F8086-0181-46C5-A4F6-6853C017C049}" name="Kolonna14579"/>
    <tableColumn id="14918" xr3:uid="{9311C80A-898A-4585-9369-2814DCD7FF28}" name="Kolonna14580"/>
    <tableColumn id="14919" xr3:uid="{B779BE8A-A325-45A5-BAB6-B126B9C7545F}" name="Kolonna14581"/>
    <tableColumn id="14920" xr3:uid="{4A442B7E-32D5-4292-8CE6-8B543EA7DA4A}" name="Kolonna14582"/>
    <tableColumn id="14921" xr3:uid="{2EACBE59-8212-42CD-96BC-9FF12D10202C}" name="Kolonna14583"/>
    <tableColumn id="14922" xr3:uid="{6A4E7AD7-F123-4BDC-9377-B6AAE3C4106A}" name="Kolonna14584"/>
    <tableColumn id="14923" xr3:uid="{F6892F22-9547-4659-9805-73878C4993AE}" name="Kolonna14585"/>
    <tableColumn id="14924" xr3:uid="{F06FA505-C306-4295-AD20-83F856374B6C}" name="Kolonna14586"/>
    <tableColumn id="14925" xr3:uid="{ACCB058A-1BA4-4716-B105-9BEFC42AC204}" name="Kolonna14587"/>
    <tableColumn id="14926" xr3:uid="{5ABBE526-785D-4594-B42B-D8E7BA5A0575}" name="Kolonna14588"/>
    <tableColumn id="14927" xr3:uid="{C62E5054-D232-4511-AC53-B1FCF2BA9382}" name="Kolonna14589"/>
    <tableColumn id="14928" xr3:uid="{99DDC55A-5885-4933-9867-0F3165925AE8}" name="Kolonna14590"/>
    <tableColumn id="14929" xr3:uid="{320F1EBA-B5D7-45B9-A263-90FE66557774}" name="Kolonna14591"/>
    <tableColumn id="14930" xr3:uid="{AC9F5C55-014D-4993-A420-D20E4CBE0380}" name="Kolonna14592"/>
    <tableColumn id="14931" xr3:uid="{452A4A9C-18C5-4CF1-9D6B-8AAC05C0826F}" name="Kolonna14593"/>
    <tableColumn id="14932" xr3:uid="{A3D8B2CF-0C55-436B-BAAA-2399FA649D4F}" name="Kolonna14594"/>
    <tableColumn id="14933" xr3:uid="{DE3B267E-78A8-4567-B3C6-8B955A04CAA5}" name="Kolonna14595"/>
    <tableColumn id="14934" xr3:uid="{F48903D2-32DF-4F68-9B82-1CA77102A364}" name="Kolonna14596"/>
    <tableColumn id="14935" xr3:uid="{258974A6-5578-47C2-9115-43312B5A9CC9}" name="Kolonna14597"/>
    <tableColumn id="14936" xr3:uid="{ED63F2DD-A67F-45AF-8A08-397D61377034}" name="Kolonna14598"/>
    <tableColumn id="14937" xr3:uid="{A0AEA702-5BFE-4062-88B1-7A130943CA93}" name="Kolonna14599"/>
    <tableColumn id="14938" xr3:uid="{BC1C145F-1A3A-4BA2-9100-8191F60662BB}" name="Kolonna14600"/>
    <tableColumn id="14939" xr3:uid="{1CF01731-05BF-4C18-A2FE-72AC1F8B5364}" name="Kolonna14601"/>
    <tableColumn id="14940" xr3:uid="{7A274305-E04A-4A7F-ABFF-938911EF5498}" name="Kolonna14602"/>
    <tableColumn id="14941" xr3:uid="{86767018-2734-4BB9-B650-4260EDF8522F}" name="Kolonna14603"/>
    <tableColumn id="14942" xr3:uid="{C5503D01-0AAC-49FF-9ED8-2CC6D05846B6}" name="Kolonna14604"/>
    <tableColumn id="14943" xr3:uid="{DE22CC8F-3531-4164-9FBE-2EC5702989A8}" name="Kolonna14605"/>
    <tableColumn id="14944" xr3:uid="{1D02F496-9D83-4E08-8947-4756822C46A3}" name="Kolonna14606"/>
    <tableColumn id="14945" xr3:uid="{EE28289B-7796-4E9D-8BA6-F45DE9C0501F}" name="Kolonna14607"/>
    <tableColumn id="14946" xr3:uid="{A11210FC-6F5F-4152-8927-28C14888CC09}" name="Kolonna14608"/>
    <tableColumn id="14947" xr3:uid="{D1AC396F-601A-4EAC-83D9-4E920C97C569}" name="Kolonna14609"/>
    <tableColumn id="14948" xr3:uid="{930E467A-B1F5-4CA0-AC44-9FDF32320EC3}" name="Kolonna14610"/>
    <tableColumn id="14949" xr3:uid="{A00C5A50-7A7C-4775-86B1-155C8128E225}" name="Kolonna14611"/>
    <tableColumn id="14950" xr3:uid="{6E82A0D6-D8C0-4DC7-9133-69521DC492C0}" name="Kolonna14612"/>
    <tableColumn id="14951" xr3:uid="{EEA06413-FC79-46CF-89B9-45793C0A51FA}" name="Kolonna14613"/>
    <tableColumn id="14952" xr3:uid="{20FCB248-8D58-423D-9660-980BF0BE7C2E}" name="Kolonna14614"/>
    <tableColumn id="14953" xr3:uid="{066562B8-51C3-4624-A68A-DDBD3268704E}" name="Kolonna14615"/>
    <tableColumn id="14954" xr3:uid="{CEAAF8D8-2CD7-4208-8091-D8B8E43B2F58}" name="Kolonna14616"/>
    <tableColumn id="14955" xr3:uid="{C7858C01-0392-46FE-AD27-C3CAD2F85A37}" name="Kolonna14617"/>
    <tableColumn id="14956" xr3:uid="{2ACB8662-B2FE-4F0F-9385-485566BABB57}" name="Kolonna14618"/>
    <tableColumn id="14957" xr3:uid="{70D8736B-6677-41FA-8C0F-40D642231C87}" name="Kolonna14619"/>
    <tableColumn id="14958" xr3:uid="{A9E5B9EF-D73B-4D78-B845-6DDA2DA7B3EE}" name="Kolonna14620"/>
    <tableColumn id="14959" xr3:uid="{B712066B-9052-4194-86A1-1DDBD62737B3}" name="Kolonna14621"/>
    <tableColumn id="14960" xr3:uid="{6EBB8D26-B7F9-4A96-B887-E34DE37FD73C}" name="Kolonna14622"/>
    <tableColumn id="14961" xr3:uid="{419E750A-71D3-4D8A-B2C9-B34569B01AE2}" name="Kolonna14623"/>
    <tableColumn id="14962" xr3:uid="{32E5659F-B199-473D-8CE4-2F7B4EE671AD}" name="Kolonna14624"/>
    <tableColumn id="14963" xr3:uid="{2AF234AB-3FD2-441C-9B94-54BBB5CE1293}" name="Kolonna14625"/>
    <tableColumn id="14964" xr3:uid="{55F15A44-0824-4FD9-971F-28A868F55D12}" name="Kolonna14626"/>
    <tableColumn id="14965" xr3:uid="{1C8C6874-085A-43BD-98B0-55721136CBE7}" name="Kolonna14627"/>
    <tableColumn id="14966" xr3:uid="{5FAA6A0D-D9B1-43FC-A173-C9507B92C005}" name="Kolonna14628"/>
    <tableColumn id="14967" xr3:uid="{1A01C3B9-6BFE-4F1E-8591-E4D8BCC4AA2D}" name="Kolonna14629"/>
    <tableColumn id="14968" xr3:uid="{12B14544-3655-4184-AC69-36687C6F564F}" name="Kolonna14630"/>
    <tableColumn id="14969" xr3:uid="{6A25217B-7BB4-4040-8C60-DAC6B79A03EB}" name="Kolonna14631"/>
    <tableColumn id="14970" xr3:uid="{43632D2A-571D-4007-A834-5230AA368D9D}" name="Kolonna14632"/>
    <tableColumn id="14971" xr3:uid="{7BC6511F-631A-46AA-95FF-DDAB18BD03A5}" name="Kolonna14633"/>
    <tableColumn id="14972" xr3:uid="{624669FD-F134-4B53-9C91-56C434B88BBD}" name="Kolonna14634"/>
    <tableColumn id="14973" xr3:uid="{A9A902CA-586E-4524-A772-DA7A26360558}" name="Kolonna14635"/>
    <tableColumn id="14974" xr3:uid="{1242AE73-56D7-4F23-A83A-5A1E818C9CCD}" name="Kolonna14636"/>
    <tableColumn id="14975" xr3:uid="{D2DE786C-6335-4A08-89C5-20AF1CFB2EBD}" name="Kolonna14637"/>
    <tableColumn id="14976" xr3:uid="{3FBEB356-F858-487F-8175-2CFD9172E4B1}" name="Kolonna14638"/>
    <tableColumn id="14977" xr3:uid="{D0FE0D2F-3BFE-4DB6-8D6B-708246CBC83F}" name="Kolonna14639"/>
    <tableColumn id="14978" xr3:uid="{4FED2C43-46AC-498B-AB8A-6DEF500CB99E}" name="Kolonna14640"/>
    <tableColumn id="14979" xr3:uid="{7AAFE7AA-3EE0-4150-9DF7-259676EA17F4}" name="Kolonna14641"/>
    <tableColumn id="14980" xr3:uid="{619D9F6A-698D-4FD2-BDA2-E5C8798F5A54}" name="Kolonna14642"/>
    <tableColumn id="14981" xr3:uid="{E8F28C96-7BE7-4AD1-930E-56315213FD81}" name="Kolonna14643"/>
    <tableColumn id="14982" xr3:uid="{BBA2320C-7389-4EC9-A58E-966C8B7AE1ED}" name="Kolonna14644"/>
    <tableColumn id="14983" xr3:uid="{1513C8A2-596B-4B49-A04E-CADFF406992C}" name="Kolonna14645"/>
    <tableColumn id="14984" xr3:uid="{E708A3B0-C461-444A-8B99-DC54048F44FF}" name="Kolonna14646"/>
    <tableColumn id="14985" xr3:uid="{6C0E1674-D0A9-4012-9C96-9FDEA4E538AB}" name="Kolonna14647"/>
    <tableColumn id="14986" xr3:uid="{1698FEBD-515A-497F-ADEA-4F79B75D2E4E}" name="Kolonna14648"/>
    <tableColumn id="14987" xr3:uid="{EA0F2546-D8B1-44C6-86E1-D5CB1D026B8B}" name="Kolonna14649"/>
    <tableColumn id="14988" xr3:uid="{C540E909-327F-49E4-BA36-078D5F72B612}" name="Kolonna14650"/>
    <tableColumn id="14989" xr3:uid="{29C05A32-391F-4B0D-8C30-A71AB32D4BB1}" name="Kolonna14651"/>
    <tableColumn id="14990" xr3:uid="{92DB4F5D-733D-434D-AB2D-1D04C70F3386}" name="Kolonna14652"/>
    <tableColumn id="14991" xr3:uid="{1A35631F-2EE7-4241-BC54-91E4EEF0263A}" name="Kolonna14653"/>
    <tableColumn id="14992" xr3:uid="{18FE0E3D-9355-41C6-B9BB-9D76C9CD1605}" name="Kolonna14654"/>
    <tableColumn id="14993" xr3:uid="{CBD41E68-F2E9-418A-957F-4769D5EA595F}" name="Kolonna14655"/>
    <tableColumn id="14994" xr3:uid="{ACD83647-1D5F-4BA0-8A9E-3EFC8ACC852E}" name="Kolonna14656"/>
    <tableColumn id="14995" xr3:uid="{4A365308-9A82-4E87-AD4B-DAB2A09C2B6C}" name="Kolonna14657"/>
    <tableColumn id="14996" xr3:uid="{66137213-29CA-4F96-BEDA-490F2FC2F861}" name="Kolonna14658"/>
    <tableColumn id="14997" xr3:uid="{9DF2B5AD-5F99-4BCC-87B5-11CCD52185C9}" name="Kolonna14659"/>
    <tableColumn id="14998" xr3:uid="{6C2C7E3E-3F11-413F-8F15-E8BCF29656E8}" name="Kolonna14660"/>
    <tableColumn id="14999" xr3:uid="{C787A40A-0D51-45BD-A41B-666F788F93EB}" name="Kolonna14661"/>
    <tableColumn id="15000" xr3:uid="{4C3CA9F2-EB4E-4BB7-A583-EC1A87FCF0C9}" name="Kolonna14662"/>
    <tableColumn id="15001" xr3:uid="{C9B10B39-33D8-45AF-A976-B6EA1DD60431}" name="Kolonna14663"/>
    <tableColumn id="15002" xr3:uid="{D2328D23-DFF9-444C-8CF0-CE065D7AA090}" name="Kolonna14664"/>
    <tableColumn id="15003" xr3:uid="{76666D6F-E5E0-4289-A0C5-869898C2D4C5}" name="Kolonna14665"/>
    <tableColumn id="15004" xr3:uid="{7F384F87-BB96-4DFE-A5F6-E2A1E046E0A0}" name="Kolonna14666"/>
    <tableColumn id="15005" xr3:uid="{6406B885-D565-42A7-9893-C01182B069E7}" name="Kolonna14667"/>
    <tableColumn id="15006" xr3:uid="{64D87B43-0626-445B-BD84-CD5BB13E865F}" name="Kolonna14668"/>
    <tableColumn id="15007" xr3:uid="{7C5B7AA5-DDCD-4B1F-9D24-3CB5688A7845}" name="Kolonna14669"/>
    <tableColumn id="15008" xr3:uid="{5DD51D94-7217-4331-845C-9FAB362ABF5F}" name="Kolonna14670"/>
    <tableColumn id="15009" xr3:uid="{B57C422A-3DE8-4E2B-B136-B666251C0BAE}" name="Kolonna14671"/>
    <tableColumn id="15010" xr3:uid="{6F361657-B191-4C44-92B2-3F915D89B701}" name="Kolonna14672"/>
    <tableColumn id="15011" xr3:uid="{F23B4B78-205B-427D-A60B-3FDA2CFEEA23}" name="Kolonna14673"/>
    <tableColumn id="15012" xr3:uid="{EA0C55D5-3487-413A-92F7-8EBA23E7C3C5}" name="Kolonna14674"/>
    <tableColumn id="15013" xr3:uid="{DBD9D575-E3EE-40A4-925F-E88542F778AF}" name="Kolonna14675"/>
    <tableColumn id="15014" xr3:uid="{E636FCDF-FE37-449F-8B15-A479874DE9A8}" name="Kolonna14676"/>
    <tableColumn id="15015" xr3:uid="{69E9528E-7412-4050-BAFD-33AD77877ADC}" name="Kolonna14677"/>
    <tableColumn id="15016" xr3:uid="{BC83EC9D-14CC-469F-B09E-71D1726514C5}" name="Kolonna14678"/>
    <tableColumn id="15017" xr3:uid="{E4ED4A53-EF36-45EF-9112-7D910371DD28}" name="Kolonna14679"/>
    <tableColumn id="15018" xr3:uid="{8B272652-5877-4CD2-BE7E-7A90B1CFF05D}" name="Kolonna14680"/>
    <tableColumn id="15019" xr3:uid="{DD169809-8282-4676-B88B-4AF062636A44}" name="Kolonna14681"/>
    <tableColumn id="15020" xr3:uid="{D536EAAB-E601-4F1B-997E-83FD2CDD2ABB}" name="Kolonna14682"/>
    <tableColumn id="15021" xr3:uid="{824DF74D-4860-497F-95EC-B91C57E889E1}" name="Kolonna14683"/>
    <tableColumn id="15022" xr3:uid="{07B550CB-78B1-4CAA-997F-ADE936598516}" name="Kolonna14684"/>
    <tableColumn id="15023" xr3:uid="{E6F7E066-F937-42C7-B02C-D31C2A19310D}" name="Kolonna14685"/>
    <tableColumn id="15024" xr3:uid="{0C1E58E7-CFC1-422B-8A2C-33AABE6D0D6A}" name="Kolonna14686"/>
    <tableColumn id="15025" xr3:uid="{6124D8FF-51AE-4E28-8351-B3A08394A1BF}" name="Kolonna14687"/>
    <tableColumn id="15026" xr3:uid="{86C6DCCF-9579-4EE7-876C-FBAFB24B582A}" name="Kolonna14688"/>
    <tableColumn id="15027" xr3:uid="{A0215BF8-74C9-4EFA-876E-C30CE5DF5BE5}" name="Kolonna14689"/>
    <tableColumn id="15028" xr3:uid="{1B481AF7-B65F-415D-80BF-5244B883D155}" name="Kolonna14690"/>
    <tableColumn id="15029" xr3:uid="{81FB220D-D72C-4B2D-9045-B0C14BA8E795}" name="Kolonna14691"/>
    <tableColumn id="15030" xr3:uid="{E359C870-3EEA-4D88-A5FF-3386AC6DDFE0}" name="Kolonna14692"/>
    <tableColumn id="15031" xr3:uid="{9D7C85EC-D8DA-4AA3-8DAE-B2CD38C071C4}" name="Kolonna14693"/>
    <tableColumn id="15032" xr3:uid="{0EDBA18D-40F2-4514-837D-88909F5C5CB8}" name="Kolonna14694"/>
    <tableColumn id="15033" xr3:uid="{DC0CF6D0-231F-452E-AAFB-110D1C23D8D2}" name="Kolonna14695"/>
    <tableColumn id="15034" xr3:uid="{E43F3817-5406-43C8-A2DA-9B6409DC548C}" name="Kolonna14696"/>
    <tableColumn id="15035" xr3:uid="{C4648527-3F9D-4B0C-8CF7-8A650A90BC04}" name="Kolonna14697"/>
    <tableColumn id="15036" xr3:uid="{8FC1668A-D590-4253-BB11-9DDF884694E1}" name="Kolonna14698"/>
    <tableColumn id="15037" xr3:uid="{A4A13E20-C02E-49EA-9A60-4DFFD44F3C31}" name="Kolonna14699"/>
    <tableColumn id="15038" xr3:uid="{0027EF09-8C20-4FBE-8118-B1A8E6742A38}" name="Kolonna14700"/>
    <tableColumn id="15039" xr3:uid="{379C6D9F-28DE-42DD-8A17-1DC9AD824ACD}" name="Kolonna14701"/>
    <tableColumn id="15040" xr3:uid="{4BBBA02E-9E14-4524-A3C5-BC29ECE1321D}" name="Kolonna14702"/>
    <tableColumn id="15041" xr3:uid="{CF872605-6FBE-4B76-8CC5-66CCD8C50BB2}" name="Kolonna14703"/>
    <tableColumn id="15042" xr3:uid="{F91323AB-DF2F-4E51-AFF5-A6CCC04C7D2D}" name="Kolonna14704"/>
    <tableColumn id="15043" xr3:uid="{DE3FE7D5-4336-410D-BCEF-A621AD428FA1}" name="Kolonna14705"/>
    <tableColumn id="15044" xr3:uid="{01A4136B-B388-4AEE-9D60-8BCB7F407CE0}" name="Kolonna14706"/>
    <tableColumn id="15045" xr3:uid="{040995C3-9EEE-4D7F-A9C8-753ED64EAB5B}" name="Kolonna14707"/>
    <tableColumn id="15046" xr3:uid="{3AB36550-8E4D-4A17-9B9F-C4CE546251A2}" name="Kolonna14708"/>
    <tableColumn id="15047" xr3:uid="{7075BE1D-8370-4798-BFDC-A4F89AAE0CCA}" name="Kolonna14709"/>
    <tableColumn id="15048" xr3:uid="{DDE4914B-CA10-4411-BA3B-A78AEC7DAB45}" name="Kolonna14710"/>
    <tableColumn id="15049" xr3:uid="{527C5A10-69F2-4E5E-B136-20D5B3103316}" name="Kolonna14711"/>
    <tableColumn id="15050" xr3:uid="{3A3FF2D1-DBD3-45B8-86E2-5C9D0CCBC439}" name="Kolonna14712"/>
    <tableColumn id="15051" xr3:uid="{B3657B7D-CCBA-4774-AC38-E554B51139B6}" name="Kolonna14713"/>
    <tableColumn id="15052" xr3:uid="{0EC0C07F-5779-4E8C-BA92-2C2A9E88BC9F}" name="Kolonna14714"/>
    <tableColumn id="15053" xr3:uid="{54BB9E69-261A-4BA7-84FA-6C323566BE13}" name="Kolonna14715"/>
    <tableColumn id="15054" xr3:uid="{390F578D-4866-4FB9-B349-BCBEE924BD66}" name="Kolonna14716"/>
    <tableColumn id="15055" xr3:uid="{2D2759E7-95CA-471D-AB3E-E130BC355628}" name="Kolonna14717"/>
    <tableColumn id="15056" xr3:uid="{BDE91FB8-FE69-4730-A2B1-2BDF37A302D5}" name="Kolonna14718"/>
    <tableColumn id="15057" xr3:uid="{9B9EC9A8-923F-4405-A97F-41B1F13A95F2}" name="Kolonna14719"/>
    <tableColumn id="15058" xr3:uid="{EDF79C3A-DA33-49FE-B8F2-736B7F42C02F}" name="Kolonna14720"/>
    <tableColumn id="15059" xr3:uid="{39D1DF30-C65E-434E-B89C-A0C62E2CCDD1}" name="Kolonna14721"/>
    <tableColumn id="15060" xr3:uid="{AB6F6283-881B-4F78-BB01-E3247C6BE15D}" name="Kolonna14722"/>
    <tableColumn id="15061" xr3:uid="{6643A504-CC9C-4070-A31D-6090A7765B59}" name="Kolonna14723"/>
    <tableColumn id="15062" xr3:uid="{6EDEDEED-8727-4E0A-90D5-B51E8660B239}" name="Kolonna14724"/>
    <tableColumn id="15063" xr3:uid="{35165710-4B7F-470E-BAA6-A8E1E3ADB770}" name="Kolonna14725"/>
    <tableColumn id="15064" xr3:uid="{260459D5-7343-4BCA-A186-C9A124270021}" name="Kolonna14726"/>
    <tableColumn id="15065" xr3:uid="{A972DC83-24CD-4BDD-8EF5-4C2518D8A704}" name="Kolonna14727"/>
    <tableColumn id="15066" xr3:uid="{C7513820-A987-4663-B616-0EB9B2499F7F}" name="Kolonna14728"/>
    <tableColumn id="15067" xr3:uid="{8EE77DA2-E8E6-4C07-9732-AF790B51E4F0}" name="Kolonna14729"/>
    <tableColumn id="15068" xr3:uid="{B37E011C-159A-4819-9D6F-FDB59016C4D4}" name="Kolonna14730"/>
    <tableColumn id="15069" xr3:uid="{D76FE963-5D6C-49FD-A64A-A39B67A34170}" name="Kolonna14731"/>
    <tableColumn id="15070" xr3:uid="{155084B0-F638-4419-9378-9C6DDA4E09DF}" name="Kolonna14732"/>
    <tableColumn id="15071" xr3:uid="{6B6C6E95-937E-4C54-BECB-631718246DA0}" name="Kolonna14733"/>
    <tableColumn id="15072" xr3:uid="{3AF1B214-9FA0-47D0-A949-4487665FD853}" name="Kolonna14734"/>
    <tableColumn id="15073" xr3:uid="{4720E01A-D43E-4DDF-9AE9-5D612D2AFD31}" name="Kolonna14735"/>
    <tableColumn id="15074" xr3:uid="{F9F2278A-E76F-4198-89EB-1F0F4AFF9B1F}" name="Kolonna14736"/>
    <tableColumn id="15075" xr3:uid="{5498DF5F-12A9-4B8C-83B4-9BDA31D8DAA6}" name="Kolonna14737"/>
    <tableColumn id="15076" xr3:uid="{438EA34F-F2C0-4748-8E98-B0B0B41AF666}" name="Kolonna14738"/>
    <tableColumn id="15077" xr3:uid="{6C7ECBDB-7461-469A-88AC-B99A5B3486F1}" name="Kolonna14739"/>
    <tableColumn id="15078" xr3:uid="{2367E404-4D41-4786-8175-437BA30C30E3}" name="Kolonna14740"/>
    <tableColumn id="15079" xr3:uid="{3E867912-DC85-4616-9DC1-B7C9F71D6B0A}" name="Kolonna14741"/>
    <tableColumn id="15080" xr3:uid="{91ADAF4C-5880-4B70-B53A-BA63B913D786}" name="Kolonna14742"/>
    <tableColumn id="15081" xr3:uid="{046483F1-BEE0-42A6-A53D-59D71537CDA9}" name="Kolonna14743"/>
    <tableColumn id="15082" xr3:uid="{33088FC0-1842-4C8B-A131-6335C1E238D7}" name="Kolonna14744"/>
    <tableColumn id="15083" xr3:uid="{22932574-39EE-4421-BE91-48C6EA5C656B}" name="Kolonna14745"/>
    <tableColumn id="15084" xr3:uid="{4240B7C7-AAB5-46D6-A681-C3F5B2CE81E6}" name="Kolonna14746"/>
    <tableColumn id="15085" xr3:uid="{F3122C55-424C-4C20-B54A-C7937472E9E4}" name="Kolonna14747"/>
    <tableColumn id="15086" xr3:uid="{E2E52672-91F2-47DE-93BB-CD1F900A861C}" name="Kolonna14748"/>
    <tableColumn id="15087" xr3:uid="{B09DC24D-22F5-4F3F-A1A0-B6C530932189}" name="Kolonna14749"/>
    <tableColumn id="15088" xr3:uid="{A747543B-5560-4D5F-8D5F-74C6D124DA22}" name="Kolonna14750"/>
    <tableColumn id="15089" xr3:uid="{A021F3DC-88B8-4C54-81F4-B26A455AC017}" name="Kolonna14751"/>
    <tableColumn id="15090" xr3:uid="{331C23AC-AC59-42D2-8857-2DC47FBB515B}" name="Kolonna14752"/>
    <tableColumn id="15091" xr3:uid="{6887DE82-436C-4F61-9F94-71D238E1B15A}" name="Kolonna14753"/>
    <tableColumn id="15092" xr3:uid="{CF4586B6-4016-4608-BE9F-B56E21370E07}" name="Kolonna14754"/>
    <tableColumn id="15093" xr3:uid="{AD148D73-2774-401B-9ED2-662A80B6034E}" name="Kolonna14755"/>
    <tableColumn id="15094" xr3:uid="{3CC3FF16-70B2-47A3-A46B-B3380C868C34}" name="Kolonna14756"/>
    <tableColumn id="15095" xr3:uid="{2B3A74D0-7CB2-4EEC-BFBA-CD92D04DB9E4}" name="Kolonna14757"/>
    <tableColumn id="15096" xr3:uid="{CD626DBE-00C1-43CA-A071-7393ACBF03C8}" name="Kolonna14758"/>
    <tableColumn id="15097" xr3:uid="{0E79CD97-3856-48A5-AB70-55DA982F4E76}" name="Kolonna14759"/>
    <tableColumn id="15098" xr3:uid="{1A406697-AF39-4A8A-8F73-55C4EB432054}" name="Kolonna14760"/>
    <tableColumn id="15099" xr3:uid="{1DB5174B-A631-4EAF-9311-E80E4AB048D0}" name="Kolonna14761"/>
    <tableColumn id="15100" xr3:uid="{4B9E01C2-FE36-450D-BB76-BB37E2810993}" name="Kolonna14762"/>
    <tableColumn id="15101" xr3:uid="{CF21C168-0774-47A7-A60A-C26D5E74F699}" name="Kolonna14763"/>
    <tableColumn id="15102" xr3:uid="{78D902D5-7DCD-4225-9DAB-DBA60FA4D00C}" name="Kolonna14764"/>
    <tableColumn id="15103" xr3:uid="{22036445-14AF-4D1C-B30D-F636C60FD54E}" name="Kolonna14765"/>
    <tableColumn id="15104" xr3:uid="{51A2FB9C-389E-4ED9-8EAF-D0A9D1FFFF9B}" name="Kolonna14766"/>
    <tableColumn id="15105" xr3:uid="{CDDDA586-4F9E-4F16-A36C-E58E8C045FB6}" name="Kolonna14767"/>
    <tableColumn id="15106" xr3:uid="{83D9C711-C618-47FF-83EC-9C16E0871A06}" name="Kolonna14768"/>
    <tableColumn id="15107" xr3:uid="{30891136-8A74-4FAA-B4FE-3FA5D88214D7}" name="Kolonna14769"/>
    <tableColumn id="15108" xr3:uid="{B8E24FF5-120A-4235-8551-A659DB5D9B62}" name="Kolonna14770"/>
    <tableColumn id="15109" xr3:uid="{B97974C2-D41D-442A-9E79-08DDE9627B56}" name="Kolonna14771"/>
    <tableColumn id="15110" xr3:uid="{B6932C5D-F5E6-4EAB-AFD7-E97B99F07244}" name="Kolonna14772"/>
    <tableColumn id="15111" xr3:uid="{BF01CE32-3122-473E-A34D-6CB8AFB6F239}" name="Kolonna14773"/>
    <tableColumn id="15112" xr3:uid="{197784FA-A9E3-4415-9C5B-6378DACCAB54}" name="Kolonna14774"/>
    <tableColumn id="15113" xr3:uid="{AD615A8A-2FDC-458A-9979-3D16221787C7}" name="Kolonna14775"/>
    <tableColumn id="15114" xr3:uid="{3A9E4DE9-4DDB-4452-9176-0757EBCF5D6E}" name="Kolonna14776"/>
    <tableColumn id="15115" xr3:uid="{7C315908-91C6-4310-BEA7-E75B9A572E09}" name="Kolonna14777"/>
    <tableColumn id="15116" xr3:uid="{1613B228-A432-484B-AB80-9E67EDF028F6}" name="Kolonna14778"/>
    <tableColumn id="15117" xr3:uid="{F85DC588-D80B-4F21-ACC8-B8F9746AC78C}" name="Kolonna14779"/>
    <tableColumn id="15118" xr3:uid="{A1CE3E87-A75E-42EA-AF02-2EDC4C8CD02C}" name="Kolonna14780"/>
    <tableColumn id="15119" xr3:uid="{93117386-C46D-4BEB-B2EE-1060BE723AB6}" name="Kolonna14781"/>
    <tableColumn id="15120" xr3:uid="{1C1BE3B2-F097-4718-A451-3ECA750AE987}" name="Kolonna14782"/>
    <tableColumn id="15121" xr3:uid="{8CAC84F9-FFC5-4F83-BC24-65C68DE86FA0}" name="Kolonna14783"/>
    <tableColumn id="15122" xr3:uid="{5A641DA3-BFC0-4FDD-867B-47B9829308FA}" name="Kolonna14784"/>
    <tableColumn id="15123" xr3:uid="{AB6459E6-12F6-455F-8DB0-6FB0DBF0D531}" name="Kolonna14785"/>
    <tableColumn id="15124" xr3:uid="{F114FF04-4E13-41D4-8CD4-22C18AFCE8AF}" name="Kolonna14786"/>
    <tableColumn id="15125" xr3:uid="{62B24257-66BC-4482-9AB2-F890ECCD48AF}" name="Kolonna14787"/>
    <tableColumn id="15126" xr3:uid="{3AA6DF81-67AC-4EB0-9C31-1EE470ADBA10}" name="Kolonna14788"/>
    <tableColumn id="15127" xr3:uid="{3AAC3FF2-D99A-4B88-B0C7-CE6E5D169A21}" name="Kolonna14789"/>
    <tableColumn id="15128" xr3:uid="{5A71DF48-94EF-4E8C-887B-53BC25180053}" name="Kolonna14790"/>
    <tableColumn id="15129" xr3:uid="{C1B50E71-DD44-43A0-BB95-200B0B8F2625}" name="Kolonna14791"/>
    <tableColumn id="15130" xr3:uid="{B2054C3B-2B80-4F8B-ADE9-CF381B85E30C}" name="Kolonna14792"/>
    <tableColumn id="15131" xr3:uid="{2C9F52BC-3907-4379-82DF-07FA60578000}" name="Kolonna14793"/>
    <tableColumn id="15132" xr3:uid="{253A928F-5B52-4050-B74A-A2E225153B00}" name="Kolonna14794"/>
    <tableColumn id="15133" xr3:uid="{80FDF329-4224-45E0-AC2A-9517F1741374}" name="Kolonna14795"/>
    <tableColumn id="15134" xr3:uid="{984CE5C2-A531-4F3C-A057-58E8380EB138}" name="Kolonna14796"/>
    <tableColumn id="15135" xr3:uid="{9DB2BE67-D95A-405C-A98B-ECB7388843A6}" name="Kolonna14797"/>
    <tableColumn id="15136" xr3:uid="{EB9339A7-05C2-40AB-83F0-A9825AF05E01}" name="Kolonna14798"/>
    <tableColumn id="15137" xr3:uid="{A8B75082-8BD8-4D33-835E-144F132DB60F}" name="Kolonna14799"/>
    <tableColumn id="15138" xr3:uid="{C7C8BA6E-14F8-4288-8315-94C52270BFBC}" name="Kolonna14800"/>
    <tableColumn id="15139" xr3:uid="{FCC1EE1F-2EFB-4E5B-9D84-8769B20AD84F}" name="Kolonna14801"/>
    <tableColumn id="15140" xr3:uid="{2E2E8643-AB6C-47A6-9BCD-5F4D84D2C268}" name="Kolonna14802"/>
    <tableColumn id="15141" xr3:uid="{15109347-CBC2-43A7-9D52-2DACD9CE4ADE}" name="Kolonna14803"/>
    <tableColumn id="15142" xr3:uid="{71B25AEB-3BE9-4487-842B-9A41BCC7B517}" name="Kolonna14804"/>
    <tableColumn id="15143" xr3:uid="{FA086F18-6997-4B00-AD6D-51A138E7BF45}" name="Kolonna14805"/>
    <tableColumn id="15144" xr3:uid="{7E293158-8BF7-45D8-B3AB-A15C7EEB3811}" name="Kolonna14806"/>
    <tableColumn id="15145" xr3:uid="{4C2A37DD-FF70-42AD-B5EE-8DCDCD198A1E}" name="Kolonna14807"/>
    <tableColumn id="15146" xr3:uid="{355699A8-7EE5-43EA-9C39-5BEC7A05FC60}" name="Kolonna14808"/>
    <tableColumn id="15147" xr3:uid="{C9066DF7-A96D-4D18-951B-27EFEDC06F48}" name="Kolonna14809"/>
    <tableColumn id="15148" xr3:uid="{2CE4F85F-359E-49A2-A0D1-832EDE1B3CD9}" name="Kolonna14810"/>
    <tableColumn id="15149" xr3:uid="{85CEDEB5-E11A-4980-98AF-9E5FD4AE5611}" name="Kolonna14811"/>
    <tableColumn id="15150" xr3:uid="{3E247FA4-5048-44FA-871E-FD5D08052C56}" name="Kolonna14812"/>
    <tableColumn id="15151" xr3:uid="{A0760DA7-D118-44C9-93BB-24ACC8A67DEB}" name="Kolonna14813"/>
    <tableColumn id="15152" xr3:uid="{D62BD51A-F6C2-460D-B96D-C8BCEC0108D0}" name="Kolonna14814"/>
    <tableColumn id="15153" xr3:uid="{E212FC9A-24FB-4659-B5CF-B68CDF3B0BFD}" name="Kolonna14815"/>
    <tableColumn id="15154" xr3:uid="{5AF0BA3E-E1D5-4524-9D26-736C3F50AB5B}" name="Kolonna14816"/>
    <tableColumn id="15155" xr3:uid="{EEEA8BD1-6A37-41BE-BDBC-D2C3706AE1D5}" name="Kolonna14817"/>
    <tableColumn id="15156" xr3:uid="{E7A7810B-E8E8-454C-93B4-F9E93E78C901}" name="Kolonna14818"/>
    <tableColumn id="15157" xr3:uid="{674EBAF8-3DCC-4A3E-9888-A7E9B77F15DF}" name="Kolonna14819"/>
    <tableColumn id="15158" xr3:uid="{BD20BA6F-4CEA-4249-B21C-37553C6AEB64}" name="Kolonna14820"/>
    <tableColumn id="15159" xr3:uid="{E423D714-89A3-4A7A-80A2-70536836CE82}" name="Kolonna14821"/>
    <tableColumn id="15160" xr3:uid="{50412772-7F72-42CA-B149-B591B7A5AD26}" name="Kolonna14822"/>
    <tableColumn id="15161" xr3:uid="{67545B4D-3012-4B0C-A87B-1107A4619969}" name="Kolonna14823"/>
    <tableColumn id="15162" xr3:uid="{47144131-7F61-46BB-8A24-3DCF1C76D0B9}" name="Kolonna14824"/>
    <tableColumn id="15163" xr3:uid="{544C0708-9F87-4AE2-B758-CD462FC74F78}" name="Kolonna14825"/>
    <tableColumn id="15164" xr3:uid="{B0027CE5-31D7-452F-BF6F-D888DB6A4763}" name="Kolonna14826"/>
    <tableColumn id="15165" xr3:uid="{0F9A7C0E-7FC8-4B47-913F-B384E2F1FC8B}" name="Kolonna14827"/>
    <tableColumn id="15166" xr3:uid="{A1506EB2-36BE-40D0-86A2-DD51B1C14D49}" name="Kolonna14828"/>
    <tableColumn id="15167" xr3:uid="{283FC746-A2B5-425D-9F34-B3F0F3BB1219}" name="Kolonna14829"/>
    <tableColumn id="15168" xr3:uid="{F433D2BB-7270-4FF7-AC75-E8A8D7075C18}" name="Kolonna14830"/>
    <tableColumn id="15169" xr3:uid="{C7941422-5962-46A6-B9D3-2FE7DDE4EED6}" name="Kolonna14831"/>
    <tableColumn id="15170" xr3:uid="{CE2B45CF-3907-465D-B686-673010C39122}" name="Kolonna14832"/>
    <tableColumn id="15171" xr3:uid="{76500978-120E-4D0B-8566-4B77DAAB20CB}" name="Kolonna14833"/>
    <tableColumn id="15172" xr3:uid="{F12649DA-536B-45C2-971C-A835ADC9AA06}" name="Kolonna14834"/>
    <tableColumn id="15173" xr3:uid="{3CCB1C85-086F-4E53-AA89-0051880C6810}" name="Kolonna14835"/>
    <tableColumn id="15174" xr3:uid="{81FBD85B-DA1D-4EDD-B6E1-BBF1EA64A50B}" name="Kolonna14836"/>
    <tableColumn id="15175" xr3:uid="{FDEABE79-7CEE-43E3-A8EB-43C38004B694}" name="Kolonna14837"/>
    <tableColumn id="15176" xr3:uid="{3DED15C1-6AB7-4B53-AB4A-26B24BA17E89}" name="Kolonna14838"/>
    <tableColumn id="15177" xr3:uid="{F1A89C36-8540-4540-B685-7B9815670B28}" name="Kolonna14839"/>
    <tableColumn id="15178" xr3:uid="{EF28FC9A-FA14-49ED-8A52-E29EF8A62302}" name="Kolonna14840"/>
    <tableColumn id="15179" xr3:uid="{8B53A5F2-0241-493D-9DB2-0F059B7565F6}" name="Kolonna14841"/>
    <tableColumn id="15180" xr3:uid="{929BD9A1-31AB-4F32-A79B-35DF54BD4151}" name="Kolonna14842"/>
    <tableColumn id="15181" xr3:uid="{6ACB717F-1D67-483A-83BC-68D5307E35ED}" name="Kolonna14843"/>
    <tableColumn id="15182" xr3:uid="{EABECA03-3D15-4A39-B8BB-C84E9C1ABFAE}" name="Kolonna14844"/>
    <tableColumn id="15183" xr3:uid="{3D5AD477-58A3-49A8-A7DA-FE8614E81661}" name="Kolonna14845"/>
    <tableColumn id="15184" xr3:uid="{51E5CE70-C974-439A-9787-58AAE8D0B57F}" name="Kolonna14846"/>
    <tableColumn id="15185" xr3:uid="{4B6A3B78-062E-40EA-8F1F-80237B586BD1}" name="Kolonna14847"/>
    <tableColumn id="15186" xr3:uid="{14C8C763-60DE-4A57-974A-B93EF9FE9919}" name="Kolonna14848"/>
    <tableColumn id="15187" xr3:uid="{582BAC7F-7022-438F-9B79-FB78B40196F4}" name="Kolonna14849"/>
    <tableColumn id="15188" xr3:uid="{2651CF8F-A0EB-47E4-814F-C9B7E82D3BDE}" name="Kolonna14850"/>
    <tableColumn id="15189" xr3:uid="{56EE2D04-A057-4821-AD06-FB6418813E59}" name="Kolonna14851"/>
    <tableColumn id="15190" xr3:uid="{F742C4F8-DF95-4105-A8AA-9817FAA8B260}" name="Kolonna14852"/>
    <tableColumn id="15191" xr3:uid="{CCFD99EB-1F5D-4342-B0D4-AC0909F2C602}" name="Kolonna14853"/>
    <tableColumn id="15192" xr3:uid="{A3AB7964-CFD6-47C3-9BA8-E0F2491AC896}" name="Kolonna14854"/>
    <tableColumn id="15193" xr3:uid="{DB84D251-7A44-485C-9645-76BC15FBBBCB}" name="Kolonna14855"/>
    <tableColumn id="15194" xr3:uid="{D53B74A1-2EF9-46B6-83E2-7F9FBF71D609}" name="Kolonna14856"/>
    <tableColumn id="15195" xr3:uid="{77E66C48-CFEC-49C5-942F-7E894B5CB0E0}" name="Kolonna14857"/>
    <tableColumn id="15196" xr3:uid="{DC693EB5-CFF8-40AE-AEA3-698E5A9AED12}" name="Kolonna14858"/>
    <tableColumn id="15197" xr3:uid="{96AD9BD7-5486-4B39-B973-A8110BB381D4}" name="Kolonna14859"/>
    <tableColumn id="15198" xr3:uid="{7D89061B-C559-4434-8128-16377EF14615}" name="Kolonna14860"/>
    <tableColumn id="15199" xr3:uid="{8B90C25E-D26C-4EC2-A014-5D9FACF404EE}" name="Kolonna14861"/>
    <tableColumn id="15200" xr3:uid="{7464E417-37A4-4FAD-A54B-EB4DC5744EDA}" name="Kolonna14862"/>
    <tableColumn id="15201" xr3:uid="{DE3420FC-707E-438D-AAEB-DB9686E35E27}" name="Kolonna14863"/>
    <tableColumn id="15202" xr3:uid="{B9D1059A-3B07-42D2-ABFA-59D3E0CD0048}" name="Kolonna14864"/>
    <tableColumn id="15203" xr3:uid="{9190F541-B32D-43E5-B40D-8CE3F5700B9F}" name="Kolonna14865"/>
    <tableColumn id="15204" xr3:uid="{F1BDD86F-D14B-4FF6-B6A6-494C723F1E7A}" name="Kolonna14866"/>
    <tableColumn id="15205" xr3:uid="{7B811388-E9B4-4904-A760-C8A7C03E08D9}" name="Kolonna14867"/>
    <tableColumn id="15206" xr3:uid="{972FF8B6-5256-4DFC-8366-D716C519CD30}" name="Kolonna14868"/>
    <tableColumn id="15207" xr3:uid="{3B2B1DC3-18CA-42E2-B948-C4DBEAE0FBB7}" name="Kolonna14869"/>
    <tableColumn id="15208" xr3:uid="{2EAFE5E5-79DA-4ACC-8411-0C6C9311D6E5}" name="Kolonna14870"/>
    <tableColumn id="15209" xr3:uid="{DFE8B5DD-6F1C-43B6-953F-BC6C4973D129}" name="Kolonna14871"/>
    <tableColumn id="15210" xr3:uid="{EDA9FFB7-D46A-463C-8B1A-601A9CFC704F}" name="Kolonna14872"/>
    <tableColumn id="15211" xr3:uid="{D3C18059-9A72-4B3A-AFF0-36F7181A12F6}" name="Kolonna14873"/>
    <tableColumn id="15212" xr3:uid="{F60CA519-A8DB-47B5-9F9C-B9914E17FB08}" name="Kolonna14874"/>
    <tableColumn id="15213" xr3:uid="{BB9D3C72-4B81-475E-A127-BA2C4183ABA0}" name="Kolonna14875"/>
    <tableColumn id="15214" xr3:uid="{84615E7E-461C-4C49-B0BE-D0759A047D37}" name="Kolonna14876"/>
    <tableColumn id="15215" xr3:uid="{E1B2B30A-C7D6-4AD2-B348-4F18B70DC985}" name="Kolonna14877"/>
    <tableColumn id="15216" xr3:uid="{7A0C7C77-9E7E-430F-A7FD-67596F86077E}" name="Kolonna14878"/>
    <tableColumn id="15217" xr3:uid="{0C0FC0BD-42DB-442F-969A-391510E9B1CD}" name="Kolonna14879"/>
    <tableColumn id="15218" xr3:uid="{EDDF5D2B-D217-49C1-87DF-611D90275953}" name="Kolonna14880"/>
    <tableColumn id="15219" xr3:uid="{70CB2399-C7CD-419B-91D8-4999A75F64FA}" name="Kolonna14881"/>
    <tableColumn id="15220" xr3:uid="{C64F0CE2-D4A5-405A-BA60-97943AA15038}" name="Kolonna14882"/>
    <tableColumn id="15221" xr3:uid="{A45025E8-6BCD-4E23-ABD5-17077D37A317}" name="Kolonna14883"/>
    <tableColumn id="15222" xr3:uid="{27578CDC-09BD-499B-B88A-AC8181946402}" name="Kolonna14884"/>
    <tableColumn id="15223" xr3:uid="{90847438-13F9-4894-8071-08E8FDA3092B}" name="Kolonna14885"/>
    <tableColumn id="15224" xr3:uid="{C2719D65-14DE-4514-944B-479CE11AC11C}" name="Kolonna14886"/>
    <tableColumn id="15225" xr3:uid="{3FBAB52E-73CB-4F53-9B3E-9A4CCB99F673}" name="Kolonna14887"/>
    <tableColumn id="15226" xr3:uid="{7C1C4832-7FBA-4209-9EEF-8B53F7516B77}" name="Kolonna14888"/>
    <tableColumn id="15227" xr3:uid="{4A423579-6358-42ED-B194-F9162BBC0BB0}" name="Kolonna14889"/>
    <tableColumn id="15228" xr3:uid="{B3A2AD90-E43D-4F48-96D0-68701B5C359F}" name="Kolonna14890"/>
    <tableColumn id="15229" xr3:uid="{D6D505ED-6CD4-456B-8112-5C90CCF3D8AF}" name="Kolonna14891"/>
    <tableColumn id="15230" xr3:uid="{880CD904-30FB-4A12-97AF-E331EB6407C3}" name="Kolonna14892"/>
    <tableColumn id="15231" xr3:uid="{9AD9AAFD-4FBE-4019-938F-E5BA4F986AA9}" name="Kolonna14893"/>
    <tableColumn id="15232" xr3:uid="{6571FB4C-99F1-4FAD-BEDD-BD607D35DACB}" name="Kolonna14894"/>
    <tableColumn id="15233" xr3:uid="{20B9C504-2B96-4B85-A1C3-903E531F3B1F}" name="Kolonna14895"/>
    <tableColumn id="15234" xr3:uid="{0A3A30FF-D9BF-4AFF-9E26-27B88C0A8EC4}" name="Kolonna14896"/>
    <tableColumn id="15235" xr3:uid="{419D5E3B-4D1E-432E-A5D3-002CC42F0B27}" name="Kolonna14897"/>
    <tableColumn id="15236" xr3:uid="{9B13AC24-9BFF-4ECE-B850-5D77A791613F}" name="Kolonna14898"/>
    <tableColumn id="15237" xr3:uid="{5D29CA7B-AF6E-4E23-A3D3-5634C572A8AF}" name="Kolonna14899"/>
    <tableColumn id="15238" xr3:uid="{0A1AEF6A-953E-488F-852D-847494ABFEFC}" name="Kolonna14900"/>
    <tableColumn id="15239" xr3:uid="{538EEDD5-00A1-4A79-AF1C-9F80DA960AA7}" name="Kolonna14901"/>
    <tableColumn id="15240" xr3:uid="{0EE222BA-967F-42AB-8A31-FE848EA7F4C6}" name="Kolonna14902"/>
    <tableColumn id="15241" xr3:uid="{80DAF9DE-18A8-45C9-8859-7D231BD8D1AD}" name="Kolonna14903"/>
    <tableColumn id="15242" xr3:uid="{A1F9BA9C-C1A1-4F04-BA82-80257BA693CF}" name="Kolonna14904"/>
    <tableColumn id="15243" xr3:uid="{0EB7A118-DF82-4CA6-ABE0-5421A762B611}" name="Kolonna14905"/>
    <tableColumn id="15244" xr3:uid="{66CC0208-2E7D-43E9-8638-22974B9E87FF}" name="Kolonna14906"/>
    <tableColumn id="15245" xr3:uid="{B14ED27C-2A59-47FE-8000-08145A308D80}" name="Kolonna14907"/>
    <tableColumn id="15246" xr3:uid="{F4ECDC44-0BA9-44E4-AB86-BA3739A1A6DA}" name="Kolonna14908"/>
    <tableColumn id="15247" xr3:uid="{E34D142B-DCA9-43A6-A4A2-1FBC56BD5E6A}" name="Kolonna14909"/>
    <tableColumn id="15248" xr3:uid="{0C9CC7A0-EA25-4C52-B347-36670F825D1F}" name="Kolonna14910"/>
    <tableColumn id="15249" xr3:uid="{A18E32BE-2611-4440-A20D-824AE3AC60DB}" name="Kolonna14911"/>
    <tableColumn id="15250" xr3:uid="{30314C60-A778-4A8D-83F9-12F3CB91C1EE}" name="Kolonna14912"/>
    <tableColumn id="15251" xr3:uid="{3EEC31B4-33F6-44F9-B6BF-41814A9959E7}" name="Kolonna14913"/>
    <tableColumn id="15252" xr3:uid="{593941FB-2170-4A60-95CB-7107B65BA858}" name="Kolonna14914"/>
    <tableColumn id="15253" xr3:uid="{682C0C2F-CDFB-4755-800F-731601CAE6AA}" name="Kolonna14915"/>
    <tableColumn id="15254" xr3:uid="{5BFFB5D3-61B5-4397-9F5C-A21884C94AD4}" name="Kolonna14916"/>
    <tableColumn id="15255" xr3:uid="{D0C77404-9A44-4FD2-9D71-D6D8E9095F2A}" name="Kolonna14917"/>
    <tableColumn id="15256" xr3:uid="{CFD10DCE-AB24-4350-8463-DB4DF54AD29F}" name="Kolonna14918"/>
    <tableColumn id="15257" xr3:uid="{5D04BD5A-873B-4459-B7F3-B117F17134C8}" name="Kolonna14919"/>
    <tableColumn id="15258" xr3:uid="{CAE79A41-5A5C-4DE0-9859-435EBB59894D}" name="Kolonna14920"/>
    <tableColumn id="15259" xr3:uid="{1CE34165-AF4E-4074-AA5F-45BD440A88AB}" name="Kolonna14921"/>
    <tableColumn id="15260" xr3:uid="{EAD323F9-5E15-49FB-90F8-EA7DB143B363}" name="Kolonna14922"/>
    <tableColumn id="15261" xr3:uid="{D97E92EE-4987-4C62-9E8C-6C11577DE631}" name="Kolonna14923"/>
    <tableColumn id="15262" xr3:uid="{3409D430-8204-4BE3-BAAE-EE183B345F4E}" name="Kolonna14924"/>
    <tableColumn id="15263" xr3:uid="{C611A46A-D78C-4020-8B21-7A0AF5E27BAF}" name="Kolonna14925"/>
    <tableColumn id="15264" xr3:uid="{E81EF210-21D7-4685-8C44-B9A6CA73115F}" name="Kolonna14926"/>
    <tableColumn id="15265" xr3:uid="{4FE00067-104C-4382-8C15-3A00385D7E77}" name="Kolonna14927"/>
    <tableColumn id="15266" xr3:uid="{1809EFFA-B405-4AF9-84A8-6CEF3477D6F5}" name="Kolonna14928"/>
    <tableColumn id="15267" xr3:uid="{68A3137A-CB1E-4439-890C-26A4B5D4412B}" name="Kolonna14929"/>
    <tableColumn id="15268" xr3:uid="{B8BE41E6-F711-4BA1-AF3B-085AB744A5AA}" name="Kolonna14930"/>
    <tableColumn id="15269" xr3:uid="{5B489578-D0D6-46F9-901D-C15E70283BB3}" name="Kolonna14931"/>
    <tableColumn id="15270" xr3:uid="{2543873A-8E1E-4E26-9EBE-0023411676C7}" name="Kolonna14932"/>
    <tableColumn id="15271" xr3:uid="{38ED3D86-C4F2-4398-ABA4-F9CCD98D95F5}" name="Kolonna14933"/>
    <tableColumn id="15272" xr3:uid="{BF7F2E4C-CA99-4DFC-B4D1-55D5EE986F93}" name="Kolonna14934"/>
    <tableColumn id="15273" xr3:uid="{C6E59B29-F9CC-470C-9C2A-252E140E8FEB}" name="Kolonna14935"/>
    <tableColumn id="15274" xr3:uid="{5E590FEA-9183-494B-8482-9510DD2BEEE5}" name="Kolonna14936"/>
    <tableColumn id="15275" xr3:uid="{891B3DBE-7D37-4BB5-BEDD-98D1896879D8}" name="Kolonna14937"/>
    <tableColumn id="15276" xr3:uid="{EC82155A-D3E1-47D6-827D-BEB1522D593F}" name="Kolonna14938"/>
    <tableColumn id="15277" xr3:uid="{51F9EFC6-34AD-45B4-9BED-1675B52CFAB9}" name="Kolonna14939"/>
    <tableColumn id="15278" xr3:uid="{D25EC452-D889-424C-804A-F0500201A309}" name="Kolonna14940"/>
    <tableColumn id="15279" xr3:uid="{37B2E401-6247-4F1E-A85D-792907544460}" name="Kolonna14941"/>
    <tableColumn id="15280" xr3:uid="{8D4A4189-67E9-41A9-B8B6-ADC55C3A9E91}" name="Kolonna14942"/>
    <tableColumn id="15281" xr3:uid="{9827548B-29A9-48F5-BEC0-DABA65051013}" name="Kolonna14943"/>
    <tableColumn id="15282" xr3:uid="{32D6FF77-CBA7-41C8-AB45-E3BCBD3B505E}" name="Kolonna14944"/>
    <tableColumn id="15283" xr3:uid="{901ED14D-038A-4669-81B7-3F929499A7DC}" name="Kolonna14945"/>
    <tableColumn id="15284" xr3:uid="{E25C5787-B5D5-4334-8146-418D0DE38EDB}" name="Kolonna14946"/>
    <tableColumn id="15285" xr3:uid="{1460714E-DD10-4F65-BF3B-12FEFD4A4E26}" name="Kolonna14947"/>
    <tableColumn id="15286" xr3:uid="{4BD65987-7CD4-4F52-90C9-5B063FB15E64}" name="Kolonna14948"/>
    <tableColumn id="15287" xr3:uid="{882F5845-908F-4B5C-A424-AC6EF6453B16}" name="Kolonna14949"/>
    <tableColumn id="15288" xr3:uid="{494932D8-D5CB-49D7-80E3-8D8F9A9534F9}" name="Kolonna14950"/>
    <tableColumn id="15289" xr3:uid="{9772EEC1-5F8A-4101-A7F5-0FA3E998E63B}" name="Kolonna14951"/>
    <tableColumn id="15290" xr3:uid="{00B61988-DC8B-42D1-9377-838310D9412F}" name="Kolonna14952"/>
    <tableColumn id="15291" xr3:uid="{D331746D-2DA7-45DD-BAD2-961D0E0D1A4C}" name="Kolonna14953"/>
    <tableColumn id="15292" xr3:uid="{8A6A6D6E-98FA-460A-BF96-C19AAF0B1DDF}" name="Kolonna14954"/>
    <tableColumn id="15293" xr3:uid="{937D389B-F02C-4628-AEA1-2FFA6E7BCA17}" name="Kolonna14955"/>
    <tableColumn id="15294" xr3:uid="{91411952-8F17-451F-8FE1-65FEA24CA293}" name="Kolonna14956"/>
    <tableColumn id="15295" xr3:uid="{03E7FC64-7E79-43BE-A22D-A8926D44EE2F}" name="Kolonna14957"/>
    <tableColumn id="15296" xr3:uid="{5813C418-DE2E-4880-99E6-FCD5B34B3E0E}" name="Kolonna14958"/>
    <tableColumn id="15297" xr3:uid="{55017482-7B70-45E4-9C0A-1E1E8EEC61FA}" name="Kolonna14959"/>
    <tableColumn id="15298" xr3:uid="{D43C5704-91C5-43A9-9ACC-EDF006B84C53}" name="Kolonna14960"/>
    <tableColumn id="15299" xr3:uid="{455BCB5D-144C-4E5A-87C0-29D9F48CC854}" name="Kolonna14961"/>
    <tableColumn id="15300" xr3:uid="{52BDD965-CD2B-4703-8F80-5D7B30AF7387}" name="Kolonna14962"/>
    <tableColumn id="15301" xr3:uid="{ED80633D-7A84-46F5-9086-D20C67D3899F}" name="Kolonna14963"/>
    <tableColumn id="15302" xr3:uid="{F6274AB8-779B-4FC9-8CC1-420BB7490A82}" name="Kolonna14964"/>
    <tableColumn id="15303" xr3:uid="{4179CE51-F87B-47C7-8F07-671189481399}" name="Kolonna14965"/>
    <tableColumn id="15304" xr3:uid="{2A773A8D-BF64-46E6-8AA4-4B73E7A53CAD}" name="Kolonna14966"/>
    <tableColumn id="15305" xr3:uid="{380C91E3-530B-4DFD-BC85-7E95164C4334}" name="Kolonna14967"/>
    <tableColumn id="15306" xr3:uid="{28CC937B-396F-499B-A4ED-8712C600CE99}" name="Kolonna14968"/>
    <tableColumn id="15307" xr3:uid="{C33B8C48-A12E-438C-9CD4-62A77BF67798}" name="Kolonna14969"/>
    <tableColumn id="15308" xr3:uid="{198C7324-1F54-426A-9AE2-C1A11F1BDA33}" name="Kolonna14970"/>
    <tableColumn id="15309" xr3:uid="{F700818F-A5C3-48EC-A505-3B85A186FD0D}" name="Kolonna14971"/>
    <tableColumn id="15310" xr3:uid="{4E321B00-22F9-40B0-98BB-F34D21025AEC}" name="Kolonna14972"/>
    <tableColumn id="15311" xr3:uid="{C98BF08B-E718-4E77-9114-3688AB5CDE7C}" name="Kolonna14973"/>
    <tableColumn id="15312" xr3:uid="{115A2306-454D-413F-BA0D-314358658BC3}" name="Kolonna14974"/>
    <tableColumn id="15313" xr3:uid="{0B1ECAAD-E672-4E61-A983-3BB15B63D098}" name="Kolonna14975"/>
    <tableColumn id="15314" xr3:uid="{AC66C125-A3AA-4661-90B0-5BABC1A8C1C5}" name="Kolonna14976"/>
    <tableColumn id="15315" xr3:uid="{43A3857D-8C7E-4AAA-8D75-5E0851C6FEB7}" name="Kolonna14977"/>
    <tableColumn id="15316" xr3:uid="{000BCEC6-5DAB-44F8-88F6-6C0737285772}" name="Kolonna14978"/>
    <tableColumn id="15317" xr3:uid="{06023869-7516-4852-ABF2-EB3CC377DB1A}" name="Kolonna14979"/>
    <tableColumn id="15318" xr3:uid="{5ABE5D57-66B0-40C9-B92C-A0798A334A4C}" name="Kolonna14980"/>
    <tableColumn id="15319" xr3:uid="{18FC21D1-49BB-45F9-9C7C-2721F821C578}" name="Kolonna14981"/>
    <tableColumn id="15320" xr3:uid="{55B3FBEB-A805-4402-BFDA-4E4DC17BA1CF}" name="Kolonna14982"/>
    <tableColumn id="15321" xr3:uid="{7D6E2CE4-F5F6-4864-A726-62F17E1A89F1}" name="Kolonna14983"/>
    <tableColumn id="15322" xr3:uid="{F6260404-9626-4006-9698-247EF8549EEE}" name="Kolonna14984"/>
    <tableColumn id="15323" xr3:uid="{22477088-A756-4B40-A952-4682D14DFE55}" name="Kolonna14985"/>
    <tableColumn id="15324" xr3:uid="{9C885482-964B-45F6-B5EA-DCF45352283A}" name="Kolonna14986"/>
    <tableColumn id="15325" xr3:uid="{8B9661B3-1AEC-418D-A678-09928C862FB5}" name="Kolonna14987"/>
    <tableColumn id="15326" xr3:uid="{66793A5C-8469-4FDF-BD91-C35248DE6B93}" name="Kolonna14988"/>
    <tableColumn id="15327" xr3:uid="{06BDD3E1-6013-4E16-9416-F7E4454F6241}" name="Kolonna14989"/>
    <tableColumn id="15328" xr3:uid="{B62EAA69-3B1A-403A-ABCF-D2A2B9A717FB}" name="Kolonna14990"/>
    <tableColumn id="15329" xr3:uid="{2ECEF6D9-2EA4-4A7F-95A0-3DE0AACC97EE}" name="Kolonna14991"/>
    <tableColumn id="15330" xr3:uid="{1AC3E006-6571-4CBA-88E6-F28935864BA8}" name="Kolonna14992"/>
    <tableColumn id="15331" xr3:uid="{E5D74D80-EF36-4CE9-BDC6-75F441CF86AA}" name="Kolonna14993"/>
    <tableColumn id="15332" xr3:uid="{A815EE94-085C-45BA-9DE3-9253A470C619}" name="Kolonna14994"/>
    <tableColumn id="15333" xr3:uid="{F9E76D49-4321-4E06-958E-06F7CD3C0514}" name="Kolonna14995"/>
    <tableColumn id="15334" xr3:uid="{D06AF2A8-31F5-4049-A1CD-59F9860C17A5}" name="Kolonna14996"/>
    <tableColumn id="15335" xr3:uid="{C3395531-7203-4D6F-AB9B-C7A23E5A0DE5}" name="Kolonna14997"/>
    <tableColumn id="15336" xr3:uid="{E5AC54B1-5DB3-43F1-9F01-8A8F4351B6FE}" name="Kolonna14998"/>
    <tableColumn id="15337" xr3:uid="{4BABA4FE-8FD9-41C6-8EB3-9339B1EA5013}" name="Kolonna14999"/>
    <tableColumn id="15338" xr3:uid="{C7545AFE-6120-49C2-9D69-C34632D346CB}" name="Kolonna15000"/>
    <tableColumn id="15339" xr3:uid="{10F35C86-21EB-44AB-A410-E7BCC471959C}" name="Kolonna15001"/>
    <tableColumn id="15340" xr3:uid="{4A01BAE4-588C-4FB4-9B3F-A2BF50E6B2BA}" name="Kolonna15002"/>
    <tableColumn id="15341" xr3:uid="{BAA6E914-7053-4D06-902E-CDE6B6A9578A}" name="Kolonna15003"/>
    <tableColumn id="15342" xr3:uid="{B42A54CA-F68D-420C-AEBD-6B6415273793}" name="Kolonna15004"/>
    <tableColumn id="15343" xr3:uid="{BAE659D8-57EA-4D00-8EFE-31CB8970BF5F}" name="Kolonna15005"/>
    <tableColumn id="15344" xr3:uid="{F59022A7-9B9B-4277-AEAA-52A12D06490E}" name="Kolonna15006"/>
    <tableColumn id="15345" xr3:uid="{BC1E7804-5F43-44D1-8B0B-9485A6F5EC60}" name="Kolonna15007"/>
    <tableColumn id="15346" xr3:uid="{ADF61221-8D8A-4C4E-925C-F172F58AF0DE}" name="Kolonna15008"/>
    <tableColumn id="15347" xr3:uid="{909DB21C-BB14-4DC0-AFAB-553408F901D9}" name="Kolonna15009"/>
    <tableColumn id="15348" xr3:uid="{6306734D-9BA7-4C71-ADE6-E227F52DF691}" name="Kolonna15010"/>
    <tableColumn id="15349" xr3:uid="{81F6BBD7-5C9B-47E3-8C89-AD8EE9FB5E36}" name="Kolonna15011"/>
    <tableColumn id="15350" xr3:uid="{FA7A0692-1EB3-40D7-A6FF-0CFE7DE59EAF}" name="Kolonna15012"/>
    <tableColumn id="15351" xr3:uid="{3BFCA069-9922-4186-9F17-E0380187187F}" name="Kolonna15013"/>
    <tableColumn id="15352" xr3:uid="{AE1570ED-EDEC-42D0-84D0-FEFDB185B6A8}" name="Kolonna15014"/>
    <tableColumn id="15353" xr3:uid="{B6C183EB-2328-4248-8C1D-53411F76B4C8}" name="Kolonna15015"/>
    <tableColumn id="15354" xr3:uid="{9CFBD981-875D-43B1-AFBB-614F32590997}" name="Kolonna15016"/>
    <tableColumn id="15355" xr3:uid="{466D981C-1346-41AF-AB9D-F19F30DF9582}" name="Kolonna15017"/>
    <tableColumn id="15356" xr3:uid="{52EA72E3-3150-466C-9B05-1176D3A7088B}" name="Kolonna15018"/>
    <tableColumn id="15357" xr3:uid="{15D5FCBF-4947-4479-BDA6-754F1D962CEA}" name="Kolonna15019"/>
    <tableColumn id="15358" xr3:uid="{13BB4922-FD72-47ED-96E5-BD324D1B6F87}" name="Kolonna15020"/>
    <tableColumn id="15359" xr3:uid="{7A64485F-85F5-4177-9C70-D5DC3A035383}" name="Kolonna15021"/>
    <tableColumn id="15360" xr3:uid="{5B6D52DC-5862-4230-8A21-0F60F4523063}" name="Kolonna15022"/>
    <tableColumn id="15361" xr3:uid="{CE9F007C-9083-41D0-BFA1-BC3BABBA4AEB}" name="Kolonna15023"/>
    <tableColumn id="15362" xr3:uid="{3F8572F9-BA79-43FF-BFF7-A3FDAE56487A}" name="Kolonna15024"/>
    <tableColumn id="15363" xr3:uid="{1D776B1A-4FCB-48AB-AC31-9BBED93C05D4}" name="Kolonna15025"/>
    <tableColumn id="15364" xr3:uid="{CBF87818-D19B-4E71-9EF1-4B6F2B19A74C}" name="Kolonna15026"/>
    <tableColumn id="15365" xr3:uid="{FB92CCB6-0C41-46FB-8028-F27B7359CD35}" name="Kolonna15027"/>
    <tableColumn id="15366" xr3:uid="{3B450CDF-16A3-4C51-B1E1-9DB99F5BF135}" name="Kolonna15028"/>
    <tableColumn id="15367" xr3:uid="{51CB6892-CF92-42B1-AE3A-5DF58E0526C3}" name="Kolonna15029"/>
    <tableColumn id="15368" xr3:uid="{524DDDD0-AFBE-4DB8-B914-008E83074774}" name="Kolonna15030"/>
    <tableColumn id="15369" xr3:uid="{677B1169-B1B3-4B20-9F94-EC5897EE155A}" name="Kolonna15031"/>
    <tableColumn id="15370" xr3:uid="{3632A4BE-018C-448D-8433-C06CB63A8E66}" name="Kolonna15032"/>
    <tableColumn id="15371" xr3:uid="{7298DF43-8E17-4C63-A5C6-81BCDCA5DBB4}" name="Kolonna15033"/>
    <tableColumn id="15372" xr3:uid="{9B200D1D-3337-4628-9D81-28E229B79973}" name="Kolonna15034"/>
    <tableColumn id="15373" xr3:uid="{BD8C444A-7CD8-4725-8B5F-936DDF9FFFE3}" name="Kolonna15035"/>
    <tableColumn id="15374" xr3:uid="{F07EEACB-B76A-4920-8653-F33C58A3B1BA}" name="Kolonna15036"/>
    <tableColumn id="15375" xr3:uid="{C21F2BB0-DC87-4A07-9B44-6804823C66BA}" name="Kolonna15037"/>
    <tableColumn id="15376" xr3:uid="{6DE4B61B-D950-46AF-9324-F2345F2DF9C8}" name="Kolonna15038"/>
    <tableColumn id="15377" xr3:uid="{BBB5F67B-B6BC-45F1-901F-DC40FBA8B834}" name="Kolonna15039"/>
    <tableColumn id="15378" xr3:uid="{BCE5A822-3388-404B-AE07-A336F5E25BB5}" name="Kolonna15040"/>
    <tableColumn id="15379" xr3:uid="{E2C1346C-D093-4B6E-B00A-93C549A20415}" name="Kolonna15041"/>
    <tableColumn id="15380" xr3:uid="{7B98B7DC-E730-499D-83AC-C4471AE876A2}" name="Kolonna15042"/>
    <tableColumn id="15381" xr3:uid="{BA0AC5C4-ACC8-4823-92AF-2CD26CECFD64}" name="Kolonna15043"/>
    <tableColumn id="15382" xr3:uid="{DA7E49BE-B409-4F88-A4D3-FBA09956C045}" name="Kolonna15044"/>
    <tableColumn id="15383" xr3:uid="{D1F6FF42-616F-48AA-81E3-EB28296712FA}" name="Kolonna15045"/>
    <tableColumn id="15384" xr3:uid="{D0F6FD30-39E7-40A0-AC1E-BE22357AFAD4}" name="Kolonna15046"/>
    <tableColumn id="15385" xr3:uid="{E26B7250-8FBA-4565-B6B4-2D5E2C297179}" name="Kolonna15047"/>
    <tableColumn id="15386" xr3:uid="{F519FD52-EC78-4902-B926-3C2E4AA67982}" name="Kolonna15048"/>
    <tableColumn id="15387" xr3:uid="{AFE42AE9-624F-4DA8-B4D8-11DB7AA071A1}" name="Kolonna15049"/>
    <tableColumn id="15388" xr3:uid="{872186FF-B022-4D15-94BC-838E2B39FDC4}" name="Kolonna15050"/>
    <tableColumn id="15389" xr3:uid="{DF9BB32B-A8F9-4AFA-A1EB-73A3F992AD9B}" name="Kolonna15051"/>
    <tableColumn id="15390" xr3:uid="{2FBB1C48-EFE9-49A0-BB29-4E8D7E1A7387}" name="Kolonna15052"/>
    <tableColumn id="15391" xr3:uid="{B955C881-2413-489D-9B3D-B313B5F6A8B1}" name="Kolonna15053"/>
    <tableColumn id="15392" xr3:uid="{7651AC05-FDF7-4D0E-B825-8C6BF9393E93}" name="Kolonna15054"/>
    <tableColumn id="15393" xr3:uid="{3405CD9B-747A-4D6D-9418-E825B971E7F5}" name="Kolonna15055"/>
    <tableColumn id="15394" xr3:uid="{54932915-5825-4802-98E6-CC464EDD2703}" name="Kolonna15056"/>
    <tableColumn id="15395" xr3:uid="{C9D95384-A035-4A2E-A9DA-B3A6C3BC0956}" name="Kolonna15057"/>
    <tableColumn id="15396" xr3:uid="{90DB6C9D-5722-46E4-B298-CBAB40E95CF8}" name="Kolonna15058"/>
    <tableColumn id="15397" xr3:uid="{C50A025B-3CC1-4D90-9BD4-5DE882D09FD4}" name="Kolonna15059"/>
    <tableColumn id="15398" xr3:uid="{7481498D-166B-4065-8435-79672B586614}" name="Kolonna15060"/>
    <tableColumn id="15399" xr3:uid="{75DDF173-9DAE-43A1-B640-374DF2BE0457}" name="Kolonna15061"/>
    <tableColumn id="15400" xr3:uid="{C2795A6A-9BA0-4A8D-A3FC-FA2052B4017C}" name="Kolonna15062"/>
    <tableColumn id="15401" xr3:uid="{429AEA55-7F95-4E77-83EF-5D7716BE8877}" name="Kolonna15063"/>
    <tableColumn id="15402" xr3:uid="{34791654-EDD1-4099-8E62-F85A8DC3C574}" name="Kolonna15064"/>
    <tableColumn id="15403" xr3:uid="{BDE87E8C-CA17-4925-9217-DDC1DD769D98}" name="Kolonna15065"/>
    <tableColumn id="15404" xr3:uid="{446BA55F-4E65-49B2-A9BC-5C82CD2D79CE}" name="Kolonna15066"/>
    <tableColumn id="15405" xr3:uid="{F803F7CA-83D9-4AFE-8F56-80493513AE62}" name="Kolonna15067"/>
    <tableColumn id="15406" xr3:uid="{062D9151-55F8-4E7E-B6D5-13CC4D38B3B9}" name="Kolonna15068"/>
    <tableColumn id="15407" xr3:uid="{04555ED9-7759-4423-9DFB-8B3ABBC0B09D}" name="Kolonna15069"/>
    <tableColumn id="15408" xr3:uid="{66697651-DA56-4B28-A579-3B7795DE038C}" name="Kolonna15070"/>
    <tableColumn id="15409" xr3:uid="{25771CFE-23F8-4FF5-B0A7-8EAA70BBF74E}" name="Kolonna15071"/>
    <tableColumn id="15410" xr3:uid="{48BDB360-A3A4-4218-82BF-C16E930A0EAE}" name="Kolonna15072"/>
    <tableColumn id="15411" xr3:uid="{7145E161-775E-445E-AD3A-DF7E8C432D64}" name="Kolonna15073"/>
    <tableColumn id="15412" xr3:uid="{4E2C0342-BAFB-4F4E-8000-A4163BAF5927}" name="Kolonna15074"/>
    <tableColumn id="15413" xr3:uid="{C1E1BDFC-996C-4EE3-A730-78EA168E45CA}" name="Kolonna15075"/>
    <tableColumn id="15414" xr3:uid="{5474F80E-296E-43FF-A754-70DAC78D1152}" name="Kolonna15076"/>
    <tableColumn id="15415" xr3:uid="{BB28133F-2AAF-4EF6-86B9-5BC80E330542}" name="Kolonna15077"/>
    <tableColumn id="15416" xr3:uid="{06E3A6F0-4D25-4DAA-91E4-8AFB2EF85BDB}" name="Kolonna15078"/>
    <tableColumn id="15417" xr3:uid="{FDE304BB-F43E-4BD4-98FE-46F2CC6E678E}" name="Kolonna15079"/>
    <tableColumn id="15418" xr3:uid="{03B3FFC0-BF37-4E93-9723-76B33475E762}" name="Kolonna15080"/>
    <tableColumn id="15419" xr3:uid="{043FFAEF-3CC2-4FC4-8C76-C7E1AB355F6B}" name="Kolonna15081"/>
    <tableColumn id="15420" xr3:uid="{BDB84312-8B6E-4A94-B087-5E79DCFEDB38}" name="Kolonna15082"/>
    <tableColumn id="15421" xr3:uid="{8A897912-C1DD-4D5E-B903-CBF83875E516}" name="Kolonna15083"/>
    <tableColumn id="15422" xr3:uid="{AA58FE65-826E-4834-9329-1642AAF2960E}" name="Kolonna15084"/>
    <tableColumn id="15423" xr3:uid="{550816C1-07EF-4759-BD19-328970BE205B}" name="Kolonna15085"/>
    <tableColumn id="15424" xr3:uid="{D16E18F2-4722-49BE-8C92-BBC5BD09F905}" name="Kolonna15086"/>
    <tableColumn id="15425" xr3:uid="{CE13646B-8A86-47AC-B10A-5897B3F877BA}" name="Kolonna15087"/>
    <tableColumn id="15426" xr3:uid="{87E15A0F-FAF9-4396-A1E9-38E6FB34FF32}" name="Kolonna15088"/>
    <tableColumn id="15427" xr3:uid="{C12272CF-7546-4A0C-BD83-B3F08B2FE0C9}" name="Kolonna15089"/>
    <tableColumn id="15428" xr3:uid="{055FE6AD-7DC4-44FE-8389-506E31B368F7}" name="Kolonna15090"/>
    <tableColumn id="15429" xr3:uid="{F687963E-8098-48D5-92CE-78284A9B2D8F}" name="Kolonna15091"/>
    <tableColumn id="15430" xr3:uid="{F0EC7995-3E3A-4DF6-8589-B7DF3C0B7A25}" name="Kolonna15092"/>
    <tableColumn id="15431" xr3:uid="{51E4B2F9-022C-46E4-9AA5-40D7D8BFE066}" name="Kolonna15093"/>
    <tableColumn id="15432" xr3:uid="{1068E934-089A-4633-A76B-7093E4441BBD}" name="Kolonna15094"/>
    <tableColumn id="15433" xr3:uid="{F7C7A5ED-6139-4B6C-8078-C67F207CCB52}" name="Kolonna15095"/>
    <tableColumn id="15434" xr3:uid="{002FF025-C8D0-4A18-8F7C-EA232ED8DC4C}" name="Kolonna15096"/>
    <tableColumn id="15435" xr3:uid="{614EB084-714E-4CCE-91D9-002FEDDD5A16}" name="Kolonna15097"/>
    <tableColumn id="15436" xr3:uid="{3546C392-F2C2-42DE-82DB-962672D11E73}" name="Kolonna15098"/>
    <tableColumn id="15437" xr3:uid="{4144B4DB-6FB4-452B-841C-3BBD3C505789}" name="Kolonna15099"/>
    <tableColumn id="15438" xr3:uid="{29B046CA-2990-4D4F-90DE-330BBD711785}" name="Kolonna15100"/>
    <tableColumn id="15439" xr3:uid="{390C4BCF-5CF0-4DD3-BD74-6BD658164022}" name="Kolonna15101"/>
    <tableColumn id="15440" xr3:uid="{014EAF87-BC65-436E-A63E-B2CEFEDE888F}" name="Kolonna15102"/>
    <tableColumn id="15441" xr3:uid="{2105E5E0-5EE7-40A6-A74D-5C03CAA7A867}" name="Kolonna15103"/>
    <tableColumn id="15442" xr3:uid="{FEF7CF12-CEB3-4ECF-8DD2-06863C2A7FD2}" name="Kolonna15104"/>
    <tableColumn id="15443" xr3:uid="{7636C1A1-33EF-434E-860E-0C940111001E}" name="Kolonna15105"/>
    <tableColumn id="15444" xr3:uid="{10C47E73-EDC9-46E1-A5BD-BCD2B108865E}" name="Kolonna15106"/>
    <tableColumn id="15445" xr3:uid="{88752031-E1C3-47FE-8B09-1C3A62FBA276}" name="Kolonna15107"/>
    <tableColumn id="15446" xr3:uid="{E16F9E8A-CB52-44C9-B471-85248892D83D}" name="Kolonna15108"/>
    <tableColumn id="15447" xr3:uid="{66998DFC-0925-4914-863F-FD63A41E8519}" name="Kolonna15109"/>
    <tableColumn id="15448" xr3:uid="{F0857E9F-35FD-4928-87D6-D4B44F513D90}" name="Kolonna15110"/>
    <tableColumn id="15449" xr3:uid="{569E582F-2DC7-4740-BB01-CAB71AFD1A40}" name="Kolonna15111"/>
    <tableColumn id="15450" xr3:uid="{AE9F22DC-85A6-4F08-AE93-4A0ACDAE069D}" name="Kolonna15112"/>
    <tableColumn id="15451" xr3:uid="{E08AB7C1-E9DA-4E25-986D-64A06D8163DA}" name="Kolonna15113"/>
    <tableColumn id="15452" xr3:uid="{B9984DB7-F05D-4B18-AAC1-933199D6311E}" name="Kolonna15114"/>
    <tableColumn id="15453" xr3:uid="{F4AF3D56-DECF-4CFE-979F-F3F0EC318C9F}" name="Kolonna15115"/>
    <tableColumn id="15454" xr3:uid="{D9ACFF62-4192-4FD1-83F8-0B37EBF9AC81}" name="Kolonna15116"/>
    <tableColumn id="15455" xr3:uid="{043AF54E-98CA-426D-993B-832D50BE014E}" name="Kolonna15117"/>
    <tableColumn id="15456" xr3:uid="{12D76E4A-9162-412F-8E3E-2FB37C5CABCB}" name="Kolonna15118"/>
    <tableColumn id="15457" xr3:uid="{0F932866-5134-4309-ABBA-085653DBC289}" name="Kolonna15119"/>
    <tableColumn id="15458" xr3:uid="{81BB9C68-3A22-4BE9-9ACC-D13635D24A20}" name="Kolonna15120"/>
    <tableColumn id="15459" xr3:uid="{C48E4310-EA39-4699-82B4-F1B1CC77007B}" name="Kolonna15121"/>
    <tableColumn id="15460" xr3:uid="{BCD433D4-0AC3-43D5-A532-EE0FAABD40BC}" name="Kolonna15122"/>
    <tableColumn id="15461" xr3:uid="{B5AEE227-6DEE-41A2-BC56-6E8A30787144}" name="Kolonna15123"/>
    <tableColumn id="15462" xr3:uid="{DE86DACC-32BB-4D53-852A-FDEEA832EA85}" name="Kolonna15124"/>
    <tableColumn id="15463" xr3:uid="{12A4B2AD-CFD6-4390-9B22-0E3E28F73CA5}" name="Kolonna15125"/>
    <tableColumn id="15464" xr3:uid="{342A5EE2-8217-47E3-9772-8D1E1757D5A8}" name="Kolonna15126"/>
    <tableColumn id="15465" xr3:uid="{DDBDA374-40FB-44C2-A031-4FFFFDAF50E6}" name="Kolonna15127"/>
    <tableColumn id="15466" xr3:uid="{65CBF459-15BE-4B6D-8E98-781CF200DD00}" name="Kolonna15128"/>
    <tableColumn id="15467" xr3:uid="{3DB0E1E6-14A9-418C-8953-BB3DEE545BD8}" name="Kolonna15129"/>
    <tableColumn id="15468" xr3:uid="{C7864F14-3536-4925-B936-1088CC22CAD7}" name="Kolonna15130"/>
    <tableColumn id="15469" xr3:uid="{B32C910C-B2CB-478E-87AE-C82BA5728EF0}" name="Kolonna15131"/>
    <tableColumn id="15470" xr3:uid="{2D40DB6F-406D-4117-97BD-0ED013CC2F20}" name="Kolonna15132"/>
    <tableColumn id="15471" xr3:uid="{8AB6FB15-9C2C-4BEA-84D8-6D5D252644B0}" name="Kolonna15133"/>
    <tableColumn id="15472" xr3:uid="{BB806694-C2FB-498C-8A40-DC962144F499}" name="Kolonna15134"/>
    <tableColumn id="15473" xr3:uid="{CB0A5E4C-A72F-45AF-B45A-41C06193AF26}" name="Kolonna15135"/>
    <tableColumn id="15474" xr3:uid="{481893BD-E704-418F-82B9-1AE1A985EAF2}" name="Kolonna15136"/>
    <tableColumn id="15475" xr3:uid="{090364AE-65EE-4B26-A0A5-99044DB0DAB7}" name="Kolonna15137"/>
    <tableColumn id="15476" xr3:uid="{68D0AAE0-A0D6-4947-80E6-C43B314AE131}" name="Kolonna15138"/>
    <tableColumn id="15477" xr3:uid="{EB7E6C09-A216-420F-83CF-AAD6365B7D24}" name="Kolonna15139"/>
    <tableColumn id="15478" xr3:uid="{FF52A123-2B16-4CB3-84B7-3924A1C63407}" name="Kolonna15140"/>
    <tableColumn id="15479" xr3:uid="{3D0BCC3C-D477-4696-9380-6C511D893B15}" name="Kolonna15141"/>
    <tableColumn id="15480" xr3:uid="{E819CDC2-702D-4763-BD7E-5A38B63278C2}" name="Kolonna15142"/>
    <tableColumn id="15481" xr3:uid="{2152D3DE-AFDC-4611-A332-DE5B6E91534F}" name="Kolonna15143"/>
    <tableColumn id="15482" xr3:uid="{7946B3D1-B342-4D7C-A9B1-B763ADEE2263}" name="Kolonna15144"/>
    <tableColumn id="15483" xr3:uid="{A403078F-914F-494F-9955-BED1F367516B}" name="Kolonna15145"/>
    <tableColumn id="15484" xr3:uid="{AF108298-B7A0-4215-9D0B-E50CB22342E4}" name="Kolonna15146"/>
    <tableColumn id="15485" xr3:uid="{0726BA39-2DC9-4415-B91C-628F78C6B607}" name="Kolonna15147"/>
    <tableColumn id="15486" xr3:uid="{862D6E1F-BE62-419D-89D8-5EE8E2E87154}" name="Kolonna15148"/>
    <tableColumn id="15487" xr3:uid="{210C17A7-1DD4-4BCC-B059-D93E6472EB18}" name="Kolonna15149"/>
    <tableColumn id="15488" xr3:uid="{BF47D58E-05CA-4EE8-9A66-278458E06208}" name="Kolonna15150"/>
    <tableColumn id="15489" xr3:uid="{2B1CA2B4-90A3-496B-8095-B78EDEDCECD7}" name="Kolonna15151"/>
    <tableColumn id="15490" xr3:uid="{1F02DCC2-C32C-4D5A-8E5A-8AF2F0223080}" name="Kolonna15152"/>
    <tableColumn id="15491" xr3:uid="{4EA58AE2-E037-4E0C-81F1-F80316B8728C}" name="Kolonna15153"/>
    <tableColumn id="15492" xr3:uid="{EE80F172-515E-4B8F-A82C-857173CEEB63}" name="Kolonna15154"/>
    <tableColumn id="15493" xr3:uid="{221F09AB-4C46-465E-AEDC-90088FCD1B3A}" name="Kolonna15155"/>
    <tableColumn id="15494" xr3:uid="{3CFCD8F1-6983-4EE2-85BC-1BDC21762926}" name="Kolonna15156"/>
    <tableColumn id="15495" xr3:uid="{862DAF34-04D7-4988-8BA6-CEFF886E4A3F}" name="Kolonna15157"/>
    <tableColumn id="15496" xr3:uid="{3BE9AE92-0F52-4349-8F3A-FE98F6F78AB3}" name="Kolonna15158"/>
    <tableColumn id="15497" xr3:uid="{2504ED1A-9ED3-4DF9-8A3F-EEC97BC0A218}" name="Kolonna15159"/>
    <tableColumn id="15498" xr3:uid="{74043089-50EE-49FC-AA88-CA240891EA55}" name="Kolonna15160"/>
    <tableColumn id="15499" xr3:uid="{6AB5895F-47AA-45C2-AB37-708AF9AC9E1C}" name="Kolonna15161"/>
    <tableColumn id="15500" xr3:uid="{6B5D51FC-E960-4956-8A14-21354ACE9A61}" name="Kolonna15162"/>
    <tableColumn id="15501" xr3:uid="{EDBAE776-A5CC-4C68-8C9B-382C07696745}" name="Kolonna15163"/>
    <tableColumn id="15502" xr3:uid="{C35D8C9B-A786-46E8-A942-0044B292E3C1}" name="Kolonna15164"/>
    <tableColumn id="15503" xr3:uid="{FBF46E8C-5693-4BE4-BA16-33CF2FA280FA}" name="Kolonna15165"/>
    <tableColumn id="15504" xr3:uid="{53DEED97-71B5-48F8-9B72-F532414A9E9C}" name="Kolonna15166"/>
    <tableColumn id="15505" xr3:uid="{CDEB6C29-EEEB-4083-AA7F-3B3A948DA074}" name="Kolonna15167"/>
    <tableColumn id="15506" xr3:uid="{8AE2B412-C274-463A-832A-9011E53BCAC8}" name="Kolonna15168"/>
    <tableColumn id="15507" xr3:uid="{F427B838-6270-44AF-A10C-D670C5C688D5}" name="Kolonna15169"/>
    <tableColumn id="15508" xr3:uid="{595D8B42-1684-4136-8D57-A92B042C00E1}" name="Kolonna15170"/>
    <tableColumn id="15509" xr3:uid="{0BCD13A4-2C57-4F2F-9037-6770A6BB3612}" name="Kolonna15171"/>
    <tableColumn id="15510" xr3:uid="{D1CE6D65-14C3-4C20-9E5B-2CECB2D0CA63}" name="Kolonna15172"/>
    <tableColumn id="15511" xr3:uid="{03D57E80-276F-4B07-AD20-ED76582F53A2}" name="Kolonna15173"/>
    <tableColumn id="15512" xr3:uid="{D8C7A317-74B9-46D1-A613-EB3C2429398B}" name="Kolonna15174"/>
    <tableColumn id="15513" xr3:uid="{E8F78BF1-2DDC-4547-A3B2-DF25973ED802}" name="Kolonna15175"/>
    <tableColumn id="15514" xr3:uid="{78EF825E-3D05-4558-97BE-83ADB10F303F}" name="Kolonna15176"/>
    <tableColumn id="15515" xr3:uid="{F36C6430-36EB-491E-A53E-10D7C614D8BF}" name="Kolonna15177"/>
    <tableColumn id="15516" xr3:uid="{DF7F3FD0-3C3E-4ACB-B1A5-091DEA4B78E0}" name="Kolonna15178"/>
    <tableColumn id="15517" xr3:uid="{ADB20CEF-E281-4E02-B22F-E8C3A37B0F9C}" name="Kolonna15179"/>
    <tableColumn id="15518" xr3:uid="{E047B15C-4B51-4DBE-83D8-46D3EFCD38E8}" name="Kolonna15180"/>
    <tableColumn id="15519" xr3:uid="{4CF2C6BE-83F5-4702-9EC9-B2406A9C2DFD}" name="Kolonna15181"/>
    <tableColumn id="15520" xr3:uid="{CB512BD2-FE87-4093-B8BA-1CE0859EA7BC}" name="Kolonna15182"/>
    <tableColumn id="15521" xr3:uid="{868F1BD3-2777-4030-A5D0-D903EB676863}" name="Kolonna15183"/>
    <tableColumn id="15522" xr3:uid="{52360A98-9134-4F83-9BCF-F11E142D336D}" name="Kolonna15184"/>
    <tableColumn id="15523" xr3:uid="{5D4DE5A3-D9D8-4777-AE69-30BCA69703EC}" name="Kolonna15185"/>
    <tableColumn id="15524" xr3:uid="{9B6182C5-B1A4-40A8-9134-41FFFEAF3EB9}" name="Kolonna15186"/>
    <tableColumn id="15525" xr3:uid="{273A0F9F-2162-43A8-845F-067A0F79F5E8}" name="Kolonna15187"/>
    <tableColumn id="15526" xr3:uid="{C055934E-908E-4471-A18D-F0D06E737454}" name="Kolonna15188"/>
    <tableColumn id="15527" xr3:uid="{38BC694A-CCC8-425F-82CB-6340FB92465C}" name="Kolonna15189"/>
    <tableColumn id="15528" xr3:uid="{A295BAFE-9A4C-4402-B829-F02BE5712EF9}" name="Kolonna15190"/>
    <tableColumn id="15529" xr3:uid="{397748C1-C138-4C53-B9A0-428D7B9899D6}" name="Kolonna15191"/>
    <tableColumn id="15530" xr3:uid="{56C1C6C5-92D8-40DC-AFBD-5783E84615B9}" name="Kolonna15192"/>
    <tableColumn id="15531" xr3:uid="{5702B33C-5A11-417C-8F22-A8929182BE29}" name="Kolonna15193"/>
    <tableColumn id="15532" xr3:uid="{C4215763-FD43-47FB-B41F-6FA0BD859418}" name="Kolonna15194"/>
    <tableColumn id="15533" xr3:uid="{5C72DF1C-E5F2-425E-A659-764B223FB0DB}" name="Kolonna15195"/>
    <tableColumn id="15534" xr3:uid="{ED7B069F-392C-4718-903D-2D0D48939906}" name="Kolonna15196"/>
    <tableColumn id="15535" xr3:uid="{2F52A10B-C95C-48B9-86C8-DD158FB917BF}" name="Kolonna15197"/>
    <tableColumn id="15536" xr3:uid="{1A533A19-3ABF-4162-8DD5-0BC529150363}" name="Kolonna15198"/>
    <tableColumn id="15537" xr3:uid="{135D28CB-C4B8-4199-A71A-714628EAF805}" name="Kolonna15199"/>
    <tableColumn id="15538" xr3:uid="{39B58EE5-4466-4D90-B159-E84F0E4DFA82}" name="Kolonna15200"/>
    <tableColumn id="15539" xr3:uid="{BEAD9B2E-9201-4B8A-8A41-7E4A709A7BCC}" name="Kolonna15201"/>
    <tableColumn id="15540" xr3:uid="{2B1F58A1-C327-4B57-80F3-EDA6B7336607}" name="Kolonna15202"/>
    <tableColumn id="15541" xr3:uid="{5CA90500-5DAC-4C91-960D-D0E60FE8DF87}" name="Kolonna15203"/>
    <tableColumn id="15542" xr3:uid="{D0925D4C-2DAB-411E-8AB6-427408F2D731}" name="Kolonna15204"/>
    <tableColumn id="15543" xr3:uid="{B102A97B-D9F3-4D4C-B2A1-3CE3557D5A89}" name="Kolonna15205"/>
    <tableColumn id="15544" xr3:uid="{D1EB2BF3-0F5E-4B2C-8024-3039C7022D39}" name="Kolonna15206"/>
    <tableColumn id="15545" xr3:uid="{5B3F6F58-380E-425F-9F2B-27AD6B63D5A7}" name="Kolonna15207"/>
    <tableColumn id="15546" xr3:uid="{C1350B9B-4C73-452E-9A82-8EE5C7C54C6E}" name="Kolonna15208"/>
    <tableColumn id="15547" xr3:uid="{CF375046-6B62-48F0-AFA5-DAE7C9B069C1}" name="Kolonna15209"/>
    <tableColumn id="15548" xr3:uid="{C19BF226-1977-4C01-8D72-AC260DBE2B1A}" name="Kolonna15210"/>
    <tableColumn id="15549" xr3:uid="{DADC4FC6-F5F7-493F-A211-7C6D50A2DA8F}" name="Kolonna15211"/>
    <tableColumn id="15550" xr3:uid="{15407B95-592A-4A7E-A23F-1068E0EB0221}" name="Kolonna15212"/>
    <tableColumn id="15551" xr3:uid="{AF0F7252-70EC-4169-BC6A-7E1A346A3CDA}" name="Kolonna15213"/>
    <tableColumn id="15552" xr3:uid="{F4844435-4CB1-4006-ABBC-A79FDA4AFD41}" name="Kolonna15214"/>
    <tableColumn id="15553" xr3:uid="{DE1D1964-1A93-4BC7-9017-1A42C489B179}" name="Kolonna15215"/>
    <tableColumn id="15554" xr3:uid="{21845AB4-8C00-416B-9FB6-8A94718CC483}" name="Kolonna15216"/>
    <tableColumn id="15555" xr3:uid="{9331D40A-4814-4EFE-9FB8-68044B3E8304}" name="Kolonna15217"/>
    <tableColumn id="15556" xr3:uid="{DFCAA08C-4A53-4587-9F7A-15BF5678EFB4}" name="Kolonna15218"/>
    <tableColumn id="15557" xr3:uid="{5057EF9E-2F2D-4D2F-A88A-E30F7B4BAC79}" name="Kolonna15219"/>
    <tableColumn id="15558" xr3:uid="{ADE5245E-744D-4142-B40F-FC35CFCB0D75}" name="Kolonna15220"/>
    <tableColumn id="15559" xr3:uid="{A5CEE657-B235-4DE5-AC3C-8F35222507D7}" name="Kolonna15221"/>
    <tableColumn id="15560" xr3:uid="{3C406021-8793-46E6-97F0-7B1130F31B91}" name="Kolonna15222"/>
    <tableColumn id="15561" xr3:uid="{42729EBD-5A24-46C7-A896-5C9DDE3982C1}" name="Kolonna15223"/>
    <tableColumn id="15562" xr3:uid="{1A530D2F-7464-42F7-A708-B38195AA013C}" name="Kolonna15224"/>
    <tableColumn id="15563" xr3:uid="{3FF9C269-1B32-44DF-B391-CD8AF09CADD2}" name="Kolonna15225"/>
    <tableColumn id="15564" xr3:uid="{E6025735-D90E-415E-9EA4-8FA020FBC371}" name="Kolonna15226"/>
    <tableColumn id="15565" xr3:uid="{73474490-616E-4CD4-BF62-25CEAD87E86D}" name="Kolonna15227"/>
    <tableColumn id="15566" xr3:uid="{B7EEC320-DE43-46B2-A403-F533D6CC15C4}" name="Kolonna15228"/>
    <tableColumn id="15567" xr3:uid="{0F9800D9-5150-4B61-A4F6-13F9603549C8}" name="Kolonna15229"/>
    <tableColumn id="15568" xr3:uid="{6354288E-E768-4C7C-9FAD-7D92B5091FED}" name="Kolonna15230"/>
    <tableColumn id="15569" xr3:uid="{E4707826-8705-42C0-8ED6-3EF5C192721C}" name="Kolonna15231"/>
    <tableColumn id="15570" xr3:uid="{BE13C1E8-17E2-4E58-AEA5-CEF94F4E49A7}" name="Kolonna15232"/>
    <tableColumn id="15571" xr3:uid="{D20A1341-8248-411C-A1D3-BF6A22530926}" name="Kolonna15233"/>
    <tableColumn id="15572" xr3:uid="{A72658A7-06C9-4729-B8F6-EB93CB7FBDA2}" name="Kolonna15234"/>
    <tableColumn id="15573" xr3:uid="{0F6747A8-9701-41B6-8D7D-E0C7C4CA7D55}" name="Kolonna15235"/>
    <tableColumn id="15574" xr3:uid="{02371E20-8459-467E-88E0-9F7678341368}" name="Kolonna15236"/>
    <tableColumn id="15575" xr3:uid="{7667E60B-8EE1-4016-9A92-B53FADFE971C}" name="Kolonna15237"/>
    <tableColumn id="15576" xr3:uid="{AE5D28C1-1C96-47C2-9762-C92A7454E87B}" name="Kolonna15238"/>
    <tableColumn id="15577" xr3:uid="{5B8F2EA3-A051-43A2-81B4-AED16E0F6E1D}" name="Kolonna15239"/>
    <tableColumn id="15578" xr3:uid="{C5869B0B-773C-4319-A7AD-6E6FD9E6D8A8}" name="Kolonna15240"/>
    <tableColumn id="15579" xr3:uid="{92377E67-D2BB-40F7-8C79-2C7C678F35DE}" name="Kolonna15241"/>
    <tableColumn id="15580" xr3:uid="{B57ABF26-75B8-4F45-9898-6B04F0871F0F}" name="Kolonna15242"/>
    <tableColumn id="15581" xr3:uid="{6B31CD79-0F09-4ABE-9BAA-EE72CA70A015}" name="Kolonna15243"/>
    <tableColumn id="15582" xr3:uid="{D79DE27F-84E1-4D07-AACC-D2FCA8427ECF}" name="Kolonna15244"/>
    <tableColumn id="15583" xr3:uid="{7AE09600-9767-4C2F-9FD9-23F2F32B5573}" name="Kolonna15245"/>
    <tableColumn id="15584" xr3:uid="{7FCEEE88-5429-4FCA-90D3-96A0E371DAAB}" name="Kolonna15246"/>
    <tableColumn id="15585" xr3:uid="{FB60975D-3AAE-442B-9F48-DC9CF1E57F93}" name="Kolonna15247"/>
    <tableColumn id="15586" xr3:uid="{95E9D365-8C41-4C5C-9613-6714D15D0AEE}" name="Kolonna15248"/>
    <tableColumn id="15587" xr3:uid="{4B33C98E-7DB4-4188-92FA-FE95107B41DB}" name="Kolonna15249"/>
    <tableColumn id="15588" xr3:uid="{5FAA65A6-C8C7-48CB-82C3-7869CA308E76}" name="Kolonna15250"/>
    <tableColumn id="15589" xr3:uid="{F42BCA8D-2880-4048-98C1-BA012EB9AC9F}" name="Kolonna15251"/>
    <tableColumn id="15590" xr3:uid="{1682F9CE-B7FA-41D2-8399-24B452593FEF}" name="Kolonna15252"/>
    <tableColumn id="15591" xr3:uid="{810D2561-B0BD-4A0C-8860-EF313F4353B2}" name="Kolonna15253"/>
    <tableColumn id="15592" xr3:uid="{8C8F342A-E2D0-4244-A851-D96F9443DB4A}" name="Kolonna15254"/>
    <tableColumn id="15593" xr3:uid="{E02181E8-EAFC-4882-AC71-7F1D0B66990A}" name="Kolonna15255"/>
    <tableColumn id="15594" xr3:uid="{202BDE4E-1EEC-4BA2-901F-E6F2658DEDB8}" name="Kolonna15256"/>
    <tableColumn id="15595" xr3:uid="{360DB404-2A24-403E-A0B5-32ADD412A451}" name="Kolonna15257"/>
    <tableColumn id="15596" xr3:uid="{B81AAEB4-06E0-4332-AC08-15B8A4F4719D}" name="Kolonna15258"/>
    <tableColumn id="15597" xr3:uid="{187DD20E-98C4-4C96-847D-E30E581CFE1E}" name="Kolonna15259"/>
    <tableColumn id="15598" xr3:uid="{01E4A9B2-4E1B-447B-B62B-F78D526C94FC}" name="Kolonna15260"/>
    <tableColumn id="15599" xr3:uid="{AA80A8EA-9D7D-48E4-965D-32F4E5E30245}" name="Kolonna15261"/>
    <tableColumn id="15600" xr3:uid="{9BEEA72F-C60E-4A87-A0FE-09D521D756B2}" name="Kolonna15262"/>
    <tableColumn id="15601" xr3:uid="{BB30A996-9DA5-4638-B222-7E6D2A426590}" name="Kolonna15263"/>
    <tableColumn id="15602" xr3:uid="{89911046-2849-440F-9664-52B030DF2213}" name="Kolonna15264"/>
    <tableColumn id="15603" xr3:uid="{4BE9DA20-D1C2-4D2B-94BB-B559470B6D7A}" name="Kolonna15265"/>
    <tableColumn id="15604" xr3:uid="{6C0F32A1-6DA4-4E06-9246-AAEC001C50BC}" name="Kolonna15266"/>
    <tableColumn id="15605" xr3:uid="{86ACF5A9-61F2-4043-84D3-8DA86D244896}" name="Kolonna15267"/>
    <tableColumn id="15606" xr3:uid="{684DB997-4A66-4536-9828-DB4ECE4897AC}" name="Kolonna15268"/>
    <tableColumn id="15607" xr3:uid="{06023DD5-4752-4475-8E87-F061AF08EA47}" name="Kolonna15269"/>
    <tableColumn id="15608" xr3:uid="{444D051C-069E-4E7A-B5FA-A49CCF28E8EC}" name="Kolonna15270"/>
    <tableColumn id="15609" xr3:uid="{F60D98CF-8A2B-437E-9301-A2F14D7B93A3}" name="Kolonna15271"/>
    <tableColumn id="15610" xr3:uid="{D0E29ED6-21BB-4ECA-966E-119398ADA59B}" name="Kolonna15272"/>
    <tableColumn id="15611" xr3:uid="{6F4709D0-3509-4FAC-90AD-E112DD7414A0}" name="Kolonna15273"/>
    <tableColumn id="15612" xr3:uid="{E396241C-14F1-4E01-8533-76135EDBA825}" name="Kolonna15274"/>
    <tableColumn id="15613" xr3:uid="{D58C2627-B7F9-4DE4-88F4-BEF2D81456D5}" name="Kolonna15275"/>
    <tableColumn id="15614" xr3:uid="{3A24E1A4-D354-4F8B-8AB4-5DC1EB63F8DF}" name="Kolonna15276"/>
    <tableColumn id="15615" xr3:uid="{5FBD5F57-037B-4493-83A3-BA3B27AFACEC}" name="Kolonna15277"/>
    <tableColumn id="15616" xr3:uid="{5B41248C-C48C-4BA6-890B-D95DE2EB153D}" name="Kolonna15278"/>
    <tableColumn id="15617" xr3:uid="{82BB7910-4A19-4123-838A-DE2BA6BFC970}" name="Kolonna15279"/>
    <tableColumn id="15618" xr3:uid="{F793EA7E-889B-4EB1-B07C-F4A9B03FEF67}" name="Kolonna15280"/>
    <tableColumn id="15619" xr3:uid="{5042478D-2F5C-4DFD-A160-88FDAFDA7BF2}" name="Kolonna15281"/>
    <tableColumn id="15620" xr3:uid="{AF23871E-347D-4783-9884-9723DFF1A365}" name="Kolonna15282"/>
    <tableColumn id="15621" xr3:uid="{6F5D5EF9-F3D7-4C37-B231-371BB4DF38AB}" name="Kolonna15283"/>
    <tableColumn id="15622" xr3:uid="{1DEE7268-922F-4CBA-9EEC-C131399035B0}" name="Kolonna15284"/>
    <tableColumn id="15623" xr3:uid="{6A3B5D91-87FE-4EA3-A07F-604B33E4ED23}" name="Kolonna15285"/>
    <tableColumn id="15624" xr3:uid="{9C38ACD4-12B2-4B5A-B7F0-68E22B4C1653}" name="Kolonna15286"/>
    <tableColumn id="15625" xr3:uid="{2EA6DE73-193B-4DDC-B6F5-B1EB6873DC2F}" name="Kolonna15287"/>
    <tableColumn id="15626" xr3:uid="{AB208CED-2E7D-4023-9E9F-CD73DA83381F}" name="Kolonna15288"/>
    <tableColumn id="15627" xr3:uid="{8AAE84F3-0816-4783-8E70-9D9C11054C6A}" name="Kolonna15289"/>
    <tableColumn id="15628" xr3:uid="{885FF171-CC49-4974-979F-05D56715F6A0}" name="Kolonna15290"/>
    <tableColumn id="15629" xr3:uid="{79D33189-A12B-4843-B0DC-06A02973AC04}" name="Kolonna15291"/>
    <tableColumn id="15630" xr3:uid="{748EC174-A66A-46A4-800B-8BBD25D47EBD}" name="Kolonna15292"/>
    <tableColumn id="15631" xr3:uid="{13F04694-7C48-4A4A-9CAD-121195D999FB}" name="Kolonna15293"/>
    <tableColumn id="15632" xr3:uid="{E10D8E70-B67E-4605-9C97-FE2D28826C55}" name="Kolonna15294"/>
    <tableColumn id="15633" xr3:uid="{5A23080D-1FAF-42D2-B13A-993A280C6BE0}" name="Kolonna15295"/>
    <tableColumn id="15634" xr3:uid="{6AF13185-2FBE-4399-92FD-906B4BB830AF}" name="Kolonna15296"/>
    <tableColumn id="15635" xr3:uid="{B28B70C3-F7D1-422B-B1DE-5BD9899FA9EE}" name="Kolonna15297"/>
    <tableColumn id="15636" xr3:uid="{739E106A-B823-4B23-8795-749AFCCD704B}" name="Kolonna15298"/>
    <tableColumn id="15637" xr3:uid="{C7F53403-A0FD-4CD4-8957-691F6A6A4941}" name="Kolonna15299"/>
    <tableColumn id="15638" xr3:uid="{50E91196-A661-4FBA-97D3-5330B6B2B2F6}" name="Kolonna15300"/>
    <tableColumn id="15639" xr3:uid="{012719EB-5C7C-4B50-80EF-1189DE3754C0}" name="Kolonna15301"/>
    <tableColumn id="15640" xr3:uid="{193E7B52-A56A-4878-AF77-93FC0854B795}" name="Kolonna15302"/>
    <tableColumn id="15641" xr3:uid="{25EE7A9E-5300-4CD2-A9C7-DD85819583AA}" name="Kolonna15303"/>
    <tableColumn id="15642" xr3:uid="{4C859643-9547-4FD1-90E4-02185D904B40}" name="Kolonna15304"/>
    <tableColumn id="15643" xr3:uid="{BDABF16F-239A-45F8-9167-CFC37DFC9D63}" name="Kolonna15305"/>
    <tableColumn id="15644" xr3:uid="{2AF0734C-5C02-46E5-9B45-A3167C6E38A3}" name="Kolonna15306"/>
    <tableColumn id="15645" xr3:uid="{B35755E6-66E2-442B-8082-2680DC2EB33A}" name="Kolonna15307"/>
    <tableColumn id="15646" xr3:uid="{CDE1271E-5A43-40A6-A8BC-75842393C769}" name="Kolonna15308"/>
    <tableColumn id="15647" xr3:uid="{A8F61759-EFA8-4049-812B-64FCB91AC5DB}" name="Kolonna15309"/>
    <tableColumn id="15648" xr3:uid="{6BE3E303-A3DB-4DF6-BB20-CEF80405B23F}" name="Kolonna15310"/>
    <tableColumn id="15649" xr3:uid="{9CE31C31-B234-4376-92A9-4C0EF3D5F5ED}" name="Kolonna15311"/>
    <tableColumn id="15650" xr3:uid="{B63F72E1-F55D-4B07-8FDE-85E665478FF3}" name="Kolonna15312"/>
    <tableColumn id="15651" xr3:uid="{8E1FD10B-139B-4265-BD35-D7D65DE959E2}" name="Kolonna15313"/>
    <tableColumn id="15652" xr3:uid="{5099A376-4716-4A63-BA11-2EAE5636F2E0}" name="Kolonna15314"/>
    <tableColumn id="15653" xr3:uid="{00BEE25C-172C-416A-8619-3E1BA0475144}" name="Kolonna15315"/>
    <tableColumn id="15654" xr3:uid="{11694861-CC7C-4E36-8A8F-2D0FC6C965B2}" name="Kolonna15316"/>
    <tableColumn id="15655" xr3:uid="{98FB0E0B-5E69-458D-9D71-FB9E9573B2A4}" name="Kolonna15317"/>
    <tableColumn id="15656" xr3:uid="{CD99411B-9F69-471A-993A-E4C20F944735}" name="Kolonna15318"/>
    <tableColumn id="15657" xr3:uid="{EDF0B818-7BBF-428C-BD34-789390B88679}" name="Kolonna15319"/>
    <tableColumn id="15658" xr3:uid="{80FFBA5E-9E8E-42DF-A1E3-315DBD550CF4}" name="Kolonna15320"/>
    <tableColumn id="15659" xr3:uid="{21321CA9-0D09-4634-A892-84B9B8ADAA14}" name="Kolonna15321"/>
    <tableColumn id="15660" xr3:uid="{44AFD31B-DA49-4A1A-956D-B97589D123E5}" name="Kolonna15322"/>
    <tableColumn id="15661" xr3:uid="{F8A9178E-6A5B-4A07-BB1D-DEE2C9832FEF}" name="Kolonna15323"/>
    <tableColumn id="15662" xr3:uid="{3D833CE2-2FD0-427D-A1AC-27176484D042}" name="Kolonna15324"/>
    <tableColumn id="15663" xr3:uid="{1770EC8A-99C4-4D87-9E18-62D57DF26F26}" name="Kolonna15325"/>
    <tableColumn id="15664" xr3:uid="{B028D0DB-C4F2-4C42-9745-BDA99ACEAD11}" name="Kolonna15326"/>
    <tableColumn id="15665" xr3:uid="{4345CFE8-630C-4A3D-A808-F405F9463C0D}" name="Kolonna15327"/>
    <tableColumn id="15666" xr3:uid="{D3BEE7DB-B8C9-4861-919A-E02B479F1AAF}" name="Kolonna15328"/>
    <tableColumn id="15667" xr3:uid="{66F1D4B6-EBF3-4083-996C-EA30A1DDC303}" name="Kolonna15329"/>
    <tableColumn id="15668" xr3:uid="{CC52347F-2877-463D-B450-C3B714CAE2D9}" name="Kolonna15330"/>
    <tableColumn id="15669" xr3:uid="{81570F16-4470-4D94-A7A6-6CFBB12EA8A9}" name="Kolonna15331"/>
    <tableColumn id="15670" xr3:uid="{14BDD3C5-A44E-4047-BC27-53E1C79C7614}" name="Kolonna15332"/>
    <tableColumn id="15671" xr3:uid="{AA203FAC-96AC-4B73-9634-C6C8333A0291}" name="Kolonna15333"/>
    <tableColumn id="15672" xr3:uid="{D5CE7C24-3D08-42A7-B07E-4C65525D07F1}" name="Kolonna15334"/>
    <tableColumn id="15673" xr3:uid="{E30A6AEE-491B-4C32-ACFD-720530882D17}" name="Kolonna15335"/>
    <tableColumn id="15674" xr3:uid="{0FA30819-3E03-46F6-9AEE-4ACE230B8ED0}" name="Kolonna15336"/>
    <tableColumn id="15675" xr3:uid="{6B5569DA-7556-42C3-8B1D-0A4D119F9005}" name="Kolonna15337"/>
    <tableColumn id="15676" xr3:uid="{005C5BBE-3EE1-4614-A0CB-201801EBA8B0}" name="Kolonna15338"/>
    <tableColumn id="15677" xr3:uid="{14961D5D-DA52-4CD9-A022-4E43F0C33E49}" name="Kolonna15339"/>
    <tableColumn id="15678" xr3:uid="{92B89FCF-C3E5-4648-A7F8-797BE98F033E}" name="Kolonna15340"/>
    <tableColumn id="15679" xr3:uid="{48CA22A2-AED0-4D8C-A522-C86EB0E87481}" name="Kolonna15341"/>
    <tableColumn id="15680" xr3:uid="{95687AB7-DB72-423E-91D2-A51C67D4DF28}" name="Kolonna15342"/>
    <tableColumn id="15681" xr3:uid="{E0BE22AB-5243-4F3A-823A-AD4DDE9B0FAA}" name="Kolonna15343"/>
    <tableColumn id="15682" xr3:uid="{DB4ECD58-01B8-455D-8061-1C9DCDBF5007}" name="Kolonna15344"/>
    <tableColumn id="15683" xr3:uid="{4D814774-411A-4FCD-ACAE-DAC64FE589FF}" name="Kolonna15345"/>
    <tableColumn id="15684" xr3:uid="{45FA8DA0-36C5-45CC-9289-53435DAD0CA3}" name="Kolonna15346"/>
    <tableColumn id="15685" xr3:uid="{7CDF2535-A2B5-4B3B-B509-DFC10B4156D1}" name="Kolonna15347"/>
    <tableColumn id="15686" xr3:uid="{E815EE2C-A652-4A35-A959-F0E8AB098419}" name="Kolonna15348"/>
    <tableColumn id="15687" xr3:uid="{206CB62F-3349-4345-A8DF-F95348ECD7BB}" name="Kolonna15349"/>
    <tableColumn id="15688" xr3:uid="{05263C7F-8FBC-440C-BDE5-1085922ECF96}" name="Kolonna15350"/>
    <tableColumn id="15689" xr3:uid="{A6A89DBA-2E67-477E-91B2-8FC0D2932C1C}" name="Kolonna15351"/>
    <tableColumn id="15690" xr3:uid="{EA602E37-1BC4-4E3F-A606-A65666117A47}" name="Kolonna15352"/>
    <tableColumn id="15691" xr3:uid="{6C85ADEE-CD0B-41D3-98B9-480E7E454F57}" name="Kolonna15353"/>
    <tableColumn id="15692" xr3:uid="{770387F0-F573-4053-828A-E6DAB676317F}" name="Kolonna15354"/>
    <tableColumn id="15693" xr3:uid="{6100C6BA-2CCE-41C2-A2D0-196B62FCA694}" name="Kolonna15355"/>
    <tableColumn id="15694" xr3:uid="{D50E57DE-443D-4979-81B0-167883220EFA}" name="Kolonna15356"/>
    <tableColumn id="15695" xr3:uid="{549C5D58-751F-4940-9868-25DDD435A356}" name="Kolonna15357"/>
    <tableColumn id="15696" xr3:uid="{21D51AA1-4E46-4CA8-AE64-EA184475A467}" name="Kolonna15358"/>
    <tableColumn id="15697" xr3:uid="{4F75B229-4282-4E4B-891F-14F521D1FE2B}" name="Kolonna15359"/>
    <tableColumn id="15698" xr3:uid="{EB2A742C-FA9E-4D1F-83C6-378D7AE8F080}" name="Kolonna15360"/>
    <tableColumn id="15699" xr3:uid="{A0D034F3-522D-4AD4-9DC3-770AEB5A11CD}" name="Kolonna15361"/>
    <tableColumn id="15700" xr3:uid="{E38A981D-41AE-49A0-9F89-69140F2D5A55}" name="Kolonna15362"/>
    <tableColumn id="15701" xr3:uid="{7C765503-8D0B-4862-BCF8-3E8CE29E2E78}" name="Kolonna15363"/>
    <tableColumn id="15702" xr3:uid="{6A22183C-70B5-49B5-8680-6B8D1D9A9F07}" name="Kolonna15364"/>
    <tableColumn id="15703" xr3:uid="{B7256791-52BE-4D2B-80CC-64791C89F685}" name="Kolonna15365"/>
    <tableColumn id="15704" xr3:uid="{8333C025-7A0E-48B1-8948-B904A3076A8F}" name="Kolonna15366"/>
    <tableColumn id="15705" xr3:uid="{98C6F5D9-C3E1-4668-AD4E-E416ADBBB843}" name="Kolonna15367"/>
    <tableColumn id="15706" xr3:uid="{7B40AB10-9FA8-40C8-8917-982B95FB607D}" name="Kolonna15368"/>
    <tableColumn id="15707" xr3:uid="{D31A0DCA-0160-4ECE-95FA-F047F9593D26}" name="Kolonna15369"/>
    <tableColumn id="15708" xr3:uid="{E24607FB-B520-4C75-851A-2F70F3CB5D1F}" name="Kolonna15370"/>
    <tableColumn id="15709" xr3:uid="{33BE075E-21EA-414F-A8C4-8048BAEFA48A}" name="Kolonna15371"/>
    <tableColumn id="15710" xr3:uid="{C6030DF2-4F99-433B-91FC-53FA1739A266}" name="Kolonna15372"/>
    <tableColumn id="15711" xr3:uid="{DC58BFAC-CC4F-4AEB-8DF7-396C3ABE601E}" name="Kolonna15373"/>
    <tableColumn id="15712" xr3:uid="{8C79C258-F61D-4285-A6D8-838C59BA450E}" name="Kolonna15374"/>
    <tableColumn id="15713" xr3:uid="{E2F54CA9-C01F-43B6-8E04-5B18024C1503}" name="Kolonna15375"/>
    <tableColumn id="15714" xr3:uid="{856D93EA-F7CA-4DC4-812D-6B9F9614DF14}" name="Kolonna15376"/>
    <tableColumn id="15715" xr3:uid="{3EF71027-A238-4AA0-946D-177C979C2834}" name="Kolonna15377"/>
    <tableColumn id="15716" xr3:uid="{0AB3E317-62C3-4341-86D4-3268F389FB2C}" name="Kolonna15378"/>
    <tableColumn id="15717" xr3:uid="{27E18FAF-5B83-40DE-B1DD-DD24BAE76EE9}" name="Kolonna15379"/>
    <tableColumn id="15718" xr3:uid="{0C229146-8D74-4ACB-8E3E-4B3BFF047A60}" name="Kolonna15380"/>
    <tableColumn id="15719" xr3:uid="{1B104644-18B2-4044-ADA3-E7C597779B55}" name="Kolonna15381"/>
    <tableColumn id="15720" xr3:uid="{0CB3A36C-009E-4060-A513-CB2C5F5F44E7}" name="Kolonna15382"/>
    <tableColumn id="15721" xr3:uid="{D9118F4A-4775-43D0-B8B1-3B9ECEA34993}" name="Kolonna15383"/>
    <tableColumn id="15722" xr3:uid="{576C9F48-7A22-4F3A-A26B-8B067889F04E}" name="Kolonna15384"/>
    <tableColumn id="15723" xr3:uid="{51FFCAE3-4826-4631-85E9-6E5C2A7B75B4}" name="Kolonna15385"/>
    <tableColumn id="15724" xr3:uid="{7F31DDC6-7C9C-4357-8D09-57E324D9767F}" name="Kolonna15386"/>
    <tableColumn id="15725" xr3:uid="{E15897EB-A008-4DB4-B740-83F2883CACC6}" name="Kolonna15387"/>
    <tableColumn id="15726" xr3:uid="{BE624AE8-5657-4421-BA4D-B5FFA47BC53F}" name="Kolonna15388"/>
    <tableColumn id="15727" xr3:uid="{7C53F4DB-E0CC-47A3-B692-78B97C933B56}" name="Kolonna15389"/>
    <tableColumn id="15728" xr3:uid="{435B517F-8E6A-4FE7-BFD0-321502D1ABEB}" name="Kolonna15390"/>
    <tableColumn id="15729" xr3:uid="{C20E56E1-040B-45BF-8B21-0145F3DE9AD9}" name="Kolonna15391"/>
    <tableColumn id="15730" xr3:uid="{D9679077-1557-498C-A9DF-8CB7D5550A53}" name="Kolonna15392"/>
    <tableColumn id="15731" xr3:uid="{FDEACFC7-1806-4115-99C7-A369D032B736}" name="Kolonna15393"/>
    <tableColumn id="15732" xr3:uid="{5E678C89-0694-4159-AB42-99EC4CE24902}" name="Kolonna15394"/>
    <tableColumn id="15733" xr3:uid="{89C3AE92-E09B-46DC-8F6D-ACF9EDB474E1}" name="Kolonna15395"/>
    <tableColumn id="15734" xr3:uid="{83BE98F7-201D-4B18-9F85-B7D84D87B825}" name="Kolonna15396"/>
    <tableColumn id="15735" xr3:uid="{0C7C2B53-54B7-4839-B277-5AE6E2A69052}" name="Kolonna15397"/>
    <tableColumn id="15736" xr3:uid="{8143E8BB-7C9F-4DC7-B2E9-1E79122F8924}" name="Kolonna15398"/>
    <tableColumn id="15737" xr3:uid="{40E27246-9FB6-4D79-8831-C74BAB40FE1B}" name="Kolonna15399"/>
    <tableColumn id="15738" xr3:uid="{2817D198-2390-4EED-8637-06AB250575F8}" name="Kolonna15400"/>
    <tableColumn id="15739" xr3:uid="{B682E87C-5C7C-4462-AFCB-7DF84A3C3335}" name="Kolonna15401"/>
    <tableColumn id="15740" xr3:uid="{4D127FEA-8409-4AFE-A69F-5E7D36B93C24}" name="Kolonna15402"/>
    <tableColumn id="15741" xr3:uid="{25FA87E9-A7A5-436B-9CF9-CEF2C2CA78D1}" name="Kolonna15403"/>
    <tableColumn id="15742" xr3:uid="{64A71A58-D2EB-4E17-B153-E738F9BABF7A}" name="Kolonna15404"/>
    <tableColumn id="15743" xr3:uid="{4F76ECC2-31AC-4BC6-9C99-2F873102ED58}" name="Kolonna15405"/>
    <tableColumn id="15744" xr3:uid="{103E2D19-6F36-420F-9B03-2974880A5A3E}" name="Kolonna15406"/>
    <tableColumn id="15745" xr3:uid="{CEE75BF5-019A-4A94-895E-234BA6F35E2C}" name="Kolonna15407"/>
    <tableColumn id="15746" xr3:uid="{984B9E0D-367B-41C5-8B39-86DD4AD44907}" name="Kolonna15408"/>
    <tableColumn id="15747" xr3:uid="{14D68898-DF9E-4ECE-B9DD-A18F03DCD55B}" name="Kolonna15409"/>
    <tableColumn id="15748" xr3:uid="{3BAE9351-D049-48A9-93C8-F904F213E505}" name="Kolonna15410"/>
    <tableColumn id="15749" xr3:uid="{820FCCD7-A499-4D49-9FCC-8E46B065117A}" name="Kolonna15411"/>
    <tableColumn id="15750" xr3:uid="{AE23C6C1-CDA5-493B-BAA6-8E7108E9587B}" name="Kolonna15412"/>
    <tableColumn id="15751" xr3:uid="{005E070C-A918-4A23-9B45-E35C4ED59F10}" name="Kolonna15413"/>
    <tableColumn id="15752" xr3:uid="{4375CE01-66FB-4A7C-8382-3F26FAF1A310}" name="Kolonna15414"/>
    <tableColumn id="15753" xr3:uid="{775D8F65-DE24-4408-8676-22D1B4EEAE81}" name="Kolonna15415"/>
    <tableColumn id="15754" xr3:uid="{C7D37929-E7D6-4F88-9086-E9918B8E3AD4}" name="Kolonna15416"/>
    <tableColumn id="15755" xr3:uid="{78925884-B60F-4EAF-8465-C0869702A75A}" name="Kolonna15417"/>
    <tableColumn id="15756" xr3:uid="{9CE03055-8339-478D-9F62-DCFBD8629E0F}" name="Kolonna15418"/>
    <tableColumn id="15757" xr3:uid="{A70ADB8E-FDAC-4392-8457-185F4B175D36}" name="Kolonna15419"/>
    <tableColumn id="15758" xr3:uid="{5DC5AB07-349C-4F69-AE8C-E0F136276869}" name="Kolonna15420"/>
    <tableColumn id="15759" xr3:uid="{A74D2CD1-4D93-4B78-BD85-766727194898}" name="Kolonna15421"/>
    <tableColumn id="15760" xr3:uid="{C3D9843C-D7B0-4F3A-8EAF-D6B1A1D96BA3}" name="Kolonna15422"/>
    <tableColumn id="15761" xr3:uid="{BC5FF94B-CF56-41B6-8194-C298C1AAFAA5}" name="Kolonna15423"/>
    <tableColumn id="15762" xr3:uid="{5FD1F434-98FA-4D4A-BB31-B5CBF5E65AD6}" name="Kolonna15424"/>
    <tableColumn id="15763" xr3:uid="{64243E66-C787-414B-8B0D-4782A89297B4}" name="Kolonna15425"/>
    <tableColumn id="15764" xr3:uid="{C9CF44A7-F6FA-417D-A57F-EEE429C4361B}" name="Kolonna15426"/>
    <tableColumn id="15765" xr3:uid="{C5069E41-F661-4834-B280-755B39FB3603}" name="Kolonna15427"/>
    <tableColumn id="15766" xr3:uid="{16C65195-AC79-4DB2-979F-EFFAA9971226}" name="Kolonna15428"/>
    <tableColumn id="15767" xr3:uid="{4ABA291B-BCAB-441C-90EC-02BEF6A82E4E}" name="Kolonna15429"/>
    <tableColumn id="15768" xr3:uid="{5E8B9A12-8990-40B3-8F37-B14F09AF857C}" name="Kolonna15430"/>
    <tableColumn id="15769" xr3:uid="{E405914F-FA26-4BC1-BC2C-CDD6AE93C460}" name="Kolonna15431"/>
    <tableColumn id="15770" xr3:uid="{0A9F9E45-468F-4CDC-BF8C-B70298AC6C50}" name="Kolonna15432"/>
    <tableColumn id="15771" xr3:uid="{8DDC69A9-BC8B-4505-846E-29EF0E754082}" name="Kolonna15433"/>
    <tableColumn id="15772" xr3:uid="{8B5D426E-D8BC-4352-A303-DF07E1268ED5}" name="Kolonna15434"/>
    <tableColumn id="15773" xr3:uid="{D59430A1-DF4D-4939-ADCE-AE957581EC5C}" name="Kolonna15435"/>
    <tableColumn id="15774" xr3:uid="{D950A40C-E5D5-4970-B2EC-E63848B79E15}" name="Kolonna15436"/>
    <tableColumn id="15775" xr3:uid="{EF0BA4E3-1C0B-4FB6-A2E8-7250D7015AA7}" name="Kolonna15437"/>
    <tableColumn id="15776" xr3:uid="{74699704-7215-4D02-BEF8-B292016D128A}" name="Kolonna15438"/>
    <tableColumn id="15777" xr3:uid="{C700F367-9682-4693-886A-6F3C39E4B63D}" name="Kolonna15439"/>
    <tableColumn id="15778" xr3:uid="{52C2BEBA-ADA7-42A7-9FFE-670A1260929F}" name="Kolonna15440"/>
    <tableColumn id="15779" xr3:uid="{3202BD3C-411B-4F30-B333-15875CBC8F8A}" name="Kolonna15441"/>
    <tableColumn id="15780" xr3:uid="{A84D0066-0E8E-44FB-9046-58DC9DDF3D58}" name="Kolonna15442"/>
    <tableColumn id="15781" xr3:uid="{22D3F024-AE82-4290-812B-4A09A048ADAC}" name="Kolonna15443"/>
    <tableColumn id="15782" xr3:uid="{D650DF2F-54B5-4F3D-9411-1C448B0A98AB}" name="Kolonna15444"/>
    <tableColumn id="15783" xr3:uid="{E4F08775-AA1D-465D-811E-A0EA29907C34}" name="Kolonna15445"/>
    <tableColumn id="15784" xr3:uid="{BC66679B-224B-4507-BBEA-B57D8D3F52DD}" name="Kolonna15446"/>
    <tableColumn id="15785" xr3:uid="{F6C3A25E-F886-4D6B-91FF-E8835B9CCB03}" name="Kolonna15447"/>
    <tableColumn id="15786" xr3:uid="{1735B67D-9CFC-42FE-B9F2-B95D5A1BC6FA}" name="Kolonna15448"/>
    <tableColumn id="15787" xr3:uid="{36E74689-BFB8-41DD-B5AA-ACB1B27DD2E5}" name="Kolonna15449"/>
    <tableColumn id="15788" xr3:uid="{614AE0C1-2AD0-450F-A53C-36F357DCF399}" name="Kolonna15450"/>
    <tableColumn id="15789" xr3:uid="{F71C3DC2-22F1-48CE-B7E6-D2E36942E2B4}" name="Kolonna15451"/>
    <tableColumn id="15790" xr3:uid="{B8BD67F8-7D5F-4656-942E-9CA6D9DEE8EA}" name="Kolonna15452"/>
    <tableColumn id="15791" xr3:uid="{0F38080C-9093-467F-AB15-A9CDB1837E6F}" name="Kolonna15453"/>
    <tableColumn id="15792" xr3:uid="{5743011B-F033-4E5E-943C-FCB3865E41D6}" name="Kolonna15454"/>
    <tableColumn id="15793" xr3:uid="{91A30D68-EF01-4E16-875B-C01E08876CAB}" name="Kolonna15455"/>
    <tableColumn id="15794" xr3:uid="{979528BE-C442-4BBD-83AC-8231088AFC26}" name="Kolonna15456"/>
    <tableColumn id="15795" xr3:uid="{5EF6ACE9-8E48-486B-B9D7-FBE7925C4F8C}" name="Kolonna15457"/>
    <tableColumn id="15796" xr3:uid="{9B7B2277-F147-4E5E-93E3-695EE4F7693F}" name="Kolonna15458"/>
    <tableColumn id="15797" xr3:uid="{8E55A7AC-38D5-45ED-8AD0-CA2E622F7936}" name="Kolonna15459"/>
    <tableColumn id="15798" xr3:uid="{FD219BF0-5F06-4C08-91BE-9F6AD5B3ACE5}" name="Kolonna15460"/>
    <tableColumn id="15799" xr3:uid="{EB6171D3-8701-4DA5-B551-CCB7E1CE3CB8}" name="Kolonna15461"/>
    <tableColumn id="15800" xr3:uid="{6EAFCF8D-4DCB-4260-8AF5-7490DC42113C}" name="Kolonna15462"/>
    <tableColumn id="15801" xr3:uid="{273CFB15-5DE2-450D-A204-1E36918472F3}" name="Kolonna15463"/>
    <tableColumn id="15802" xr3:uid="{7D555108-B53A-4E56-B6A7-2A91170DB0E7}" name="Kolonna15464"/>
    <tableColumn id="15803" xr3:uid="{0B9A0D10-2866-428B-94C5-958030358E8F}" name="Kolonna15465"/>
    <tableColumn id="15804" xr3:uid="{9567739C-70FA-46DE-9C1A-58C6E9F9AC12}" name="Kolonna15466"/>
    <tableColumn id="15805" xr3:uid="{F67D52FE-C690-4597-9380-53961753A977}" name="Kolonna15467"/>
    <tableColumn id="15806" xr3:uid="{6D1D6F28-69C4-422C-AC2F-B521464FB304}" name="Kolonna15468"/>
    <tableColumn id="15807" xr3:uid="{A47BB387-550B-4893-99CD-3CAA529A2A0F}" name="Kolonna15469"/>
    <tableColumn id="15808" xr3:uid="{D921996F-59A5-4E99-AEBF-2C9A03C2EDAF}" name="Kolonna15470"/>
    <tableColumn id="15809" xr3:uid="{9D80A044-9601-4F3C-8A44-82F3E550264D}" name="Kolonna15471"/>
    <tableColumn id="15810" xr3:uid="{25BDF1A9-77EC-454B-B052-2836861F8AAB}" name="Kolonna15472"/>
    <tableColumn id="15811" xr3:uid="{D3E9C09A-2EF6-4A5A-861B-3C75A4313F5E}" name="Kolonna15473"/>
    <tableColumn id="15812" xr3:uid="{BD671399-8B22-488A-81E2-0797332E7206}" name="Kolonna15474"/>
    <tableColumn id="15813" xr3:uid="{F14B14EB-614A-4F1E-A349-6843151CB171}" name="Kolonna15475"/>
    <tableColumn id="15814" xr3:uid="{ABB34620-3F83-4E0B-BB17-0322870514A1}" name="Kolonna15476"/>
    <tableColumn id="15815" xr3:uid="{46A673AB-3C64-46FF-977D-DE2E756A1FAC}" name="Kolonna15477"/>
    <tableColumn id="15816" xr3:uid="{F73FD10D-C7BD-4FC3-BFBA-952026F7A463}" name="Kolonna15478"/>
    <tableColumn id="15817" xr3:uid="{FC1EDED9-401B-4875-B77E-F0220832F841}" name="Kolonna15479"/>
    <tableColumn id="15818" xr3:uid="{191DE850-F659-49DE-BD96-468D91E99ED4}" name="Kolonna15480"/>
    <tableColumn id="15819" xr3:uid="{D97D5F43-7AAA-4C77-834D-44AAE1DCAE3F}" name="Kolonna15481"/>
    <tableColumn id="15820" xr3:uid="{F98F8706-2A5C-46FE-9FC8-9959511FA216}" name="Kolonna15482"/>
    <tableColumn id="15821" xr3:uid="{E2F39E5A-11BE-4519-91EA-C8BFCB17F0C3}" name="Kolonna15483"/>
    <tableColumn id="15822" xr3:uid="{59936E3D-04DA-4BD5-9AE1-0DCFA04BB337}" name="Kolonna15484"/>
    <tableColumn id="15823" xr3:uid="{132A9A81-A7D0-4D75-8165-8828350D18EB}" name="Kolonna15485"/>
    <tableColumn id="15824" xr3:uid="{E4298FD7-1AFE-46EE-9B2D-C6205475AF72}" name="Kolonna15486"/>
    <tableColumn id="15825" xr3:uid="{23E7A90D-221C-4BA4-957D-1C05BD508A47}" name="Kolonna15487"/>
    <tableColumn id="15826" xr3:uid="{D17E14EF-186F-4C08-921F-22612198D134}" name="Kolonna15488"/>
    <tableColumn id="15827" xr3:uid="{12E52F41-8FB2-44BF-B21D-1818B0C2F4E0}" name="Kolonna15489"/>
    <tableColumn id="15828" xr3:uid="{EAA09D91-4FF5-4C47-860A-EED6C3BF3BAA}" name="Kolonna15490"/>
    <tableColumn id="15829" xr3:uid="{FDBABE4B-BDAF-45B7-99C1-BBD01B224CE4}" name="Kolonna15491"/>
    <tableColumn id="15830" xr3:uid="{7F687C47-C3D5-44D6-AB5B-FF63421DE729}" name="Kolonna15492"/>
    <tableColumn id="15831" xr3:uid="{10CC7295-8A88-45BF-A729-A034133A66E6}" name="Kolonna15493"/>
    <tableColumn id="15832" xr3:uid="{B722C405-1152-4055-9CA3-652472BCFA15}" name="Kolonna15494"/>
    <tableColumn id="15833" xr3:uid="{93838536-4C30-4DFB-903B-09269BEACA88}" name="Kolonna15495"/>
    <tableColumn id="15834" xr3:uid="{8ADCE6E3-054C-4A20-9E34-0027170E6150}" name="Kolonna15496"/>
    <tableColumn id="15835" xr3:uid="{E6ACC939-E2CA-439F-AB37-6DF408AB68FA}" name="Kolonna15497"/>
    <tableColumn id="15836" xr3:uid="{FBAD62EB-DB00-425E-87A1-49BBB1724D8E}" name="Kolonna15498"/>
    <tableColumn id="15837" xr3:uid="{3A1090CE-D0AE-4EED-A336-F39F4560637F}" name="Kolonna15499"/>
    <tableColumn id="15838" xr3:uid="{E85DD994-D329-401A-8171-DB9BE9CF7809}" name="Kolonna15500"/>
    <tableColumn id="15839" xr3:uid="{B1D50843-07CE-4E1E-BEBB-F0A89F74F8D9}" name="Kolonna15501"/>
    <tableColumn id="15840" xr3:uid="{A8747759-28ED-4981-84CC-C0F8F684187D}" name="Kolonna15502"/>
    <tableColumn id="15841" xr3:uid="{22B9469A-F441-47B6-8E1B-5FB70D3845D2}" name="Kolonna15503"/>
    <tableColumn id="15842" xr3:uid="{AA467940-715B-4ED8-B72D-1942712C466E}" name="Kolonna15504"/>
    <tableColumn id="15843" xr3:uid="{8D67FC8E-649B-4391-9D13-94CB7BC939C0}" name="Kolonna15505"/>
    <tableColumn id="15844" xr3:uid="{0EFA0509-426D-4D0A-9BA8-45C2F1B384CA}" name="Kolonna15506"/>
    <tableColumn id="15845" xr3:uid="{1FC21BD4-DCF0-482E-8250-F86F7DB42480}" name="Kolonna15507"/>
    <tableColumn id="15846" xr3:uid="{A3E9E5C9-F5FD-413E-ACCA-5B36906D8776}" name="Kolonna15508"/>
    <tableColumn id="15847" xr3:uid="{FDE559C3-EA53-4867-A190-177D5DFF16DE}" name="Kolonna15509"/>
    <tableColumn id="15848" xr3:uid="{A6EF75EA-EE2C-45E3-A239-90FC9FF3D5E4}" name="Kolonna15510"/>
    <tableColumn id="15849" xr3:uid="{6DDE8DB2-7E23-4EAE-9612-2D91A77C0A54}" name="Kolonna15511"/>
    <tableColumn id="15850" xr3:uid="{6501CAEF-F853-4796-A14D-81D21F71EDC1}" name="Kolonna15512"/>
    <tableColumn id="15851" xr3:uid="{89B33C1A-4749-41EA-A97C-A6974F09D07E}" name="Kolonna15513"/>
    <tableColumn id="15852" xr3:uid="{E52BA61D-3BA5-48DF-84EE-2418F8A0A662}" name="Kolonna15514"/>
    <tableColumn id="15853" xr3:uid="{DA54F4BA-646E-46DC-A890-38434DA20744}" name="Kolonna15515"/>
    <tableColumn id="15854" xr3:uid="{212ADA6E-D39F-424C-B2D5-D7950C0AF8C6}" name="Kolonna15516"/>
    <tableColumn id="15855" xr3:uid="{9B4E33BC-4DFC-4268-8A24-9903F89AE8BF}" name="Kolonna15517"/>
    <tableColumn id="15856" xr3:uid="{B20329ED-CDBA-4679-A8F4-82B310E3814E}" name="Kolonna15518"/>
    <tableColumn id="15857" xr3:uid="{D5DD1265-455E-48B4-A998-A73B07E7D2FE}" name="Kolonna15519"/>
    <tableColumn id="15858" xr3:uid="{B47693D4-918D-4105-881E-547EA31EA797}" name="Kolonna15520"/>
    <tableColumn id="15859" xr3:uid="{5B384455-DBBD-4948-8728-EBFA5B19092A}" name="Kolonna15521"/>
    <tableColumn id="15860" xr3:uid="{B2ECBBAC-6E56-4A44-9F44-D59E70ABF0E2}" name="Kolonna15522"/>
    <tableColumn id="15861" xr3:uid="{0BFB948E-0D4D-42A7-93DC-03DD6814E1A8}" name="Kolonna15523"/>
    <tableColumn id="15862" xr3:uid="{3E1BA4A0-2A81-43C4-8286-BDBBF50CB66D}" name="Kolonna15524"/>
    <tableColumn id="15863" xr3:uid="{0ECA4A44-7EE3-46BA-8530-6E222700192A}" name="Kolonna15525"/>
    <tableColumn id="15864" xr3:uid="{81ADA3D5-AB67-4D6A-8D3E-E73832D8E4DF}" name="Kolonna15526"/>
    <tableColumn id="15865" xr3:uid="{675CC251-3473-4D09-98AF-FBB281711E40}" name="Kolonna15527"/>
    <tableColumn id="15866" xr3:uid="{FE46DCCE-ED36-4E98-BC3C-540BD7566D04}" name="Kolonna15528"/>
    <tableColumn id="15867" xr3:uid="{6B620E52-0DAF-4B1B-B778-C909D5232EE2}" name="Kolonna15529"/>
    <tableColumn id="15868" xr3:uid="{D5ADC6E2-7F25-41D0-A3B9-A5F5F5069E22}" name="Kolonna15530"/>
    <tableColumn id="15869" xr3:uid="{206F6D55-1C0B-488A-B09A-E1C9A7D37EEE}" name="Kolonna15531"/>
    <tableColumn id="15870" xr3:uid="{D085AAD3-99F7-4070-A1DD-64A40FC005E4}" name="Kolonna15532"/>
    <tableColumn id="15871" xr3:uid="{87698A35-3253-47C9-98E0-ED3934A197AA}" name="Kolonna15533"/>
    <tableColumn id="15872" xr3:uid="{D34DEB40-C4A4-4B5E-A158-6551BD878B4B}" name="Kolonna15534"/>
    <tableColumn id="15873" xr3:uid="{0292FC97-090B-4D94-A581-78D9A4B61DAD}" name="Kolonna15535"/>
    <tableColumn id="15874" xr3:uid="{F8387263-1378-4BEF-9ADB-E9E9C98D6E6B}" name="Kolonna15536"/>
    <tableColumn id="15875" xr3:uid="{EC2EFD85-5952-4371-8980-49B5B323209C}" name="Kolonna15537"/>
    <tableColumn id="15876" xr3:uid="{E4F3CE1F-1314-4A51-A84E-3126591D4154}" name="Kolonna15538"/>
    <tableColumn id="15877" xr3:uid="{3E382113-845F-411D-BD3A-BC180E0FA418}" name="Kolonna15539"/>
    <tableColumn id="15878" xr3:uid="{356F8CE8-2DC0-4EC8-AD7E-3A1D66BBA882}" name="Kolonna15540"/>
    <tableColumn id="15879" xr3:uid="{51259915-A831-41EC-BCBD-C1F0019D15EB}" name="Kolonna15541"/>
    <tableColumn id="15880" xr3:uid="{F605FAFD-CE9A-4993-B878-AC7FC2AFD809}" name="Kolonna15542"/>
    <tableColumn id="15881" xr3:uid="{C1E3969C-FEE2-49D4-A402-53C54FB640C2}" name="Kolonna15543"/>
    <tableColumn id="15882" xr3:uid="{887D5EB5-B627-4BC5-9550-FA362898261E}" name="Kolonna15544"/>
    <tableColumn id="15883" xr3:uid="{3E12ACF0-BC91-4EA3-B535-EB3C7203970E}" name="Kolonna15545"/>
    <tableColumn id="15884" xr3:uid="{A9C23436-0819-4C86-8F21-2D2D70B00DDB}" name="Kolonna15546"/>
    <tableColumn id="15885" xr3:uid="{D2699DC8-6025-42CB-B2D5-14522A31C385}" name="Kolonna15547"/>
    <tableColumn id="15886" xr3:uid="{480659DD-BD16-4044-BD47-2E9A32841A09}" name="Kolonna15548"/>
    <tableColumn id="15887" xr3:uid="{9C7A58FB-2A0A-4F48-8688-CE84E86F7DED}" name="Kolonna15549"/>
    <tableColumn id="15888" xr3:uid="{49572548-966D-488C-9476-C02347281F6D}" name="Kolonna15550"/>
    <tableColumn id="15889" xr3:uid="{76E0F757-3A0C-4F72-80E2-495FDCA86F27}" name="Kolonna15551"/>
    <tableColumn id="15890" xr3:uid="{9D400E44-E6A7-4D11-86CE-DD64E0DC2905}" name="Kolonna15552"/>
    <tableColumn id="15891" xr3:uid="{4C7E4974-AD9E-4803-A4CC-B6187722DB7A}" name="Kolonna15553"/>
    <tableColumn id="15892" xr3:uid="{C2CC6580-EFD4-4D3F-9642-9E680CE8A3C8}" name="Kolonna15554"/>
    <tableColumn id="15893" xr3:uid="{87887FCC-2E5B-45F1-8F5D-8F6AE41E1B6F}" name="Kolonna15555"/>
    <tableColumn id="15894" xr3:uid="{7E07BB03-097B-4925-BFF3-40BBFAAD5FAF}" name="Kolonna15556"/>
    <tableColumn id="15895" xr3:uid="{59C401C6-F6DE-49B9-BE52-8B29F6D7B76F}" name="Kolonna15557"/>
    <tableColumn id="15896" xr3:uid="{0AD7EDA8-F536-4F55-BD69-BAA64C0DE508}" name="Kolonna15558"/>
    <tableColumn id="15897" xr3:uid="{806C8DCE-9812-4502-A815-D487010321BD}" name="Kolonna15559"/>
    <tableColumn id="15898" xr3:uid="{63CC2C51-A79D-4D4A-AE7B-4A552244042D}" name="Kolonna15560"/>
    <tableColumn id="15899" xr3:uid="{3486AF3E-E797-4582-A513-DFE3C3E6D345}" name="Kolonna15561"/>
    <tableColumn id="15900" xr3:uid="{70D3776D-17EB-4480-9891-0AEC63351497}" name="Kolonna15562"/>
    <tableColumn id="15901" xr3:uid="{8D1A8714-1D78-4FA1-AE8F-A009CCA82A30}" name="Kolonna15563"/>
    <tableColumn id="15902" xr3:uid="{B1B88D3B-2435-4747-B3B1-F1D1E529989B}" name="Kolonna15564"/>
    <tableColumn id="15903" xr3:uid="{A0D335F1-FA56-4BCA-8324-195B1F7E2F81}" name="Kolonna15565"/>
    <tableColumn id="15904" xr3:uid="{9DCEBE14-96A9-4FC6-9D39-4C1A5AEF9720}" name="Kolonna15566"/>
    <tableColumn id="15905" xr3:uid="{FF9A21FD-C63A-47AD-9C91-35BCA6F28BB4}" name="Kolonna15567"/>
    <tableColumn id="15906" xr3:uid="{A0318725-9FAC-4785-AEDC-A911CFF2D076}" name="Kolonna15568"/>
    <tableColumn id="15907" xr3:uid="{9092E880-F037-4CF0-A367-42519EA39C25}" name="Kolonna15569"/>
    <tableColumn id="15908" xr3:uid="{75E0045E-036A-4EE1-BE1E-4E56E1D7539C}" name="Kolonna15570"/>
    <tableColumn id="15909" xr3:uid="{C5182951-D06C-4B23-84C5-1FB05A29884E}" name="Kolonna15571"/>
    <tableColumn id="15910" xr3:uid="{335CE47A-9A08-40B9-A510-3BC6197600CE}" name="Kolonna15572"/>
    <tableColumn id="15911" xr3:uid="{56DD40AC-467A-4ACD-AF9C-365155DD0F0F}" name="Kolonna15573"/>
    <tableColumn id="15912" xr3:uid="{839AC55C-6809-4DC3-82F0-6731C2CE9E19}" name="Kolonna15574"/>
    <tableColumn id="15913" xr3:uid="{1E077E99-7483-4635-A8C8-6A634057DDC9}" name="Kolonna15575"/>
    <tableColumn id="15914" xr3:uid="{A01B9512-B9C3-460D-A541-CB394BF468FF}" name="Kolonna15576"/>
    <tableColumn id="15915" xr3:uid="{AB22BF6E-AA6D-48EE-AAD1-1F302376290A}" name="Kolonna15577"/>
    <tableColumn id="15916" xr3:uid="{FDDAA4A4-D9E6-4A26-B072-785B3DD04069}" name="Kolonna15578"/>
    <tableColumn id="15917" xr3:uid="{BBF52C03-5A53-4B70-85C2-09E7413EFABE}" name="Kolonna15579"/>
    <tableColumn id="15918" xr3:uid="{97D9D56A-B4EC-43C2-B9D3-D1F118EBB7CF}" name="Kolonna15580"/>
    <tableColumn id="15919" xr3:uid="{415A83EA-F205-45B3-B8BD-A8DE69192A16}" name="Kolonna15581"/>
    <tableColumn id="15920" xr3:uid="{B1C52E0B-D214-417B-8E41-0E602FC8C399}" name="Kolonna15582"/>
    <tableColumn id="15921" xr3:uid="{C3497B09-1EAF-4423-9B53-4B543DD1E0E1}" name="Kolonna15583"/>
    <tableColumn id="15922" xr3:uid="{11527D73-0259-4B69-A080-8DB98ACA7DFE}" name="Kolonna15584"/>
    <tableColumn id="15923" xr3:uid="{7595AB27-EE46-498E-BAE0-3A79CED2DB02}" name="Kolonna15585"/>
    <tableColumn id="15924" xr3:uid="{A5F86127-566E-432E-8AA7-5B8801C20E44}" name="Kolonna15586"/>
    <tableColumn id="15925" xr3:uid="{35D3162C-112A-44E5-8413-52392B99D5AB}" name="Kolonna15587"/>
    <tableColumn id="15926" xr3:uid="{CD96901D-2D53-4EA2-8627-E855B9C8688A}" name="Kolonna15588"/>
    <tableColumn id="15927" xr3:uid="{464A49C8-C0E7-423F-94C8-F304F4FD1A96}" name="Kolonna15589"/>
    <tableColumn id="15928" xr3:uid="{462EA8B1-B2B7-48E2-ACE7-674115D2D304}" name="Kolonna15590"/>
    <tableColumn id="15929" xr3:uid="{56708DCB-68C4-4073-A633-1665C48212B4}" name="Kolonna15591"/>
    <tableColumn id="15930" xr3:uid="{25E73472-F0FC-402B-9545-266E0996D1A0}" name="Kolonna15592"/>
    <tableColumn id="15931" xr3:uid="{43875FCF-7B00-425C-827F-B0EF86BA4850}" name="Kolonna15593"/>
    <tableColumn id="15932" xr3:uid="{DFF47567-1611-41AA-9BA5-18F1F1134D05}" name="Kolonna15594"/>
    <tableColumn id="15933" xr3:uid="{E042B409-D253-4791-B138-99EEE452CE45}" name="Kolonna15595"/>
    <tableColumn id="15934" xr3:uid="{DAB33978-1996-499E-96C7-9632893F49B5}" name="Kolonna15596"/>
    <tableColumn id="15935" xr3:uid="{98D175C1-D4D5-4F54-ABF5-60C7B85CB466}" name="Kolonna15597"/>
    <tableColumn id="15936" xr3:uid="{A2CD5CB3-2F71-4A95-90B2-ED0B523C8D98}" name="Kolonna15598"/>
    <tableColumn id="15937" xr3:uid="{194D8175-38D9-4B1C-9211-5C25F34A98B8}" name="Kolonna15599"/>
    <tableColumn id="15938" xr3:uid="{E781327C-BC1F-46EF-9295-5476CB4D997C}" name="Kolonna15600"/>
    <tableColumn id="15939" xr3:uid="{D38ACD15-EF48-4683-B3C6-31A8FE9DC14E}" name="Kolonna15601"/>
    <tableColumn id="15940" xr3:uid="{81A2239A-4607-4508-90CD-46DE612DB0DB}" name="Kolonna15602"/>
    <tableColumn id="15941" xr3:uid="{E6421AB3-15E3-43A0-ADEC-F27A857753BC}" name="Kolonna15603"/>
    <tableColumn id="15942" xr3:uid="{80A175C4-D713-4C1C-8E3E-D9DC97FC5814}" name="Kolonna15604"/>
    <tableColumn id="15943" xr3:uid="{6DC04F9D-2BC1-4F10-A8B1-BEEDFFC56932}" name="Kolonna15605"/>
    <tableColumn id="15944" xr3:uid="{B2C11D51-176A-4059-9DFA-086D63EBE798}" name="Kolonna15606"/>
    <tableColumn id="15945" xr3:uid="{375CE658-6CDC-425A-983C-66BB113A7371}" name="Kolonna15607"/>
    <tableColumn id="15946" xr3:uid="{ED5D90F8-46F0-4068-8024-7CAF138A44CD}" name="Kolonna15608"/>
    <tableColumn id="15947" xr3:uid="{09AEA940-8142-40BC-8FE3-F58B8D3AA39E}" name="Kolonna15609"/>
    <tableColumn id="15948" xr3:uid="{927973D5-BF33-4B74-87F9-028A844C2DBC}" name="Kolonna15610"/>
    <tableColumn id="15949" xr3:uid="{AA1F6F25-1B2D-4229-9B55-A11723CE0C31}" name="Kolonna15611"/>
    <tableColumn id="15950" xr3:uid="{02C2193F-F787-4583-A886-5B8C7C92E827}" name="Kolonna15612"/>
    <tableColumn id="15951" xr3:uid="{0F9E121C-099C-4349-A820-DB73E960338A}" name="Kolonna15613"/>
    <tableColumn id="15952" xr3:uid="{2940489A-BFA8-4A08-89AC-D0CFAC108F66}" name="Kolonna15614"/>
    <tableColumn id="15953" xr3:uid="{A0777011-55AB-4098-BB25-3790423A5836}" name="Kolonna15615"/>
    <tableColumn id="15954" xr3:uid="{F6C676EF-F2DD-4E48-B422-D883EAAAAA36}" name="Kolonna15616"/>
    <tableColumn id="15955" xr3:uid="{44DD8164-E8A5-413B-B7CC-AA596F4CA810}" name="Kolonna15617"/>
    <tableColumn id="15956" xr3:uid="{1768B0AC-B520-4150-8399-982E05C2C770}" name="Kolonna15618"/>
    <tableColumn id="15957" xr3:uid="{3574279E-DE04-4C4B-8955-7146097BCE9F}" name="Kolonna15619"/>
    <tableColumn id="15958" xr3:uid="{422A1A46-B83B-4EAD-B70E-764BF90BD653}" name="Kolonna15620"/>
    <tableColumn id="15959" xr3:uid="{5A85A13A-A302-45AF-8E1D-CDCEDBAC9FAE}" name="Kolonna15621"/>
    <tableColumn id="15960" xr3:uid="{E9590F73-00AC-4C39-9B14-6E03CACF7126}" name="Kolonna15622"/>
    <tableColumn id="15961" xr3:uid="{AA32BF6F-388A-4866-A57D-D5C7A799F74D}" name="Kolonna15623"/>
    <tableColumn id="15962" xr3:uid="{3451F25D-60B8-4363-BD63-37BB391859AD}" name="Kolonna15624"/>
    <tableColumn id="15963" xr3:uid="{237590CB-0208-4B75-9CE1-EA29EC209BEE}" name="Kolonna15625"/>
    <tableColumn id="15964" xr3:uid="{953E1670-070E-41A0-8036-1C24F8E7DB73}" name="Kolonna15626"/>
    <tableColumn id="15965" xr3:uid="{5C56F741-E68A-4CEE-9D73-6FBE4A843117}" name="Kolonna15627"/>
    <tableColumn id="15966" xr3:uid="{DBDD5105-C2E4-4BBB-A66F-E329C3C61860}" name="Kolonna15628"/>
    <tableColumn id="15967" xr3:uid="{3C038B03-D770-4580-96BB-22CAE9E17B2B}" name="Kolonna15629"/>
    <tableColumn id="15968" xr3:uid="{C13DA881-6A94-4678-BB44-9FD2D0A8B75A}" name="Kolonna15630"/>
    <tableColumn id="15969" xr3:uid="{F157C1DB-3681-4A3B-97E3-D1E1670A014F}" name="Kolonna15631"/>
    <tableColumn id="15970" xr3:uid="{5B7F218F-781E-4BA5-9EF8-5A118929020D}" name="Kolonna15632"/>
    <tableColumn id="15971" xr3:uid="{9F1671F7-C31D-493F-B9A8-641E0538777E}" name="Kolonna15633"/>
    <tableColumn id="15972" xr3:uid="{6C0578D8-2E42-4AA6-891C-02AB024F410A}" name="Kolonna15634"/>
    <tableColumn id="15973" xr3:uid="{A1427785-A695-4BB5-919B-07561D362136}" name="Kolonna15635"/>
    <tableColumn id="15974" xr3:uid="{99D1C8FF-FED9-498C-B544-885CB0CC7AC0}" name="Kolonna15636"/>
    <tableColumn id="15975" xr3:uid="{0BBEBD73-56C7-49A0-AF51-B4F251C3326F}" name="Kolonna15637"/>
    <tableColumn id="15976" xr3:uid="{FCFF6B0A-D073-4F62-8030-F46D4CD91176}" name="Kolonna15638"/>
    <tableColumn id="15977" xr3:uid="{93FAD2EB-25F1-4349-B53F-49349BEF8B2A}" name="Kolonna15639"/>
    <tableColumn id="15978" xr3:uid="{63475185-FA23-428C-96B3-8BB413563929}" name="Kolonna15640"/>
    <tableColumn id="15979" xr3:uid="{08846F19-BFE3-421C-BBBB-36576AE713CB}" name="Kolonna15641"/>
    <tableColumn id="15980" xr3:uid="{95062256-08AD-443E-BC6B-FBFAB78D1689}" name="Kolonna15642"/>
    <tableColumn id="15981" xr3:uid="{7633B703-4EDC-495C-A1F2-6074527BB7E2}" name="Kolonna15643"/>
    <tableColumn id="15982" xr3:uid="{C4AF9B83-7E4B-4382-BB80-0589B74FA35B}" name="Kolonna15644"/>
    <tableColumn id="15983" xr3:uid="{A25EF08A-C40C-4E65-8AF9-3E919FFCDB99}" name="Kolonna15645"/>
    <tableColumn id="15984" xr3:uid="{EC84FB1B-7227-46D9-B39A-50286B8EF99E}" name="Kolonna15646"/>
    <tableColumn id="15985" xr3:uid="{BF6BB399-0C4F-44C2-B661-7E77EA2A66B8}" name="Kolonna15647"/>
    <tableColumn id="15986" xr3:uid="{3382AC71-7820-4AAF-9449-CD1B1053D232}" name="Kolonna15648"/>
    <tableColumn id="15987" xr3:uid="{264E64B1-96FD-46FB-97C5-AC99D15BBDEF}" name="Kolonna15649"/>
    <tableColumn id="15988" xr3:uid="{1D3D1B19-2805-401A-9ABD-250C77417EAE}" name="Kolonna15650"/>
    <tableColumn id="15989" xr3:uid="{C56676F9-6A12-49FB-AA8E-F3890F2940CE}" name="Kolonna15651"/>
    <tableColumn id="15990" xr3:uid="{79621001-6F00-48E3-A5A3-A4131627B426}" name="Kolonna15652"/>
    <tableColumn id="15991" xr3:uid="{C4A90610-AD2E-472B-8154-69203A41F79B}" name="Kolonna15653"/>
    <tableColumn id="15992" xr3:uid="{30424BCB-0B6C-407C-9783-0F57A2922A99}" name="Kolonna15654"/>
    <tableColumn id="15993" xr3:uid="{66329EB8-1022-4923-A4BE-100B80EE3A84}" name="Kolonna15655"/>
    <tableColumn id="15994" xr3:uid="{473E9F2F-A101-49EF-A759-BD2101F76466}" name="Kolonna15656"/>
    <tableColumn id="15995" xr3:uid="{B411099E-C5D4-4F5D-B1D9-864CCA4ED5AA}" name="Kolonna15657"/>
    <tableColumn id="15996" xr3:uid="{141DE944-258D-469C-9765-6EDD57C31C5F}" name="Kolonna15658"/>
    <tableColumn id="15997" xr3:uid="{601013AA-85D7-4288-9D9C-FBCA6857265C}" name="Kolonna15659"/>
    <tableColumn id="15998" xr3:uid="{30E3791C-F503-436F-AA2B-4B2EE92464BE}" name="Kolonna15660"/>
    <tableColumn id="15999" xr3:uid="{46D36A3D-8576-445B-8D94-CE987C6B5974}" name="Kolonna15661"/>
    <tableColumn id="16000" xr3:uid="{00EBB8B5-5D59-4EDF-BE07-B5A2982855F4}" name="Kolonna15662"/>
    <tableColumn id="16001" xr3:uid="{55674DBA-C6EC-4152-BF1B-0EE3795D6047}" name="Kolonna15663"/>
    <tableColumn id="16002" xr3:uid="{A9A705C4-DE85-4345-B4D3-CA775C639B92}" name="Kolonna15664"/>
    <tableColumn id="16003" xr3:uid="{68B6BD39-5FF0-4CB0-BBFC-713B1769C003}" name="Kolonna15665"/>
    <tableColumn id="16004" xr3:uid="{C4F62E32-A859-41D5-90A7-22082025D0B1}" name="Kolonna15666"/>
    <tableColumn id="16005" xr3:uid="{43630144-5B5A-4353-BA94-A66FA8C22D94}" name="Kolonna15667"/>
    <tableColumn id="16006" xr3:uid="{C7636E3E-0341-4D53-B2BB-DC1CFD8958BA}" name="Kolonna15668"/>
    <tableColumn id="16007" xr3:uid="{E7A6D6A1-9AF2-44E0-A556-96429E4B5CD4}" name="Kolonna15669"/>
    <tableColumn id="16008" xr3:uid="{06F25359-E775-4A70-8973-47D0EF5926C2}" name="Kolonna15670"/>
    <tableColumn id="16009" xr3:uid="{9898BA33-9CFB-41F4-A257-C2BA03FB6E81}" name="Kolonna15671"/>
    <tableColumn id="16010" xr3:uid="{8E578C4E-08E7-4346-963D-65107138A277}" name="Kolonna15672"/>
    <tableColumn id="16011" xr3:uid="{3920AC4A-52C8-4FCC-9BA8-051C8D4CCEC5}" name="Kolonna15673"/>
    <tableColumn id="16012" xr3:uid="{43650E97-D34C-4A9E-A62B-35F9D9A520B9}" name="Kolonna15674"/>
    <tableColumn id="16013" xr3:uid="{9A96DEF3-9822-4F8D-B1B9-6815485DBB15}" name="Kolonna15675"/>
    <tableColumn id="16014" xr3:uid="{EFA48834-8B9A-437F-A5E9-CDCF8D0615C5}" name="Kolonna15676"/>
    <tableColumn id="16015" xr3:uid="{2BDA2C2C-1F6C-4E92-8B8B-87395D1DEA7C}" name="Kolonna15677"/>
    <tableColumn id="16016" xr3:uid="{6894B00D-C710-4E71-B9BE-0CAC0CF58652}" name="Kolonna15678"/>
    <tableColumn id="16017" xr3:uid="{AD1E060A-9C15-49B8-BD03-FBFBA5DA70AE}" name="Kolonna15679"/>
    <tableColumn id="16018" xr3:uid="{7D4A98FA-5139-464E-B566-FC3FB2F65B82}" name="Kolonna15680"/>
    <tableColumn id="16019" xr3:uid="{28A29BA2-F7C7-4C0E-918E-60957EF5EEA3}" name="Kolonna15681"/>
    <tableColumn id="16020" xr3:uid="{D9049000-D471-4A67-A467-4FB912829352}" name="Kolonna15682"/>
    <tableColumn id="16021" xr3:uid="{211F5573-B1D8-4C25-B823-53BEEEB1D89E}" name="Kolonna15683"/>
    <tableColumn id="16022" xr3:uid="{C8623EA1-E7B5-4949-BBC4-0F5B9CF25D85}" name="Kolonna15684"/>
    <tableColumn id="16023" xr3:uid="{64A78DAB-47BF-48F4-8B31-208EEA3D3F4A}" name="Kolonna15685"/>
    <tableColumn id="16024" xr3:uid="{91012547-C75D-4D5C-AF13-23CF7A800594}" name="Kolonna15686"/>
    <tableColumn id="16025" xr3:uid="{F79800AE-FD80-4479-8CBE-5F5F0CA4455E}" name="Kolonna15687"/>
    <tableColumn id="16026" xr3:uid="{E86E18E5-68B3-4D4A-9583-52ADF7FE7153}" name="Kolonna15688"/>
    <tableColumn id="16027" xr3:uid="{BE781FD5-7AB3-477C-8563-336DB1512101}" name="Kolonna15689"/>
    <tableColumn id="16028" xr3:uid="{1BFC0C29-3663-475C-8934-1B36497D5E1B}" name="Kolonna15690"/>
    <tableColumn id="16029" xr3:uid="{C21A89B9-B7A4-4914-9CFD-E4400C996C05}" name="Kolonna15691"/>
    <tableColumn id="16030" xr3:uid="{54C8CCFA-0FD5-4820-B51E-FED1AB82C54F}" name="Kolonna15692"/>
    <tableColumn id="16031" xr3:uid="{63A9A136-C136-455D-8B83-D269F0FCC10E}" name="Kolonna15693"/>
    <tableColumn id="16032" xr3:uid="{9A7A21C2-5E5B-40D4-A8D1-8129B7DA6AE9}" name="Kolonna15694"/>
    <tableColumn id="16033" xr3:uid="{36E5D4A7-CB33-4FF3-9641-220F93E5E3BF}" name="Kolonna15695"/>
    <tableColumn id="16034" xr3:uid="{71212FD9-257A-4079-8382-EC89DFCF0047}" name="Kolonna15696"/>
    <tableColumn id="16035" xr3:uid="{C2553637-20A4-41C4-AB6F-095C382F5806}" name="Kolonna15697"/>
    <tableColumn id="16036" xr3:uid="{65D4992C-8650-43F5-A446-171BF9B0A99F}" name="Kolonna15698"/>
    <tableColumn id="16037" xr3:uid="{C6B9D7A4-A804-4DE5-8AD7-067D4DEA616D}" name="Kolonna15699"/>
    <tableColumn id="16038" xr3:uid="{9126A646-F7B3-43B6-B675-47A02A13643F}" name="Kolonna15700"/>
    <tableColumn id="16039" xr3:uid="{C2BE6C8A-5C99-4349-BCAE-9343F8AA75F3}" name="Kolonna15701"/>
    <tableColumn id="16040" xr3:uid="{B68FCE70-27BE-4CA5-BCA0-16CB00D5A70F}" name="Kolonna15702"/>
    <tableColumn id="16041" xr3:uid="{5B93411C-2F5E-449C-A8D3-614F202E513B}" name="Kolonna15703"/>
    <tableColumn id="16042" xr3:uid="{875BDAF1-F352-4EDF-8560-36540FC3BFFA}" name="Kolonna15704"/>
    <tableColumn id="16043" xr3:uid="{4C93AC75-DD55-479B-BACD-4AD7115E5A17}" name="Kolonna15705"/>
    <tableColumn id="16044" xr3:uid="{9FADBA1B-31C2-4DE6-A47B-BD91C0D6FC04}" name="Kolonna15706"/>
    <tableColumn id="16045" xr3:uid="{9A0E9E4B-D7C6-4086-BA48-A9CEFD2739F0}" name="Kolonna15707"/>
    <tableColumn id="16046" xr3:uid="{BA5E978B-D6BC-4989-A5E9-37C3FC9240BB}" name="Kolonna15708"/>
    <tableColumn id="16047" xr3:uid="{358DE3A4-D37C-4208-B31A-AC6A5C5BF447}" name="Kolonna15709"/>
    <tableColumn id="16048" xr3:uid="{37AA6433-E092-483B-8FD9-B7C7E70D290E}" name="Kolonna15710"/>
    <tableColumn id="16049" xr3:uid="{EC65F24E-4A1D-4546-ADAB-C98D7BB85A6E}" name="Kolonna15711"/>
    <tableColumn id="16050" xr3:uid="{1A788B6C-3B35-4A2B-B400-DC6CED92550A}" name="Kolonna15712"/>
    <tableColumn id="16051" xr3:uid="{BC15685C-BF02-4C80-B254-7F0717886A7C}" name="Kolonna15713"/>
    <tableColumn id="16052" xr3:uid="{C2781D46-7621-4791-BA3D-B47672027074}" name="Kolonna15714"/>
    <tableColumn id="16053" xr3:uid="{AC423BCE-2E6D-4051-AFA2-AEBE621326FE}" name="Kolonna15715"/>
    <tableColumn id="16054" xr3:uid="{B0D2F12C-3308-47BE-A9B8-4E802D28E24F}" name="Kolonna15716"/>
    <tableColumn id="16055" xr3:uid="{6EB6681E-008B-4113-AAD0-EB5763BF909A}" name="Kolonna15717"/>
    <tableColumn id="16056" xr3:uid="{59A6015B-8A82-4FC4-84D5-0EF1FF29CF37}" name="Kolonna15718"/>
    <tableColumn id="16057" xr3:uid="{DB09D97B-C8D5-45D8-82B7-28D4A558A6AB}" name="Kolonna15719"/>
    <tableColumn id="16058" xr3:uid="{452FEEBB-1338-4200-AAD7-83B1702546BA}" name="Kolonna15720"/>
    <tableColumn id="16059" xr3:uid="{6A8F757C-8A88-4B7D-AFC8-33A1BA92A1C2}" name="Kolonna15721"/>
    <tableColumn id="16060" xr3:uid="{B70B17F4-993B-4C27-A845-E4242CA92DA3}" name="Kolonna15722"/>
    <tableColumn id="16061" xr3:uid="{32712C51-0EBC-4689-A261-2190A4C3139A}" name="Kolonna15723"/>
    <tableColumn id="16062" xr3:uid="{818196E5-6ACE-444B-9B80-A0700BCA4AFE}" name="Kolonna15724"/>
    <tableColumn id="16063" xr3:uid="{D614764A-2806-4168-9612-372F6B17DEAF}" name="Kolonna15725"/>
    <tableColumn id="16064" xr3:uid="{32412A92-E5B2-4119-B457-4A41569825A3}" name="Kolonna15726"/>
    <tableColumn id="16065" xr3:uid="{812E04B5-AF0D-4B5A-B597-378C54FD177C}" name="Kolonna15727"/>
    <tableColumn id="16066" xr3:uid="{CFCBB252-788B-4B89-9323-34864DF88341}" name="Kolonna15728"/>
    <tableColumn id="16067" xr3:uid="{78A55EA5-A6E1-4049-8DA5-D6573FFB3DFB}" name="Kolonna15729"/>
    <tableColumn id="16068" xr3:uid="{3D54E9DC-ECB6-4AE7-86F5-3DA6ADBF2A96}" name="Kolonna15730"/>
    <tableColumn id="16069" xr3:uid="{B9FBC94F-0D2A-48A7-ACF4-AE8376A31C96}" name="Kolonna15731"/>
    <tableColumn id="16070" xr3:uid="{59B5B04C-7DA4-4784-A486-09FE3624A477}" name="Kolonna15732"/>
    <tableColumn id="16071" xr3:uid="{4D884424-5A25-4CA7-8889-4A0D66E2B3DB}" name="Kolonna15733"/>
    <tableColumn id="16072" xr3:uid="{944E1762-CF7A-407C-91D6-16519D4BCDFF}" name="Kolonna15734"/>
    <tableColumn id="16073" xr3:uid="{1BBF55D9-1BF0-457F-9CBA-2F392DF3A05F}" name="Kolonna15735"/>
    <tableColumn id="16074" xr3:uid="{588EA3FE-A339-4D6C-818F-306739CDF863}" name="Kolonna15736"/>
    <tableColumn id="16075" xr3:uid="{A5633800-35FB-4FB0-A238-EF5B896A3B5C}" name="Kolonna15737"/>
    <tableColumn id="16076" xr3:uid="{7A30B7CA-0215-475C-A1B6-FB54921F0283}" name="Kolonna15738"/>
    <tableColumn id="16077" xr3:uid="{BE1A9F97-4BC3-4911-8EC3-CA52AAE2E851}" name="Kolonna15739"/>
    <tableColumn id="16078" xr3:uid="{52867A0F-E65B-4991-B432-8BC092703EC0}" name="Kolonna15740"/>
    <tableColumn id="16079" xr3:uid="{CD07E7C7-6A15-4FC7-84A5-ACECE4897524}" name="Kolonna15741"/>
    <tableColumn id="16080" xr3:uid="{56BB7E2E-9B7E-4C31-8C1C-865ECA2720E3}" name="Kolonna15742"/>
    <tableColumn id="16081" xr3:uid="{DDBD78C1-9F3F-47E3-8067-48F8211C8C37}" name="Kolonna15743"/>
    <tableColumn id="16082" xr3:uid="{672C2622-7002-4C31-86A3-B7046A54ACD4}" name="Kolonna15744"/>
    <tableColumn id="16083" xr3:uid="{A8F09E82-7035-464C-8AA8-C55761EE4232}" name="Kolonna15745"/>
    <tableColumn id="16084" xr3:uid="{5E7D225E-4198-4C58-AD11-831DAD9C720C}" name="Kolonna15746"/>
    <tableColumn id="16085" xr3:uid="{A484C7D4-EFA7-4075-B69A-5C42DEE118EA}" name="Kolonna15747"/>
    <tableColumn id="16086" xr3:uid="{E0EE1538-7728-4F40-A51D-CC4C0BB5A8F0}" name="Kolonna15748"/>
    <tableColumn id="16087" xr3:uid="{5B9C9D26-3BF5-4D02-A4A5-51B9773AF0BB}" name="Kolonna15749"/>
    <tableColumn id="16088" xr3:uid="{BE6CE15E-E08B-4AEF-9DEA-4268F392532D}" name="Kolonna15750"/>
    <tableColumn id="16089" xr3:uid="{9B85F44E-D1E2-460F-9A11-C7BA7F99AAAB}" name="Kolonna15751"/>
    <tableColumn id="16090" xr3:uid="{478A0001-9516-4A73-9A84-CE9EBF83A6AB}" name="Kolonna15752"/>
    <tableColumn id="16091" xr3:uid="{73BE15F2-7AF2-4453-8C74-A789A3DA5D07}" name="Kolonna15753"/>
    <tableColumn id="16092" xr3:uid="{8D856149-F49C-42BC-AE90-B1C1D2683A61}" name="Kolonna15754"/>
    <tableColumn id="16093" xr3:uid="{AC6C1582-9E00-4AAE-A3F8-CF59CE73CD11}" name="Kolonna15755"/>
    <tableColumn id="16094" xr3:uid="{5CCB1B34-B0BD-4986-B81C-8A00737CCF2B}" name="Kolonna15756"/>
    <tableColumn id="16095" xr3:uid="{218149E6-DA29-4CED-AE0C-55EC46A0965A}" name="Kolonna15757"/>
    <tableColumn id="16096" xr3:uid="{BCD9ABD7-1673-4ACB-8557-8DFB52E840AD}" name="Kolonna15758"/>
    <tableColumn id="16097" xr3:uid="{80466510-12D5-4EB3-94EE-43A5DD632427}" name="Kolonna15759"/>
    <tableColumn id="16098" xr3:uid="{6C0D6949-4092-40BC-B9ED-C86857BBC222}" name="Kolonna15760"/>
    <tableColumn id="16099" xr3:uid="{432BF94F-9EEF-45C1-AED2-D7BF1CE8A1CC}" name="Kolonna15761"/>
    <tableColumn id="16100" xr3:uid="{9D11361E-BD71-4661-92E0-0EE22D7EE748}" name="Kolonna15762"/>
    <tableColumn id="16101" xr3:uid="{CBEB1A0A-5819-48D3-8512-D045964DD0A0}" name="Kolonna15763"/>
    <tableColumn id="16102" xr3:uid="{6C00D751-695A-4B58-B1F3-05B92143EFA6}" name="Kolonna15764"/>
    <tableColumn id="16103" xr3:uid="{06295699-3CF4-46DA-BFB5-BD66F73228DD}" name="Kolonna15765"/>
    <tableColumn id="16104" xr3:uid="{4ACD7F46-9523-4D4E-A6CC-6E2B24866432}" name="Kolonna15766"/>
    <tableColumn id="16105" xr3:uid="{2FF65966-2929-448A-B5FD-C25F786E1E24}" name="Kolonna15767"/>
    <tableColumn id="16106" xr3:uid="{F927D3DB-1B03-4FFD-9883-F7FF3D640D70}" name="Kolonna15768"/>
    <tableColumn id="16107" xr3:uid="{CFBE3440-B78D-463B-906A-B9999E9660A6}" name="Kolonna15769"/>
    <tableColumn id="16108" xr3:uid="{B0E84A11-E330-4F0F-B1E4-460655C75331}" name="Kolonna15770"/>
    <tableColumn id="16109" xr3:uid="{FF1AF9C5-0F75-4F51-B55B-F03DF3F8B909}" name="Kolonna15771"/>
    <tableColumn id="16110" xr3:uid="{936A7593-A4CC-4986-87F1-E107A94C074D}" name="Kolonna15772"/>
    <tableColumn id="16111" xr3:uid="{C0182872-0E31-481D-9C3E-CE5595F0E56E}" name="Kolonna15773"/>
    <tableColumn id="16112" xr3:uid="{5ADEB385-BEE0-4DDD-99F8-80870B98D789}" name="Kolonna15774"/>
    <tableColumn id="16113" xr3:uid="{4265E6FC-5E0C-455E-980E-96E65110DBA8}" name="Kolonna15775"/>
    <tableColumn id="16114" xr3:uid="{8525672A-9A1D-4A05-A4FD-C5D725D22A05}" name="Kolonna15776"/>
    <tableColumn id="16115" xr3:uid="{D9C9F5B7-C568-4B36-97AF-B76BAEB6CC20}" name="Kolonna15777"/>
    <tableColumn id="16116" xr3:uid="{992FC03B-64C3-4CD4-8F2F-A5A063FA2FD5}" name="Kolonna15778"/>
    <tableColumn id="16117" xr3:uid="{7FE9AEF1-0FC7-4049-B474-76D21693848B}" name="Kolonna15779"/>
    <tableColumn id="16118" xr3:uid="{45EB90D7-5760-4C9D-9DE2-CEEE14305449}" name="Kolonna15780"/>
    <tableColumn id="16119" xr3:uid="{3A2F822E-8387-49C7-A469-EC87E35C3E8E}" name="Kolonna15781"/>
    <tableColumn id="16120" xr3:uid="{54835630-E63E-4F77-9729-A2C322B576F9}" name="Kolonna15782"/>
    <tableColumn id="16121" xr3:uid="{B7E28B36-AA41-4526-BF3A-868D841D092D}" name="Kolonna15783"/>
    <tableColumn id="16122" xr3:uid="{B292120E-A861-4E23-8A3E-332A7B4A2EE0}" name="Kolonna15784"/>
    <tableColumn id="16123" xr3:uid="{8453BB9D-2862-4192-9B36-F19AEB697481}" name="Kolonna15785"/>
    <tableColumn id="16124" xr3:uid="{B47CEF88-B056-471F-9F2A-038BD6430472}" name="Kolonna15786"/>
    <tableColumn id="16125" xr3:uid="{F15984A7-5EEE-430E-99F3-438AE93C0349}" name="Kolonna15787"/>
    <tableColumn id="16126" xr3:uid="{546271E0-CC62-4B5D-818F-F6C6D32BC329}" name="Kolonna15788"/>
    <tableColumn id="16127" xr3:uid="{711230AD-9B17-4787-8E8C-2239EB27DF5D}" name="Kolonna15789"/>
    <tableColumn id="16128" xr3:uid="{5878899A-C2E8-49D4-8D22-BA13AB4D64EC}" name="Kolonna15790"/>
    <tableColumn id="16129" xr3:uid="{A127B166-C674-4645-A249-CF6B6182401D}" name="Kolonna15791"/>
    <tableColumn id="16130" xr3:uid="{FB6C248E-D0DD-4DB6-8B54-678927B9D691}" name="Kolonna15792"/>
    <tableColumn id="16131" xr3:uid="{A725701D-40ED-4FD7-95C5-E02C7F9AE540}" name="Kolonna15793"/>
    <tableColumn id="16132" xr3:uid="{B0820190-E52A-4DD4-A646-7568D4F8C5FD}" name="Kolonna15794"/>
    <tableColumn id="16133" xr3:uid="{56A794E8-0915-4C0B-A674-C1B03C13B579}" name="Kolonna15795"/>
    <tableColumn id="16134" xr3:uid="{5111F3AF-04B9-451F-A495-BD4498266FE4}" name="Kolonna15796"/>
    <tableColumn id="16135" xr3:uid="{0F3C0086-934D-4C2F-98C8-34576EEA0209}" name="Kolonna15797"/>
    <tableColumn id="16136" xr3:uid="{48BA6E82-8820-455A-A5DC-EFFF18D6582B}" name="Kolonna15798"/>
    <tableColumn id="16137" xr3:uid="{736D9906-9E93-4C13-A6BB-7D8BA48398BA}" name="Kolonna15799"/>
    <tableColumn id="16138" xr3:uid="{09226A8F-BBBF-4B22-889E-BC989DCD4325}" name="Kolonna15800"/>
    <tableColumn id="16139" xr3:uid="{14222FAD-A26F-4752-A0F4-925CCE1E3496}" name="Kolonna15801"/>
    <tableColumn id="16140" xr3:uid="{A0AC2757-D674-4C9D-A24B-CF1075A0ABDD}" name="Kolonna15802"/>
    <tableColumn id="16141" xr3:uid="{6A2B6D30-F975-48B6-8B10-B5064D84F494}" name="Kolonna15803"/>
    <tableColumn id="16142" xr3:uid="{31C64D3B-C2B6-40B7-99C8-F99845DDA2B2}" name="Kolonna15804"/>
    <tableColumn id="16143" xr3:uid="{DF8B0E69-78E1-4C28-A5BB-3542CE117612}" name="Kolonna15805"/>
    <tableColumn id="16144" xr3:uid="{F5018CEA-84AB-4FEA-88D4-9D57B77087C6}" name="Kolonna15806"/>
    <tableColumn id="16145" xr3:uid="{9E6563C2-1BEF-4198-97A5-69DEDABA1A7D}" name="Kolonna15807"/>
    <tableColumn id="16146" xr3:uid="{FF1F5FFA-C739-4E12-9C37-F0FD0D4B9CA3}" name="Kolonna15808"/>
    <tableColumn id="16147" xr3:uid="{70535C7E-C1C6-497C-B6B7-C51BF152DB65}" name="Kolonna15809"/>
    <tableColumn id="16148" xr3:uid="{92950CD8-8FA6-401F-BEA9-EC418FC44C7C}" name="Kolonna15810"/>
    <tableColumn id="16149" xr3:uid="{B4F142AC-E539-4515-BB27-0137C779B039}" name="Kolonna15811"/>
    <tableColumn id="16150" xr3:uid="{BF132E34-A69A-466E-9DC7-69FE8F4007B2}" name="Kolonna15812"/>
    <tableColumn id="16151" xr3:uid="{0101790A-0932-483E-A0B5-974BAAF25940}" name="Kolonna15813"/>
    <tableColumn id="16152" xr3:uid="{5C15D7B8-67FC-4ABD-BBA5-81A9A9BB0E0B}" name="Kolonna15814"/>
    <tableColumn id="16153" xr3:uid="{3D45B542-7D83-4C4B-BA46-E2ADEF5AEC4B}" name="Kolonna15815"/>
    <tableColumn id="16154" xr3:uid="{3F68DAFF-F741-4A32-BBE2-111578A8608A}" name="Kolonna15816"/>
    <tableColumn id="16155" xr3:uid="{41FBB6E5-3841-4DB4-B1DF-81EB6D528B38}" name="Kolonna15817"/>
    <tableColumn id="16156" xr3:uid="{B330EE13-31A2-4A77-A829-6089F29C2E47}" name="Kolonna15818"/>
    <tableColumn id="16157" xr3:uid="{6C1AC8EB-6E69-4FBE-A019-5A7E20EDFA6D}" name="Kolonna15819"/>
    <tableColumn id="16158" xr3:uid="{62EC4A20-5458-46F6-9807-C9C0619F6221}" name="Kolonna15820"/>
    <tableColumn id="16159" xr3:uid="{5DC4D8FB-90FA-4FED-B072-B37B96315800}" name="Kolonna15821"/>
    <tableColumn id="16160" xr3:uid="{455726B6-70FB-4A0C-A3EE-3768956329AE}" name="Kolonna15822"/>
    <tableColumn id="16161" xr3:uid="{A3C65122-CD2E-4DAB-8026-9E92BC52BD20}" name="Kolonna15823"/>
    <tableColumn id="16162" xr3:uid="{48FEE6CE-E47A-4886-B785-E9356E1C9818}" name="Kolonna15824"/>
    <tableColumn id="16163" xr3:uid="{E26ACB8A-11C7-47F2-A0AA-9FD0EBDCDF2D}" name="Kolonna15825"/>
    <tableColumn id="16164" xr3:uid="{2652F181-1BE8-492E-B8AF-9A150B8B22B3}" name="Kolonna15826"/>
    <tableColumn id="16165" xr3:uid="{B3CC6CF6-65A4-418A-B8D2-91D73558AC57}" name="Kolonna15827"/>
    <tableColumn id="16166" xr3:uid="{271B7DF9-1536-4656-BBD2-79DA5CD684BC}" name="Kolonna15828"/>
    <tableColumn id="16167" xr3:uid="{04CFF75B-141F-479E-8A2E-87D52F265041}" name="Kolonna15829"/>
    <tableColumn id="16168" xr3:uid="{8B5519DD-1D4D-440E-B036-DEC5FDCDE2E9}" name="Kolonna15830"/>
    <tableColumn id="16169" xr3:uid="{132ABD02-B715-4A83-9940-7A2BC52B2699}" name="Kolonna15831"/>
    <tableColumn id="16170" xr3:uid="{B7D5C4AE-D1FA-4ACB-9892-17B5ADA9BCC3}" name="Kolonna15832"/>
    <tableColumn id="16171" xr3:uid="{E52F89FB-2CA6-497B-87E6-8516A9F6A870}" name="Kolonna15833"/>
    <tableColumn id="16172" xr3:uid="{3CD51D22-FCC5-459F-A68F-5CD962AFA787}" name="Kolonna15834"/>
    <tableColumn id="16173" xr3:uid="{FAF70336-411A-4FB6-AA85-886AA599A7DB}" name="Kolonna15835"/>
    <tableColumn id="16174" xr3:uid="{0D8E94F3-78A9-44F4-8F68-50E8D33810F5}" name="Kolonna15836"/>
    <tableColumn id="16175" xr3:uid="{2860187D-20D1-455F-98E8-267684D7D9F5}" name="Kolonna15837"/>
    <tableColumn id="16176" xr3:uid="{DF643263-32AF-4664-B55B-F38EE0E91859}" name="Kolonna15838"/>
    <tableColumn id="16177" xr3:uid="{BFA154AB-4C49-445B-A69A-056AB392B9F0}" name="Kolonna15839"/>
    <tableColumn id="16178" xr3:uid="{F2BE3CA3-E234-4B78-8E8B-B7B6100A3E27}" name="Kolonna15840"/>
    <tableColumn id="16179" xr3:uid="{3B648AEF-29DF-48F2-9744-AAF319007DEA}" name="Kolonna15841"/>
    <tableColumn id="16180" xr3:uid="{1A1338DA-AB1A-4BBE-A045-5AC9D6B49CEE}" name="Kolonna15842"/>
    <tableColumn id="16181" xr3:uid="{78967F07-EFD9-44D7-A3AF-668640FB89E5}" name="Kolonna15843"/>
    <tableColumn id="16182" xr3:uid="{8DD04F3E-BC16-4B90-898A-8C44FDC89FDE}" name="Kolonna15844"/>
    <tableColumn id="16183" xr3:uid="{271D80D1-75DC-4475-B212-995593753E3C}" name="Kolonna15845"/>
    <tableColumn id="16184" xr3:uid="{2AF744F8-E683-481A-8CE3-3122DACC48F9}" name="Kolonna15846"/>
    <tableColumn id="16185" xr3:uid="{19B8150A-EF12-40E8-B966-4584C63814BE}" name="Kolonna15847"/>
    <tableColumn id="16186" xr3:uid="{6A5E1ACF-B837-4D15-931F-479F1CBB26E1}" name="Kolonna15848"/>
    <tableColumn id="16187" xr3:uid="{14482D29-B4BC-454F-89AB-EEE2A6E2BAA5}" name="Kolonna15849"/>
    <tableColumn id="16188" xr3:uid="{BB7F881B-4122-4485-839F-7EA9F8886917}" name="Kolonna15850"/>
    <tableColumn id="16189" xr3:uid="{75ADD89C-F3F2-4170-B9AD-17C6C2B91D21}" name="Kolonna15851"/>
    <tableColumn id="16190" xr3:uid="{3FED6567-EE24-4746-B9B1-DB6B555ABE58}" name="Kolonna15852"/>
    <tableColumn id="16191" xr3:uid="{3412B6A4-F2FD-4B56-8F55-BD5B3387FC29}" name="Kolonna15853"/>
    <tableColumn id="16192" xr3:uid="{CBE5D094-E6F9-4834-BA4A-D836B51276FB}" name="Kolonna15854"/>
    <tableColumn id="16193" xr3:uid="{D5270F09-F99E-4BC9-B950-9EAB7029FF10}" name="Kolonna15855"/>
    <tableColumn id="16194" xr3:uid="{29BFF376-632A-450D-98F9-568615596EDB}" name="Kolonna15856"/>
    <tableColumn id="16195" xr3:uid="{F05E37EA-0294-4B42-8B8C-88955DA01CCF}" name="Kolonna15857"/>
    <tableColumn id="16196" xr3:uid="{82925525-94C3-4EC5-B273-32341DC7D14A}" name="Kolonna15858"/>
    <tableColumn id="16197" xr3:uid="{210BF170-E637-4E16-926B-4D3BFB72693D}" name="Kolonna15859"/>
    <tableColumn id="16198" xr3:uid="{51909A56-3CBD-4E15-8587-469A31644746}" name="Kolonna15860"/>
    <tableColumn id="16199" xr3:uid="{BF2215D4-DA39-4BD1-85E6-9FB83B763CF2}" name="Kolonna15861"/>
    <tableColumn id="16200" xr3:uid="{B623B18F-AA78-48AC-9F29-6AA5BDCED1B6}" name="Kolonna15862"/>
    <tableColumn id="16201" xr3:uid="{7620BE4F-B5C4-4DF2-8D3A-AC27FDC0C06A}" name="Kolonna15863"/>
    <tableColumn id="16202" xr3:uid="{36A916D5-7ACC-483A-8B8A-79E3C0DC6654}" name="Kolonna15864"/>
    <tableColumn id="16203" xr3:uid="{75B0111A-87D6-4ACA-A8FD-44A7A107DE7B}" name="Kolonna15865"/>
    <tableColumn id="16204" xr3:uid="{BEAD9778-6895-40E5-8121-9595FF74A689}" name="Kolonna15866"/>
    <tableColumn id="16205" xr3:uid="{9A097969-DE1A-4C06-B65B-F565312A3C70}" name="Kolonna15867"/>
    <tableColumn id="16206" xr3:uid="{EC92933A-3ACC-4D88-897D-0FE214DC9A6D}" name="Kolonna15868"/>
    <tableColumn id="16207" xr3:uid="{841EDBA0-EDC2-4168-BCEC-B827B85C35E3}" name="Kolonna15869"/>
    <tableColumn id="16208" xr3:uid="{A7B677E1-24E6-4133-A6CE-2DF052800530}" name="Kolonna15870"/>
    <tableColumn id="16209" xr3:uid="{095D9352-8882-4750-9B0E-D9DEE294A9BE}" name="Kolonna15871"/>
    <tableColumn id="16210" xr3:uid="{F61F14AF-6D59-4656-9C16-4D0F539104C3}" name="Kolonna15872"/>
    <tableColumn id="16211" xr3:uid="{687010BF-1FEC-451A-AF2D-4769383DC563}" name="Kolonna15873"/>
    <tableColumn id="16212" xr3:uid="{C2B368ED-5C33-4421-A5F9-CB1B69EDB20F}" name="Kolonna15874"/>
    <tableColumn id="16213" xr3:uid="{E30D58A9-3022-44C5-8577-F6F2808B12EB}" name="Kolonna15875"/>
    <tableColumn id="16214" xr3:uid="{26EB7ABE-F162-4BC0-841C-3DBB862C83F7}" name="Kolonna15876"/>
    <tableColumn id="16215" xr3:uid="{F3D292E2-C852-4DFF-B7AF-093F3FC1BAEA}" name="Kolonna15877"/>
    <tableColumn id="16216" xr3:uid="{D6D983F0-9757-4443-A296-688A187410AB}" name="Kolonna15878"/>
    <tableColumn id="16217" xr3:uid="{6857AE4C-6175-4AC4-9820-2CBABEA8F2D0}" name="Kolonna15879"/>
    <tableColumn id="16218" xr3:uid="{42D0EF4C-A74A-4E6C-8F88-A4EF443FFA2B}" name="Kolonna15880"/>
    <tableColumn id="16219" xr3:uid="{D4B3F8BC-2495-4552-A0DB-24149A08B1B7}" name="Kolonna15881"/>
    <tableColumn id="16220" xr3:uid="{ACC52ED8-01B7-4044-9530-8FCC609BFF58}" name="Kolonna15882"/>
    <tableColumn id="16221" xr3:uid="{3699D265-C012-4DD5-AD98-843633ED5B60}" name="Kolonna15883"/>
    <tableColumn id="16222" xr3:uid="{778D6619-F100-44C9-95A4-6D011DFF9943}" name="Kolonna15884"/>
    <tableColumn id="16223" xr3:uid="{88869E02-349E-4E35-865C-3B91B2092E39}" name="Kolonna15885"/>
    <tableColumn id="16224" xr3:uid="{71E3D67B-B7FB-4556-9B1F-22F20CDC0B00}" name="Kolonna15886"/>
    <tableColumn id="16225" xr3:uid="{4C54C622-7AF6-4F01-8424-68244A9E64FC}" name="Kolonna15887"/>
    <tableColumn id="16226" xr3:uid="{24B1557B-4387-4BFB-A9EC-70E2A751B218}" name="Kolonna15888"/>
    <tableColumn id="16227" xr3:uid="{8CE716D2-315D-4236-AF36-F00CC2475A43}" name="Kolonna15889"/>
    <tableColumn id="16228" xr3:uid="{83A70DE1-170E-4440-B0A0-E4670D53CFAB}" name="Kolonna15890"/>
    <tableColumn id="16229" xr3:uid="{AA3C149B-6F8D-4159-8D70-83411F1BCE8D}" name="Kolonna15891"/>
    <tableColumn id="16230" xr3:uid="{8E79FA8E-401A-4F7A-A757-619EF4BDF834}" name="Kolonna15892"/>
    <tableColumn id="16231" xr3:uid="{0E45CA0F-B3F2-49D9-B7F3-421A0DBA60DE}" name="Kolonna15893"/>
    <tableColumn id="16232" xr3:uid="{D5968EB5-45AD-4D62-82E2-C1152766F07B}" name="Kolonna15894"/>
    <tableColumn id="16233" xr3:uid="{1356749A-CA9E-4ADC-9B25-1152686CF493}" name="Kolonna15895"/>
    <tableColumn id="16234" xr3:uid="{39DAB88C-D7C1-4F37-9240-8C9EF42520DF}" name="Kolonna15896"/>
    <tableColumn id="16235" xr3:uid="{64C9D4D4-CD1C-4681-8193-BE8A0B60CBB2}" name="Kolonna15897"/>
    <tableColumn id="16236" xr3:uid="{09C217CA-434C-4996-BD4A-DFA8659B9C6B}" name="Kolonna15898"/>
    <tableColumn id="16237" xr3:uid="{704AAA74-E012-450D-8BE9-17B3E1789F86}" name="Kolonna15899"/>
    <tableColumn id="16238" xr3:uid="{CA841873-1ED6-41C0-9936-1080AB886812}" name="Kolonna15900"/>
    <tableColumn id="16239" xr3:uid="{694FB4BB-D3FD-4EEC-891A-5B3FC1253856}" name="Kolonna15901"/>
    <tableColumn id="16240" xr3:uid="{4C36212F-1037-45D1-81B7-9F3B95675B69}" name="Kolonna15902"/>
    <tableColumn id="16241" xr3:uid="{49C7AAC9-4572-49AC-AC37-400BEED326D6}" name="Kolonna15903"/>
    <tableColumn id="16242" xr3:uid="{25C21A89-A9AA-4CA9-A61A-5FFC82033456}" name="Kolonna15904"/>
    <tableColumn id="16243" xr3:uid="{B452C5CA-839B-453B-9676-054FDF78A489}" name="Kolonna15905"/>
    <tableColumn id="16244" xr3:uid="{C4F6C950-CB3F-4A3C-88D1-CE1EE1214F17}" name="Kolonna15906"/>
    <tableColumn id="16245" xr3:uid="{CC19F98C-A4DC-4306-BA25-80F88F7E93DB}" name="Kolonna15907"/>
    <tableColumn id="16246" xr3:uid="{D2F6500C-AA43-467E-AA5D-783198EDEC27}" name="Kolonna15908"/>
    <tableColumn id="16247" xr3:uid="{4CF34FF1-C9CC-4C77-9AF5-7AA708DD36D2}" name="Kolonna15909"/>
    <tableColumn id="16248" xr3:uid="{617AF688-68A3-4EDD-B1A6-5FD7B064AE4F}" name="Kolonna15910"/>
    <tableColumn id="16249" xr3:uid="{624BD808-1819-4C76-B213-0132FC37643B}" name="Kolonna15911"/>
    <tableColumn id="16250" xr3:uid="{13F4A08D-5136-4E64-8999-97530E8D6046}" name="Kolonna15912"/>
    <tableColumn id="16251" xr3:uid="{A871F3C3-9A3A-4B9A-AD9C-ABA5E040CB40}" name="Kolonna15913"/>
    <tableColumn id="16252" xr3:uid="{183E7504-6A9E-48E1-ABF8-7955E12F44C9}" name="Kolonna15914"/>
    <tableColumn id="16253" xr3:uid="{2B4E066D-E61B-4FC7-97A3-FC6086193513}" name="Kolonna15915"/>
    <tableColumn id="16254" xr3:uid="{D8E2CDE2-4FBD-44FE-9300-C51D918ACFB6}" name="Kolonna15916"/>
    <tableColumn id="16255" xr3:uid="{B009EA16-4D86-497B-85AB-CD4ACB12A9C0}" name="Kolonna15917"/>
    <tableColumn id="16256" xr3:uid="{CCD88910-FEFE-4703-9766-6C02E9CAF4F2}" name="Kolonna15918"/>
    <tableColumn id="16257" xr3:uid="{000A602C-2CC3-4A89-96C7-0385D550D63C}" name="Kolonna15919"/>
    <tableColumn id="16258" xr3:uid="{8A35A188-E8FA-4B2B-ADE6-D3C12756D1C8}" name="Kolonna15920"/>
    <tableColumn id="16259" xr3:uid="{C58B4CE5-5382-497A-B31D-A5DB9E68637E}" name="Kolonna15921"/>
    <tableColumn id="16260" xr3:uid="{D1F0B062-3C07-498F-966A-EA3112159032}" name="Kolonna15922"/>
    <tableColumn id="16261" xr3:uid="{A72F97D6-AF56-4A91-A719-C8F9E3768037}" name="Kolonna15923"/>
    <tableColumn id="16262" xr3:uid="{918DD1F6-F4E2-487A-AA2F-19CE7C95D0B0}" name="Kolonna15924"/>
    <tableColumn id="16263" xr3:uid="{FA30AAA4-8FC0-44EB-963C-C8B0746CB66B}" name="Kolonna15925"/>
    <tableColumn id="16264" xr3:uid="{3223532E-4FA3-4D8D-9459-9EFE3F806EE8}" name="Kolonna15926"/>
    <tableColumn id="16265" xr3:uid="{868F1683-8FA1-4408-9CAD-2F408A319C65}" name="Kolonna15927"/>
    <tableColumn id="16266" xr3:uid="{74546CF0-A986-4E08-A2BA-B80C998B4637}" name="Kolonna15928"/>
    <tableColumn id="16267" xr3:uid="{B1A9E9F8-BFCE-4EB5-B607-E34A4239649D}" name="Kolonna15929"/>
    <tableColumn id="16268" xr3:uid="{48C3C49C-5A63-4990-9440-A85FD788023F}" name="Kolonna15930"/>
    <tableColumn id="16269" xr3:uid="{23F3C5FF-992C-4629-91A0-5E0AD80A8A23}" name="Kolonna15931"/>
    <tableColumn id="16270" xr3:uid="{9F9897DA-A2CB-409F-8469-7BF6401279F5}" name="Kolonna15932"/>
    <tableColumn id="16271" xr3:uid="{B3BAE8C2-8445-4E4B-AC17-0A79A1917541}" name="Kolonna15933"/>
    <tableColumn id="16272" xr3:uid="{0525F9E3-4673-4EB1-A44B-8D11055FCD8D}" name="Kolonna15934"/>
    <tableColumn id="16273" xr3:uid="{136D0906-F6C8-4B0B-8137-57BF32414357}" name="Kolonna15935"/>
    <tableColumn id="16274" xr3:uid="{474C93F4-1CF6-4424-810F-6618DD83CF03}" name="Kolonna15936"/>
    <tableColumn id="16275" xr3:uid="{6ECCC563-03C5-40CC-A89F-A682E02E1CE5}" name="Kolonna15937"/>
    <tableColumn id="16276" xr3:uid="{1AA0B7C4-8B93-4B7A-9935-4C0DBE8D90F7}" name="Kolonna15938"/>
    <tableColumn id="16277" xr3:uid="{317EAF2C-F1E4-4AB8-B16A-1577815763E3}" name="Kolonna15939"/>
    <tableColumn id="16278" xr3:uid="{9D9E5638-DB82-4322-A594-C8E72C9A6B98}" name="Kolonna15940"/>
    <tableColumn id="16279" xr3:uid="{1C8621CA-8A3F-4C8D-83B0-D5429B3E3B61}" name="Kolonna15941"/>
    <tableColumn id="16280" xr3:uid="{35345D37-AF6F-41F4-94BE-2CF6B5F08C58}" name="Kolonna15942"/>
    <tableColumn id="16281" xr3:uid="{DCFDD0A2-C07F-4D24-92FF-41DB30A094A5}" name="Kolonna15943"/>
    <tableColumn id="16282" xr3:uid="{12655457-E2F4-4A60-921A-54940F265F92}" name="Kolonna15944"/>
    <tableColumn id="16283" xr3:uid="{9D3CEB56-7533-4107-B0E5-F149CAC8AF37}" name="Kolonna15945"/>
    <tableColumn id="16284" xr3:uid="{3D320708-919F-43EE-8E7E-676167790563}" name="Kolonna15946"/>
    <tableColumn id="16285" xr3:uid="{8A3561CA-FF83-4C58-BC43-4DE84F46F34E}" name="Kolonna15947"/>
    <tableColumn id="16286" xr3:uid="{6649107E-C2B9-47F2-A924-E7833DFB769C}" name="Kolonna15948"/>
    <tableColumn id="16287" xr3:uid="{AC4711F1-DAD1-4715-B19B-50FD71FFDA5B}" name="Kolonna15949"/>
    <tableColumn id="16288" xr3:uid="{14AEBFE4-D383-47E0-8BDC-2658BDD4F61E}" name="Kolonna15950"/>
    <tableColumn id="16289" xr3:uid="{018A06FD-69C4-46D7-9680-CF6F9DC362B8}" name="Kolonna15951"/>
    <tableColumn id="16290" xr3:uid="{A196F440-18D9-4806-A544-3729DC260045}" name="Kolonna15952"/>
    <tableColumn id="16291" xr3:uid="{89E1A740-FF75-48CE-8611-9036ACC869B9}" name="Kolonna15953"/>
    <tableColumn id="16292" xr3:uid="{416DC190-3668-45D1-BDDD-4E0C93518000}" name="Kolonna15954"/>
    <tableColumn id="16293" xr3:uid="{A585D500-82E1-48A5-AE67-3FE44773F320}" name="Kolonna15955"/>
    <tableColumn id="16294" xr3:uid="{24CC6A22-94F3-4557-8A32-5D97D8143C14}" name="Kolonna15956"/>
    <tableColumn id="16295" xr3:uid="{04D507C7-F94B-4C33-BF5A-AC4EA426E5F6}" name="Kolonna15957"/>
    <tableColumn id="16296" xr3:uid="{0336F05F-780D-41E7-A7C8-12E50E43885F}" name="Kolonna15958"/>
    <tableColumn id="16297" xr3:uid="{C22B4931-FD93-4DC9-9983-C573338F03DD}" name="Kolonna15959"/>
    <tableColumn id="16298" xr3:uid="{9FC7E6CF-8B77-4D38-BD1A-06E507FDA08A}" name="Kolonna15960"/>
    <tableColumn id="16299" xr3:uid="{96511546-7A1F-441F-8753-521E1E408A5E}" name="Kolonna15961"/>
    <tableColumn id="16300" xr3:uid="{F3BCB60D-CBB8-41EC-928E-C98E1AC6F7CF}" name="Kolonna15962"/>
    <tableColumn id="16301" xr3:uid="{7B906462-C0E1-4032-8093-9CA9D9D8C7A0}" name="Kolonna15963"/>
    <tableColumn id="16302" xr3:uid="{467B8E70-6415-4A75-9837-5B95FD698D8E}" name="Kolonna15964"/>
    <tableColumn id="16303" xr3:uid="{AFF22778-2845-4005-96E5-B2AE475D9668}" name="Kolonna15965"/>
    <tableColumn id="16304" xr3:uid="{69FC4EF2-BF83-47D7-BC65-C1B58EE737F1}" name="Kolonna15966"/>
    <tableColumn id="16305" xr3:uid="{27802D18-D53D-4866-8E65-9678AB2C34EF}" name="Kolonna15967"/>
    <tableColumn id="16306" xr3:uid="{875AFBBC-4522-4175-BDF1-6CF92997159B}" name="Kolonna15968"/>
    <tableColumn id="16307" xr3:uid="{7C12D342-D74F-4841-AC1E-FCCA154DF3F5}" name="Kolonna15969"/>
    <tableColumn id="16308" xr3:uid="{BA359D64-7EB1-4153-96ED-87FA1A8C2D9B}" name="Kolonna15970"/>
    <tableColumn id="16309" xr3:uid="{E68AB135-A2BF-4AF4-A9EA-C12645422164}" name="Kolonna15971"/>
    <tableColumn id="16310" xr3:uid="{7047D519-9E56-4DC6-A61D-8D72663EF5BD}" name="Kolonna15972"/>
    <tableColumn id="16311" xr3:uid="{852CCE2A-A154-417E-8FB7-0449DA66CEE0}" name="Kolonna15973"/>
    <tableColumn id="16312" xr3:uid="{180DFD90-3AF8-46BB-9DDE-176E1FA22F77}" name="Kolonna15974"/>
    <tableColumn id="16313" xr3:uid="{86D95549-4B93-4471-A648-33A3FD6F16DE}" name="Kolonna15975"/>
    <tableColumn id="16314" xr3:uid="{DACF234A-C0F4-420B-A567-F3575BBAE588}" name="Kolonna15976"/>
    <tableColumn id="16315" xr3:uid="{1E624E26-1C88-485E-BD3F-340959346CCF}" name="Kolonna15977"/>
    <tableColumn id="16316" xr3:uid="{006C5795-22F7-4E92-92A0-D27B353F26FE}" name="Kolonna15978"/>
    <tableColumn id="16317" xr3:uid="{80D65741-185E-4D83-95E1-DF5FB6FF6998}" name="Kolonna15979"/>
    <tableColumn id="16318" xr3:uid="{29B3D0D4-936D-4467-BD5A-B5773767BB5F}" name="Kolonna15980"/>
    <tableColumn id="16319" xr3:uid="{773DBC3C-01D7-412C-966E-EE15FCB415E0}" name="Kolonna15981"/>
    <tableColumn id="16320" xr3:uid="{18A06056-D77B-44AA-A475-5C63AEC94DC2}" name="Kolonna15982"/>
    <tableColumn id="16321" xr3:uid="{5DD8BB02-59EB-4269-B61A-C305A7328215}" name="Kolonna15983"/>
    <tableColumn id="16322" xr3:uid="{42075A4C-1FC1-4BB2-82DC-417CBD8BD2D7}" name="Kolonna15984"/>
    <tableColumn id="16323" xr3:uid="{16259385-D43D-4DCB-B777-E4FB7C6F456B}" name="Kolonna15985"/>
    <tableColumn id="16324" xr3:uid="{87F2EDA1-3E2A-4EC1-AF6A-DAB8519EC2D1}" name="Kolonna15986"/>
    <tableColumn id="16325" xr3:uid="{D43BEEBF-923B-443F-BBFD-028B18ED573B}" name="Kolonna15987"/>
    <tableColumn id="16326" xr3:uid="{580C36D0-6BE3-4005-A870-938365B27FE3}" name="Kolonna15988"/>
    <tableColumn id="16327" xr3:uid="{0A8604EB-9628-4CCF-8BE7-E25A734DD568}" name="Kolonna15989"/>
    <tableColumn id="16328" xr3:uid="{3C6E9FF1-2BF4-4623-B30B-58F910EA31D1}" name="Kolonna15990"/>
    <tableColumn id="16329" xr3:uid="{5C7A9AC1-955A-4E2A-BF83-B3D406427B3E}" name="Kolonna15991"/>
    <tableColumn id="16330" xr3:uid="{797FBE4D-F27B-439F-A735-E9A068125897}" name="Kolonna15992"/>
    <tableColumn id="16331" xr3:uid="{6477B4F5-517A-4A97-8555-FBD85FA1A7FF}" name="Kolonna15993"/>
    <tableColumn id="16332" xr3:uid="{25988779-A952-45C7-B0F4-F6BCFBE0F495}" name="Kolonna15994"/>
    <tableColumn id="16333" xr3:uid="{8EFC3C13-8D67-45D1-BE52-95B9FFF2B65F}" name="Kolonna15995"/>
    <tableColumn id="16334" xr3:uid="{C62ECEEA-0E0C-4F2E-AF76-90E1E3D41B3C}" name="Kolonna15996"/>
    <tableColumn id="16335" xr3:uid="{1AFA92E1-A641-43E5-9B06-882B0F80FC51}" name="Kolonna15997"/>
    <tableColumn id="16336" xr3:uid="{9CF6BCE6-0725-4429-989A-3E7E8E01D06A}" name="Kolonna15998"/>
    <tableColumn id="16337" xr3:uid="{816961B9-8521-493E-B165-6648EFBCBFAE}" name="Kolonna15999"/>
    <tableColumn id="16338" xr3:uid="{7765B33D-CF94-4120-B85A-66B7E4DFC14E}" name="Kolonna16000"/>
    <tableColumn id="16339" xr3:uid="{B9F6D2C0-B6DA-4F59-8841-2CA04EFD8BBD}" name="Kolonna16001"/>
    <tableColumn id="16340" xr3:uid="{F9608248-BECF-4F4B-AB92-A6DEB3D70631}" name="Kolonna16002"/>
    <tableColumn id="16341" xr3:uid="{B6BC7A38-CCBF-4D4D-A4BC-2EAFDBC2941F}" name="Kolonna16003"/>
    <tableColumn id="16342" xr3:uid="{6D18577E-8BEA-4B66-ACA7-7775CACEC869}" name="Kolonna16004"/>
    <tableColumn id="16343" xr3:uid="{E2F5BCF3-FD5D-4088-B40A-58E474C9C362}" name="Kolonna16005"/>
    <tableColumn id="16344" xr3:uid="{CEC6ABC5-0AC8-4AC4-B2EF-56158EC1023B}" name="Kolonna16006"/>
    <tableColumn id="16345" xr3:uid="{9DEF36A0-B8D9-4734-87DE-30BEC4EF774B}" name="Kolonna16007"/>
    <tableColumn id="16346" xr3:uid="{4A734A01-F112-48D1-9216-C7AFC06333B0}" name="Kolonna16008"/>
    <tableColumn id="16347" xr3:uid="{6EE59BBA-CACA-4895-B342-277EEB3B29D0}" name="Kolonna16009"/>
    <tableColumn id="16348" xr3:uid="{35F14D84-199F-470F-AAF2-B82CB2C6F12E}" name="Kolonna16010"/>
    <tableColumn id="16349" xr3:uid="{FBF9AC72-7A9C-42A2-AA20-F323855B0E52}" name="Kolonna16011"/>
    <tableColumn id="16350" xr3:uid="{0FA6EE2B-39A6-4E5B-A80C-BB5F4EA0DD96}" name="Kolonna16012"/>
    <tableColumn id="16351" xr3:uid="{81F658C8-BD8C-451C-A154-6EB1685E37A9}" name="Kolonna16013"/>
    <tableColumn id="16352" xr3:uid="{FD96D787-5E1A-4346-8F26-EA0610DA2BCC}" name="Kolonna16014"/>
    <tableColumn id="16353" xr3:uid="{DECB93F4-FE2A-42F2-812A-4903567DF505}" name="Kolonna16015"/>
    <tableColumn id="16354" xr3:uid="{2C9CEAC5-1060-41BA-80BC-7A230B9472D5}" name="Kolonna16016"/>
    <tableColumn id="16355" xr3:uid="{0EF0AB42-BCA3-45A4-BBCC-BA987037C14A}" name="Kolonna16017"/>
    <tableColumn id="16356" xr3:uid="{2E36DF30-98F2-492D-A82B-B16F768D6358}" name="Kolonna16018"/>
    <tableColumn id="16357" xr3:uid="{3E3270FD-0825-4FA9-9719-EDB030330778}" name="Kolonna16019"/>
    <tableColumn id="16358" xr3:uid="{AF752CFD-FD37-454E-A24E-975628C64024}" name="Kolonna16020"/>
    <tableColumn id="16359" xr3:uid="{4808B59A-BC93-4EB8-B9D9-8065035FB831}" name="Kolonna16021"/>
    <tableColumn id="16360" xr3:uid="{08C58A88-2084-47D0-91C3-CE4E59BF1AC8}" name="Kolonna16022"/>
    <tableColumn id="16361" xr3:uid="{915E0744-62FC-40F8-B71A-5A6A3BC5E425}" name="Kolonna16023"/>
    <tableColumn id="16362" xr3:uid="{421D571C-4A63-4F62-8D9F-0D1D78576C8D}" name="Kolonna16024"/>
    <tableColumn id="16363" xr3:uid="{8F8CCE91-289C-42F7-8EA7-74EBAE09BC75}" name="Kolonna16025"/>
    <tableColumn id="16364" xr3:uid="{6907ABF4-FEBB-4271-A59C-7DD2DA4D514A}" name="Kolonna16026"/>
    <tableColumn id="16365" xr3:uid="{12A07017-3761-4913-B26A-16C9C49046CC}" name="Kolonna16027"/>
    <tableColumn id="16366" xr3:uid="{33C02644-0BAB-4B18-9E09-4D52C4233F9A}" name="Kolonna16028"/>
    <tableColumn id="16367" xr3:uid="{F3D8CBD8-BF13-4074-BAEE-0B28F341E5DA}" name="Kolonna16029"/>
    <tableColumn id="16368" xr3:uid="{04E4A676-BA07-4B92-8E64-11D401071B00}" name="Kolonna16030"/>
    <tableColumn id="16369" xr3:uid="{3217BC4C-07FE-426D-84E6-1876C0DDF748}" name="Kolonna16031"/>
    <tableColumn id="16370" xr3:uid="{BD581EB4-785A-4A0A-8B7B-AD57F0E3D502}" name="Kolonna16032"/>
    <tableColumn id="16371" xr3:uid="{537942C7-978B-4574-B812-DC4FA6E26C92}" name="Kolonna16033"/>
    <tableColumn id="16372" xr3:uid="{0567A73B-59D0-4233-919A-1121EFBD1A1F}" name="Kolonna16034"/>
    <tableColumn id="16373" xr3:uid="{51DF712D-FD4C-4F34-90F7-15AD64DB9EFF}" name="Kolonna16035"/>
    <tableColumn id="16374" xr3:uid="{20E7D783-657D-41E2-B683-57F3329445EA}" name="Kolonna16036"/>
    <tableColumn id="16375" xr3:uid="{7133A559-C188-4FF5-9F26-A5D2988BF54B}" name="Kolonna16037"/>
    <tableColumn id="16376" xr3:uid="{C166A65F-FE27-499D-B4F8-7E3D9505449D}" name="Kolonna16038"/>
    <tableColumn id="16377" xr3:uid="{F9C8C75A-7940-43F4-84BC-EB24D62F7F18}" name="Kolonna16039"/>
    <tableColumn id="16378" xr3:uid="{D2303AB0-D5EA-442F-8E37-CF47004DCD00}" name="Kolonna16040"/>
    <tableColumn id="16379" xr3:uid="{0B5B54B0-511E-4D6B-8A37-0E3B597592ED}" name="Kolonna16041"/>
    <tableColumn id="16380" xr3:uid="{92873A30-22D6-4491-AEEC-AF7610763E0F}" name="Kolonna16042"/>
    <tableColumn id="16381" xr3:uid="{ED6F4784-DAD0-4EA2-891A-D97B93EF6771}" name="Kolonna16043"/>
    <tableColumn id="16382" xr3:uid="{6FAF447E-C9B8-4691-B5AD-A1FA08618134}" name="Kolonna16044"/>
    <tableColumn id="16383" xr3:uid="{C22175FB-85BC-449B-ADB6-2C14035D888E}" name="Kolonna16045"/>
    <tableColumn id="16384" xr3:uid="{D13E03B8-82B5-4D6F-94B2-1BDEF3642F8C}" name="Kolonna1604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844"/>
  <sheetViews>
    <sheetView topLeftCell="AR328" zoomScaleNormal="100" workbookViewId="0">
      <selection activeCell="EU1" sqref="EU1"/>
    </sheetView>
  </sheetViews>
  <sheetFormatPr defaultRowHeight="14.4" x14ac:dyDescent="0.3"/>
  <cols>
    <col min="2" max="2" width="12.21875" customWidth="1"/>
    <col min="3" max="3" width="20.6640625" customWidth="1"/>
    <col min="4" max="4" width="12.77734375" customWidth="1"/>
    <col min="5" max="5" width="16" customWidth="1"/>
    <col min="6" max="6" width="18" customWidth="1"/>
    <col min="7" max="7" width="21.33203125" customWidth="1"/>
    <col min="8" max="8" width="24.77734375" customWidth="1"/>
    <col min="9" max="9" width="57.109375" customWidth="1"/>
    <col min="10" max="10" width="17.6640625" customWidth="1"/>
    <col min="11" max="11" width="28.33203125" customWidth="1"/>
    <col min="12" max="12" width="40" customWidth="1"/>
    <col min="13" max="13" width="27.33203125" customWidth="1"/>
    <col min="14" max="14" width="26.77734375" customWidth="1"/>
    <col min="15" max="15" width="27.33203125" customWidth="1"/>
    <col min="16" max="16" width="25" customWidth="1"/>
    <col min="17" max="17" width="23.88671875" customWidth="1"/>
    <col min="18" max="18" width="29.77734375" customWidth="1"/>
    <col min="19" max="19" width="44.44140625" customWidth="1"/>
    <col min="20" max="20" width="56.109375" customWidth="1"/>
    <col min="21" max="21" width="37.5546875" customWidth="1"/>
    <col min="22" max="22" width="49.21875" customWidth="1"/>
    <col min="23" max="28" width="57.109375" customWidth="1"/>
    <col min="29" max="29" width="45.88671875" customWidth="1"/>
    <col min="30" max="42" width="57.109375" customWidth="1"/>
    <col min="43" max="43" width="56.33203125" customWidth="1"/>
    <col min="44" max="69" width="57.109375" customWidth="1"/>
    <col min="70" max="70" width="17.33203125" customWidth="1"/>
    <col min="71" max="95" width="57.109375" customWidth="1"/>
    <col min="96" max="96" width="54" customWidth="1"/>
    <col min="97" max="114" width="57.109375" customWidth="1"/>
    <col min="115" max="115" width="27.5546875" customWidth="1"/>
    <col min="116" max="136" width="57.109375" customWidth="1"/>
    <col min="137" max="137" width="56.109375" customWidth="1"/>
    <col min="138" max="138" width="57.109375" customWidth="1"/>
    <col min="139" max="139" width="56.77734375" customWidth="1"/>
    <col min="140" max="151" width="57.109375" customWidth="1"/>
    <col min="152" max="152" width="53.33203125" customWidth="1"/>
    <col min="153" max="161" width="57.109375" customWidth="1"/>
    <col min="162" max="162" width="13.88671875" customWidth="1"/>
    <col min="163" max="163" width="13.109375" customWidth="1"/>
    <col min="164" max="164" width="14" customWidth="1"/>
    <col min="165" max="165" width="10.44140625" customWidth="1"/>
    <col min="166" max="166" width="14.88671875" customWidth="1"/>
    <col min="167" max="167" width="14.77734375" customWidth="1"/>
    <col min="168" max="168" width="15.6640625" customWidth="1"/>
    <col min="169" max="169" width="12.88671875" customWidth="1"/>
    <col min="170" max="179" width="57.109375" customWidth="1"/>
    <col min="180" max="180" width="53.33203125" customWidth="1"/>
    <col min="181" max="262" width="57.109375" customWidth="1"/>
    <col min="263" max="263" width="12.21875" customWidth="1"/>
    <col min="264" max="264" width="24.6640625" customWidth="1"/>
    <col min="265" max="265" width="22.6640625" customWidth="1"/>
    <col min="266" max="266" width="34.6640625" customWidth="1"/>
    <col min="267" max="267" width="20.5546875" customWidth="1"/>
    <col min="268" max="268" width="23.5546875" customWidth="1"/>
    <col min="269" max="269" width="27" customWidth="1"/>
    <col min="270" max="270" width="26.44140625" customWidth="1"/>
    <col min="271" max="271" width="23.88671875" customWidth="1"/>
    <col min="272" max="272" width="42.109375" customWidth="1"/>
    <col min="273" max="273" width="28.77734375" customWidth="1"/>
    <col min="274" max="274" width="26.77734375" customWidth="1"/>
    <col min="275" max="275" width="28.33203125" customWidth="1"/>
    <col min="276" max="276" width="26.109375" customWidth="1"/>
    <col min="277" max="277" width="30" customWidth="1"/>
    <col min="278" max="278" width="43.6640625" customWidth="1"/>
    <col min="279" max="279" width="26.6640625" customWidth="1"/>
    <col min="280" max="280" width="27.33203125" customWidth="1"/>
    <col min="281" max="281" width="28.88671875" customWidth="1"/>
    <col min="282" max="282" width="20.21875" customWidth="1"/>
    <col min="283" max="283" width="28" customWidth="1"/>
    <col min="284" max="284" width="28.6640625" customWidth="1"/>
    <col min="285" max="285" width="33.77734375" customWidth="1"/>
    <col min="286" max="286" width="28.6640625" customWidth="1"/>
    <col min="287" max="287" width="23.109375" customWidth="1"/>
    <col min="288" max="288" width="33.33203125" customWidth="1"/>
    <col min="289" max="289" width="28.109375" customWidth="1"/>
    <col min="290" max="291" width="27" customWidth="1"/>
    <col min="292" max="292" width="30.44140625" customWidth="1"/>
    <col min="293" max="293" width="34.21875" customWidth="1"/>
    <col min="294" max="294" width="32" customWidth="1"/>
    <col min="295" max="295" width="33.77734375" customWidth="1"/>
    <col min="296" max="296" width="51.77734375" customWidth="1"/>
    <col min="297" max="297" width="25.21875" customWidth="1"/>
    <col min="298" max="298" width="31.88671875" customWidth="1"/>
    <col min="299" max="299" width="30.6640625" customWidth="1"/>
    <col min="300" max="300" width="33.33203125" customWidth="1"/>
    <col min="301" max="301" width="33" customWidth="1"/>
    <col min="302" max="302" width="37.5546875" customWidth="1"/>
    <col min="303" max="303" width="31.5546875" customWidth="1"/>
    <col min="304" max="304" width="36" customWidth="1"/>
    <col min="305" max="305" width="29.44140625" customWidth="1"/>
    <col min="306" max="306" width="31.6640625" customWidth="1"/>
    <col min="307" max="307" width="21.6640625" customWidth="1"/>
    <col min="308" max="308" width="29.33203125" customWidth="1"/>
    <col min="309" max="309" width="31.77734375" customWidth="1"/>
    <col min="310" max="311" width="29.88671875" customWidth="1"/>
    <col min="312" max="312" width="31.5546875" customWidth="1"/>
    <col min="313" max="313" width="30.77734375" customWidth="1"/>
    <col min="314" max="314" width="33.21875" customWidth="1"/>
    <col min="315" max="315" width="30.33203125" customWidth="1"/>
    <col min="316" max="316" width="31.44140625" customWidth="1"/>
    <col min="317" max="317" width="35.21875" customWidth="1"/>
    <col min="318" max="318" width="34.44140625" customWidth="1"/>
    <col min="319" max="319" width="35.44140625" customWidth="1"/>
    <col min="320" max="320" width="35" customWidth="1"/>
    <col min="321" max="321" width="14.44140625" customWidth="1"/>
    <col min="322" max="322" width="34.5546875" customWidth="1"/>
    <col min="323" max="323" width="32.33203125" customWidth="1"/>
    <col min="324" max="324" width="31.77734375" customWidth="1"/>
    <col min="325" max="325" width="36" customWidth="1"/>
    <col min="326" max="326" width="24.6640625" customWidth="1"/>
    <col min="327" max="327" width="37.88671875" customWidth="1"/>
    <col min="328" max="329" width="31.5546875" customWidth="1"/>
    <col min="330" max="330" width="32.33203125" customWidth="1"/>
    <col min="331" max="331" width="28.88671875" customWidth="1"/>
    <col min="332" max="332" width="33.109375" customWidth="1"/>
    <col min="333" max="333" width="38.33203125" customWidth="1"/>
    <col min="334" max="334" width="36.109375" customWidth="1"/>
    <col min="335" max="335" width="37.33203125" customWidth="1"/>
    <col min="336" max="336" width="30.77734375" customWidth="1"/>
    <col min="337" max="337" width="24.5546875" customWidth="1"/>
    <col min="338" max="338" width="26" customWidth="1"/>
    <col min="339" max="347" width="10.88671875" customWidth="1"/>
    <col min="348" max="437" width="11.88671875" customWidth="1"/>
    <col min="438" max="1337" width="12.88671875" customWidth="1"/>
    <col min="1338" max="10337" width="13.88671875" customWidth="1"/>
    <col min="10338" max="16384" width="14.88671875" customWidth="1"/>
  </cols>
  <sheetData>
    <row r="1" spans="1:16384"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s="1" t="s">
        <v>153</v>
      </c>
      <c r="EY1" s="1" t="s">
        <v>154</v>
      </c>
      <c r="EZ1" s="1" t="s">
        <v>155</v>
      </c>
      <c r="FA1" s="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1838</v>
      </c>
      <c r="MB1" t="s">
        <v>1839</v>
      </c>
      <c r="MC1" t="s">
        <v>1840</v>
      </c>
      <c r="MD1" t="s">
        <v>1841</v>
      </c>
      <c r="ME1" t="s">
        <v>1842</v>
      </c>
      <c r="MF1" t="s">
        <v>1843</v>
      </c>
      <c r="MG1" t="s">
        <v>1844</v>
      </c>
      <c r="MH1" t="s">
        <v>1845</v>
      </c>
      <c r="MI1" t="s">
        <v>1846</v>
      </c>
      <c r="MJ1" t="s">
        <v>1847</v>
      </c>
      <c r="MK1" t="s">
        <v>1848</v>
      </c>
      <c r="ML1" t="s">
        <v>1849</v>
      </c>
      <c r="MM1" t="s">
        <v>1850</v>
      </c>
      <c r="MN1" t="s">
        <v>1851</v>
      </c>
      <c r="MO1" t="s">
        <v>1852</v>
      </c>
      <c r="MP1" t="s">
        <v>1853</v>
      </c>
      <c r="MQ1" t="s">
        <v>1854</v>
      </c>
      <c r="MR1" t="s">
        <v>1855</v>
      </c>
      <c r="MS1" t="s">
        <v>1856</v>
      </c>
      <c r="MT1" t="s">
        <v>1857</v>
      </c>
      <c r="MU1" t="s">
        <v>1858</v>
      </c>
      <c r="MV1" t="s">
        <v>1859</v>
      </c>
      <c r="MW1" t="s">
        <v>1860</v>
      </c>
      <c r="MX1" t="s">
        <v>1861</v>
      </c>
      <c r="MY1" t="s">
        <v>1862</v>
      </c>
      <c r="MZ1" t="s">
        <v>1863</v>
      </c>
      <c r="NA1" t="s">
        <v>1864</v>
      </c>
      <c r="NB1" t="s">
        <v>1865</v>
      </c>
      <c r="NC1" t="s">
        <v>1866</v>
      </c>
      <c r="ND1" t="s">
        <v>1867</v>
      </c>
      <c r="NE1" t="s">
        <v>1868</v>
      </c>
      <c r="NF1" t="s">
        <v>1869</v>
      </c>
      <c r="NG1" t="s">
        <v>1870</v>
      </c>
      <c r="NH1" t="s">
        <v>1871</v>
      </c>
      <c r="NI1" t="s">
        <v>1872</v>
      </c>
      <c r="NJ1" t="s">
        <v>1873</v>
      </c>
      <c r="NK1" t="s">
        <v>1874</v>
      </c>
      <c r="NL1" t="s">
        <v>1875</v>
      </c>
      <c r="NM1" t="s">
        <v>1876</v>
      </c>
      <c r="NN1" t="s">
        <v>1877</v>
      </c>
      <c r="NO1" t="s">
        <v>1878</v>
      </c>
      <c r="NP1" t="s">
        <v>1879</v>
      </c>
      <c r="NQ1" t="s">
        <v>1880</v>
      </c>
      <c r="NR1" t="s">
        <v>1881</v>
      </c>
      <c r="NS1" t="s">
        <v>1882</v>
      </c>
      <c r="NT1" t="s">
        <v>1883</v>
      </c>
      <c r="NU1" t="s">
        <v>1884</v>
      </c>
      <c r="NV1" t="s">
        <v>1885</v>
      </c>
      <c r="NW1" t="s">
        <v>1886</v>
      </c>
      <c r="NX1" t="s">
        <v>1887</v>
      </c>
      <c r="NY1" t="s">
        <v>1888</v>
      </c>
      <c r="NZ1" t="s">
        <v>1889</v>
      </c>
      <c r="OA1" t="s">
        <v>1890</v>
      </c>
      <c r="OB1" t="s">
        <v>1891</v>
      </c>
      <c r="OC1" t="s">
        <v>1892</v>
      </c>
      <c r="OD1" t="s">
        <v>1893</v>
      </c>
      <c r="OE1" t="s">
        <v>1894</v>
      </c>
      <c r="OF1" t="s">
        <v>1895</v>
      </c>
      <c r="OG1" t="s">
        <v>1896</v>
      </c>
      <c r="OH1" t="s">
        <v>1897</v>
      </c>
      <c r="OI1" t="s">
        <v>1898</v>
      </c>
      <c r="OJ1" t="s">
        <v>1899</v>
      </c>
      <c r="OK1" t="s">
        <v>1900</v>
      </c>
      <c r="OL1" t="s">
        <v>1901</v>
      </c>
      <c r="OM1" t="s">
        <v>1902</v>
      </c>
      <c r="ON1" t="s">
        <v>1903</v>
      </c>
      <c r="OO1" t="s">
        <v>1904</v>
      </c>
      <c r="OP1" t="s">
        <v>1905</v>
      </c>
      <c r="OQ1" t="s">
        <v>1906</v>
      </c>
      <c r="OR1" t="s">
        <v>1907</v>
      </c>
      <c r="OS1" t="s">
        <v>1908</v>
      </c>
      <c r="OT1" t="s">
        <v>1909</v>
      </c>
      <c r="OU1" t="s">
        <v>1910</v>
      </c>
      <c r="OV1" t="s">
        <v>1911</v>
      </c>
      <c r="OW1" t="s">
        <v>1912</v>
      </c>
      <c r="OX1" t="s">
        <v>1913</v>
      </c>
      <c r="OY1" t="s">
        <v>1914</v>
      </c>
      <c r="OZ1" t="s">
        <v>1915</v>
      </c>
      <c r="PA1" t="s">
        <v>1916</v>
      </c>
      <c r="PB1" t="s">
        <v>1917</v>
      </c>
      <c r="PC1" t="s">
        <v>1918</v>
      </c>
      <c r="PD1" t="s">
        <v>1919</v>
      </c>
      <c r="PE1" t="s">
        <v>1920</v>
      </c>
      <c r="PF1" t="s">
        <v>1921</v>
      </c>
      <c r="PG1" t="s">
        <v>1922</v>
      </c>
      <c r="PH1" t="s">
        <v>1923</v>
      </c>
      <c r="PI1" t="s">
        <v>1924</v>
      </c>
      <c r="PJ1" t="s">
        <v>1925</v>
      </c>
      <c r="PK1" t="s">
        <v>1926</v>
      </c>
      <c r="PL1" t="s">
        <v>1927</v>
      </c>
      <c r="PM1" t="s">
        <v>1928</v>
      </c>
      <c r="PN1" t="s">
        <v>1929</v>
      </c>
      <c r="PO1" t="s">
        <v>1930</v>
      </c>
      <c r="PP1" t="s">
        <v>1931</v>
      </c>
      <c r="PQ1" t="s">
        <v>1932</v>
      </c>
      <c r="PR1" t="s">
        <v>1933</v>
      </c>
      <c r="PS1" t="s">
        <v>1934</v>
      </c>
      <c r="PT1" t="s">
        <v>1935</v>
      </c>
      <c r="PU1" t="s">
        <v>1936</v>
      </c>
      <c r="PV1" t="s">
        <v>1937</v>
      </c>
      <c r="PW1" t="s">
        <v>1938</v>
      </c>
      <c r="PX1" t="s">
        <v>1939</v>
      </c>
      <c r="PY1" t="s">
        <v>1940</v>
      </c>
      <c r="PZ1" t="s">
        <v>1941</v>
      </c>
      <c r="QA1" t="s">
        <v>1942</v>
      </c>
      <c r="QB1" t="s">
        <v>1943</v>
      </c>
      <c r="QC1" t="s">
        <v>1944</v>
      </c>
      <c r="QD1" t="s">
        <v>1945</v>
      </c>
      <c r="QE1" t="s">
        <v>1946</v>
      </c>
      <c r="QF1" t="s">
        <v>1947</v>
      </c>
      <c r="QG1" t="s">
        <v>1948</v>
      </c>
      <c r="QH1" t="s">
        <v>1949</v>
      </c>
      <c r="QI1" t="s">
        <v>1950</v>
      </c>
      <c r="QJ1" t="s">
        <v>1951</v>
      </c>
      <c r="QK1" t="s">
        <v>1952</v>
      </c>
      <c r="QL1" t="s">
        <v>1953</v>
      </c>
      <c r="QM1" t="s">
        <v>1954</v>
      </c>
      <c r="QN1" t="s">
        <v>1955</v>
      </c>
      <c r="QO1" t="s">
        <v>1956</v>
      </c>
      <c r="QP1" t="s">
        <v>1957</v>
      </c>
      <c r="QQ1" t="s">
        <v>1958</v>
      </c>
      <c r="QR1" t="s">
        <v>1959</v>
      </c>
      <c r="QS1" t="s">
        <v>1960</v>
      </c>
      <c r="QT1" t="s">
        <v>1961</v>
      </c>
      <c r="QU1" t="s">
        <v>1962</v>
      </c>
      <c r="QV1" t="s">
        <v>1963</v>
      </c>
      <c r="QW1" t="s">
        <v>1964</v>
      </c>
      <c r="QX1" t="s">
        <v>1965</v>
      </c>
      <c r="QY1" t="s">
        <v>1966</v>
      </c>
      <c r="QZ1" t="s">
        <v>1967</v>
      </c>
      <c r="RA1" t="s">
        <v>1968</v>
      </c>
      <c r="RB1" t="s">
        <v>1969</v>
      </c>
      <c r="RC1" t="s">
        <v>1970</v>
      </c>
      <c r="RD1" t="s">
        <v>1971</v>
      </c>
      <c r="RE1" t="s">
        <v>1972</v>
      </c>
      <c r="RF1" t="s">
        <v>1973</v>
      </c>
      <c r="RG1" t="s">
        <v>1974</v>
      </c>
      <c r="RH1" t="s">
        <v>1975</v>
      </c>
      <c r="RI1" t="s">
        <v>1976</v>
      </c>
      <c r="RJ1" t="s">
        <v>1977</v>
      </c>
      <c r="RK1" t="s">
        <v>1978</v>
      </c>
      <c r="RL1" t="s">
        <v>1979</v>
      </c>
      <c r="RM1" t="s">
        <v>1980</v>
      </c>
      <c r="RN1" t="s">
        <v>1981</v>
      </c>
      <c r="RO1" t="s">
        <v>1982</v>
      </c>
      <c r="RP1" t="s">
        <v>1983</v>
      </c>
      <c r="RQ1" t="s">
        <v>1984</v>
      </c>
      <c r="RR1" t="s">
        <v>1985</v>
      </c>
      <c r="RS1" t="s">
        <v>1986</v>
      </c>
      <c r="RT1" t="s">
        <v>1987</v>
      </c>
      <c r="RU1" t="s">
        <v>1988</v>
      </c>
      <c r="RV1" t="s">
        <v>1989</v>
      </c>
      <c r="RW1" t="s">
        <v>1990</v>
      </c>
      <c r="RX1" t="s">
        <v>1991</v>
      </c>
      <c r="RY1" t="s">
        <v>1992</v>
      </c>
      <c r="RZ1" t="s">
        <v>1993</v>
      </c>
      <c r="SA1" t="s">
        <v>1994</v>
      </c>
      <c r="SB1" t="s">
        <v>1995</v>
      </c>
      <c r="SC1" t="s">
        <v>1996</v>
      </c>
      <c r="SD1" t="s">
        <v>1997</v>
      </c>
      <c r="SE1" t="s">
        <v>1998</v>
      </c>
      <c r="SF1" t="s">
        <v>1999</v>
      </c>
      <c r="SG1" t="s">
        <v>2000</v>
      </c>
      <c r="SH1" t="s">
        <v>2001</v>
      </c>
      <c r="SI1" t="s">
        <v>2002</v>
      </c>
      <c r="SJ1" t="s">
        <v>2003</v>
      </c>
      <c r="SK1" t="s">
        <v>2004</v>
      </c>
      <c r="SL1" t="s">
        <v>2005</v>
      </c>
      <c r="SM1" t="s">
        <v>2006</v>
      </c>
      <c r="SN1" t="s">
        <v>2007</v>
      </c>
      <c r="SO1" t="s">
        <v>2008</v>
      </c>
      <c r="SP1" t="s">
        <v>2009</v>
      </c>
      <c r="SQ1" t="s">
        <v>2010</v>
      </c>
      <c r="SR1" t="s">
        <v>2011</v>
      </c>
      <c r="SS1" t="s">
        <v>2012</v>
      </c>
      <c r="ST1" t="s">
        <v>2013</v>
      </c>
      <c r="SU1" t="s">
        <v>2014</v>
      </c>
      <c r="SV1" t="s">
        <v>2015</v>
      </c>
      <c r="SW1" t="s">
        <v>2016</v>
      </c>
      <c r="SX1" t="s">
        <v>2017</v>
      </c>
      <c r="SY1" t="s">
        <v>2018</v>
      </c>
      <c r="SZ1" t="s">
        <v>2019</v>
      </c>
      <c r="TA1" t="s">
        <v>2020</v>
      </c>
      <c r="TB1" t="s">
        <v>2021</v>
      </c>
      <c r="TC1" t="s">
        <v>2022</v>
      </c>
      <c r="TD1" t="s">
        <v>2023</v>
      </c>
      <c r="TE1" t="s">
        <v>2024</v>
      </c>
      <c r="TF1" t="s">
        <v>2025</v>
      </c>
      <c r="TG1" t="s">
        <v>2026</v>
      </c>
      <c r="TH1" t="s">
        <v>2027</v>
      </c>
      <c r="TI1" t="s">
        <v>2028</v>
      </c>
      <c r="TJ1" t="s">
        <v>2029</v>
      </c>
      <c r="TK1" t="s">
        <v>2030</v>
      </c>
      <c r="TL1" t="s">
        <v>2031</v>
      </c>
      <c r="TM1" t="s">
        <v>2032</v>
      </c>
      <c r="TN1" t="s">
        <v>2033</v>
      </c>
      <c r="TO1" t="s">
        <v>2034</v>
      </c>
      <c r="TP1" t="s">
        <v>2035</v>
      </c>
      <c r="TQ1" t="s">
        <v>2036</v>
      </c>
      <c r="TR1" t="s">
        <v>2037</v>
      </c>
      <c r="TS1" t="s">
        <v>2038</v>
      </c>
      <c r="TT1" t="s">
        <v>2039</v>
      </c>
      <c r="TU1" t="s">
        <v>2040</v>
      </c>
      <c r="TV1" t="s">
        <v>2041</v>
      </c>
      <c r="TW1" t="s">
        <v>2042</v>
      </c>
      <c r="TX1" t="s">
        <v>2043</v>
      </c>
      <c r="TY1" t="s">
        <v>2044</v>
      </c>
      <c r="TZ1" t="s">
        <v>2045</v>
      </c>
      <c r="UA1" t="s">
        <v>2046</v>
      </c>
      <c r="UB1" t="s">
        <v>2047</v>
      </c>
      <c r="UC1" t="s">
        <v>2048</v>
      </c>
      <c r="UD1" t="s">
        <v>2049</v>
      </c>
      <c r="UE1" t="s">
        <v>2050</v>
      </c>
      <c r="UF1" t="s">
        <v>2051</v>
      </c>
      <c r="UG1" t="s">
        <v>2052</v>
      </c>
      <c r="UH1" t="s">
        <v>2053</v>
      </c>
      <c r="UI1" t="s">
        <v>2054</v>
      </c>
      <c r="UJ1" t="s">
        <v>2055</v>
      </c>
      <c r="UK1" t="s">
        <v>2056</v>
      </c>
      <c r="UL1" t="s">
        <v>2057</v>
      </c>
      <c r="UM1" t="s">
        <v>2058</v>
      </c>
      <c r="UN1" t="s">
        <v>2059</v>
      </c>
      <c r="UO1" t="s">
        <v>2060</v>
      </c>
      <c r="UP1" t="s">
        <v>2061</v>
      </c>
      <c r="UQ1" t="s">
        <v>2062</v>
      </c>
      <c r="UR1" t="s">
        <v>2063</v>
      </c>
      <c r="US1" t="s">
        <v>2064</v>
      </c>
      <c r="UT1" t="s">
        <v>2065</v>
      </c>
      <c r="UU1" t="s">
        <v>2066</v>
      </c>
      <c r="UV1" t="s">
        <v>2067</v>
      </c>
      <c r="UW1" t="s">
        <v>2068</v>
      </c>
      <c r="UX1" t="s">
        <v>2069</v>
      </c>
      <c r="UY1" t="s">
        <v>2070</v>
      </c>
      <c r="UZ1" t="s">
        <v>2071</v>
      </c>
      <c r="VA1" t="s">
        <v>2072</v>
      </c>
      <c r="VB1" t="s">
        <v>2073</v>
      </c>
      <c r="VC1" t="s">
        <v>2074</v>
      </c>
      <c r="VD1" t="s">
        <v>2075</v>
      </c>
      <c r="VE1" t="s">
        <v>2076</v>
      </c>
      <c r="VF1" t="s">
        <v>2077</v>
      </c>
      <c r="VG1" t="s">
        <v>2078</v>
      </c>
      <c r="VH1" t="s">
        <v>2079</v>
      </c>
      <c r="VI1" t="s">
        <v>2080</v>
      </c>
      <c r="VJ1" t="s">
        <v>2081</v>
      </c>
      <c r="VK1" t="s">
        <v>2082</v>
      </c>
      <c r="VL1" t="s">
        <v>2083</v>
      </c>
      <c r="VM1" t="s">
        <v>2084</v>
      </c>
      <c r="VN1" t="s">
        <v>2085</v>
      </c>
      <c r="VO1" t="s">
        <v>2086</v>
      </c>
      <c r="VP1" t="s">
        <v>2087</v>
      </c>
      <c r="VQ1" t="s">
        <v>2088</v>
      </c>
      <c r="VR1" t="s">
        <v>2089</v>
      </c>
      <c r="VS1" t="s">
        <v>2090</v>
      </c>
      <c r="VT1" t="s">
        <v>2091</v>
      </c>
      <c r="VU1" t="s">
        <v>2092</v>
      </c>
      <c r="VV1" t="s">
        <v>2093</v>
      </c>
      <c r="VW1" t="s">
        <v>2094</v>
      </c>
      <c r="VX1" t="s">
        <v>2095</v>
      </c>
      <c r="VY1" t="s">
        <v>2096</v>
      </c>
      <c r="VZ1" t="s">
        <v>2097</v>
      </c>
      <c r="WA1" t="s">
        <v>2098</v>
      </c>
      <c r="WB1" t="s">
        <v>2099</v>
      </c>
      <c r="WC1" t="s">
        <v>2100</v>
      </c>
      <c r="WD1" t="s">
        <v>2101</v>
      </c>
      <c r="WE1" t="s">
        <v>2102</v>
      </c>
      <c r="WF1" t="s">
        <v>2103</v>
      </c>
      <c r="WG1" t="s">
        <v>2104</v>
      </c>
      <c r="WH1" t="s">
        <v>2105</v>
      </c>
      <c r="WI1" t="s">
        <v>2106</v>
      </c>
      <c r="WJ1" t="s">
        <v>2107</v>
      </c>
      <c r="WK1" t="s">
        <v>2108</v>
      </c>
      <c r="WL1" t="s">
        <v>2109</v>
      </c>
      <c r="WM1" t="s">
        <v>2110</v>
      </c>
      <c r="WN1" t="s">
        <v>2111</v>
      </c>
      <c r="WO1" t="s">
        <v>2112</v>
      </c>
      <c r="WP1" t="s">
        <v>2113</v>
      </c>
      <c r="WQ1" t="s">
        <v>2114</v>
      </c>
      <c r="WR1" t="s">
        <v>2115</v>
      </c>
      <c r="WS1" t="s">
        <v>2116</v>
      </c>
      <c r="WT1" t="s">
        <v>2117</v>
      </c>
      <c r="WU1" t="s">
        <v>2118</v>
      </c>
      <c r="WV1" t="s">
        <v>2119</v>
      </c>
      <c r="WW1" t="s">
        <v>2120</v>
      </c>
      <c r="WX1" t="s">
        <v>2121</v>
      </c>
      <c r="WY1" t="s">
        <v>2122</v>
      </c>
      <c r="WZ1" t="s">
        <v>2123</v>
      </c>
      <c r="XA1" t="s">
        <v>2124</v>
      </c>
      <c r="XB1" t="s">
        <v>2125</v>
      </c>
      <c r="XC1" t="s">
        <v>2126</v>
      </c>
      <c r="XD1" t="s">
        <v>2127</v>
      </c>
      <c r="XE1" t="s">
        <v>2128</v>
      </c>
      <c r="XF1" t="s">
        <v>2129</v>
      </c>
      <c r="XG1" t="s">
        <v>2130</v>
      </c>
      <c r="XH1" t="s">
        <v>2131</v>
      </c>
      <c r="XI1" t="s">
        <v>2132</v>
      </c>
      <c r="XJ1" t="s">
        <v>2133</v>
      </c>
      <c r="XK1" t="s">
        <v>2134</v>
      </c>
      <c r="XL1" t="s">
        <v>2135</v>
      </c>
      <c r="XM1" t="s">
        <v>2136</v>
      </c>
      <c r="XN1" t="s">
        <v>2137</v>
      </c>
      <c r="XO1" t="s">
        <v>2138</v>
      </c>
      <c r="XP1" t="s">
        <v>2139</v>
      </c>
      <c r="XQ1" t="s">
        <v>2140</v>
      </c>
      <c r="XR1" t="s">
        <v>2141</v>
      </c>
      <c r="XS1" t="s">
        <v>2142</v>
      </c>
      <c r="XT1" t="s">
        <v>2143</v>
      </c>
      <c r="XU1" t="s">
        <v>2144</v>
      </c>
      <c r="XV1" t="s">
        <v>2145</v>
      </c>
      <c r="XW1" t="s">
        <v>2146</v>
      </c>
      <c r="XX1" t="s">
        <v>2147</v>
      </c>
      <c r="XY1" t="s">
        <v>2148</v>
      </c>
      <c r="XZ1" t="s">
        <v>2149</v>
      </c>
      <c r="YA1" t="s">
        <v>2150</v>
      </c>
      <c r="YB1" t="s">
        <v>2151</v>
      </c>
      <c r="YC1" t="s">
        <v>2152</v>
      </c>
      <c r="YD1" t="s">
        <v>2153</v>
      </c>
      <c r="YE1" t="s">
        <v>2154</v>
      </c>
      <c r="YF1" t="s">
        <v>2155</v>
      </c>
      <c r="YG1" t="s">
        <v>2156</v>
      </c>
      <c r="YH1" t="s">
        <v>2157</v>
      </c>
      <c r="YI1" t="s">
        <v>2158</v>
      </c>
      <c r="YJ1" t="s">
        <v>2159</v>
      </c>
      <c r="YK1" t="s">
        <v>2160</v>
      </c>
      <c r="YL1" t="s">
        <v>2161</v>
      </c>
      <c r="YM1" t="s">
        <v>2162</v>
      </c>
      <c r="YN1" t="s">
        <v>2163</v>
      </c>
      <c r="YO1" t="s">
        <v>2164</v>
      </c>
      <c r="YP1" t="s">
        <v>2165</v>
      </c>
      <c r="YQ1" t="s">
        <v>2166</v>
      </c>
      <c r="YR1" t="s">
        <v>2167</v>
      </c>
      <c r="YS1" t="s">
        <v>2168</v>
      </c>
      <c r="YT1" t="s">
        <v>2169</v>
      </c>
      <c r="YU1" t="s">
        <v>2170</v>
      </c>
      <c r="YV1" t="s">
        <v>2171</v>
      </c>
      <c r="YW1" t="s">
        <v>2172</v>
      </c>
      <c r="YX1" t="s">
        <v>2173</v>
      </c>
      <c r="YY1" t="s">
        <v>2174</v>
      </c>
      <c r="YZ1" t="s">
        <v>2175</v>
      </c>
      <c r="ZA1" t="s">
        <v>2176</v>
      </c>
      <c r="ZB1" t="s">
        <v>2177</v>
      </c>
      <c r="ZC1" t="s">
        <v>2178</v>
      </c>
      <c r="ZD1" t="s">
        <v>2179</v>
      </c>
      <c r="ZE1" t="s">
        <v>2180</v>
      </c>
      <c r="ZF1" t="s">
        <v>2181</v>
      </c>
      <c r="ZG1" t="s">
        <v>2182</v>
      </c>
      <c r="ZH1" t="s">
        <v>2183</v>
      </c>
      <c r="ZI1" t="s">
        <v>2184</v>
      </c>
      <c r="ZJ1" t="s">
        <v>2185</v>
      </c>
      <c r="ZK1" t="s">
        <v>2186</v>
      </c>
      <c r="ZL1" t="s">
        <v>2187</v>
      </c>
      <c r="ZM1" t="s">
        <v>2188</v>
      </c>
      <c r="ZN1" t="s">
        <v>2189</v>
      </c>
      <c r="ZO1" t="s">
        <v>2190</v>
      </c>
      <c r="ZP1" t="s">
        <v>2191</v>
      </c>
      <c r="ZQ1" t="s">
        <v>2192</v>
      </c>
      <c r="ZR1" t="s">
        <v>2193</v>
      </c>
      <c r="ZS1" t="s">
        <v>2194</v>
      </c>
      <c r="ZT1" t="s">
        <v>2195</v>
      </c>
      <c r="ZU1" t="s">
        <v>2196</v>
      </c>
      <c r="ZV1" t="s">
        <v>2197</v>
      </c>
      <c r="ZW1" t="s">
        <v>2198</v>
      </c>
      <c r="ZX1" t="s">
        <v>2199</v>
      </c>
      <c r="ZY1" t="s">
        <v>2200</v>
      </c>
      <c r="ZZ1" t="s">
        <v>2201</v>
      </c>
      <c r="AAA1" t="s">
        <v>2202</v>
      </c>
      <c r="AAB1" t="s">
        <v>2203</v>
      </c>
      <c r="AAC1" t="s">
        <v>2204</v>
      </c>
      <c r="AAD1" t="s">
        <v>2205</v>
      </c>
      <c r="AAE1" t="s">
        <v>2206</v>
      </c>
      <c r="AAF1" t="s">
        <v>2207</v>
      </c>
      <c r="AAG1" t="s">
        <v>2208</v>
      </c>
      <c r="AAH1" t="s">
        <v>2209</v>
      </c>
      <c r="AAI1" t="s">
        <v>2210</v>
      </c>
      <c r="AAJ1" t="s">
        <v>2211</v>
      </c>
      <c r="AAK1" t="s">
        <v>2212</v>
      </c>
      <c r="AAL1" t="s">
        <v>2213</v>
      </c>
      <c r="AAM1" t="s">
        <v>2214</v>
      </c>
      <c r="AAN1" t="s">
        <v>2215</v>
      </c>
      <c r="AAO1" t="s">
        <v>2216</v>
      </c>
      <c r="AAP1" t="s">
        <v>2217</v>
      </c>
      <c r="AAQ1" t="s">
        <v>2218</v>
      </c>
      <c r="AAR1" t="s">
        <v>2219</v>
      </c>
      <c r="AAS1" t="s">
        <v>2220</v>
      </c>
      <c r="AAT1" t="s">
        <v>2221</v>
      </c>
      <c r="AAU1" t="s">
        <v>2222</v>
      </c>
      <c r="AAV1" t="s">
        <v>2223</v>
      </c>
      <c r="AAW1" t="s">
        <v>2224</v>
      </c>
      <c r="AAX1" t="s">
        <v>2225</v>
      </c>
      <c r="AAY1" t="s">
        <v>2226</v>
      </c>
      <c r="AAZ1" t="s">
        <v>2227</v>
      </c>
      <c r="ABA1" t="s">
        <v>2228</v>
      </c>
      <c r="ABB1" t="s">
        <v>2229</v>
      </c>
      <c r="ABC1" t="s">
        <v>2230</v>
      </c>
      <c r="ABD1" t="s">
        <v>2231</v>
      </c>
      <c r="ABE1" t="s">
        <v>2232</v>
      </c>
      <c r="ABF1" t="s">
        <v>2233</v>
      </c>
      <c r="ABG1" t="s">
        <v>2234</v>
      </c>
      <c r="ABH1" t="s">
        <v>2235</v>
      </c>
      <c r="ABI1" t="s">
        <v>2236</v>
      </c>
      <c r="ABJ1" t="s">
        <v>2237</v>
      </c>
      <c r="ABK1" t="s">
        <v>2238</v>
      </c>
      <c r="ABL1" t="s">
        <v>2239</v>
      </c>
      <c r="ABM1" t="s">
        <v>2240</v>
      </c>
      <c r="ABN1" t="s">
        <v>2241</v>
      </c>
      <c r="ABO1" t="s">
        <v>2242</v>
      </c>
      <c r="ABP1" t="s">
        <v>2243</v>
      </c>
      <c r="ABQ1" t="s">
        <v>2244</v>
      </c>
      <c r="ABR1" t="s">
        <v>2245</v>
      </c>
      <c r="ABS1" t="s">
        <v>2246</v>
      </c>
      <c r="ABT1" t="s">
        <v>2247</v>
      </c>
      <c r="ABU1" t="s">
        <v>2248</v>
      </c>
      <c r="ABV1" t="s">
        <v>2249</v>
      </c>
      <c r="ABW1" t="s">
        <v>2250</v>
      </c>
      <c r="ABX1" t="s">
        <v>2251</v>
      </c>
      <c r="ABY1" t="s">
        <v>2252</v>
      </c>
      <c r="ABZ1" t="s">
        <v>2253</v>
      </c>
      <c r="ACA1" t="s">
        <v>2254</v>
      </c>
      <c r="ACB1" t="s">
        <v>2255</v>
      </c>
      <c r="ACC1" t="s">
        <v>2256</v>
      </c>
      <c r="ACD1" t="s">
        <v>2257</v>
      </c>
      <c r="ACE1" t="s">
        <v>2258</v>
      </c>
      <c r="ACF1" t="s">
        <v>2259</v>
      </c>
      <c r="ACG1" t="s">
        <v>2260</v>
      </c>
      <c r="ACH1" t="s">
        <v>2261</v>
      </c>
      <c r="ACI1" t="s">
        <v>2262</v>
      </c>
      <c r="ACJ1" t="s">
        <v>2263</v>
      </c>
      <c r="ACK1" t="s">
        <v>2264</v>
      </c>
      <c r="ACL1" t="s">
        <v>2265</v>
      </c>
      <c r="ACM1" t="s">
        <v>2266</v>
      </c>
      <c r="ACN1" t="s">
        <v>2267</v>
      </c>
      <c r="ACO1" t="s">
        <v>2268</v>
      </c>
      <c r="ACP1" t="s">
        <v>2269</v>
      </c>
      <c r="ACQ1" t="s">
        <v>2270</v>
      </c>
      <c r="ACR1" t="s">
        <v>2271</v>
      </c>
      <c r="ACS1" t="s">
        <v>2272</v>
      </c>
      <c r="ACT1" t="s">
        <v>2273</v>
      </c>
      <c r="ACU1" t="s">
        <v>2274</v>
      </c>
      <c r="ACV1" t="s">
        <v>2275</v>
      </c>
      <c r="ACW1" t="s">
        <v>2276</v>
      </c>
      <c r="ACX1" t="s">
        <v>2277</v>
      </c>
      <c r="ACY1" t="s">
        <v>2278</v>
      </c>
      <c r="ACZ1" t="s">
        <v>2279</v>
      </c>
      <c r="ADA1" t="s">
        <v>2280</v>
      </c>
      <c r="ADB1" t="s">
        <v>2281</v>
      </c>
      <c r="ADC1" t="s">
        <v>2282</v>
      </c>
      <c r="ADD1" t="s">
        <v>2283</v>
      </c>
      <c r="ADE1" t="s">
        <v>2284</v>
      </c>
      <c r="ADF1" t="s">
        <v>2285</v>
      </c>
      <c r="ADG1" t="s">
        <v>2286</v>
      </c>
      <c r="ADH1" t="s">
        <v>2287</v>
      </c>
      <c r="ADI1" t="s">
        <v>2288</v>
      </c>
      <c r="ADJ1" t="s">
        <v>2289</v>
      </c>
      <c r="ADK1" t="s">
        <v>2290</v>
      </c>
      <c r="ADL1" t="s">
        <v>2291</v>
      </c>
      <c r="ADM1" t="s">
        <v>2292</v>
      </c>
      <c r="ADN1" t="s">
        <v>2293</v>
      </c>
      <c r="ADO1" t="s">
        <v>2294</v>
      </c>
      <c r="ADP1" t="s">
        <v>2295</v>
      </c>
      <c r="ADQ1" t="s">
        <v>2296</v>
      </c>
      <c r="ADR1" t="s">
        <v>2297</v>
      </c>
      <c r="ADS1" t="s">
        <v>2298</v>
      </c>
      <c r="ADT1" t="s">
        <v>2299</v>
      </c>
      <c r="ADU1" t="s">
        <v>2300</v>
      </c>
      <c r="ADV1" t="s">
        <v>2301</v>
      </c>
      <c r="ADW1" t="s">
        <v>2302</v>
      </c>
      <c r="ADX1" t="s">
        <v>2303</v>
      </c>
      <c r="ADY1" t="s">
        <v>2304</v>
      </c>
      <c r="ADZ1" t="s">
        <v>2305</v>
      </c>
      <c r="AEA1" t="s">
        <v>2306</v>
      </c>
      <c r="AEB1" t="s">
        <v>2307</v>
      </c>
      <c r="AEC1" t="s">
        <v>2308</v>
      </c>
      <c r="AED1" t="s">
        <v>2309</v>
      </c>
      <c r="AEE1" t="s">
        <v>2310</v>
      </c>
      <c r="AEF1" t="s">
        <v>2311</v>
      </c>
      <c r="AEG1" t="s">
        <v>2312</v>
      </c>
      <c r="AEH1" t="s">
        <v>2313</v>
      </c>
      <c r="AEI1" t="s">
        <v>2314</v>
      </c>
      <c r="AEJ1" t="s">
        <v>2315</v>
      </c>
      <c r="AEK1" t="s">
        <v>2316</v>
      </c>
      <c r="AEL1" t="s">
        <v>2317</v>
      </c>
      <c r="AEM1" t="s">
        <v>2318</v>
      </c>
      <c r="AEN1" t="s">
        <v>2319</v>
      </c>
      <c r="AEO1" t="s">
        <v>2320</v>
      </c>
      <c r="AEP1" t="s">
        <v>2321</v>
      </c>
      <c r="AEQ1" t="s">
        <v>2322</v>
      </c>
      <c r="AER1" t="s">
        <v>2323</v>
      </c>
      <c r="AES1" t="s">
        <v>2324</v>
      </c>
      <c r="AET1" t="s">
        <v>2325</v>
      </c>
      <c r="AEU1" t="s">
        <v>2326</v>
      </c>
      <c r="AEV1" t="s">
        <v>2327</v>
      </c>
      <c r="AEW1" t="s">
        <v>2328</v>
      </c>
      <c r="AEX1" t="s">
        <v>2329</v>
      </c>
      <c r="AEY1" t="s">
        <v>2330</v>
      </c>
      <c r="AEZ1" t="s">
        <v>2331</v>
      </c>
      <c r="AFA1" t="s">
        <v>2332</v>
      </c>
      <c r="AFB1" t="s">
        <v>2333</v>
      </c>
      <c r="AFC1" t="s">
        <v>2334</v>
      </c>
      <c r="AFD1" t="s">
        <v>2335</v>
      </c>
      <c r="AFE1" t="s">
        <v>2336</v>
      </c>
      <c r="AFF1" t="s">
        <v>2337</v>
      </c>
      <c r="AFG1" t="s">
        <v>2338</v>
      </c>
      <c r="AFH1" t="s">
        <v>2339</v>
      </c>
      <c r="AFI1" t="s">
        <v>2340</v>
      </c>
      <c r="AFJ1" t="s">
        <v>2341</v>
      </c>
      <c r="AFK1" t="s">
        <v>2342</v>
      </c>
      <c r="AFL1" t="s">
        <v>2343</v>
      </c>
      <c r="AFM1" t="s">
        <v>2344</v>
      </c>
      <c r="AFN1" t="s">
        <v>2345</v>
      </c>
      <c r="AFO1" t="s">
        <v>2346</v>
      </c>
      <c r="AFP1" t="s">
        <v>2347</v>
      </c>
      <c r="AFQ1" t="s">
        <v>2348</v>
      </c>
      <c r="AFR1" t="s">
        <v>2349</v>
      </c>
      <c r="AFS1" t="s">
        <v>2350</v>
      </c>
      <c r="AFT1" t="s">
        <v>2351</v>
      </c>
      <c r="AFU1" t="s">
        <v>2352</v>
      </c>
      <c r="AFV1" t="s">
        <v>2353</v>
      </c>
      <c r="AFW1" t="s">
        <v>2354</v>
      </c>
      <c r="AFX1" t="s">
        <v>2355</v>
      </c>
      <c r="AFY1" t="s">
        <v>2356</v>
      </c>
      <c r="AFZ1" t="s">
        <v>2357</v>
      </c>
      <c r="AGA1" t="s">
        <v>2358</v>
      </c>
      <c r="AGB1" t="s">
        <v>2359</v>
      </c>
      <c r="AGC1" t="s">
        <v>2360</v>
      </c>
      <c r="AGD1" t="s">
        <v>2361</v>
      </c>
      <c r="AGE1" t="s">
        <v>2362</v>
      </c>
      <c r="AGF1" t="s">
        <v>2363</v>
      </c>
      <c r="AGG1" t="s">
        <v>2364</v>
      </c>
      <c r="AGH1" t="s">
        <v>2365</v>
      </c>
      <c r="AGI1" t="s">
        <v>2366</v>
      </c>
      <c r="AGJ1" t="s">
        <v>2367</v>
      </c>
      <c r="AGK1" t="s">
        <v>2368</v>
      </c>
      <c r="AGL1" t="s">
        <v>2369</v>
      </c>
      <c r="AGM1" t="s">
        <v>2370</v>
      </c>
      <c r="AGN1" t="s">
        <v>2371</v>
      </c>
      <c r="AGO1" t="s">
        <v>2372</v>
      </c>
      <c r="AGP1" t="s">
        <v>2373</v>
      </c>
      <c r="AGQ1" t="s">
        <v>2374</v>
      </c>
      <c r="AGR1" t="s">
        <v>2375</v>
      </c>
      <c r="AGS1" t="s">
        <v>2376</v>
      </c>
      <c r="AGT1" t="s">
        <v>2377</v>
      </c>
      <c r="AGU1" t="s">
        <v>2378</v>
      </c>
      <c r="AGV1" t="s">
        <v>2379</v>
      </c>
      <c r="AGW1" t="s">
        <v>2380</v>
      </c>
      <c r="AGX1" t="s">
        <v>2381</v>
      </c>
      <c r="AGY1" t="s">
        <v>2382</v>
      </c>
      <c r="AGZ1" t="s">
        <v>2383</v>
      </c>
      <c r="AHA1" t="s">
        <v>2384</v>
      </c>
      <c r="AHB1" t="s">
        <v>2385</v>
      </c>
      <c r="AHC1" t="s">
        <v>2386</v>
      </c>
      <c r="AHD1" t="s">
        <v>2387</v>
      </c>
      <c r="AHE1" t="s">
        <v>2388</v>
      </c>
      <c r="AHF1" t="s">
        <v>2389</v>
      </c>
      <c r="AHG1" t="s">
        <v>2390</v>
      </c>
      <c r="AHH1" t="s">
        <v>2391</v>
      </c>
      <c r="AHI1" t="s">
        <v>2392</v>
      </c>
      <c r="AHJ1" t="s">
        <v>2393</v>
      </c>
      <c r="AHK1" t="s">
        <v>2394</v>
      </c>
      <c r="AHL1" t="s">
        <v>2395</v>
      </c>
      <c r="AHM1" t="s">
        <v>2396</v>
      </c>
      <c r="AHN1" t="s">
        <v>2397</v>
      </c>
      <c r="AHO1" t="s">
        <v>2398</v>
      </c>
      <c r="AHP1" t="s">
        <v>2399</v>
      </c>
      <c r="AHQ1" t="s">
        <v>2400</v>
      </c>
      <c r="AHR1" t="s">
        <v>2401</v>
      </c>
      <c r="AHS1" t="s">
        <v>2402</v>
      </c>
      <c r="AHT1" t="s">
        <v>2403</v>
      </c>
      <c r="AHU1" t="s">
        <v>2404</v>
      </c>
      <c r="AHV1" t="s">
        <v>2405</v>
      </c>
      <c r="AHW1" t="s">
        <v>2406</v>
      </c>
      <c r="AHX1" t="s">
        <v>2407</v>
      </c>
      <c r="AHY1" t="s">
        <v>2408</v>
      </c>
      <c r="AHZ1" t="s">
        <v>2409</v>
      </c>
      <c r="AIA1" t="s">
        <v>2410</v>
      </c>
      <c r="AIB1" t="s">
        <v>2411</v>
      </c>
      <c r="AIC1" t="s">
        <v>2412</v>
      </c>
      <c r="AID1" t="s">
        <v>2413</v>
      </c>
      <c r="AIE1" t="s">
        <v>2414</v>
      </c>
      <c r="AIF1" t="s">
        <v>2415</v>
      </c>
      <c r="AIG1" t="s">
        <v>2416</v>
      </c>
      <c r="AIH1" t="s">
        <v>2417</v>
      </c>
      <c r="AII1" t="s">
        <v>2418</v>
      </c>
      <c r="AIJ1" t="s">
        <v>2419</v>
      </c>
      <c r="AIK1" t="s">
        <v>2420</v>
      </c>
      <c r="AIL1" t="s">
        <v>2421</v>
      </c>
      <c r="AIM1" t="s">
        <v>2422</v>
      </c>
      <c r="AIN1" t="s">
        <v>2423</v>
      </c>
      <c r="AIO1" t="s">
        <v>2424</v>
      </c>
      <c r="AIP1" t="s">
        <v>2425</v>
      </c>
      <c r="AIQ1" t="s">
        <v>2426</v>
      </c>
      <c r="AIR1" t="s">
        <v>2427</v>
      </c>
      <c r="AIS1" t="s">
        <v>2428</v>
      </c>
      <c r="AIT1" t="s">
        <v>2429</v>
      </c>
      <c r="AIU1" t="s">
        <v>2430</v>
      </c>
      <c r="AIV1" t="s">
        <v>2431</v>
      </c>
      <c r="AIW1" t="s">
        <v>2432</v>
      </c>
      <c r="AIX1" t="s">
        <v>2433</v>
      </c>
      <c r="AIY1" t="s">
        <v>2434</v>
      </c>
      <c r="AIZ1" t="s">
        <v>2435</v>
      </c>
      <c r="AJA1" t="s">
        <v>2436</v>
      </c>
      <c r="AJB1" t="s">
        <v>2437</v>
      </c>
      <c r="AJC1" t="s">
        <v>2438</v>
      </c>
      <c r="AJD1" t="s">
        <v>2439</v>
      </c>
      <c r="AJE1" t="s">
        <v>2440</v>
      </c>
      <c r="AJF1" t="s">
        <v>2441</v>
      </c>
      <c r="AJG1" t="s">
        <v>2442</v>
      </c>
      <c r="AJH1" t="s">
        <v>2443</v>
      </c>
      <c r="AJI1" t="s">
        <v>2444</v>
      </c>
      <c r="AJJ1" t="s">
        <v>2445</v>
      </c>
      <c r="AJK1" t="s">
        <v>2446</v>
      </c>
      <c r="AJL1" t="s">
        <v>2447</v>
      </c>
      <c r="AJM1" t="s">
        <v>2448</v>
      </c>
      <c r="AJN1" t="s">
        <v>2449</v>
      </c>
      <c r="AJO1" t="s">
        <v>2450</v>
      </c>
      <c r="AJP1" t="s">
        <v>2451</v>
      </c>
      <c r="AJQ1" t="s">
        <v>2452</v>
      </c>
      <c r="AJR1" t="s">
        <v>2453</v>
      </c>
      <c r="AJS1" t="s">
        <v>2454</v>
      </c>
      <c r="AJT1" t="s">
        <v>2455</v>
      </c>
      <c r="AJU1" t="s">
        <v>2456</v>
      </c>
      <c r="AJV1" t="s">
        <v>2457</v>
      </c>
      <c r="AJW1" t="s">
        <v>2458</v>
      </c>
      <c r="AJX1" t="s">
        <v>2459</v>
      </c>
      <c r="AJY1" t="s">
        <v>2460</v>
      </c>
      <c r="AJZ1" t="s">
        <v>2461</v>
      </c>
      <c r="AKA1" t="s">
        <v>2462</v>
      </c>
      <c r="AKB1" t="s">
        <v>2463</v>
      </c>
      <c r="AKC1" t="s">
        <v>2464</v>
      </c>
      <c r="AKD1" t="s">
        <v>2465</v>
      </c>
      <c r="AKE1" t="s">
        <v>2466</v>
      </c>
      <c r="AKF1" t="s">
        <v>2467</v>
      </c>
      <c r="AKG1" t="s">
        <v>2468</v>
      </c>
      <c r="AKH1" t="s">
        <v>2469</v>
      </c>
      <c r="AKI1" t="s">
        <v>2470</v>
      </c>
      <c r="AKJ1" t="s">
        <v>2471</v>
      </c>
      <c r="AKK1" t="s">
        <v>2472</v>
      </c>
      <c r="AKL1" t="s">
        <v>2473</v>
      </c>
      <c r="AKM1" t="s">
        <v>2474</v>
      </c>
      <c r="AKN1" t="s">
        <v>2475</v>
      </c>
      <c r="AKO1" t="s">
        <v>2476</v>
      </c>
      <c r="AKP1" t="s">
        <v>2477</v>
      </c>
      <c r="AKQ1" t="s">
        <v>2478</v>
      </c>
      <c r="AKR1" t="s">
        <v>2479</v>
      </c>
      <c r="AKS1" t="s">
        <v>2480</v>
      </c>
      <c r="AKT1" t="s">
        <v>2481</v>
      </c>
      <c r="AKU1" t="s">
        <v>2482</v>
      </c>
      <c r="AKV1" t="s">
        <v>2483</v>
      </c>
      <c r="AKW1" t="s">
        <v>2484</v>
      </c>
      <c r="AKX1" t="s">
        <v>2485</v>
      </c>
      <c r="AKY1" t="s">
        <v>2486</v>
      </c>
      <c r="AKZ1" t="s">
        <v>2487</v>
      </c>
      <c r="ALA1" t="s">
        <v>2488</v>
      </c>
      <c r="ALB1" t="s">
        <v>2489</v>
      </c>
      <c r="ALC1" t="s">
        <v>2490</v>
      </c>
      <c r="ALD1" t="s">
        <v>2491</v>
      </c>
      <c r="ALE1" t="s">
        <v>2492</v>
      </c>
      <c r="ALF1" t="s">
        <v>2493</v>
      </c>
      <c r="ALG1" t="s">
        <v>2494</v>
      </c>
      <c r="ALH1" t="s">
        <v>2495</v>
      </c>
      <c r="ALI1" t="s">
        <v>2496</v>
      </c>
      <c r="ALJ1" t="s">
        <v>2497</v>
      </c>
      <c r="ALK1" t="s">
        <v>2498</v>
      </c>
      <c r="ALL1" t="s">
        <v>2499</v>
      </c>
      <c r="ALM1" t="s">
        <v>2500</v>
      </c>
      <c r="ALN1" t="s">
        <v>2501</v>
      </c>
      <c r="ALO1" t="s">
        <v>2502</v>
      </c>
      <c r="ALP1" t="s">
        <v>2503</v>
      </c>
      <c r="ALQ1" t="s">
        <v>2504</v>
      </c>
      <c r="ALR1" t="s">
        <v>2505</v>
      </c>
      <c r="ALS1" t="s">
        <v>2506</v>
      </c>
      <c r="ALT1" t="s">
        <v>2507</v>
      </c>
      <c r="ALU1" t="s">
        <v>2508</v>
      </c>
      <c r="ALV1" t="s">
        <v>2509</v>
      </c>
      <c r="ALW1" t="s">
        <v>2510</v>
      </c>
      <c r="ALX1" t="s">
        <v>2511</v>
      </c>
      <c r="ALY1" t="s">
        <v>2512</v>
      </c>
      <c r="ALZ1" t="s">
        <v>2513</v>
      </c>
      <c r="AMA1" t="s">
        <v>2514</v>
      </c>
      <c r="AMB1" t="s">
        <v>2515</v>
      </c>
      <c r="AMC1" t="s">
        <v>2516</v>
      </c>
      <c r="AMD1" t="s">
        <v>2517</v>
      </c>
      <c r="AME1" t="s">
        <v>2518</v>
      </c>
      <c r="AMF1" t="s">
        <v>2519</v>
      </c>
      <c r="AMG1" t="s">
        <v>2520</v>
      </c>
      <c r="AMH1" t="s">
        <v>2521</v>
      </c>
      <c r="AMI1" t="s">
        <v>2522</v>
      </c>
      <c r="AMJ1" t="s">
        <v>2523</v>
      </c>
      <c r="AMK1" t="s">
        <v>2524</v>
      </c>
      <c r="AML1" t="s">
        <v>2525</v>
      </c>
      <c r="AMM1" t="s">
        <v>2526</v>
      </c>
      <c r="AMN1" t="s">
        <v>2527</v>
      </c>
      <c r="AMO1" t="s">
        <v>2528</v>
      </c>
      <c r="AMP1" t="s">
        <v>2529</v>
      </c>
      <c r="AMQ1" t="s">
        <v>2530</v>
      </c>
      <c r="AMR1" t="s">
        <v>2531</v>
      </c>
      <c r="AMS1" t="s">
        <v>2532</v>
      </c>
      <c r="AMT1" t="s">
        <v>2533</v>
      </c>
      <c r="AMU1" t="s">
        <v>2534</v>
      </c>
      <c r="AMV1" t="s">
        <v>2535</v>
      </c>
      <c r="AMW1" t="s">
        <v>2536</v>
      </c>
      <c r="AMX1" t="s">
        <v>2537</v>
      </c>
      <c r="AMY1" t="s">
        <v>2538</v>
      </c>
      <c r="AMZ1" t="s">
        <v>2539</v>
      </c>
      <c r="ANA1" t="s">
        <v>2540</v>
      </c>
      <c r="ANB1" t="s">
        <v>2541</v>
      </c>
      <c r="ANC1" t="s">
        <v>2542</v>
      </c>
      <c r="AND1" t="s">
        <v>2543</v>
      </c>
      <c r="ANE1" t="s">
        <v>2544</v>
      </c>
      <c r="ANF1" t="s">
        <v>2545</v>
      </c>
      <c r="ANG1" t="s">
        <v>2546</v>
      </c>
      <c r="ANH1" t="s">
        <v>2547</v>
      </c>
      <c r="ANI1" t="s">
        <v>2548</v>
      </c>
      <c r="ANJ1" t="s">
        <v>2549</v>
      </c>
      <c r="ANK1" t="s">
        <v>2550</v>
      </c>
      <c r="ANL1" t="s">
        <v>2551</v>
      </c>
      <c r="ANM1" t="s">
        <v>2552</v>
      </c>
      <c r="ANN1" t="s">
        <v>2553</v>
      </c>
      <c r="ANO1" t="s">
        <v>2554</v>
      </c>
      <c r="ANP1" t="s">
        <v>2555</v>
      </c>
      <c r="ANQ1" t="s">
        <v>2556</v>
      </c>
      <c r="ANR1" t="s">
        <v>2557</v>
      </c>
      <c r="ANS1" t="s">
        <v>2558</v>
      </c>
      <c r="ANT1" t="s">
        <v>2559</v>
      </c>
      <c r="ANU1" t="s">
        <v>2560</v>
      </c>
      <c r="ANV1" t="s">
        <v>2561</v>
      </c>
      <c r="ANW1" t="s">
        <v>2562</v>
      </c>
      <c r="ANX1" t="s">
        <v>2563</v>
      </c>
      <c r="ANY1" t="s">
        <v>2564</v>
      </c>
      <c r="ANZ1" t="s">
        <v>2565</v>
      </c>
      <c r="AOA1" t="s">
        <v>2566</v>
      </c>
      <c r="AOB1" t="s">
        <v>2567</v>
      </c>
      <c r="AOC1" t="s">
        <v>2568</v>
      </c>
      <c r="AOD1" t="s">
        <v>2569</v>
      </c>
      <c r="AOE1" t="s">
        <v>2570</v>
      </c>
      <c r="AOF1" t="s">
        <v>2571</v>
      </c>
      <c r="AOG1" t="s">
        <v>2572</v>
      </c>
      <c r="AOH1" t="s">
        <v>2573</v>
      </c>
      <c r="AOI1" t="s">
        <v>2574</v>
      </c>
      <c r="AOJ1" t="s">
        <v>2575</v>
      </c>
      <c r="AOK1" t="s">
        <v>2576</v>
      </c>
      <c r="AOL1" t="s">
        <v>2577</v>
      </c>
      <c r="AOM1" t="s">
        <v>2578</v>
      </c>
      <c r="AON1" t="s">
        <v>2579</v>
      </c>
      <c r="AOO1" t="s">
        <v>2580</v>
      </c>
      <c r="AOP1" t="s">
        <v>2581</v>
      </c>
      <c r="AOQ1" t="s">
        <v>2582</v>
      </c>
      <c r="AOR1" t="s">
        <v>2583</v>
      </c>
      <c r="AOS1" t="s">
        <v>2584</v>
      </c>
      <c r="AOT1" t="s">
        <v>2585</v>
      </c>
      <c r="AOU1" t="s">
        <v>2586</v>
      </c>
      <c r="AOV1" t="s">
        <v>2587</v>
      </c>
      <c r="AOW1" t="s">
        <v>2588</v>
      </c>
      <c r="AOX1" t="s">
        <v>2589</v>
      </c>
      <c r="AOY1" t="s">
        <v>2590</v>
      </c>
      <c r="AOZ1" t="s">
        <v>2591</v>
      </c>
      <c r="APA1" t="s">
        <v>2592</v>
      </c>
      <c r="APB1" t="s">
        <v>2593</v>
      </c>
      <c r="APC1" t="s">
        <v>2594</v>
      </c>
      <c r="APD1" t="s">
        <v>2595</v>
      </c>
      <c r="APE1" t="s">
        <v>2596</v>
      </c>
      <c r="APF1" t="s">
        <v>2597</v>
      </c>
      <c r="APG1" t="s">
        <v>2598</v>
      </c>
      <c r="APH1" t="s">
        <v>2599</v>
      </c>
      <c r="API1" t="s">
        <v>2600</v>
      </c>
      <c r="APJ1" t="s">
        <v>2601</v>
      </c>
      <c r="APK1" t="s">
        <v>2602</v>
      </c>
      <c r="APL1" t="s">
        <v>2603</v>
      </c>
      <c r="APM1" t="s">
        <v>2604</v>
      </c>
      <c r="APN1" t="s">
        <v>2605</v>
      </c>
      <c r="APO1" t="s">
        <v>2606</v>
      </c>
      <c r="APP1" t="s">
        <v>2607</v>
      </c>
      <c r="APQ1" t="s">
        <v>2608</v>
      </c>
      <c r="APR1" t="s">
        <v>2609</v>
      </c>
      <c r="APS1" t="s">
        <v>2610</v>
      </c>
      <c r="APT1" t="s">
        <v>2611</v>
      </c>
      <c r="APU1" t="s">
        <v>2612</v>
      </c>
      <c r="APV1" t="s">
        <v>2613</v>
      </c>
      <c r="APW1" t="s">
        <v>2614</v>
      </c>
      <c r="APX1" t="s">
        <v>2615</v>
      </c>
      <c r="APY1" t="s">
        <v>2616</v>
      </c>
      <c r="APZ1" t="s">
        <v>2617</v>
      </c>
      <c r="AQA1" t="s">
        <v>2618</v>
      </c>
      <c r="AQB1" t="s">
        <v>2619</v>
      </c>
      <c r="AQC1" t="s">
        <v>2620</v>
      </c>
      <c r="AQD1" t="s">
        <v>2621</v>
      </c>
      <c r="AQE1" t="s">
        <v>2622</v>
      </c>
      <c r="AQF1" t="s">
        <v>2623</v>
      </c>
      <c r="AQG1" t="s">
        <v>2624</v>
      </c>
      <c r="AQH1" t="s">
        <v>2625</v>
      </c>
      <c r="AQI1" t="s">
        <v>2626</v>
      </c>
      <c r="AQJ1" t="s">
        <v>2627</v>
      </c>
      <c r="AQK1" t="s">
        <v>2628</v>
      </c>
      <c r="AQL1" t="s">
        <v>2629</v>
      </c>
      <c r="AQM1" t="s">
        <v>2630</v>
      </c>
      <c r="AQN1" t="s">
        <v>2631</v>
      </c>
      <c r="AQO1" t="s">
        <v>2632</v>
      </c>
      <c r="AQP1" t="s">
        <v>2633</v>
      </c>
      <c r="AQQ1" t="s">
        <v>2634</v>
      </c>
      <c r="AQR1" t="s">
        <v>2635</v>
      </c>
      <c r="AQS1" t="s">
        <v>2636</v>
      </c>
      <c r="AQT1" t="s">
        <v>2637</v>
      </c>
      <c r="AQU1" t="s">
        <v>2638</v>
      </c>
      <c r="AQV1" t="s">
        <v>2639</v>
      </c>
      <c r="AQW1" t="s">
        <v>2640</v>
      </c>
      <c r="AQX1" t="s">
        <v>2641</v>
      </c>
      <c r="AQY1" t="s">
        <v>2642</v>
      </c>
      <c r="AQZ1" t="s">
        <v>2643</v>
      </c>
      <c r="ARA1" t="s">
        <v>2644</v>
      </c>
      <c r="ARB1" t="s">
        <v>2645</v>
      </c>
      <c r="ARC1" t="s">
        <v>2646</v>
      </c>
      <c r="ARD1" t="s">
        <v>2647</v>
      </c>
      <c r="ARE1" t="s">
        <v>2648</v>
      </c>
      <c r="ARF1" t="s">
        <v>2649</v>
      </c>
      <c r="ARG1" t="s">
        <v>2650</v>
      </c>
      <c r="ARH1" t="s">
        <v>2651</v>
      </c>
      <c r="ARI1" t="s">
        <v>2652</v>
      </c>
      <c r="ARJ1" t="s">
        <v>2653</v>
      </c>
      <c r="ARK1" t="s">
        <v>2654</v>
      </c>
      <c r="ARL1" t="s">
        <v>2655</v>
      </c>
      <c r="ARM1" t="s">
        <v>2656</v>
      </c>
      <c r="ARN1" t="s">
        <v>2657</v>
      </c>
      <c r="ARO1" t="s">
        <v>2658</v>
      </c>
      <c r="ARP1" t="s">
        <v>2659</v>
      </c>
      <c r="ARQ1" t="s">
        <v>2660</v>
      </c>
      <c r="ARR1" t="s">
        <v>2661</v>
      </c>
      <c r="ARS1" t="s">
        <v>2662</v>
      </c>
      <c r="ART1" t="s">
        <v>2663</v>
      </c>
      <c r="ARU1" t="s">
        <v>2664</v>
      </c>
      <c r="ARV1" t="s">
        <v>2665</v>
      </c>
      <c r="ARW1" t="s">
        <v>2666</v>
      </c>
      <c r="ARX1" t="s">
        <v>2667</v>
      </c>
      <c r="ARY1" t="s">
        <v>2668</v>
      </c>
      <c r="ARZ1" t="s">
        <v>2669</v>
      </c>
      <c r="ASA1" t="s">
        <v>2670</v>
      </c>
      <c r="ASB1" t="s">
        <v>2671</v>
      </c>
      <c r="ASC1" t="s">
        <v>2672</v>
      </c>
      <c r="ASD1" t="s">
        <v>2673</v>
      </c>
      <c r="ASE1" t="s">
        <v>2674</v>
      </c>
      <c r="ASF1" t="s">
        <v>2675</v>
      </c>
      <c r="ASG1" t="s">
        <v>2676</v>
      </c>
      <c r="ASH1" t="s">
        <v>2677</v>
      </c>
      <c r="ASI1" t="s">
        <v>2678</v>
      </c>
      <c r="ASJ1" t="s">
        <v>2679</v>
      </c>
      <c r="ASK1" t="s">
        <v>2680</v>
      </c>
      <c r="ASL1" t="s">
        <v>2681</v>
      </c>
      <c r="ASM1" t="s">
        <v>2682</v>
      </c>
      <c r="ASN1" t="s">
        <v>2683</v>
      </c>
      <c r="ASO1" t="s">
        <v>2684</v>
      </c>
      <c r="ASP1" t="s">
        <v>2685</v>
      </c>
      <c r="ASQ1" t="s">
        <v>2686</v>
      </c>
      <c r="ASR1" t="s">
        <v>2687</v>
      </c>
      <c r="ASS1" t="s">
        <v>2688</v>
      </c>
      <c r="AST1" t="s">
        <v>2689</v>
      </c>
      <c r="ASU1" t="s">
        <v>2690</v>
      </c>
      <c r="ASV1" t="s">
        <v>2691</v>
      </c>
      <c r="ASW1" t="s">
        <v>2692</v>
      </c>
      <c r="ASX1" t="s">
        <v>2693</v>
      </c>
      <c r="ASY1" t="s">
        <v>2694</v>
      </c>
      <c r="ASZ1" t="s">
        <v>2695</v>
      </c>
      <c r="ATA1" t="s">
        <v>2696</v>
      </c>
      <c r="ATB1" t="s">
        <v>2697</v>
      </c>
      <c r="ATC1" t="s">
        <v>2698</v>
      </c>
      <c r="ATD1" t="s">
        <v>2699</v>
      </c>
      <c r="ATE1" t="s">
        <v>2700</v>
      </c>
      <c r="ATF1" t="s">
        <v>2701</v>
      </c>
      <c r="ATG1" t="s">
        <v>2702</v>
      </c>
      <c r="ATH1" t="s">
        <v>2703</v>
      </c>
      <c r="ATI1" t="s">
        <v>2704</v>
      </c>
      <c r="ATJ1" t="s">
        <v>2705</v>
      </c>
      <c r="ATK1" t="s">
        <v>2706</v>
      </c>
      <c r="ATL1" t="s">
        <v>2707</v>
      </c>
      <c r="ATM1" t="s">
        <v>2708</v>
      </c>
      <c r="ATN1" t="s">
        <v>2709</v>
      </c>
      <c r="ATO1" t="s">
        <v>2710</v>
      </c>
      <c r="ATP1" t="s">
        <v>2711</v>
      </c>
      <c r="ATQ1" t="s">
        <v>2712</v>
      </c>
      <c r="ATR1" t="s">
        <v>2713</v>
      </c>
      <c r="ATS1" t="s">
        <v>2714</v>
      </c>
      <c r="ATT1" t="s">
        <v>2715</v>
      </c>
      <c r="ATU1" t="s">
        <v>2716</v>
      </c>
      <c r="ATV1" t="s">
        <v>2717</v>
      </c>
      <c r="ATW1" t="s">
        <v>2718</v>
      </c>
      <c r="ATX1" t="s">
        <v>2719</v>
      </c>
      <c r="ATY1" t="s">
        <v>2720</v>
      </c>
      <c r="ATZ1" t="s">
        <v>2721</v>
      </c>
      <c r="AUA1" t="s">
        <v>2722</v>
      </c>
      <c r="AUB1" t="s">
        <v>2723</v>
      </c>
      <c r="AUC1" t="s">
        <v>2724</v>
      </c>
      <c r="AUD1" t="s">
        <v>2725</v>
      </c>
      <c r="AUE1" t="s">
        <v>2726</v>
      </c>
      <c r="AUF1" t="s">
        <v>2727</v>
      </c>
      <c r="AUG1" t="s">
        <v>2728</v>
      </c>
      <c r="AUH1" t="s">
        <v>2729</v>
      </c>
      <c r="AUI1" t="s">
        <v>2730</v>
      </c>
      <c r="AUJ1" t="s">
        <v>2731</v>
      </c>
      <c r="AUK1" t="s">
        <v>2732</v>
      </c>
      <c r="AUL1" t="s">
        <v>2733</v>
      </c>
      <c r="AUM1" t="s">
        <v>2734</v>
      </c>
      <c r="AUN1" t="s">
        <v>2735</v>
      </c>
      <c r="AUO1" t="s">
        <v>2736</v>
      </c>
      <c r="AUP1" t="s">
        <v>2737</v>
      </c>
      <c r="AUQ1" t="s">
        <v>2738</v>
      </c>
      <c r="AUR1" t="s">
        <v>2739</v>
      </c>
      <c r="AUS1" t="s">
        <v>2740</v>
      </c>
      <c r="AUT1" t="s">
        <v>2741</v>
      </c>
      <c r="AUU1" t="s">
        <v>2742</v>
      </c>
      <c r="AUV1" t="s">
        <v>2743</v>
      </c>
      <c r="AUW1" t="s">
        <v>2744</v>
      </c>
      <c r="AUX1" t="s">
        <v>2745</v>
      </c>
      <c r="AUY1" t="s">
        <v>2746</v>
      </c>
      <c r="AUZ1" t="s">
        <v>2747</v>
      </c>
      <c r="AVA1" t="s">
        <v>2748</v>
      </c>
      <c r="AVB1" t="s">
        <v>2749</v>
      </c>
      <c r="AVC1" t="s">
        <v>2750</v>
      </c>
      <c r="AVD1" t="s">
        <v>2751</v>
      </c>
      <c r="AVE1" t="s">
        <v>2752</v>
      </c>
      <c r="AVF1" t="s">
        <v>2753</v>
      </c>
      <c r="AVG1" t="s">
        <v>2754</v>
      </c>
      <c r="AVH1" t="s">
        <v>2755</v>
      </c>
      <c r="AVI1" t="s">
        <v>2756</v>
      </c>
      <c r="AVJ1" t="s">
        <v>2757</v>
      </c>
      <c r="AVK1" t="s">
        <v>2758</v>
      </c>
      <c r="AVL1" t="s">
        <v>2759</v>
      </c>
      <c r="AVM1" t="s">
        <v>2760</v>
      </c>
      <c r="AVN1" t="s">
        <v>2761</v>
      </c>
      <c r="AVO1" t="s">
        <v>2762</v>
      </c>
      <c r="AVP1" t="s">
        <v>2763</v>
      </c>
      <c r="AVQ1" t="s">
        <v>2764</v>
      </c>
      <c r="AVR1" t="s">
        <v>2765</v>
      </c>
      <c r="AVS1" t="s">
        <v>2766</v>
      </c>
      <c r="AVT1" t="s">
        <v>2767</v>
      </c>
      <c r="AVU1" t="s">
        <v>2768</v>
      </c>
      <c r="AVV1" t="s">
        <v>2769</v>
      </c>
      <c r="AVW1" t="s">
        <v>2770</v>
      </c>
      <c r="AVX1" t="s">
        <v>2771</v>
      </c>
      <c r="AVY1" t="s">
        <v>2772</v>
      </c>
      <c r="AVZ1" t="s">
        <v>2773</v>
      </c>
      <c r="AWA1" t="s">
        <v>2774</v>
      </c>
      <c r="AWB1" t="s">
        <v>2775</v>
      </c>
      <c r="AWC1" t="s">
        <v>2776</v>
      </c>
      <c r="AWD1" t="s">
        <v>2777</v>
      </c>
      <c r="AWE1" t="s">
        <v>2778</v>
      </c>
      <c r="AWF1" t="s">
        <v>2779</v>
      </c>
      <c r="AWG1" t="s">
        <v>2780</v>
      </c>
      <c r="AWH1" t="s">
        <v>2781</v>
      </c>
      <c r="AWI1" t="s">
        <v>2782</v>
      </c>
      <c r="AWJ1" t="s">
        <v>2783</v>
      </c>
      <c r="AWK1" t="s">
        <v>2784</v>
      </c>
      <c r="AWL1" t="s">
        <v>2785</v>
      </c>
      <c r="AWM1" t="s">
        <v>2786</v>
      </c>
      <c r="AWN1" t="s">
        <v>2787</v>
      </c>
      <c r="AWO1" t="s">
        <v>2788</v>
      </c>
      <c r="AWP1" t="s">
        <v>2789</v>
      </c>
      <c r="AWQ1" t="s">
        <v>2790</v>
      </c>
      <c r="AWR1" t="s">
        <v>2791</v>
      </c>
      <c r="AWS1" t="s">
        <v>2792</v>
      </c>
      <c r="AWT1" t="s">
        <v>2793</v>
      </c>
      <c r="AWU1" t="s">
        <v>2794</v>
      </c>
      <c r="AWV1" t="s">
        <v>2795</v>
      </c>
      <c r="AWW1" t="s">
        <v>2796</v>
      </c>
      <c r="AWX1" t="s">
        <v>2797</v>
      </c>
      <c r="AWY1" t="s">
        <v>2798</v>
      </c>
      <c r="AWZ1" t="s">
        <v>2799</v>
      </c>
      <c r="AXA1" t="s">
        <v>2800</v>
      </c>
      <c r="AXB1" t="s">
        <v>2801</v>
      </c>
      <c r="AXC1" t="s">
        <v>2802</v>
      </c>
      <c r="AXD1" t="s">
        <v>2803</v>
      </c>
      <c r="AXE1" t="s">
        <v>2804</v>
      </c>
      <c r="AXF1" t="s">
        <v>2805</v>
      </c>
      <c r="AXG1" t="s">
        <v>2806</v>
      </c>
      <c r="AXH1" t="s">
        <v>2807</v>
      </c>
      <c r="AXI1" t="s">
        <v>2808</v>
      </c>
      <c r="AXJ1" t="s">
        <v>2809</v>
      </c>
      <c r="AXK1" t="s">
        <v>2810</v>
      </c>
      <c r="AXL1" t="s">
        <v>2811</v>
      </c>
      <c r="AXM1" t="s">
        <v>2812</v>
      </c>
      <c r="AXN1" t="s">
        <v>2813</v>
      </c>
      <c r="AXO1" t="s">
        <v>2814</v>
      </c>
      <c r="AXP1" t="s">
        <v>2815</v>
      </c>
      <c r="AXQ1" t="s">
        <v>2816</v>
      </c>
      <c r="AXR1" t="s">
        <v>2817</v>
      </c>
      <c r="AXS1" t="s">
        <v>2818</v>
      </c>
      <c r="AXT1" t="s">
        <v>2819</v>
      </c>
      <c r="AXU1" t="s">
        <v>2820</v>
      </c>
      <c r="AXV1" t="s">
        <v>2821</v>
      </c>
      <c r="AXW1" t="s">
        <v>2822</v>
      </c>
      <c r="AXX1" t="s">
        <v>2823</v>
      </c>
      <c r="AXY1" t="s">
        <v>2824</v>
      </c>
      <c r="AXZ1" t="s">
        <v>2825</v>
      </c>
      <c r="AYA1" t="s">
        <v>2826</v>
      </c>
      <c r="AYB1" t="s">
        <v>2827</v>
      </c>
      <c r="AYC1" t="s">
        <v>2828</v>
      </c>
      <c r="AYD1" t="s">
        <v>2829</v>
      </c>
      <c r="AYE1" t="s">
        <v>2830</v>
      </c>
      <c r="AYF1" t="s">
        <v>2831</v>
      </c>
      <c r="AYG1" t="s">
        <v>2832</v>
      </c>
      <c r="AYH1" t="s">
        <v>2833</v>
      </c>
      <c r="AYI1" t="s">
        <v>2834</v>
      </c>
      <c r="AYJ1" t="s">
        <v>2835</v>
      </c>
      <c r="AYK1" t="s">
        <v>2836</v>
      </c>
      <c r="AYL1" t="s">
        <v>2837</v>
      </c>
      <c r="AYM1" t="s">
        <v>2838</v>
      </c>
      <c r="AYN1" t="s">
        <v>2839</v>
      </c>
      <c r="AYO1" t="s">
        <v>2840</v>
      </c>
      <c r="AYP1" t="s">
        <v>2841</v>
      </c>
      <c r="AYQ1" t="s">
        <v>2842</v>
      </c>
      <c r="AYR1" t="s">
        <v>2843</v>
      </c>
      <c r="AYS1" t="s">
        <v>2844</v>
      </c>
      <c r="AYT1" t="s">
        <v>2845</v>
      </c>
      <c r="AYU1" t="s">
        <v>2846</v>
      </c>
      <c r="AYV1" t="s">
        <v>2847</v>
      </c>
      <c r="AYW1" t="s">
        <v>2848</v>
      </c>
      <c r="AYX1" t="s">
        <v>2849</v>
      </c>
      <c r="AYY1" t="s">
        <v>2850</v>
      </c>
      <c r="AYZ1" t="s">
        <v>2851</v>
      </c>
      <c r="AZA1" t="s">
        <v>2852</v>
      </c>
      <c r="AZB1" t="s">
        <v>2853</v>
      </c>
      <c r="AZC1" t="s">
        <v>2854</v>
      </c>
      <c r="AZD1" t="s">
        <v>2855</v>
      </c>
      <c r="AZE1" t="s">
        <v>2856</v>
      </c>
      <c r="AZF1" t="s">
        <v>2857</v>
      </c>
      <c r="AZG1" t="s">
        <v>2858</v>
      </c>
      <c r="AZH1" t="s">
        <v>2859</v>
      </c>
      <c r="AZI1" t="s">
        <v>2860</v>
      </c>
      <c r="AZJ1" t="s">
        <v>2861</v>
      </c>
      <c r="AZK1" t="s">
        <v>2862</v>
      </c>
      <c r="AZL1" t="s">
        <v>2863</v>
      </c>
      <c r="AZM1" t="s">
        <v>2864</v>
      </c>
      <c r="AZN1" t="s">
        <v>2865</v>
      </c>
      <c r="AZO1" t="s">
        <v>2866</v>
      </c>
      <c r="AZP1" t="s">
        <v>2867</v>
      </c>
      <c r="AZQ1" t="s">
        <v>2868</v>
      </c>
      <c r="AZR1" t="s">
        <v>2869</v>
      </c>
      <c r="AZS1" t="s">
        <v>2870</v>
      </c>
      <c r="AZT1" t="s">
        <v>2871</v>
      </c>
      <c r="AZU1" t="s">
        <v>2872</v>
      </c>
      <c r="AZV1" t="s">
        <v>2873</v>
      </c>
      <c r="AZW1" t="s">
        <v>2874</v>
      </c>
      <c r="AZX1" t="s">
        <v>2875</v>
      </c>
      <c r="AZY1" t="s">
        <v>2876</v>
      </c>
      <c r="AZZ1" t="s">
        <v>2877</v>
      </c>
      <c r="BAA1" t="s">
        <v>2878</v>
      </c>
      <c r="BAB1" t="s">
        <v>2879</v>
      </c>
      <c r="BAC1" t="s">
        <v>2880</v>
      </c>
      <c r="BAD1" t="s">
        <v>2881</v>
      </c>
      <c r="BAE1" t="s">
        <v>2882</v>
      </c>
      <c r="BAF1" t="s">
        <v>2883</v>
      </c>
      <c r="BAG1" t="s">
        <v>2884</v>
      </c>
      <c r="BAH1" t="s">
        <v>2885</v>
      </c>
      <c r="BAI1" t="s">
        <v>2886</v>
      </c>
      <c r="BAJ1" t="s">
        <v>2887</v>
      </c>
      <c r="BAK1" t="s">
        <v>2888</v>
      </c>
      <c r="BAL1" t="s">
        <v>2889</v>
      </c>
      <c r="BAM1" t="s">
        <v>2890</v>
      </c>
      <c r="BAN1" t="s">
        <v>2891</v>
      </c>
      <c r="BAO1" t="s">
        <v>2892</v>
      </c>
      <c r="BAP1" t="s">
        <v>2893</v>
      </c>
      <c r="BAQ1" t="s">
        <v>2894</v>
      </c>
      <c r="BAR1" t="s">
        <v>2895</v>
      </c>
      <c r="BAS1" t="s">
        <v>2896</v>
      </c>
      <c r="BAT1" t="s">
        <v>2897</v>
      </c>
      <c r="BAU1" t="s">
        <v>2898</v>
      </c>
      <c r="BAV1" t="s">
        <v>2899</v>
      </c>
      <c r="BAW1" t="s">
        <v>2900</v>
      </c>
      <c r="BAX1" t="s">
        <v>2901</v>
      </c>
      <c r="BAY1" t="s">
        <v>2902</v>
      </c>
      <c r="BAZ1" t="s">
        <v>2903</v>
      </c>
      <c r="BBA1" t="s">
        <v>2904</v>
      </c>
      <c r="BBB1" t="s">
        <v>2905</v>
      </c>
      <c r="BBC1" t="s">
        <v>2906</v>
      </c>
      <c r="BBD1" t="s">
        <v>2907</v>
      </c>
      <c r="BBE1" t="s">
        <v>2908</v>
      </c>
      <c r="BBF1" t="s">
        <v>2909</v>
      </c>
      <c r="BBG1" t="s">
        <v>2910</v>
      </c>
      <c r="BBH1" t="s">
        <v>2911</v>
      </c>
      <c r="BBI1" t="s">
        <v>2912</v>
      </c>
      <c r="BBJ1" t="s">
        <v>2913</v>
      </c>
      <c r="BBK1" t="s">
        <v>2914</v>
      </c>
      <c r="BBL1" t="s">
        <v>2915</v>
      </c>
      <c r="BBM1" t="s">
        <v>2916</v>
      </c>
      <c r="BBN1" t="s">
        <v>2917</v>
      </c>
      <c r="BBO1" t="s">
        <v>2918</v>
      </c>
      <c r="BBP1" t="s">
        <v>2919</v>
      </c>
      <c r="BBQ1" t="s">
        <v>2920</v>
      </c>
      <c r="BBR1" t="s">
        <v>2921</v>
      </c>
      <c r="BBS1" t="s">
        <v>2922</v>
      </c>
      <c r="BBT1" t="s">
        <v>2923</v>
      </c>
      <c r="BBU1" t="s">
        <v>2924</v>
      </c>
      <c r="BBV1" t="s">
        <v>2925</v>
      </c>
      <c r="BBW1" t="s">
        <v>2926</v>
      </c>
      <c r="BBX1" t="s">
        <v>2927</v>
      </c>
      <c r="BBY1" t="s">
        <v>2928</v>
      </c>
      <c r="BBZ1" t="s">
        <v>2929</v>
      </c>
      <c r="BCA1" t="s">
        <v>2930</v>
      </c>
      <c r="BCB1" t="s">
        <v>2931</v>
      </c>
      <c r="BCC1" t="s">
        <v>2932</v>
      </c>
      <c r="BCD1" t="s">
        <v>2933</v>
      </c>
      <c r="BCE1" t="s">
        <v>2934</v>
      </c>
      <c r="BCF1" t="s">
        <v>2935</v>
      </c>
      <c r="BCG1" t="s">
        <v>2936</v>
      </c>
      <c r="BCH1" t="s">
        <v>2937</v>
      </c>
      <c r="BCI1" t="s">
        <v>2938</v>
      </c>
      <c r="BCJ1" t="s">
        <v>2939</v>
      </c>
      <c r="BCK1" t="s">
        <v>2940</v>
      </c>
      <c r="BCL1" t="s">
        <v>2941</v>
      </c>
      <c r="BCM1" t="s">
        <v>2942</v>
      </c>
      <c r="BCN1" t="s">
        <v>2943</v>
      </c>
      <c r="BCO1" t="s">
        <v>2944</v>
      </c>
      <c r="BCP1" t="s">
        <v>2945</v>
      </c>
      <c r="BCQ1" t="s">
        <v>2946</v>
      </c>
      <c r="BCR1" t="s">
        <v>2947</v>
      </c>
      <c r="BCS1" t="s">
        <v>2948</v>
      </c>
      <c r="BCT1" t="s">
        <v>2949</v>
      </c>
      <c r="BCU1" t="s">
        <v>2950</v>
      </c>
      <c r="BCV1" t="s">
        <v>2951</v>
      </c>
      <c r="BCW1" t="s">
        <v>2952</v>
      </c>
      <c r="BCX1" t="s">
        <v>2953</v>
      </c>
      <c r="BCY1" t="s">
        <v>2954</v>
      </c>
      <c r="BCZ1" t="s">
        <v>2955</v>
      </c>
      <c r="BDA1" t="s">
        <v>2956</v>
      </c>
      <c r="BDB1" t="s">
        <v>2957</v>
      </c>
      <c r="BDC1" t="s">
        <v>2958</v>
      </c>
      <c r="BDD1" t="s">
        <v>2959</v>
      </c>
      <c r="BDE1" t="s">
        <v>2960</v>
      </c>
      <c r="BDF1" t="s">
        <v>2961</v>
      </c>
      <c r="BDG1" t="s">
        <v>2962</v>
      </c>
      <c r="BDH1" t="s">
        <v>2963</v>
      </c>
      <c r="BDI1" t="s">
        <v>2964</v>
      </c>
      <c r="BDJ1" t="s">
        <v>2965</v>
      </c>
      <c r="BDK1" t="s">
        <v>2966</v>
      </c>
      <c r="BDL1" t="s">
        <v>2967</v>
      </c>
      <c r="BDM1" t="s">
        <v>2968</v>
      </c>
      <c r="BDN1" t="s">
        <v>2969</v>
      </c>
      <c r="BDO1" t="s">
        <v>2970</v>
      </c>
      <c r="BDP1" t="s">
        <v>2971</v>
      </c>
      <c r="BDQ1" t="s">
        <v>2972</v>
      </c>
      <c r="BDR1" t="s">
        <v>2973</v>
      </c>
      <c r="BDS1" t="s">
        <v>2974</v>
      </c>
      <c r="BDT1" t="s">
        <v>2975</v>
      </c>
      <c r="BDU1" t="s">
        <v>2976</v>
      </c>
      <c r="BDV1" t="s">
        <v>2977</v>
      </c>
      <c r="BDW1" t="s">
        <v>2978</v>
      </c>
      <c r="BDX1" t="s">
        <v>2979</v>
      </c>
      <c r="BDY1" t="s">
        <v>2980</v>
      </c>
      <c r="BDZ1" t="s">
        <v>2981</v>
      </c>
      <c r="BEA1" t="s">
        <v>2982</v>
      </c>
      <c r="BEB1" t="s">
        <v>2983</v>
      </c>
      <c r="BEC1" t="s">
        <v>2984</v>
      </c>
      <c r="BED1" t="s">
        <v>2985</v>
      </c>
      <c r="BEE1" t="s">
        <v>2986</v>
      </c>
      <c r="BEF1" t="s">
        <v>2987</v>
      </c>
      <c r="BEG1" t="s">
        <v>2988</v>
      </c>
      <c r="BEH1" t="s">
        <v>2989</v>
      </c>
      <c r="BEI1" t="s">
        <v>2990</v>
      </c>
      <c r="BEJ1" t="s">
        <v>2991</v>
      </c>
      <c r="BEK1" t="s">
        <v>2992</v>
      </c>
      <c r="BEL1" t="s">
        <v>2993</v>
      </c>
      <c r="BEM1" t="s">
        <v>2994</v>
      </c>
      <c r="BEN1" t="s">
        <v>2995</v>
      </c>
      <c r="BEO1" t="s">
        <v>2996</v>
      </c>
      <c r="BEP1" t="s">
        <v>2997</v>
      </c>
      <c r="BEQ1" t="s">
        <v>2998</v>
      </c>
      <c r="BER1" t="s">
        <v>2999</v>
      </c>
      <c r="BES1" t="s">
        <v>3000</v>
      </c>
      <c r="BET1" t="s">
        <v>3001</v>
      </c>
      <c r="BEU1" t="s">
        <v>3002</v>
      </c>
      <c r="BEV1" t="s">
        <v>3003</v>
      </c>
      <c r="BEW1" t="s">
        <v>3004</v>
      </c>
      <c r="BEX1" t="s">
        <v>3005</v>
      </c>
      <c r="BEY1" t="s">
        <v>3006</v>
      </c>
      <c r="BEZ1" t="s">
        <v>3007</v>
      </c>
      <c r="BFA1" t="s">
        <v>3008</v>
      </c>
      <c r="BFB1" t="s">
        <v>3009</v>
      </c>
      <c r="BFC1" t="s">
        <v>3010</v>
      </c>
      <c r="BFD1" t="s">
        <v>3011</v>
      </c>
      <c r="BFE1" t="s">
        <v>3012</v>
      </c>
      <c r="BFF1" t="s">
        <v>3013</v>
      </c>
      <c r="BFG1" t="s">
        <v>3014</v>
      </c>
      <c r="BFH1" t="s">
        <v>3015</v>
      </c>
      <c r="BFI1" t="s">
        <v>3016</v>
      </c>
      <c r="BFJ1" t="s">
        <v>3017</v>
      </c>
      <c r="BFK1" t="s">
        <v>3018</v>
      </c>
      <c r="BFL1" t="s">
        <v>3019</v>
      </c>
      <c r="BFM1" t="s">
        <v>3020</v>
      </c>
      <c r="BFN1" t="s">
        <v>3021</v>
      </c>
      <c r="BFO1" t="s">
        <v>3022</v>
      </c>
      <c r="BFP1" t="s">
        <v>3023</v>
      </c>
      <c r="BFQ1" t="s">
        <v>3024</v>
      </c>
      <c r="BFR1" t="s">
        <v>3025</v>
      </c>
      <c r="BFS1" t="s">
        <v>3026</v>
      </c>
      <c r="BFT1" t="s">
        <v>3027</v>
      </c>
      <c r="BFU1" t="s">
        <v>3028</v>
      </c>
      <c r="BFV1" t="s">
        <v>3029</v>
      </c>
      <c r="BFW1" t="s">
        <v>3030</v>
      </c>
      <c r="BFX1" t="s">
        <v>3031</v>
      </c>
      <c r="BFY1" t="s">
        <v>3032</v>
      </c>
      <c r="BFZ1" t="s">
        <v>3033</v>
      </c>
      <c r="BGA1" t="s">
        <v>3034</v>
      </c>
      <c r="BGB1" t="s">
        <v>3035</v>
      </c>
      <c r="BGC1" t="s">
        <v>3036</v>
      </c>
      <c r="BGD1" t="s">
        <v>3037</v>
      </c>
      <c r="BGE1" t="s">
        <v>3038</v>
      </c>
      <c r="BGF1" t="s">
        <v>3039</v>
      </c>
      <c r="BGG1" t="s">
        <v>3040</v>
      </c>
      <c r="BGH1" t="s">
        <v>3041</v>
      </c>
      <c r="BGI1" t="s">
        <v>3042</v>
      </c>
      <c r="BGJ1" t="s">
        <v>3043</v>
      </c>
      <c r="BGK1" t="s">
        <v>3044</v>
      </c>
      <c r="BGL1" t="s">
        <v>3045</v>
      </c>
      <c r="BGM1" t="s">
        <v>3046</v>
      </c>
      <c r="BGN1" t="s">
        <v>3047</v>
      </c>
      <c r="BGO1" t="s">
        <v>3048</v>
      </c>
      <c r="BGP1" t="s">
        <v>3049</v>
      </c>
      <c r="BGQ1" t="s">
        <v>3050</v>
      </c>
      <c r="BGR1" t="s">
        <v>3051</v>
      </c>
      <c r="BGS1" t="s">
        <v>3052</v>
      </c>
      <c r="BGT1" t="s">
        <v>3053</v>
      </c>
      <c r="BGU1" t="s">
        <v>3054</v>
      </c>
      <c r="BGV1" t="s">
        <v>3055</v>
      </c>
      <c r="BGW1" t="s">
        <v>3056</v>
      </c>
      <c r="BGX1" t="s">
        <v>3057</v>
      </c>
      <c r="BGY1" t="s">
        <v>3058</v>
      </c>
      <c r="BGZ1" t="s">
        <v>3059</v>
      </c>
      <c r="BHA1" t="s">
        <v>3060</v>
      </c>
      <c r="BHB1" t="s">
        <v>3061</v>
      </c>
      <c r="BHC1" t="s">
        <v>3062</v>
      </c>
      <c r="BHD1" t="s">
        <v>3063</v>
      </c>
      <c r="BHE1" t="s">
        <v>3064</v>
      </c>
      <c r="BHF1" t="s">
        <v>3065</v>
      </c>
      <c r="BHG1" t="s">
        <v>3066</v>
      </c>
      <c r="BHH1" t="s">
        <v>3067</v>
      </c>
      <c r="BHI1" t="s">
        <v>3068</v>
      </c>
      <c r="BHJ1" t="s">
        <v>3069</v>
      </c>
      <c r="BHK1" t="s">
        <v>3070</v>
      </c>
      <c r="BHL1" t="s">
        <v>3071</v>
      </c>
      <c r="BHM1" t="s">
        <v>3072</v>
      </c>
      <c r="BHN1" t="s">
        <v>3073</v>
      </c>
      <c r="BHO1" t="s">
        <v>3074</v>
      </c>
      <c r="BHP1" t="s">
        <v>3075</v>
      </c>
      <c r="BHQ1" t="s">
        <v>3076</v>
      </c>
      <c r="BHR1" t="s">
        <v>3077</v>
      </c>
      <c r="BHS1" t="s">
        <v>3078</v>
      </c>
      <c r="BHT1" t="s">
        <v>3079</v>
      </c>
      <c r="BHU1" t="s">
        <v>3080</v>
      </c>
      <c r="BHV1" t="s">
        <v>3081</v>
      </c>
      <c r="BHW1" t="s">
        <v>3082</v>
      </c>
      <c r="BHX1" t="s">
        <v>3083</v>
      </c>
      <c r="BHY1" t="s">
        <v>3084</v>
      </c>
      <c r="BHZ1" t="s">
        <v>3085</v>
      </c>
      <c r="BIA1" t="s">
        <v>3086</v>
      </c>
      <c r="BIB1" t="s">
        <v>3087</v>
      </c>
      <c r="BIC1" t="s">
        <v>3088</v>
      </c>
      <c r="BID1" t="s">
        <v>3089</v>
      </c>
      <c r="BIE1" t="s">
        <v>3090</v>
      </c>
      <c r="BIF1" t="s">
        <v>3091</v>
      </c>
      <c r="BIG1" t="s">
        <v>3092</v>
      </c>
      <c r="BIH1" t="s">
        <v>3093</v>
      </c>
      <c r="BII1" t="s">
        <v>3094</v>
      </c>
      <c r="BIJ1" t="s">
        <v>3095</v>
      </c>
      <c r="BIK1" t="s">
        <v>3096</v>
      </c>
      <c r="BIL1" t="s">
        <v>3097</v>
      </c>
      <c r="BIM1" t="s">
        <v>3098</v>
      </c>
      <c r="BIN1" t="s">
        <v>3099</v>
      </c>
      <c r="BIO1" t="s">
        <v>3100</v>
      </c>
      <c r="BIP1" t="s">
        <v>3101</v>
      </c>
      <c r="BIQ1" t="s">
        <v>3102</v>
      </c>
      <c r="BIR1" t="s">
        <v>3103</v>
      </c>
      <c r="BIS1" t="s">
        <v>3104</v>
      </c>
      <c r="BIT1" t="s">
        <v>3105</v>
      </c>
      <c r="BIU1" t="s">
        <v>3106</v>
      </c>
      <c r="BIV1" t="s">
        <v>3107</v>
      </c>
      <c r="BIW1" t="s">
        <v>3108</v>
      </c>
      <c r="BIX1" t="s">
        <v>3109</v>
      </c>
      <c r="BIY1" t="s">
        <v>3110</v>
      </c>
      <c r="BIZ1" t="s">
        <v>3111</v>
      </c>
      <c r="BJA1" t="s">
        <v>3112</v>
      </c>
      <c r="BJB1" t="s">
        <v>3113</v>
      </c>
      <c r="BJC1" t="s">
        <v>3114</v>
      </c>
      <c r="BJD1" t="s">
        <v>3115</v>
      </c>
      <c r="BJE1" t="s">
        <v>3116</v>
      </c>
      <c r="BJF1" t="s">
        <v>3117</v>
      </c>
      <c r="BJG1" t="s">
        <v>3118</v>
      </c>
      <c r="BJH1" t="s">
        <v>3119</v>
      </c>
      <c r="BJI1" t="s">
        <v>3120</v>
      </c>
      <c r="BJJ1" t="s">
        <v>3121</v>
      </c>
      <c r="BJK1" t="s">
        <v>3122</v>
      </c>
      <c r="BJL1" t="s">
        <v>3123</v>
      </c>
      <c r="BJM1" t="s">
        <v>3124</v>
      </c>
      <c r="BJN1" t="s">
        <v>3125</v>
      </c>
      <c r="BJO1" t="s">
        <v>3126</v>
      </c>
      <c r="BJP1" t="s">
        <v>3127</v>
      </c>
      <c r="BJQ1" t="s">
        <v>3128</v>
      </c>
      <c r="BJR1" t="s">
        <v>3129</v>
      </c>
      <c r="BJS1" t="s">
        <v>3130</v>
      </c>
      <c r="BJT1" t="s">
        <v>3131</v>
      </c>
      <c r="BJU1" t="s">
        <v>3132</v>
      </c>
      <c r="BJV1" t="s">
        <v>3133</v>
      </c>
      <c r="BJW1" t="s">
        <v>3134</v>
      </c>
      <c r="BJX1" t="s">
        <v>3135</v>
      </c>
      <c r="BJY1" t="s">
        <v>3136</v>
      </c>
      <c r="BJZ1" t="s">
        <v>3137</v>
      </c>
      <c r="BKA1" t="s">
        <v>3138</v>
      </c>
      <c r="BKB1" t="s">
        <v>3139</v>
      </c>
      <c r="BKC1" t="s">
        <v>3140</v>
      </c>
      <c r="BKD1" t="s">
        <v>3141</v>
      </c>
      <c r="BKE1" t="s">
        <v>3142</v>
      </c>
      <c r="BKF1" t="s">
        <v>3143</v>
      </c>
      <c r="BKG1" t="s">
        <v>3144</v>
      </c>
      <c r="BKH1" t="s">
        <v>3145</v>
      </c>
      <c r="BKI1" t="s">
        <v>3146</v>
      </c>
      <c r="BKJ1" t="s">
        <v>3147</v>
      </c>
      <c r="BKK1" t="s">
        <v>3148</v>
      </c>
      <c r="BKL1" t="s">
        <v>3149</v>
      </c>
      <c r="BKM1" t="s">
        <v>3150</v>
      </c>
      <c r="BKN1" t="s">
        <v>3151</v>
      </c>
      <c r="BKO1" t="s">
        <v>3152</v>
      </c>
      <c r="BKP1" t="s">
        <v>3153</v>
      </c>
      <c r="BKQ1" t="s">
        <v>3154</v>
      </c>
      <c r="BKR1" t="s">
        <v>3155</v>
      </c>
      <c r="BKS1" t="s">
        <v>3156</v>
      </c>
      <c r="BKT1" t="s">
        <v>3157</v>
      </c>
      <c r="BKU1" t="s">
        <v>3158</v>
      </c>
      <c r="BKV1" t="s">
        <v>3159</v>
      </c>
      <c r="BKW1" t="s">
        <v>3160</v>
      </c>
      <c r="BKX1" t="s">
        <v>3161</v>
      </c>
      <c r="BKY1" t="s">
        <v>3162</v>
      </c>
      <c r="BKZ1" t="s">
        <v>3163</v>
      </c>
      <c r="BLA1" t="s">
        <v>3164</v>
      </c>
      <c r="BLB1" t="s">
        <v>3165</v>
      </c>
      <c r="BLC1" t="s">
        <v>3166</v>
      </c>
      <c r="BLD1" t="s">
        <v>3167</v>
      </c>
      <c r="BLE1" t="s">
        <v>3168</v>
      </c>
      <c r="BLF1" t="s">
        <v>3169</v>
      </c>
      <c r="BLG1" t="s">
        <v>3170</v>
      </c>
      <c r="BLH1" t="s">
        <v>3171</v>
      </c>
      <c r="BLI1" t="s">
        <v>3172</v>
      </c>
      <c r="BLJ1" t="s">
        <v>3173</v>
      </c>
      <c r="BLK1" t="s">
        <v>3174</v>
      </c>
      <c r="BLL1" t="s">
        <v>3175</v>
      </c>
      <c r="BLM1" t="s">
        <v>3176</v>
      </c>
      <c r="BLN1" t="s">
        <v>3177</v>
      </c>
      <c r="BLO1" t="s">
        <v>3178</v>
      </c>
      <c r="BLP1" t="s">
        <v>3179</v>
      </c>
      <c r="BLQ1" t="s">
        <v>3180</v>
      </c>
      <c r="BLR1" t="s">
        <v>3181</v>
      </c>
      <c r="BLS1" t="s">
        <v>3182</v>
      </c>
      <c r="BLT1" t="s">
        <v>3183</v>
      </c>
      <c r="BLU1" t="s">
        <v>3184</v>
      </c>
      <c r="BLV1" t="s">
        <v>3185</v>
      </c>
      <c r="BLW1" t="s">
        <v>3186</v>
      </c>
      <c r="BLX1" t="s">
        <v>3187</v>
      </c>
      <c r="BLY1" t="s">
        <v>3188</v>
      </c>
      <c r="BLZ1" t="s">
        <v>3189</v>
      </c>
      <c r="BMA1" t="s">
        <v>3190</v>
      </c>
      <c r="BMB1" t="s">
        <v>3191</v>
      </c>
      <c r="BMC1" t="s">
        <v>3192</v>
      </c>
      <c r="BMD1" t="s">
        <v>3193</v>
      </c>
      <c r="BME1" t="s">
        <v>3194</v>
      </c>
      <c r="BMF1" t="s">
        <v>3195</v>
      </c>
      <c r="BMG1" t="s">
        <v>3196</v>
      </c>
      <c r="BMH1" t="s">
        <v>3197</v>
      </c>
      <c r="BMI1" t="s">
        <v>3198</v>
      </c>
      <c r="BMJ1" t="s">
        <v>3199</v>
      </c>
      <c r="BMK1" t="s">
        <v>3200</v>
      </c>
      <c r="BML1" t="s">
        <v>3201</v>
      </c>
      <c r="BMM1" t="s">
        <v>3202</v>
      </c>
      <c r="BMN1" t="s">
        <v>3203</v>
      </c>
      <c r="BMO1" t="s">
        <v>3204</v>
      </c>
      <c r="BMP1" t="s">
        <v>3205</v>
      </c>
      <c r="BMQ1" t="s">
        <v>3206</v>
      </c>
      <c r="BMR1" t="s">
        <v>3207</v>
      </c>
      <c r="BMS1" t="s">
        <v>3208</v>
      </c>
      <c r="BMT1" t="s">
        <v>3209</v>
      </c>
      <c r="BMU1" t="s">
        <v>3210</v>
      </c>
      <c r="BMV1" t="s">
        <v>3211</v>
      </c>
      <c r="BMW1" t="s">
        <v>3212</v>
      </c>
      <c r="BMX1" t="s">
        <v>3213</v>
      </c>
      <c r="BMY1" t="s">
        <v>3214</v>
      </c>
      <c r="BMZ1" t="s">
        <v>3215</v>
      </c>
      <c r="BNA1" t="s">
        <v>3216</v>
      </c>
      <c r="BNB1" t="s">
        <v>3217</v>
      </c>
      <c r="BNC1" t="s">
        <v>3218</v>
      </c>
      <c r="BND1" t="s">
        <v>3219</v>
      </c>
      <c r="BNE1" t="s">
        <v>3220</v>
      </c>
      <c r="BNF1" t="s">
        <v>3221</v>
      </c>
      <c r="BNG1" t="s">
        <v>3222</v>
      </c>
      <c r="BNH1" t="s">
        <v>3223</v>
      </c>
      <c r="BNI1" t="s">
        <v>3224</v>
      </c>
      <c r="BNJ1" t="s">
        <v>3225</v>
      </c>
      <c r="BNK1" t="s">
        <v>3226</v>
      </c>
      <c r="BNL1" t="s">
        <v>3227</v>
      </c>
      <c r="BNM1" t="s">
        <v>3228</v>
      </c>
      <c r="BNN1" t="s">
        <v>3229</v>
      </c>
      <c r="BNO1" t="s">
        <v>3230</v>
      </c>
      <c r="BNP1" t="s">
        <v>3231</v>
      </c>
      <c r="BNQ1" t="s">
        <v>3232</v>
      </c>
      <c r="BNR1" t="s">
        <v>3233</v>
      </c>
      <c r="BNS1" t="s">
        <v>3234</v>
      </c>
      <c r="BNT1" t="s">
        <v>3235</v>
      </c>
      <c r="BNU1" t="s">
        <v>3236</v>
      </c>
      <c r="BNV1" t="s">
        <v>3237</v>
      </c>
      <c r="BNW1" t="s">
        <v>3238</v>
      </c>
      <c r="BNX1" t="s">
        <v>3239</v>
      </c>
      <c r="BNY1" t="s">
        <v>3240</v>
      </c>
      <c r="BNZ1" t="s">
        <v>3241</v>
      </c>
      <c r="BOA1" t="s">
        <v>3242</v>
      </c>
      <c r="BOB1" t="s">
        <v>3243</v>
      </c>
      <c r="BOC1" t="s">
        <v>3244</v>
      </c>
      <c r="BOD1" t="s">
        <v>3245</v>
      </c>
      <c r="BOE1" t="s">
        <v>3246</v>
      </c>
      <c r="BOF1" t="s">
        <v>3247</v>
      </c>
      <c r="BOG1" t="s">
        <v>3248</v>
      </c>
      <c r="BOH1" t="s">
        <v>3249</v>
      </c>
      <c r="BOI1" t="s">
        <v>3250</v>
      </c>
      <c r="BOJ1" t="s">
        <v>3251</v>
      </c>
      <c r="BOK1" t="s">
        <v>3252</v>
      </c>
      <c r="BOL1" t="s">
        <v>3253</v>
      </c>
      <c r="BOM1" t="s">
        <v>3254</v>
      </c>
      <c r="BON1" t="s">
        <v>3255</v>
      </c>
      <c r="BOO1" t="s">
        <v>3256</v>
      </c>
      <c r="BOP1" t="s">
        <v>3257</v>
      </c>
      <c r="BOQ1" t="s">
        <v>3258</v>
      </c>
      <c r="BOR1" t="s">
        <v>3259</v>
      </c>
      <c r="BOS1" t="s">
        <v>3260</v>
      </c>
      <c r="BOT1" t="s">
        <v>3261</v>
      </c>
      <c r="BOU1" t="s">
        <v>3262</v>
      </c>
      <c r="BOV1" t="s">
        <v>3263</v>
      </c>
      <c r="BOW1" t="s">
        <v>3264</v>
      </c>
      <c r="BOX1" t="s">
        <v>3265</v>
      </c>
      <c r="BOY1" t="s">
        <v>3266</v>
      </c>
      <c r="BOZ1" t="s">
        <v>3267</v>
      </c>
      <c r="BPA1" t="s">
        <v>3268</v>
      </c>
      <c r="BPB1" t="s">
        <v>3269</v>
      </c>
      <c r="BPC1" t="s">
        <v>3270</v>
      </c>
      <c r="BPD1" t="s">
        <v>3271</v>
      </c>
      <c r="BPE1" t="s">
        <v>3272</v>
      </c>
      <c r="BPF1" t="s">
        <v>3273</v>
      </c>
      <c r="BPG1" t="s">
        <v>3274</v>
      </c>
      <c r="BPH1" t="s">
        <v>3275</v>
      </c>
      <c r="BPI1" t="s">
        <v>3276</v>
      </c>
      <c r="BPJ1" t="s">
        <v>3277</v>
      </c>
      <c r="BPK1" t="s">
        <v>3278</v>
      </c>
      <c r="BPL1" t="s">
        <v>3279</v>
      </c>
      <c r="BPM1" t="s">
        <v>3280</v>
      </c>
      <c r="BPN1" t="s">
        <v>3281</v>
      </c>
      <c r="BPO1" t="s">
        <v>3282</v>
      </c>
      <c r="BPP1" t="s">
        <v>3283</v>
      </c>
      <c r="BPQ1" t="s">
        <v>3284</v>
      </c>
      <c r="BPR1" t="s">
        <v>3285</v>
      </c>
      <c r="BPS1" t="s">
        <v>3286</v>
      </c>
      <c r="BPT1" t="s">
        <v>3287</v>
      </c>
      <c r="BPU1" t="s">
        <v>3288</v>
      </c>
      <c r="BPV1" t="s">
        <v>3289</v>
      </c>
      <c r="BPW1" t="s">
        <v>3290</v>
      </c>
      <c r="BPX1" t="s">
        <v>3291</v>
      </c>
      <c r="BPY1" t="s">
        <v>3292</v>
      </c>
      <c r="BPZ1" t="s">
        <v>3293</v>
      </c>
      <c r="BQA1" t="s">
        <v>3294</v>
      </c>
      <c r="BQB1" t="s">
        <v>3295</v>
      </c>
      <c r="BQC1" t="s">
        <v>3296</v>
      </c>
      <c r="BQD1" t="s">
        <v>3297</v>
      </c>
      <c r="BQE1" t="s">
        <v>3298</v>
      </c>
      <c r="BQF1" t="s">
        <v>3299</v>
      </c>
      <c r="BQG1" t="s">
        <v>3300</v>
      </c>
      <c r="BQH1" t="s">
        <v>3301</v>
      </c>
      <c r="BQI1" t="s">
        <v>3302</v>
      </c>
      <c r="BQJ1" t="s">
        <v>3303</v>
      </c>
      <c r="BQK1" t="s">
        <v>3304</v>
      </c>
      <c r="BQL1" t="s">
        <v>3305</v>
      </c>
      <c r="BQM1" t="s">
        <v>3306</v>
      </c>
      <c r="BQN1" t="s">
        <v>3307</v>
      </c>
      <c r="BQO1" t="s">
        <v>3308</v>
      </c>
      <c r="BQP1" t="s">
        <v>3309</v>
      </c>
      <c r="BQQ1" t="s">
        <v>3310</v>
      </c>
      <c r="BQR1" t="s">
        <v>3311</v>
      </c>
      <c r="BQS1" t="s">
        <v>3312</v>
      </c>
      <c r="BQT1" t="s">
        <v>3313</v>
      </c>
      <c r="BQU1" t="s">
        <v>3314</v>
      </c>
      <c r="BQV1" t="s">
        <v>3315</v>
      </c>
      <c r="BQW1" t="s">
        <v>3316</v>
      </c>
      <c r="BQX1" t="s">
        <v>3317</v>
      </c>
      <c r="BQY1" t="s">
        <v>3318</v>
      </c>
      <c r="BQZ1" t="s">
        <v>3319</v>
      </c>
      <c r="BRA1" t="s">
        <v>3320</v>
      </c>
      <c r="BRB1" t="s">
        <v>3321</v>
      </c>
      <c r="BRC1" t="s">
        <v>3322</v>
      </c>
      <c r="BRD1" t="s">
        <v>3323</v>
      </c>
      <c r="BRE1" t="s">
        <v>3324</v>
      </c>
      <c r="BRF1" t="s">
        <v>3325</v>
      </c>
      <c r="BRG1" t="s">
        <v>3326</v>
      </c>
      <c r="BRH1" t="s">
        <v>3327</v>
      </c>
      <c r="BRI1" t="s">
        <v>3328</v>
      </c>
      <c r="BRJ1" t="s">
        <v>3329</v>
      </c>
      <c r="BRK1" t="s">
        <v>3330</v>
      </c>
      <c r="BRL1" t="s">
        <v>3331</v>
      </c>
      <c r="BRM1" t="s">
        <v>3332</v>
      </c>
      <c r="BRN1" t="s">
        <v>3333</v>
      </c>
      <c r="BRO1" t="s">
        <v>3334</v>
      </c>
      <c r="BRP1" t="s">
        <v>3335</v>
      </c>
      <c r="BRQ1" t="s">
        <v>3336</v>
      </c>
      <c r="BRR1" t="s">
        <v>3337</v>
      </c>
      <c r="BRS1" t="s">
        <v>3338</v>
      </c>
      <c r="BRT1" t="s">
        <v>3339</v>
      </c>
      <c r="BRU1" t="s">
        <v>3340</v>
      </c>
      <c r="BRV1" t="s">
        <v>3341</v>
      </c>
      <c r="BRW1" t="s">
        <v>3342</v>
      </c>
      <c r="BRX1" t="s">
        <v>3343</v>
      </c>
      <c r="BRY1" t="s">
        <v>3344</v>
      </c>
      <c r="BRZ1" t="s">
        <v>3345</v>
      </c>
      <c r="BSA1" t="s">
        <v>3346</v>
      </c>
      <c r="BSB1" t="s">
        <v>3347</v>
      </c>
      <c r="BSC1" t="s">
        <v>3348</v>
      </c>
      <c r="BSD1" t="s">
        <v>3349</v>
      </c>
      <c r="BSE1" t="s">
        <v>3350</v>
      </c>
      <c r="BSF1" t="s">
        <v>3351</v>
      </c>
      <c r="BSG1" t="s">
        <v>3352</v>
      </c>
      <c r="BSH1" t="s">
        <v>3353</v>
      </c>
      <c r="BSI1" t="s">
        <v>3354</v>
      </c>
      <c r="BSJ1" t="s">
        <v>3355</v>
      </c>
      <c r="BSK1" t="s">
        <v>3356</v>
      </c>
      <c r="BSL1" t="s">
        <v>3357</v>
      </c>
      <c r="BSM1" t="s">
        <v>3358</v>
      </c>
      <c r="BSN1" t="s">
        <v>3359</v>
      </c>
      <c r="BSO1" t="s">
        <v>3360</v>
      </c>
      <c r="BSP1" t="s">
        <v>3361</v>
      </c>
      <c r="BSQ1" t="s">
        <v>3362</v>
      </c>
      <c r="BSR1" t="s">
        <v>3363</v>
      </c>
      <c r="BSS1" t="s">
        <v>3364</v>
      </c>
      <c r="BST1" t="s">
        <v>3365</v>
      </c>
      <c r="BSU1" t="s">
        <v>3366</v>
      </c>
      <c r="BSV1" t="s">
        <v>3367</v>
      </c>
      <c r="BSW1" t="s">
        <v>3368</v>
      </c>
      <c r="BSX1" t="s">
        <v>3369</v>
      </c>
      <c r="BSY1" t="s">
        <v>3370</v>
      </c>
      <c r="BSZ1" t="s">
        <v>3371</v>
      </c>
      <c r="BTA1" t="s">
        <v>3372</v>
      </c>
      <c r="BTB1" t="s">
        <v>3373</v>
      </c>
      <c r="BTC1" t="s">
        <v>3374</v>
      </c>
      <c r="BTD1" t="s">
        <v>3375</v>
      </c>
      <c r="BTE1" t="s">
        <v>3376</v>
      </c>
      <c r="BTF1" t="s">
        <v>3377</v>
      </c>
      <c r="BTG1" t="s">
        <v>3378</v>
      </c>
      <c r="BTH1" t="s">
        <v>3379</v>
      </c>
      <c r="BTI1" t="s">
        <v>3380</v>
      </c>
      <c r="BTJ1" t="s">
        <v>3381</v>
      </c>
      <c r="BTK1" t="s">
        <v>3382</v>
      </c>
      <c r="BTL1" t="s">
        <v>3383</v>
      </c>
      <c r="BTM1" t="s">
        <v>3384</v>
      </c>
      <c r="BTN1" t="s">
        <v>3385</v>
      </c>
      <c r="BTO1" t="s">
        <v>3386</v>
      </c>
      <c r="BTP1" t="s">
        <v>3387</v>
      </c>
      <c r="BTQ1" t="s">
        <v>3388</v>
      </c>
      <c r="BTR1" t="s">
        <v>3389</v>
      </c>
      <c r="BTS1" t="s">
        <v>3390</v>
      </c>
      <c r="BTT1" t="s">
        <v>3391</v>
      </c>
      <c r="BTU1" t="s">
        <v>3392</v>
      </c>
      <c r="BTV1" t="s">
        <v>3393</v>
      </c>
      <c r="BTW1" t="s">
        <v>3394</v>
      </c>
      <c r="BTX1" t="s">
        <v>3395</v>
      </c>
      <c r="BTY1" t="s">
        <v>3396</v>
      </c>
      <c r="BTZ1" t="s">
        <v>3397</v>
      </c>
      <c r="BUA1" t="s">
        <v>3398</v>
      </c>
      <c r="BUB1" t="s">
        <v>3399</v>
      </c>
      <c r="BUC1" t="s">
        <v>3400</v>
      </c>
      <c r="BUD1" t="s">
        <v>3401</v>
      </c>
      <c r="BUE1" t="s">
        <v>3402</v>
      </c>
      <c r="BUF1" t="s">
        <v>3403</v>
      </c>
      <c r="BUG1" t="s">
        <v>3404</v>
      </c>
      <c r="BUH1" t="s">
        <v>3405</v>
      </c>
      <c r="BUI1" t="s">
        <v>3406</v>
      </c>
      <c r="BUJ1" t="s">
        <v>3407</v>
      </c>
      <c r="BUK1" t="s">
        <v>3408</v>
      </c>
      <c r="BUL1" t="s">
        <v>3409</v>
      </c>
      <c r="BUM1" t="s">
        <v>3410</v>
      </c>
      <c r="BUN1" t="s">
        <v>3411</v>
      </c>
      <c r="BUO1" t="s">
        <v>3412</v>
      </c>
      <c r="BUP1" t="s">
        <v>3413</v>
      </c>
      <c r="BUQ1" t="s">
        <v>3414</v>
      </c>
      <c r="BUR1" t="s">
        <v>3415</v>
      </c>
      <c r="BUS1" t="s">
        <v>3416</v>
      </c>
      <c r="BUT1" t="s">
        <v>3417</v>
      </c>
      <c r="BUU1" t="s">
        <v>3418</v>
      </c>
      <c r="BUV1" t="s">
        <v>3419</v>
      </c>
      <c r="BUW1" t="s">
        <v>3420</v>
      </c>
      <c r="BUX1" t="s">
        <v>3421</v>
      </c>
      <c r="BUY1" t="s">
        <v>3422</v>
      </c>
      <c r="BUZ1" t="s">
        <v>3423</v>
      </c>
      <c r="BVA1" t="s">
        <v>3424</v>
      </c>
      <c r="BVB1" t="s">
        <v>3425</v>
      </c>
      <c r="BVC1" t="s">
        <v>3426</v>
      </c>
      <c r="BVD1" t="s">
        <v>3427</v>
      </c>
      <c r="BVE1" t="s">
        <v>3428</v>
      </c>
      <c r="BVF1" t="s">
        <v>3429</v>
      </c>
      <c r="BVG1" t="s">
        <v>3430</v>
      </c>
      <c r="BVH1" t="s">
        <v>3431</v>
      </c>
      <c r="BVI1" t="s">
        <v>3432</v>
      </c>
      <c r="BVJ1" t="s">
        <v>3433</v>
      </c>
      <c r="BVK1" t="s">
        <v>3434</v>
      </c>
      <c r="BVL1" t="s">
        <v>3435</v>
      </c>
      <c r="BVM1" t="s">
        <v>3436</v>
      </c>
      <c r="BVN1" t="s">
        <v>3437</v>
      </c>
      <c r="BVO1" t="s">
        <v>3438</v>
      </c>
      <c r="BVP1" t="s">
        <v>3439</v>
      </c>
      <c r="BVQ1" t="s">
        <v>3440</v>
      </c>
      <c r="BVR1" t="s">
        <v>3441</v>
      </c>
      <c r="BVS1" t="s">
        <v>3442</v>
      </c>
      <c r="BVT1" t="s">
        <v>3443</v>
      </c>
      <c r="BVU1" t="s">
        <v>3444</v>
      </c>
      <c r="BVV1" t="s">
        <v>3445</v>
      </c>
      <c r="BVW1" t="s">
        <v>3446</v>
      </c>
      <c r="BVX1" t="s">
        <v>3447</v>
      </c>
      <c r="BVY1" t="s">
        <v>3448</v>
      </c>
      <c r="BVZ1" t="s">
        <v>3449</v>
      </c>
      <c r="BWA1" t="s">
        <v>3450</v>
      </c>
      <c r="BWB1" t="s">
        <v>3451</v>
      </c>
      <c r="BWC1" t="s">
        <v>3452</v>
      </c>
      <c r="BWD1" t="s">
        <v>3453</v>
      </c>
      <c r="BWE1" t="s">
        <v>3454</v>
      </c>
      <c r="BWF1" t="s">
        <v>3455</v>
      </c>
      <c r="BWG1" t="s">
        <v>3456</v>
      </c>
      <c r="BWH1" t="s">
        <v>3457</v>
      </c>
      <c r="BWI1" t="s">
        <v>3458</v>
      </c>
      <c r="BWJ1" t="s">
        <v>3459</v>
      </c>
      <c r="BWK1" t="s">
        <v>3460</v>
      </c>
      <c r="BWL1" t="s">
        <v>3461</v>
      </c>
      <c r="BWM1" t="s">
        <v>3462</v>
      </c>
      <c r="BWN1" t="s">
        <v>3463</v>
      </c>
      <c r="BWO1" t="s">
        <v>3464</v>
      </c>
      <c r="BWP1" t="s">
        <v>3465</v>
      </c>
      <c r="BWQ1" t="s">
        <v>3466</v>
      </c>
      <c r="BWR1" t="s">
        <v>3467</v>
      </c>
      <c r="BWS1" t="s">
        <v>3468</v>
      </c>
      <c r="BWT1" t="s">
        <v>3469</v>
      </c>
      <c r="BWU1" t="s">
        <v>3470</v>
      </c>
      <c r="BWV1" t="s">
        <v>3471</v>
      </c>
      <c r="BWW1" t="s">
        <v>3472</v>
      </c>
      <c r="BWX1" t="s">
        <v>3473</v>
      </c>
      <c r="BWY1" t="s">
        <v>3474</v>
      </c>
      <c r="BWZ1" t="s">
        <v>3475</v>
      </c>
      <c r="BXA1" t="s">
        <v>3476</v>
      </c>
      <c r="BXB1" t="s">
        <v>3477</v>
      </c>
      <c r="BXC1" t="s">
        <v>3478</v>
      </c>
      <c r="BXD1" t="s">
        <v>3479</v>
      </c>
      <c r="BXE1" t="s">
        <v>3480</v>
      </c>
      <c r="BXF1" t="s">
        <v>3481</v>
      </c>
      <c r="BXG1" t="s">
        <v>3482</v>
      </c>
      <c r="BXH1" t="s">
        <v>3483</v>
      </c>
      <c r="BXI1" t="s">
        <v>3484</v>
      </c>
      <c r="BXJ1" t="s">
        <v>3485</v>
      </c>
      <c r="BXK1" t="s">
        <v>3486</v>
      </c>
      <c r="BXL1" t="s">
        <v>3487</v>
      </c>
      <c r="BXM1" t="s">
        <v>3488</v>
      </c>
      <c r="BXN1" t="s">
        <v>3489</v>
      </c>
      <c r="BXO1" t="s">
        <v>3490</v>
      </c>
      <c r="BXP1" t="s">
        <v>3491</v>
      </c>
      <c r="BXQ1" t="s">
        <v>3492</v>
      </c>
      <c r="BXR1" t="s">
        <v>3493</v>
      </c>
      <c r="BXS1" t="s">
        <v>3494</v>
      </c>
      <c r="BXT1" t="s">
        <v>3495</v>
      </c>
      <c r="BXU1" t="s">
        <v>3496</v>
      </c>
      <c r="BXV1" t="s">
        <v>3497</v>
      </c>
      <c r="BXW1" t="s">
        <v>3498</v>
      </c>
      <c r="BXX1" t="s">
        <v>3499</v>
      </c>
      <c r="BXY1" t="s">
        <v>3500</v>
      </c>
      <c r="BXZ1" t="s">
        <v>3501</v>
      </c>
      <c r="BYA1" t="s">
        <v>3502</v>
      </c>
      <c r="BYB1" t="s">
        <v>3503</v>
      </c>
      <c r="BYC1" t="s">
        <v>3504</v>
      </c>
      <c r="BYD1" t="s">
        <v>3505</v>
      </c>
      <c r="BYE1" t="s">
        <v>3506</v>
      </c>
      <c r="BYF1" t="s">
        <v>3507</v>
      </c>
      <c r="BYG1" t="s">
        <v>3508</v>
      </c>
      <c r="BYH1" t="s">
        <v>3509</v>
      </c>
      <c r="BYI1" t="s">
        <v>3510</v>
      </c>
      <c r="BYJ1" t="s">
        <v>3511</v>
      </c>
      <c r="BYK1" t="s">
        <v>3512</v>
      </c>
      <c r="BYL1" t="s">
        <v>3513</v>
      </c>
      <c r="BYM1" t="s">
        <v>3514</v>
      </c>
      <c r="BYN1" t="s">
        <v>3515</v>
      </c>
      <c r="BYO1" t="s">
        <v>3516</v>
      </c>
      <c r="BYP1" t="s">
        <v>3517</v>
      </c>
      <c r="BYQ1" t="s">
        <v>3518</v>
      </c>
      <c r="BYR1" t="s">
        <v>3519</v>
      </c>
      <c r="BYS1" t="s">
        <v>3520</v>
      </c>
      <c r="BYT1" t="s">
        <v>3521</v>
      </c>
      <c r="BYU1" t="s">
        <v>3522</v>
      </c>
      <c r="BYV1" t="s">
        <v>3523</v>
      </c>
      <c r="BYW1" t="s">
        <v>3524</v>
      </c>
      <c r="BYX1" t="s">
        <v>3525</v>
      </c>
      <c r="BYY1" t="s">
        <v>3526</v>
      </c>
      <c r="BYZ1" t="s">
        <v>3527</v>
      </c>
      <c r="BZA1" t="s">
        <v>3528</v>
      </c>
      <c r="BZB1" t="s">
        <v>3529</v>
      </c>
      <c r="BZC1" t="s">
        <v>3530</v>
      </c>
      <c r="BZD1" t="s">
        <v>3531</v>
      </c>
      <c r="BZE1" t="s">
        <v>3532</v>
      </c>
      <c r="BZF1" t="s">
        <v>3533</v>
      </c>
      <c r="BZG1" t="s">
        <v>3534</v>
      </c>
      <c r="BZH1" t="s">
        <v>3535</v>
      </c>
      <c r="BZI1" t="s">
        <v>3536</v>
      </c>
      <c r="BZJ1" t="s">
        <v>3537</v>
      </c>
      <c r="BZK1" t="s">
        <v>3538</v>
      </c>
      <c r="BZL1" t="s">
        <v>3539</v>
      </c>
      <c r="BZM1" t="s">
        <v>3540</v>
      </c>
      <c r="BZN1" t="s">
        <v>3541</v>
      </c>
      <c r="BZO1" t="s">
        <v>3542</v>
      </c>
      <c r="BZP1" t="s">
        <v>3543</v>
      </c>
      <c r="BZQ1" t="s">
        <v>3544</v>
      </c>
      <c r="BZR1" t="s">
        <v>3545</v>
      </c>
      <c r="BZS1" t="s">
        <v>3546</v>
      </c>
      <c r="BZT1" t="s">
        <v>3547</v>
      </c>
      <c r="BZU1" t="s">
        <v>3548</v>
      </c>
      <c r="BZV1" t="s">
        <v>3549</v>
      </c>
      <c r="BZW1" t="s">
        <v>3550</v>
      </c>
      <c r="BZX1" t="s">
        <v>3551</v>
      </c>
      <c r="BZY1" t="s">
        <v>3552</v>
      </c>
      <c r="BZZ1" t="s">
        <v>3553</v>
      </c>
      <c r="CAA1" t="s">
        <v>3554</v>
      </c>
      <c r="CAB1" t="s">
        <v>3555</v>
      </c>
      <c r="CAC1" t="s">
        <v>3556</v>
      </c>
      <c r="CAD1" t="s">
        <v>3557</v>
      </c>
      <c r="CAE1" t="s">
        <v>3558</v>
      </c>
      <c r="CAF1" t="s">
        <v>3559</v>
      </c>
      <c r="CAG1" t="s">
        <v>3560</v>
      </c>
      <c r="CAH1" t="s">
        <v>3561</v>
      </c>
      <c r="CAI1" t="s">
        <v>3562</v>
      </c>
      <c r="CAJ1" t="s">
        <v>3563</v>
      </c>
      <c r="CAK1" t="s">
        <v>3564</v>
      </c>
      <c r="CAL1" t="s">
        <v>3565</v>
      </c>
      <c r="CAM1" t="s">
        <v>3566</v>
      </c>
      <c r="CAN1" t="s">
        <v>3567</v>
      </c>
      <c r="CAO1" t="s">
        <v>3568</v>
      </c>
      <c r="CAP1" t="s">
        <v>3569</v>
      </c>
      <c r="CAQ1" t="s">
        <v>3570</v>
      </c>
      <c r="CAR1" t="s">
        <v>3571</v>
      </c>
      <c r="CAS1" t="s">
        <v>3572</v>
      </c>
      <c r="CAT1" t="s">
        <v>3573</v>
      </c>
      <c r="CAU1" t="s">
        <v>3574</v>
      </c>
      <c r="CAV1" t="s">
        <v>3575</v>
      </c>
      <c r="CAW1" t="s">
        <v>3576</v>
      </c>
      <c r="CAX1" t="s">
        <v>3577</v>
      </c>
      <c r="CAY1" t="s">
        <v>3578</v>
      </c>
      <c r="CAZ1" t="s">
        <v>3579</v>
      </c>
      <c r="CBA1" t="s">
        <v>3580</v>
      </c>
      <c r="CBB1" t="s">
        <v>3581</v>
      </c>
      <c r="CBC1" t="s">
        <v>3582</v>
      </c>
      <c r="CBD1" t="s">
        <v>3583</v>
      </c>
      <c r="CBE1" t="s">
        <v>3584</v>
      </c>
      <c r="CBF1" t="s">
        <v>3585</v>
      </c>
      <c r="CBG1" t="s">
        <v>3586</v>
      </c>
      <c r="CBH1" t="s">
        <v>3587</v>
      </c>
      <c r="CBI1" t="s">
        <v>3588</v>
      </c>
      <c r="CBJ1" t="s">
        <v>3589</v>
      </c>
      <c r="CBK1" t="s">
        <v>3590</v>
      </c>
      <c r="CBL1" t="s">
        <v>3591</v>
      </c>
      <c r="CBM1" t="s">
        <v>3592</v>
      </c>
      <c r="CBN1" t="s">
        <v>3593</v>
      </c>
      <c r="CBO1" t="s">
        <v>3594</v>
      </c>
      <c r="CBP1" t="s">
        <v>3595</v>
      </c>
      <c r="CBQ1" t="s">
        <v>3596</v>
      </c>
      <c r="CBR1" t="s">
        <v>3597</v>
      </c>
      <c r="CBS1" t="s">
        <v>3598</v>
      </c>
      <c r="CBT1" t="s">
        <v>3599</v>
      </c>
      <c r="CBU1" t="s">
        <v>3600</v>
      </c>
      <c r="CBV1" t="s">
        <v>3601</v>
      </c>
      <c r="CBW1" t="s">
        <v>3602</v>
      </c>
      <c r="CBX1" t="s">
        <v>3603</v>
      </c>
      <c r="CBY1" t="s">
        <v>3604</v>
      </c>
      <c r="CBZ1" t="s">
        <v>3605</v>
      </c>
      <c r="CCA1" t="s">
        <v>3606</v>
      </c>
      <c r="CCB1" t="s">
        <v>3607</v>
      </c>
      <c r="CCC1" t="s">
        <v>3608</v>
      </c>
      <c r="CCD1" t="s">
        <v>3609</v>
      </c>
      <c r="CCE1" t="s">
        <v>3610</v>
      </c>
      <c r="CCF1" t="s">
        <v>3611</v>
      </c>
      <c r="CCG1" t="s">
        <v>3612</v>
      </c>
      <c r="CCH1" t="s">
        <v>3613</v>
      </c>
      <c r="CCI1" t="s">
        <v>3614</v>
      </c>
      <c r="CCJ1" t="s">
        <v>3615</v>
      </c>
      <c r="CCK1" t="s">
        <v>3616</v>
      </c>
      <c r="CCL1" t="s">
        <v>3617</v>
      </c>
      <c r="CCM1" t="s">
        <v>3618</v>
      </c>
      <c r="CCN1" t="s">
        <v>3619</v>
      </c>
      <c r="CCO1" t="s">
        <v>3620</v>
      </c>
      <c r="CCP1" t="s">
        <v>3621</v>
      </c>
      <c r="CCQ1" t="s">
        <v>3622</v>
      </c>
      <c r="CCR1" t="s">
        <v>3623</v>
      </c>
      <c r="CCS1" t="s">
        <v>3624</v>
      </c>
      <c r="CCT1" t="s">
        <v>3625</v>
      </c>
      <c r="CCU1" t="s">
        <v>3626</v>
      </c>
      <c r="CCV1" t="s">
        <v>3627</v>
      </c>
      <c r="CCW1" t="s">
        <v>3628</v>
      </c>
      <c r="CCX1" t="s">
        <v>3629</v>
      </c>
      <c r="CCY1" t="s">
        <v>3630</v>
      </c>
      <c r="CCZ1" t="s">
        <v>3631</v>
      </c>
      <c r="CDA1" t="s">
        <v>3632</v>
      </c>
      <c r="CDB1" t="s">
        <v>3633</v>
      </c>
      <c r="CDC1" t="s">
        <v>3634</v>
      </c>
      <c r="CDD1" t="s">
        <v>3635</v>
      </c>
      <c r="CDE1" t="s">
        <v>3636</v>
      </c>
      <c r="CDF1" t="s">
        <v>3637</v>
      </c>
      <c r="CDG1" t="s">
        <v>3638</v>
      </c>
      <c r="CDH1" t="s">
        <v>3639</v>
      </c>
      <c r="CDI1" t="s">
        <v>3640</v>
      </c>
      <c r="CDJ1" t="s">
        <v>3641</v>
      </c>
      <c r="CDK1" t="s">
        <v>3642</v>
      </c>
      <c r="CDL1" t="s">
        <v>3643</v>
      </c>
      <c r="CDM1" t="s">
        <v>3644</v>
      </c>
      <c r="CDN1" t="s">
        <v>3645</v>
      </c>
      <c r="CDO1" t="s">
        <v>3646</v>
      </c>
      <c r="CDP1" t="s">
        <v>3647</v>
      </c>
      <c r="CDQ1" t="s">
        <v>3648</v>
      </c>
      <c r="CDR1" t="s">
        <v>3649</v>
      </c>
      <c r="CDS1" t="s">
        <v>3650</v>
      </c>
      <c r="CDT1" t="s">
        <v>3651</v>
      </c>
      <c r="CDU1" t="s">
        <v>3652</v>
      </c>
      <c r="CDV1" t="s">
        <v>3653</v>
      </c>
      <c r="CDW1" t="s">
        <v>3654</v>
      </c>
      <c r="CDX1" t="s">
        <v>3655</v>
      </c>
      <c r="CDY1" t="s">
        <v>3656</v>
      </c>
      <c r="CDZ1" t="s">
        <v>3657</v>
      </c>
      <c r="CEA1" t="s">
        <v>3658</v>
      </c>
      <c r="CEB1" t="s">
        <v>3659</v>
      </c>
      <c r="CEC1" t="s">
        <v>3660</v>
      </c>
      <c r="CED1" t="s">
        <v>3661</v>
      </c>
      <c r="CEE1" t="s">
        <v>3662</v>
      </c>
      <c r="CEF1" t="s">
        <v>3663</v>
      </c>
      <c r="CEG1" t="s">
        <v>3664</v>
      </c>
      <c r="CEH1" t="s">
        <v>3665</v>
      </c>
      <c r="CEI1" t="s">
        <v>3666</v>
      </c>
      <c r="CEJ1" t="s">
        <v>3667</v>
      </c>
      <c r="CEK1" t="s">
        <v>3668</v>
      </c>
      <c r="CEL1" t="s">
        <v>3669</v>
      </c>
      <c r="CEM1" t="s">
        <v>3670</v>
      </c>
      <c r="CEN1" t="s">
        <v>3671</v>
      </c>
      <c r="CEO1" t="s">
        <v>3672</v>
      </c>
      <c r="CEP1" t="s">
        <v>3673</v>
      </c>
      <c r="CEQ1" t="s">
        <v>3674</v>
      </c>
      <c r="CER1" t="s">
        <v>3675</v>
      </c>
      <c r="CES1" t="s">
        <v>3676</v>
      </c>
      <c r="CET1" t="s">
        <v>3677</v>
      </c>
      <c r="CEU1" t="s">
        <v>3678</v>
      </c>
      <c r="CEV1" t="s">
        <v>3679</v>
      </c>
      <c r="CEW1" t="s">
        <v>3680</v>
      </c>
      <c r="CEX1" t="s">
        <v>3681</v>
      </c>
      <c r="CEY1" t="s">
        <v>3682</v>
      </c>
      <c r="CEZ1" t="s">
        <v>3683</v>
      </c>
      <c r="CFA1" t="s">
        <v>3684</v>
      </c>
      <c r="CFB1" t="s">
        <v>3685</v>
      </c>
      <c r="CFC1" t="s">
        <v>3686</v>
      </c>
      <c r="CFD1" t="s">
        <v>3687</v>
      </c>
      <c r="CFE1" t="s">
        <v>3688</v>
      </c>
      <c r="CFF1" t="s">
        <v>3689</v>
      </c>
      <c r="CFG1" t="s">
        <v>3690</v>
      </c>
      <c r="CFH1" t="s">
        <v>3691</v>
      </c>
      <c r="CFI1" t="s">
        <v>3692</v>
      </c>
      <c r="CFJ1" t="s">
        <v>3693</v>
      </c>
      <c r="CFK1" t="s">
        <v>3694</v>
      </c>
      <c r="CFL1" t="s">
        <v>3695</v>
      </c>
      <c r="CFM1" t="s">
        <v>3696</v>
      </c>
      <c r="CFN1" t="s">
        <v>3697</v>
      </c>
      <c r="CFO1" t="s">
        <v>3698</v>
      </c>
      <c r="CFP1" t="s">
        <v>3699</v>
      </c>
      <c r="CFQ1" t="s">
        <v>3700</v>
      </c>
      <c r="CFR1" t="s">
        <v>3701</v>
      </c>
      <c r="CFS1" t="s">
        <v>3702</v>
      </c>
      <c r="CFT1" t="s">
        <v>3703</v>
      </c>
      <c r="CFU1" t="s">
        <v>3704</v>
      </c>
      <c r="CFV1" t="s">
        <v>3705</v>
      </c>
      <c r="CFW1" t="s">
        <v>3706</v>
      </c>
      <c r="CFX1" t="s">
        <v>3707</v>
      </c>
      <c r="CFY1" t="s">
        <v>3708</v>
      </c>
      <c r="CFZ1" t="s">
        <v>3709</v>
      </c>
      <c r="CGA1" t="s">
        <v>3710</v>
      </c>
      <c r="CGB1" t="s">
        <v>3711</v>
      </c>
      <c r="CGC1" t="s">
        <v>3712</v>
      </c>
      <c r="CGD1" t="s">
        <v>3713</v>
      </c>
      <c r="CGE1" t="s">
        <v>3714</v>
      </c>
      <c r="CGF1" t="s">
        <v>3715</v>
      </c>
      <c r="CGG1" t="s">
        <v>3716</v>
      </c>
      <c r="CGH1" t="s">
        <v>3717</v>
      </c>
      <c r="CGI1" t="s">
        <v>3718</v>
      </c>
      <c r="CGJ1" t="s">
        <v>3719</v>
      </c>
      <c r="CGK1" t="s">
        <v>3720</v>
      </c>
      <c r="CGL1" t="s">
        <v>3721</v>
      </c>
      <c r="CGM1" t="s">
        <v>3722</v>
      </c>
      <c r="CGN1" t="s">
        <v>3723</v>
      </c>
      <c r="CGO1" t="s">
        <v>3724</v>
      </c>
      <c r="CGP1" t="s">
        <v>3725</v>
      </c>
      <c r="CGQ1" t="s">
        <v>3726</v>
      </c>
      <c r="CGR1" t="s">
        <v>3727</v>
      </c>
      <c r="CGS1" t="s">
        <v>3728</v>
      </c>
      <c r="CGT1" t="s">
        <v>3729</v>
      </c>
      <c r="CGU1" t="s">
        <v>3730</v>
      </c>
      <c r="CGV1" t="s">
        <v>3731</v>
      </c>
      <c r="CGW1" t="s">
        <v>3732</v>
      </c>
      <c r="CGX1" t="s">
        <v>3733</v>
      </c>
      <c r="CGY1" t="s">
        <v>3734</v>
      </c>
      <c r="CGZ1" t="s">
        <v>3735</v>
      </c>
      <c r="CHA1" t="s">
        <v>3736</v>
      </c>
      <c r="CHB1" t="s">
        <v>3737</v>
      </c>
      <c r="CHC1" t="s">
        <v>3738</v>
      </c>
      <c r="CHD1" t="s">
        <v>3739</v>
      </c>
      <c r="CHE1" t="s">
        <v>3740</v>
      </c>
      <c r="CHF1" t="s">
        <v>3741</v>
      </c>
      <c r="CHG1" t="s">
        <v>3742</v>
      </c>
      <c r="CHH1" t="s">
        <v>3743</v>
      </c>
      <c r="CHI1" t="s">
        <v>3744</v>
      </c>
      <c r="CHJ1" t="s">
        <v>3745</v>
      </c>
      <c r="CHK1" t="s">
        <v>3746</v>
      </c>
      <c r="CHL1" t="s">
        <v>3747</v>
      </c>
      <c r="CHM1" t="s">
        <v>3748</v>
      </c>
      <c r="CHN1" t="s">
        <v>3749</v>
      </c>
      <c r="CHO1" t="s">
        <v>3750</v>
      </c>
      <c r="CHP1" t="s">
        <v>3751</v>
      </c>
      <c r="CHQ1" t="s">
        <v>3752</v>
      </c>
      <c r="CHR1" t="s">
        <v>3753</v>
      </c>
      <c r="CHS1" t="s">
        <v>3754</v>
      </c>
      <c r="CHT1" t="s">
        <v>3755</v>
      </c>
      <c r="CHU1" t="s">
        <v>3756</v>
      </c>
      <c r="CHV1" t="s">
        <v>3757</v>
      </c>
      <c r="CHW1" t="s">
        <v>3758</v>
      </c>
      <c r="CHX1" t="s">
        <v>3759</v>
      </c>
      <c r="CHY1" t="s">
        <v>3760</v>
      </c>
      <c r="CHZ1" t="s">
        <v>3761</v>
      </c>
      <c r="CIA1" t="s">
        <v>3762</v>
      </c>
      <c r="CIB1" t="s">
        <v>3763</v>
      </c>
      <c r="CIC1" t="s">
        <v>3764</v>
      </c>
      <c r="CID1" t="s">
        <v>3765</v>
      </c>
      <c r="CIE1" t="s">
        <v>3766</v>
      </c>
      <c r="CIF1" t="s">
        <v>3767</v>
      </c>
      <c r="CIG1" t="s">
        <v>3768</v>
      </c>
      <c r="CIH1" t="s">
        <v>3769</v>
      </c>
      <c r="CII1" t="s">
        <v>3770</v>
      </c>
      <c r="CIJ1" t="s">
        <v>3771</v>
      </c>
      <c r="CIK1" t="s">
        <v>3772</v>
      </c>
      <c r="CIL1" t="s">
        <v>3773</v>
      </c>
      <c r="CIM1" t="s">
        <v>3774</v>
      </c>
      <c r="CIN1" t="s">
        <v>3775</v>
      </c>
      <c r="CIO1" t="s">
        <v>3776</v>
      </c>
      <c r="CIP1" t="s">
        <v>3777</v>
      </c>
      <c r="CIQ1" t="s">
        <v>3778</v>
      </c>
      <c r="CIR1" t="s">
        <v>3779</v>
      </c>
      <c r="CIS1" t="s">
        <v>3780</v>
      </c>
      <c r="CIT1" t="s">
        <v>3781</v>
      </c>
      <c r="CIU1" t="s">
        <v>3782</v>
      </c>
      <c r="CIV1" t="s">
        <v>3783</v>
      </c>
      <c r="CIW1" t="s">
        <v>3784</v>
      </c>
      <c r="CIX1" t="s">
        <v>3785</v>
      </c>
      <c r="CIY1" t="s">
        <v>3786</v>
      </c>
      <c r="CIZ1" t="s">
        <v>3787</v>
      </c>
      <c r="CJA1" t="s">
        <v>3788</v>
      </c>
      <c r="CJB1" t="s">
        <v>3789</v>
      </c>
      <c r="CJC1" t="s">
        <v>3790</v>
      </c>
      <c r="CJD1" t="s">
        <v>3791</v>
      </c>
      <c r="CJE1" t="s">
        <v>3792</v>
      </c>
      <c r="CJF1" t="s">
        <v>3793</v>
      </c>
      <c r="CJG1" t="s">
        <v>3794</v>
      </c>
      <c r="CJH1" t="s">
        <v>3795</v>
      </c>
      <c r="CJI1" t="s">
        <v>3796</v>
      </c>
      <c r="CJJ1" t="s">
        <v>3797</v>
      </c>
      <c r="CJK1" t="s">
        <v>3798</v>
      </c>
      <c r="CJL1" t="s">
        <v>3799</v>
      </c>
      <c r="CJM1" t="s">
        <v>3800</v>
      </c>
      <c r="CJN1" t="s">
        <v>3801</v>
      </c>
      <c r="CJO1" t="s">
        <v>3802</v>
      </c>
      <c r="CJP1" t="s">
        <v>3803</v>
      </c>
      <c r="CJQ1" t="s">
        <v>3804</v>
      </c>
      <c r="CJR1" t="s">
        <v>3805</v>
      </c>
      <c r="CJS1" t="s">
        <v>3806</v>
      </c>
      <c r="CJT1" t="s">
        <v>3807</v>
      </c>
      <c r="CJU1" t="s">
        <v>3808</v>
      </c>
      <c r="CJV1" t="s">
        <v>3809</v>
      </c>
      <c r="CJW1" t="s">
        <v>3810</v>
      </c>
      <c r="CJX1" t="s">
        <v>3811</v>
      </c>
      <c r="CJY1" t="s">
        <v>3812</v>
      </c>
      <c r="CJZ1" t="s">
        <v>3813</v>
      </c>
      <c r="CKA1" t="s">
        <v>3814</v>
      </c>
      <c r="CKB1" t="s">
        <v>3815</v>
      </c>
      <c r="CKC1" t="s">
        <v>3816</v>
      </c>
      <c r="CKD1" t="s">
        <v>3817</v>
      </c>
      <c r="CKE1" t="s">
        <v>3818</v>
      </c>
      <c r="CKF1" t="s">
        <v>3819</v>
      </c>
      <c r="CKG1" t="s">
        <v>3820</v>
      </c>
      <c r="CKH1" t="s">
        <v>3821</v>
      </c>
      <c r="CKI1" t="s">
        <v>3822</v>
      </c>
      <c r="CKJ1" t="s">
        <v>3823</v>
      </c>
      <c r="CKK1" t="s">
        <v>3824</v>
      </c>
      <c r="CKL1" t="s">
        <v>3825</v>
      </c>
      <c r="CKM1" t="s">
        <v>3826</v>
      </c>
      <c r="CKN1" t="s">
        <v>3827</v>
      </c>
      <c r="CKO1" t="s">
        <v>3828</v>
      </c>
      <c r="CKP1" t="s">
        <v>3829</v>
      </c>
      <c r="CKQ1" t="s">
        <v>3830</v>
      </c>
      <c r="CKR1" t="s">
        <v>3831</v>
      </c>
      <c r="CKS1" t="s">
        <v>3832</v>
      </c>
      <c r="CKT1" t="s">
        <v>3833</v>
      </c>
      <c r="CKU1" t="s">
        <v>3834</v>
      </c>
      <c r="CKV1" t="s">
        <v>3835</v>
      </c>
      <c r="CKW1" t="s">
        <v>3836</v>
      </c>
      <c r="CKX1" t="s">
        <v>3837</v>
      </c>
      <c r="CKY1" t="s">
        <v>3838</v>
      </c>
      <c r="CKZ1" t="s">
        <v>3839</v>
      </c>
      <c r="CLA1" t="s">
        <v>3840</v>
      </c>
      <c r="CLB1" t="s">
        <v>3841</v>
      </c>
      <c r="CLC1" t="s">
        <v>3842</v>
      </c>
      <c r="CLD1" t="s">
        <v>3843</v>
      </c>
      <c r="CLE1" t="s">
        <v>3844</v>
      </c>
      <c r="CLF1" t="s">
        <v>3845</v>
      </c>
      <c r="CLG1" t="s">
        <v>3846</v>
      </c>
      <c r="CLH1" t="s">
        <v>3847</v>
      </c>
      <c r="CLI1" t="s">
        <v>3848</v>
      </c>
      <c r="CLJ1" t="s">
        <v>3849</v>
      </c>
      <c r="CLK1" t="s">
        <v>3850</v>
      </c>
      <c r="CLL1" t="s">
        <v>3851</v>
      </c>
      <c r="CLM1" t="s">
        <v>3852</v>
      </c>
      <c r="CLN1" t="s">
        <v>3853</v>
      </c>
      <c r="CLO1" t="s">
        <v>3854</v>
      </c>
      <c r="CLP1" t="s">
        <v>3855</v>
      </c>
      <c r="CLQ1" t="s">
        <v>3856</v>
      </c>
      <c r="CLR1" t="s">
        <v>3857</v>
      </c>
      <c r="CLS1" t="s">
        <v>3858</v>
      </c>
      <c r="CLT1" t="s">
        <v>3859</v>
      </c>
      <c r="CLU1" t="s">
        <v>3860</v>
      </c>
      <c r="CLV1" t="s">
        <v>3861</v>
      </c>
      <c r="CLW1" t="s">
        <v>3862</v>
      </c>
      <c r="CLX1" t="s">
        <v>3863</v>
      </c>
      <c r="CLY1" t="s">
        <v>3864</v>
      </c>
      <c r="CLZ1" t="s">
        <v>3865</v>
      </c>
      <c r="CMA1" t="s">
        <v>3866</v>
      </c>
      <c r="CMB1" t="s">
        <v>3867</v>
      </c>
      <c r="CMC1" t="s">
        <v>3868</v>
      </c>
      <c r="CMD1" t="s">
        <v>3869</v>
      </c>
      <c r="CME1" t="s">
        <v>3870</v>
      </c>
      <c r="CMF1" t="s">
        <v>3871</v>
      </c>
      <c r="CMG1" t="s">
        <v>3872</v>
      </c>
      <c r="CMH1" t="s">
        <v>3873</v>
      </c>
      <c r="CMI1" t="s">
        <v>3874</v>
      </c>
      <c r="CMJ1" t="s">
        <v>3875</v>
      </c>
      <c r="CMK1" t="s">
        <v>3876</v>
      </c>
      <c r="CML1" t="s">
        <v>3877</v>
      </c>
      <c r="CMM1" t="s">
        <v>3878</v>
      </c>
      <c r="CMN1" t="s">
        <v>3879</v>
      </c>
      <c r="CMO1" t="s">
        <v>3880</v>
      </c>
      <c r="CMP1" t="s">
        <v>3881</v>
      </c>
      <c r="CMQ1" t="s">
        <v>3882</v>
      </c>
      <c r="CMR1" t="s">
        <v>3883</v>
      </c>
      <c r="CMS1" t="s">
        <v>3884</v>
      </c>
      <c r="CMT1" t="s">
        <v>3885</v>
      </c>
      <c r="CMU1" t="s">
        <v>3886</v>
      </c>
      <c r="CMV1" t="s">
        <v>3887</v>
      </c>
      <c r="CMW1" t="s">
        <v>3888</v>
      </c>
      <c r="CMX1" t="s">
        <v>3889</v>
      </c>
      <c r="CMY1" t="s">
        <v>3890</v>
      </c>
      <c r="CMZ1" t="s">
        <v>3891</v>
      </c>
      <c r="CNA1" t="s">
        <v>3892</v>
      </c>
      <c r="CNB1" t="s">
        <v>3893</v>
      </c>
      <c r="CNC1" t="s">
        <v>3894</v>
      </c>
      <c r="CND1" t="s">
        <v>3895</v>
      </c>
      <c r="CNE1" t="s">
        <v>3896</v>
      </c>
      <c r="CNF1" t="s">
        <v>3897</v>
      </c>
      <c r="CNG1" t="s">
        <v>3898</v>
      </c>
      <c r="CNH1" t="s">
        <v>3899</v>
      </c>
      <c r="CNI1" t="s">
        <v>3900</v>
      </c>
      <c r="CNJ1" t="s">
        <v>3901</v>
      </c>
      <c r="CNK1" t="s">
        <v>3902</v>
      </c>
      <c r="CNL1" t="s">
        <v>3903</v>
      </c>
      <c r="CNM1" t="s">
        <v>3904</v>
      </c>
      <c r="CNN1" t="s">
        <v>3905</v>
      </c>
      <c r="CNO1" t="s">
        <v>3906</v>
      </c>
      <c r="CNP1" t="s">
        <v>3907</v>
      </c>
      <c r="CNQ1" t="s">
        <v>3908</v>
      </c>
      <c r="CNR1" t="s">
        <v>3909</v>
      </c>
      <c r="CNS1" t="s">
        <v>3910</v>
      </c>
      <c r="CNT1" t="s">
        <v>3911</v>
      </c>
      <c r="CNU1" t="s">
        <v>3912</v>
      </c>
      <c r="CNV1" t="s">
        <v>3913</v>
      </c>
      <c r="CNW1" t="s">
        <v>3914</v>
      </c>
      <c r="CNX1" t="s">
        <v>3915</v>
      </c>
      <c r="CNY1" t="s">
        <v>3916</v>
      </c>
      <c r="CNZ1" t="s">
        <v>3917</v>
      </c>
      <c r="COA1" t="s">
        <v>3918</v>
      </c>
      <c r="COB1" t="s">
        <v>3919</v>
      </c>
      <c r="COC1" t="s">
        <v>3920</v>
      </c>
      <c r="COD1" t="s">
        <v>3921</v>
      </c>
      <c r="COE1" t="s">
        <v>3922</v>
      </c>
      <c r="COF1" t="s">
        <v>3923</v>
      </c>
      <c r="COG1" t="s">
        <v>3924</v>
      </c>
      <c r="COH1" t="s">
        <v>3925</v>
      </c>
      <c r="COI1" t="s">
        <v>3926</v>
      </c>
      <c r="COJ1" t="s">
        <v>3927</v>
      </c>
      <c r="COK1" t="s">
        <v>3928</v>
      </c>
      <c r="COL1" t="s">
        <v>3929</v>
      </c>
      <c r="COM1" t="s">
        <v>3930</v>
      </c>
      <c r="CON1" t="s">
        <v>3931</v>
      </c>
      <c r="COO1" t="s">
        <v>3932</v>
      </c>
      <c r="COP1" t="s">
        <v>3933</v>
      </c>
      <c r="COQ1" t="s">
        <v>3934</v>
      </c>
      <c r="COR1" t="s">
        <v>3935</v>
      </c>
      <c r="COS1" t="s">
        <v>3936</v>
      </c>
      <c r="COT1" t="s">
        <v>3937</v>
      </c>
      <c r="COU1" t="s">
        <v>3938</v>
      </c>
      <c r="COV1" t="s">
        <v>3939</v>
      </c>
      <c r="COW1" t="s">
        <v>3940</v>
      </c>
      <c r="COX1" t="s">
        <v>3941</v>
      </c>
      <c r="COY1" t="s">
        <v>3942</v>
      </c>
      <c r="COZ1" t="s">
        <v>3943</v>
      </c>
      <c r="CPA1" t="s">
        <v>3944</v>
      </c>
      <c r="CPB1" t="s">
        <v>3945</v>
      </c>
      <c r="CPC1" t="s">
        <v>3946</v>
      </c>
      <c r="CPD1" t="s">
        <v>3947</v>
      </c>
      <c r="CPE1" t="s">
        <v>3948</v>
      </c>
      <c r="CPF1" t="s">
        <v>3949</v>
      </c>
      <c r="CPG1" t="s">
        <v>3950</v>
      </c>
      <c r="CPH1" t="s">
        <v>3951</v>
      </c>
      <c r="CPI1" t="s">
        <v>3952</v>
      </c>
      <c r="CPJ1" t="s">
        <v>3953</v>
      </c>
      <c r="CPK1" t="s">
        <v>3954</v>
      </c>
      <c r="CPL1" t="s">
        <v>3955</v>
      </c>
      <c r="CPM1" t="s">
        <v>3956</v>
      </c>
      <c r="CPN1" t="s">
        <v>3957</v>
      </c>
      <c r="CPO1" t="s">
        <v>3958</v>
      </c>
      <c r="CPP1" t="s">
        <v>3959</v>
      </c>
      <c r="CPQ1" t="s">
        <v>3960</v>
      </c>
      <c r="CPR1" t="s">
        <v>3961</v>
      </c>
      <c r="CPS1" t="s">
        <v>3962</v>
      </c>
      <c r="CPT1" t="s">
        <v>3963</v>
      </c>
      <c r="CPU1" t="s">
        <v>3964</v>
      </c>
      <c r="CPV1" t="s">
        <v>3965</v>
      </c>
      <c r="CPW1" t="s">
        <v>3966</v>
      </c>
      <c r="CPX1" t="s">
        <v>3967</v>
      </c>
      <c r="CPY1" t="s">
        <v>3968</v>
      </c>
      <c r="CPZ1" t="s">
        <v>3969</v>
      </c>
      <c r="CQA1" t="s">
        <v>3970</v>
      </c>
      <c r="CQB1" t="s">
        <v>3971</v>
      </c>
      <c r="CQC1" t="s">
        <v>3972</v>
      </c>
      <c r="CQD1" t="s">
        <v>3973</v>
      </c>
      <c r="CQE1" t="s">
        <v>3974</v>
      </c>
      <c r="CQF1" t="s">
        <v>3975</v>
      </c>
      <c r="CQG1" t="s">
        <v>3976</v>
      </c>
      <c r="CQH1" t="s">
        <v>3977</v>
      </c>
      <c r="CQI1" t="s">
        <v>3978</v>
      </c>
      <c r="CQJ1" t="s">
        <v>3979</v>
      </c>
      <c r="CQK1" t="s">
        <v>3980</v>
      </c>
      <c r="CQL1" t="s">
        <v>3981</v>
      </c>
      <c r="CQM1" t="s">
        <v>3982</v>
      </c>
      <c r="CQN1" t="s">
        <v>3983</v>
      </c>
      <c r="CQO1" t="s">
        <v>3984</v>
      </c>
      <c r="CQP1" t="s">
        <v>3985</v>
      </c>
      <c r="CQQ1" t="s">
        <v>3986</v>
      </c>
      <c r="CQR1" t="s">
        <v>3987</v>
      </c>
      <c r="CQS1" t="s">
        <v>3988</v>
      </c>
      <c r="CQT1" t="s">
        <v>3989</v>
      </c>
      <c r="CQU1" t="s">
        <v>3990</v>
      </c>
      <c r="CQV1" t="s">
        <v>3991</v>
      </c>
      <c r="CQW1" t="s">
        <v>3992</v>
      </c>
      <c r="CQX1" t="s">
        <v>3993</v>
      </c>
      <c r="CQY1" t="s">
        <v>3994</v>
      </c>
      <c r="CQZ1" t="s">
        <v>3995</v>
      </c>
      <c r="CRA1" t="s">
        <v>3996</v>
      </c>
      <c r="CRB1" t="s">
        <v>3997</v>
      </c>
      <c r="CRC1" t="s">
        <v>3998</v>
      </c>
      <c r="CRD1" t="s">
        <v>3999</v>
      </c>
      <c r="CRE1" t="s">
        <v>4000</v>
      </c>
      <c r="CRF1" t="s">
        <v>4001</v>
      </c>
      <c r="CRG1" t="s">
        <v>4002</v>
      </c>
      <c r="CRH1" t="s">
        <v>4003</v>
      </c>
      <c r="CRI1" t="s">
        <v>4004</v>
      </c>
      <c r="CRJ1" t="s">
        <v>4005</v>
      </c>
      <c r="CRK1" t="s">
        <v>4006</v>
      </c>
      <c r="CRL1" t="s">
        <v>4007</v>
      </c>
      <c r="CRM1" t="s">
        <v>4008</v>
      </c>
      <c r="CRN1" t="s">
        <v>4009</v>
      </c>
      <c r="CRO1" t="s">
        <v>4010</v>
      </c>
      <c r="CRP1" t="s">
        <v>4011</v>
      </c>
      <c r="CRQ1" t="s">
        <v>4012</v>
      </c>
      <c r="CRR1" t="s">
        <v>4013</v>
      </c>
      <c r="CRS1" t="s">
        <v>4014</v>
      </c>
      <c r="CRT1" t="s">
        <v>4015</v>
      </c>
      <c r="CRU1" t="s">
        <v>4016</v>
      </c>
      <c r="CRV1" t="s">
        <v>4017</v>
      </c>
      <c r="CRW1" t="s">
        <v>4018</v>
      </c>
      <c r="CRX1" t="s">
        <v>4019</v>
      </c>
      <c r="CRY1" t="s">
        <v>4020</v>
      </c>
      <c r="CRZ1" t="s">
        <v>4021</v>
      </c>
      <c r="CSA1" t="s">
        <v>4022</v>
      </c>
      <c r="CSB1" t="s">
        <v>4023</v>
      </c>
      <c r="CSC1" t="s">
        <v>4024</v>
      </c>
      <c r="CSD1" t="s">
        <v>4025</v>
      </c>
      <c r="CSE1" t="s">
        <v>4026</v>
      </c>
      <c r="CSF1" t="s">
        <v>4027</v>
      </c>
      <c r="CSG1" t="s">
        <v>4028</v>
      </c>
      <c r="CSH1" t="s">
        <v>4029</v>
      </c>
      <c r="CSI1" t="s">
        <v>4030</v>
      </c>
      <c r="CSJ1" t="s">
        <v>4031</v>
      </c>
      <c r="CSK1" t="s">
        <v>4032</v>
      </c>
      <c r="CSL1" t="s">
        <v>4033</v>
      </c>
      <c r="CSM1" t="s">
        <v>4034</v>
      </c>
      <c r="CSN1" t="s">
        <v>4035</v>
      </c>
      <c r="CSO1" t="s">
        <v>4036</v>
      </c>
      <c r="CSP1" t="s">
        <v>4037</v>
      </c>
      <c r="CSQ1" t="s">
        <v>4038</v>
      </c>
      <c r="CSR1" t="s">
        <v>4039</v>
      </c>
      <c r="CSS1" t="s">
        <v>4040</v>
      </c>
      <c r="CST1" t="s">
        <v>4041</v>
      </c>
      <c r="CSU1" t="s">
        <v>4042</v>
      </c>
      <c r="CSV1" t="s">
        <v>4043</v>
      </c>
      <c r="CSW1" t="s">
        <v>4044</v>
      </c>
      <c r="CSX1" t="s">
        <v>4045</v>
      </c>
      <c r="CSY1" t="s">
        <v>4046</v>
      </c>
      <c r="CSZ1" t="s">
        <v>4047</v>
      </c>
      <c r="CTA1" t="s">
        <v>4048</v>
      </c>
      <c r="CTB1" t="s">
        <v>4049</v>
      </c>
      <c r="CTC1" t="s">
        <v>4050</v>
      </c>
      <c r="CTD1" t="s">
        <v>4051</v>
      </c>
      <c r="CTE1" t="s">
        <v>4052</v>
      </c>
      <c r="CTF1" t="s">
        <v>4053</v>
      </c>
      <c r="CTG1" t="s">
        <v>4054</v>
      </c>
      <c r="CTH1" t="s">
        <v>4055</v>
      </c>
      <c r="CTI1" t="s">
        <v>4056</v>
      </c>
      <c r="CTJ1" t="s">
        <v>4057</v>
      </c>
      <c r="CTK1" t="s">
        <v>4058</v>
      </c>
      <c r="CTL1" t="s">
        <v>4059</v>
      </c>
      <c r="CTM1" t="s">
        <v>4060</v>
      </c>
      <c r="CTN1" t="s">
        <v>4061</v>
      </c>
      <c r="CTO1" t="s">
        <v>4062</v>
      </c>
      <c r="CTP1" t="s">
        <v>4063</v>
      </c>
      <c r="CTQ1" t="s">
        <v>4064</v>
      </c>
      <c r="CTR1" t="s">
        <v>4065</v>
      </c>
      <c r="CTS1" t="s">
        <v>4066</v>
      </c>
      <c r="CTT1" t="s">
        <v>4067</v>
      </c>
      <c r="CTU1" t="s">
        <v>4068</v>
      </c>
      <c r="CTV1" t="s">
        <v>4069</v>
      </c>
      <c r="CTW1" t="s">
        <v>4070</v>
      </c>
      <c r="CTX1" t="s">
        <v>4071</v>
      </c>
      <c r="CTY1" t="s">
        <v>4072</v>
      </c>
      <c r="CTZ1" t="s">
        <v>4073</v>
      </c>
      <c r="CUA1" t="s">
        <v>4074</v>
      </c>
      <c r="CUB1" t="s">
        <v>4075</v>
      </c>
      <c r="CUC1" t="s">
        <v>4076</v>
      </c>
      <c r="CUD1" t="s">
        <v>4077</v>
      </c>
      <c r="CUE1" t="s">
        <v>4078</v>
      </c>
      <c r="CUF1" t="s">
        <v>4079</v>
      </c>
      <c r="CUG1" t="s">
        <v>4080</v>
      </c>
      <c r="CUH1" t="s">
        <v>4081</v>
      </c>
      <c r="CUI1" t="s">
        <v>4082</v>
      </c>
      <c r="CUJ1" t="s">
        <v>4083</v>
      </c>
      <c r="CUK1" t="s">
        <v>4084</v>
      </c>
      <c r="CUL1" t="s">
        <v>4085</v>
      </c>
      <c r="CUM1" t="s">
        <v>4086</v>
      </c>
      <c r="CUN1" t="s">
        <v>4087</v>
      </c>
      <c r="CUO1" t="s">
        <v>4088</v>
      </c>
      <c r="CUP1" t="s">
        <v>4089</v>
      </c>
      <c r="CUQ1" t="s">
        <v>4090</v>
      </c>
      <c r="CUR1" t="s">
        <v>4091</v>
      </c>
      <c r="CUS1" t="s">
        <v>4092</v>
      </c>
      <c r="CUT1" t="s">
        <v>4093</v>
      </c>
      <c r="CUU1" t="s">
        <v>4094</v>
      </c>
      <c r="CUV1" t="s">
        <v>4095</v>
      </c>
      <c r="CUW1" t="s">
        <v>4096</v>
      </c>
      <c r="CUX1" t="s">
        <v>4097</v>
      </c>
      <c r="CUY1" t="s">
        <v>4098</v>
      </c>
      <c r="CUZ1" t="s">
        <v>4099</v>
      </c>
      <c r="CVA1" t="s">
        <v>4100</v>
      </c>
      <c r="CVB1" t="s">
        <v>4101</v>
      </c>
      <c r="CVC1" t="s">
        <v>4102</v>
      </c>
      <c r="CVD1" t="s">
        <v>4103</v>
      </c>
      <c r="CVE1" t="s">
        <v>4104</v>
      </c>
      <c r="CVF1" t="s">
        <v>4105</v>
      </c>
      <c r="CVG1" t="s">
        <v>4106</v>
      </c>
      <c r="CVH1" t="s">
        <v>4107</v>
      </c>
      <c r="CVI1" t="s">
        <v>4108</v>
      </c>
      <c r="CVJ1" t="s">
        <v>4109</v>
      </c>
      <c r="CVK1" t="s">
        <v>4110</v>
      </c>
      <c r="CVL1" t="s">
        <v>4111</v>
      </c>
      <c r="CVM1" t="s">
        <v>4112</v>
      </c>
      <c r="CVN1" t="s">
        <v>4113</v>
      </c>
      <c r="CVO1" t="s">
        <v>4114</v>
      </c>
      <c r="CVP1" t="s">
        <v>4115</v>
      </c>
      <c r="CVQ1" t="s">
        <v>4116</v>
      </c>
      <c r="CVR1" t="s">
        <v>4117</v>
      </c>
      <c r="CVS1" t="s">
        <v>4118</v>
      </c>
      <c r="CVT1" t="s">
        <v>4119</v>
      </c>
      <c r="CVU1" t="s">
        <v>4120</v>
      </c>
      <c r="CVV1" t="s">
        <v>4121</v>
      </c>
      <c r="CVW1" t="s">
        <v>4122</v>
      </c>
      <c r="CVX1" t="s">
        <v>4123</v>
      </c>
      <c r="CVY1" t="s">
        <v>4124</v>
      </c>
      <c r="CVZ1" t="s">
        <v>4125</v>
      </c>
      <c r="CWA1" t="s">
        <v>4126</v>
      </c>
      <c r="CWB1" t="s">
        <v>4127</v>
      </c>
      <c r="CWC1" t="s">
        <v>4128</v>
      </c>
      <c r="CWD1" t="s">
        <v>4129</v>
      </c>
      <c r="CWE1" t="s">
        <v>4130</v>
      </c>
      <c r="CWF1" t="s">
        <v>4131</v>
      </c>
      <c r="CWG1" t="s">
        <v>4132</v>
      </c>
      <c r="CWH1" t="s">
        <v>4133</v>
      </c>
      <c r="CWI1" t="s">
        <v>4134</v>
      </c>
      <c r="CWJ1" t="s">
        <v>4135</v>
      </c>
      <c r="CWK1" t="s">
        <v>4136</v>
      </c>
      <c r="CWL1" t="s">
        <v>4137</v>
      </c>
      <c r="CWM1" t="s">
        <v>4138</v>
      </c>
      <c r="CWN1" t="s">
        <v>4139</v>
      </c>
      <c r="CWO1" t="s">
        <v>4140</v>
      </c>
      <c r="CWP1" t="s">
        <v>4141</v>
      </c>
      <c r="CWQ1" t="s">
        <v>4142</v>
      </c>
      <c r="CWR1" t="s">
        <v>4143</v>
      </c>
      <c r="CWS1" t="s">
        <v>4144</v>
      </c>
      <c r="CWT1" t="s">
        <v>4145</v>
      </c>
      <c r="CWU1" t="s">
        <v>4146</v>
      </c>
      <c r="CWV1" t="s">
        <v>4147</v>
      </c>
      <c r="CWW1" t="s">
        <v>4148</v>
      </c>
      <c r="CWX1" t="s">
        <v>4149</v>
      </c>
      <c r="CWY1" t="s">
        <v>4150</v>
      </c>
      <c r="CWZ1" t="s">
        <v>4151</v>
      </c>
      <c r="CXA1" t="s">
        <v>4152</v>
      </c>
      <c r="CXB1" t="s">
        <v>4153</v>
      </c>
      <c r="CXC1" t="s">
        <v>4154</v>
      </c>
      <c r="CXD1" t="s">
        <v>4155</v>
      </c>
      <c r="CXE1" t="s">
        <v>4156</v>
      </c>
      <c r="CXF1" t="s">
        <v>4157</v>
      </c>
      <c r="CXG1" t="s">
        <v>4158</v>
      </c>
      <c r="CXH1" t="s">
        <v>4159</v>
      </c>
      <c r="CXI1" t="s">
        <v>4160</v>
      </c>
      <c r="CXJ1" t="s">
        <v>4161</v>
      </c>
      <c r="CXK1" t="s">
        <v>4162</v>
      </c>
      <c r="CXL1" t="s">
        <v>4163</v>
      </c>
      <c r="CXM1" t="s">
        <v>4164</v>
      </c>
      <c r="CXN1" t="s">
        <v>4165</v>
      </c>
      <c r="CXO1" t="s">
        <v>4166</v>
      </c>
      <c r="CXP1" t="s">
        <v>4167</v>
      </c>
      <c r="CXQ1" t="s">
        <v>4168</v>
      </c>
      <c r="CXR1" t="s">
        <v>4169</v>
      </c>
      <c r="CXS1" t="s">
        <v>4170</v>
      </c>
      <c r="CXT1" t="s">
        <v>4171</v>
      </c>
      <c r="CXU1" t="s">
        <v>4172</v>
      </c>
      <c r="CXV1" t="s">
        <v>4173</v>
      </c>
      <c r="CXW1" t="s">
        <v>4174</v>
      </c>
      <c r="CXX1" t="s">
        <v>4175</v>
      </c>
      <c r="CXY1" t="s">
        <v>4176</v>
      </c>
      <c r="CXZ1" t="s">
        <v>4177</v>
      </c>
      <c r="CYA1" t="s">
        <v>4178</v>
      </c>
      <c r="CYB1" t="s">
        <v>4179</v>
      </c>
      <c r="CYC1" t="s">
        <v>4180</v>
      </c>
      <c r="CYD1" t="s">
        <v>4181</v>
      </c>
      <c r="CYE1" t="s">
        <v>4182</v>
      </c>
      <c r="CYF1" t="s">
        <v>4183</v>
      </c>
      <c r="CYG1" t="s">
        <v>4184</v>
      </c>
      <c r="CYH1" t="s">
        <v>4185</v>
      </c>
      <c r="CYI1" t="s">
        <v>4186</v>
      </c>
      <c r="CYJ1" t="s">
        <v>4187</v>
      </c>
      <c r="CYK1" t="s">
        <v>4188</v>
      </c>
      <c r="CYL1" t="s">
        <v>4189</v>
      </c>
      <c r="CYM1" t="s">
        <v>4190</v>
      </c>
      <c r="CYN1" t="s">
        <v>4191</v>
      </c>
      <c r="CYO1" t="s">
        <v>4192</v>
      </c>
      <c r="CYP1" t="s">
        <v>4193</v>
      </c>
      <c r="CYQ1" t="s">
        <v>4194</v>
      </c>
      <c r="CYR1" t="s">
        <v>4195</v>
      </c>
      <c r="CYS1" t="s">
        <v>4196</v>
      </c>
      <c r="CYT1" t="s">
        <v>4197</v>
      </c>
      <c r="CYU1" t="s">
        <v>4198</v>
      </c>
      <c r="CYV1" t="s">
        <v>4199</v>
      </c>
      <c r="CYW1" t="s">
        <v>4200</v>
      </c>
      <c r="CYX1" t="s">
        <v>4201</v>
      </c>
      <c r="CYY1" t="s">
        <v>4202</v>
      </c>
      <c r="CYZ1" t="s">
        <v>4203</v>
      </c>
      <c r="CZA1" t="s">
        <v>4204</v>
      </c>
      <c r="CZB1" t="s">
        <v>4205</v>
      </c>
      <c r="CZC1" t="s">
        <v>4206</v>
      </c>
      <c r="CZD1" t="s">
        <v>4207</v>
      </c>
      <c r="CZE1" t="s">
        <v>4208</v>
      </c>
      <c r="CZF1" t="s">
        <v>4209</v>
      </c>
      <c r="CZG1" t="s">
        <v>4210</v>
      </c>
      <c r="CZH1" t="s">
        <v>4211</v>
      </c>
      <c r="CZI1" t="s">
        <v>4212</v>
      </c>
      <c r="CZJ1" t="s">
        <v>4213</v>
      </c>
      <c r="CZK1" t="s">
        <v>4214</v>
      </c>
      <c r="CZL1" t="s">
        <v>4215</v>
      </c>
      <c r="CZM1" t="s">
        <v>4216</v>
      </c>
      <c r="CZN1" t="s">
        <v>4217</v>
      </c>
      <c r="CZO1" t="s">
        <v>4218</v>
      </c>
      <c r="CZP1" t="s">
        <v>4219</v>
      </c>
      <c r="CZQ1" t="s">
        <v>4220</v>
      </c>
      <c r="CZR1" t="s">
        <v>4221</v>
      </c>
      <c r="CZS1" t="s">
        <v>4222</v>
      </c>
      <c r="CZT1" t="s">
        <v>4223</v>
      </c>
      <c r="CZU1" t="s">
        <v>4224</v>
      </c>
      <c r="CZV1" t="s">
        <v>4225</v>
      </c>
      <c r="CZW1" t="s">
        <v>4226</v>
      </c>
      <c r="CZX1" t="s">
        <v>4227</v>
      </c>
      <c r="CZY1" t="s">
        <v>4228</v>
      </c>
      <c r="CZZ1" t="s">
        <v>4229</v>
      </c>
      <c r="DAA1" t="s">
        <v>4230</v>
      </c>
      <c r="DAB1" t="s">
        <v>4231</v>
      </c>
      <c r="DAC1" t="s">
        <v>4232</v>
      </c>
      <c r="DAD1" t="s">
        <v>4233</v>
      </c>
      <c r="DAE1" t="s">
        <v>4234</v>
      </c>
      <c r="DAF1" t="s">
        <v>4235</v>
      </c>
      <c r="DAG1" t="s">
        <v>4236</v>
      </c>
      <c r="DAH1" t="s">
        <v>4237</v>
      </c>
      <c r="DAI1" t="s">
        <v>4238</v>
      </c>
      <c r="DAJ1" t="s">
        <v>4239</v>
      </c>
      <c r="DAK1" t="s">
        <v>4240</v>
      </c>
      <c r="DAL1" t="s">
        <v>4241</v>
      </c>
      <c r="DAM1" t="s">
        <v>4242</v>
      </c>
      <c r="DAN1" t="s">
        <v>4243</v>
      </c>
      <c r="DAO1" t="s">
        <v>4244</v>
      </c>
      <c r="DAP1" t="s">
        <v>4245</v>
      </c>
      <c r="DAQ1" t="s">
        <v>4246</v>
      </c>
      <c r="DAR1" t="s">
        <v>4247</v>
      </c>
      <c r="DAS1" t="s">
        <v>4248</v>
      </c>
      <c r="DAT1" t="s">
        <v>4249</v>
      </c>
      <c r="DAU1" t="s">
        <v>4250</v>
      </c>
      <c r="DAV1" t="s">
        <v>4251</v>
      </c>
      <c r="DAW1" t="s">
        <v>4252</v>
      </c>
      <c r="DAX1" t="s">
        <v>4253</v>
      </c>
      <c r="DAY1" t="s">
        <v>4254</v>
      </c>
      <c r="DAZ1" t="s">
        <v>4255</v>
      </c>
      <c r="DBA1" t="s">
        <v>4256</v>
      </c>
      <c r="DBB1" t="s">
        <v>4257</v>
      </c>
      <c r="DBC1" t="s">
        <v>4258</v>
      </c>
      <c r="DBD1" t="s">
        <v>4259</v>
      </c>
      <c r="DBE1" t="s">
        <v>4260</v>
      </c>
      <c r="DBF1" t="s">
        <v>4261</v>
      </c>
      <c r="DBG1" t="s">
        <v>4262</v>
      </c>
      <c r="DBH1" t="s">
        <v>4263</v>
      </c>
      <c r="DBI1" t="s">
        <v>4264</v>
      </c>
      <c r="DBJ1" t="s">
        <v>4265</v>
      </c>
      <c r="DBK1" t="s">
        <v>4266</v>
      </c>
      <c r="DBL1" t="s">
        <v>4267</v>
      </c>
      <c r="DBM1" t="s">
        <v>4268</v>
      </c>
      <c r="DBN1" t="s">
        <v>4269</v>
      </c>
      <c r="DBO1" t="s">
        <v>4270</v>
      </c>
      <c r="DBP1" t="s">
        <v>4271</v>
      </c>
      <c r="DBQ1" t="s">
        <v>4272</v>
      </c>
      <c r="DBR1" t="s">
        <v>4273</v>
      </c>
      <c r="DBS1" t="s">
        <v>4274</v>
      </c>
      <c r="DBT1" t="s">
        <v>4275</v>
      </c>
      <c r="DBU1" t="s">
        <v>4276</v>
      </c>
      <c r="DBV1" t="s">
        <v>4277</v>
      </c>
      <c r="DBW1" t="s">
        <v>4278</v>
      </c>
      <c r="DBX1" t="s">
        <v>4279</v>
      </c>
      <c r="DBY1" t="s">
        <v>4280</v>
      </c>
      <c r="DBZ1" t="s">
        <v>4281</v>
      </c>
      <c r="DCA1" t="s">
        <v>4282</v>
      </c>
      <c r="DCB1" t="s">
        <v>4283</v>
      </c>
      <c r="DCC1" t="s">
        <v>4284</v>
      </c>
      <c r="DCD1" t="s">
        <v>4285</v>
      </c>
      <c r="DCE1" t="s">
        <v>4286</v>
      </c>
      <c r="DCF1" t="s">
        <v>4287</v>
      </c>
      <c r="DCG1" t="s">
        <v>4288</v>
      </c>
      <c r="DCH1" t="s">
        <v>4289</v>
      </c>
      <c r="DCI1" t="s">
        <v>4290</v>
      </c>
      <c r="DCJ1" t="s">
        <v>4291</v>
      </c>
      <c r="DCK1" t="s">
        <v>4292</v>
      </c>
      <c r="DCL1" t="s">
        <v>4293</v>
      </c>
      <c r="DCM1" t="s">
        <v>4294</v>
      </c>
      <c r="DCN1" t="s">
        <v>4295</v>
      </c>
      <c r="DCO1" t="s">
        <v>4296</v>
      </c>
      <c r="DCP1" t="s">
        <v>4297</v>
      </c>
      <c r="DCQ1" t="s">
        <v>4298</v>
      </c>
      <c r="DCR1" t="s">
        <v>4299</v>
      </c>
      <c r="DCS1" t="s">
        <v>4300</v>
      </c>
      <c r="DCT1" t="s">
        <v>4301</v>
      </c>
      <c r="DCU1" t="s">
        <v>4302</v>
      </c>
      <c r="DCV1" t="s">
        <v>4303</v>
      </c>
      <c r="DCW1" t="s">
        <v>4304</v>
      </c>
      <c r="DCX1" t="s">
        <v>4305</v>
      </c>
      <c r="DCY1" t="s">
        <v>4306</v>
      </c>
      <c r="DCZ1" t="s">
        <v>4307</v>
      </c>
      <c r="DDA1" t="s">
        <v>4308</v>
      </c>
      <c r="DDB1" t="s">
        <v>4309</v>
      </c>
      <c r="DDC1" t="s">
        <v>4310</v>
      </c>
      <c r="DDD1" t="s">
        <v>4311</v>
      </c>
      <c r="DDE1" t="s">
        <v>4312</v>
      </c>
      <c r="DDF1" t="s">
        <v>4313</v>
      </c>
      <c r="DDG1" t="s">
        <v>4314</v>
      </c>
      <c r="DDH1" t="s">
        <v>4315</v>
      </c>
      <c r="DDI1" t="s">
        <v>4316</v>
      </c>
      <c r="DDJ1" t="s">
        <v>4317</v>
      </c>
      <c r="DDK1" t="s">
        <v>4318</v>
      </c>
      <c r="DDL1" t="s">
        <v>4319</v>
      </c>
      <c r="DDM1" t="s">
        <v>4320</v>
      </c>
      <c r="DDN1" t="s">
        <v>4321</v>
      </c>
      <c r="DDO1" t="s">
        <v>4322</v>
      </c>
      <c r="DDP1" t="s">
        <v>4323</v>
      </c>
      <c r="DDQ1" t="s">
        <v>4324</v>
      </c>
      <c r="DDR1" t="s">
        <v>4325</v>
      </c>
      <c r="DDS1" t="s">
        <v>4326</v>
      </c>
      <c r="DDT1" t="s">
        <v>4327</v>
      </c>
      <c r="DDU1" t="s">
        <v>4328</v>
      </c>
      <c r="DDV1" t="s">
        <v>4329</v>
      </c>
      <c r="DDW1" t="s">
        <v>4330</v>
      </c>
      <c r="DDX1" t="s">
        <v>4331</v>
      </c>
      <c r="DDY1" t="s">
        <v>4332</v>
      </c>
      <c r="DDZ1" t="s">
        <v>4333</v>
      </c>
      <c r="DEA1" t="s">
        <v>4334</v>
      </c>
      <c r="DEB1" t="s">
        <v>4335</v>
      </c>
      <c r="DEC1" t="s">
        <v>4336</v>
      </c>
      <c r="DED1" t="s">
        <v>4337</v>
      </c>
      <c r="DEE1" t="s">
        <v>4338</v>
      </c>
      <c r="DEF1" t="s">
        <v>4339</v>
      </c>
      <c r="DEG1" t="s">
        <v>4340</v>
      </c>
      <c r="DEH1" t="s">
        <v>4341</v>
      </c>
      <c r="DEI1" t="s">
        <v>4342</v>
      </c>
      <c r="DEJ1" t="s">
        <v>4343</v>
      </c>
      <c r="DEK1" t="s">
        <v>4344</v>
      </c>
      <c r="DEL1" t="s">
        <v>4345</v>
      </c>
      <c r="DEM1" t="s">
        <v>4346</v>
      </c>
      <c r="DEN1" t="s">
        <v>4347</v>
      </c>
      <c r="DEO1" t="s">
        <v>4348</v>
      </c>
      <c r="DEP1" t="s">
        <v>4349</v>
      </c>
      <c r="DEQ1" t="s">
        <v>4350</v>
      </c>
      <c r="DER1" t="s">
        <v>4351</v>
      </c>
      <c r="DES1" t="s">
        <v>4352</v>
      </c>
      <c r="DET1" t="s">
        <v>4353</v>
      </c>
      <c r="DEU1" t="s">
        <v>4354</v>
      </c>
      <c r="DEV1" t="s">
        <v>4355</v>
      </c>
      <c r="DEW1" t="s">
        <v>4356</v>
      </c>
      <c r="DEX1" t="s">
        <v>4357</v>
      </c>
      <c r="DEY1" t="s">
        <v>4358</v>
      </c>
      <c r="DEZ1" t="s">
        <v>4359</v>
      </c>
      <c r="DFA1" t="s">
        <v>4360</v>
      </c>
      <c r="DFB1" t="s">
        <v>4361</v>
      </c>
      <c r="DFC1" t="s">
        <v>4362</v>
      </c>
      <c r="DFD1" t="s">
        <v>4363</v>
      </c>
      <c r="DFE1" t="s">
        <v>4364</v>
      </c>
      <c r="DFF1" t="s">
        <v>4365</v>
      </c>
      <c r="DFG1" t="s">
        <v>4366</v>
      </c>
      <c r="DFH1" t="s">
        <v>4367</v>
      </c>
      <c r="DFI1" t="s">
        <v>4368</v>
      </c>
      <c r="DFJ1" t="s">
        <v>4369</v>
      </c>
      <c r="DFK1" t="s">
        <v>4370</v>
      </c>
      <c r="DFL1" t="s">
        <v>4371</v>
      </c>
      <c r="DFM1" t="s">
        <v>4372</v>
      </c>
      <c r="DFN1" t="s">
        <v>4373</v>
      </c>
      <c r="DFO1" t="s">
        <v>4374</v>
      </c>
      <c r="DFP1" t="s">
        <v>4375</v>
      </c>
      <c r="DFQ1" t="s">
        <v>4376</v>
      </c>
      <c r="DFR1" t="s">
        <v>4377</v>
      </c>
      <c r="DFS1" t="s">
        <v>4378</v>
      </c>
      <c r="DFT1" t="s">
        <v>4379</v>
      </c>
      <c r="DFU1" t="s">
        <v>4380</v>
      </c>
      <c r="DFV1" t="s">
        <v>4381</v>
      </c>
      <c r="DFW1" t="s">
        <v>4382</v>
      </c>
      <c r="DFX1" t="s">
        <v>4383</v>
      </c>
      <c r="DFY1" t="s">
        <v>4384</v>
      </c>
      <c r="DFZ1" t="s">
        <v>4385</v>
      </c>
      <c r="DGA1" t="s">
        <v>4386</v>
      </c>
      <c r="DGB1" t="s">
        <v>4387</v>
      </c>
      <c r="DGC1" t="s">
        <v>4388</v>
      </c>
      <c r="DGD1" t="s">
        <v>4389</v>
      </c>
      <c r="DGE1" t="s">
        <v>4390</v>
      </c>
      <c r="DGF1" t="s">
        <v>4391</v>
      </c>
      <c r="DGG1" t="s">
        <v>4392</v>
      </c>
      <c r="DGH1" t="s">
        <v>4393</v>
      </c>
      <c r="DGI1" t="s">
        <v>4394</v>
      </c>
      <c r="DGJ1" t="s">
        <v>4395</v>
      </c>
      <c r="DGK1" t="s">
        <v>4396</v>
      </c>
      <c r="DGL1" t="s">
        <v>4397</v>
      </c>
      <c r="DGM1" t="s">
        <v>4398</v>
      </c>
      <c r="DGN1" t="s">
        <v>4399</v>
      </c>
      <c r="DGO1" t="s">
        <v>4400</v>
      </c>
      <c r="DGP1" t="s">
        <v>4401</v>
      </c>
      <c r="DGQ1" t="s">
        <v>4402</v>
      </c>
      <c r="DGR1" t="s">
        <v>4403</v>
      </c>
      <c r="DGS1" t="s">
        <v>4404</v>
      </c>
      <c r="DGT1" t="s">
        <v>4405</v>
      </c>
      <c r="DGU1" t="s">
        <v>4406</v>
      </c>
      <c r="DGV1" t="s">
        <v>4407</v>
      </c>
      <c r="DGW1" t="s">
        <v>4408</v>
      </c>
      <c r="DGX1" t="s">
        <v>4409</v>
      </c>
      <c r="DGY1" t="s">
        <v>4410</v>
      </c>
      <c r="DGZ1" t="s">
        <v>4411</v>
      </c>
      <c r="DHA1" t="s">
        <v>4412</v>
      </c>
      <c r="DHB1" t="s">
        <v>4413</v>
      </c>
      <c r="DHC1" t="s">
        <v>4414</v>
      </c>
      <c r="DHD1" t="s">
        <v>4415</v>
      </c>
      <c r="DHE1" t="s">
        <v>4416</v>
      </c>
      <c r="DHF1" t="s">
        <v>4417</v>
      </c>
      <c r="DHG1" t="s">
        <v>4418</v>
      </c>
      <c r="DHH1" t="s">
        <v>4419</v>
      </c>
      <c r="DHI1" t="s">
        <v>4420</v>
      </c>
      <c r="DHJ1" t="s">
        <v>4421</v>
      </c>
      <c r="DHK1" t="s">
        <v>4422</v>
      </c>
      <c r="DHL1" t="s">
        <v>4423</v>
      </c>
      <c r="DHM1" t="s">
        <v>4424</v>
      </c>
      <c r="DHN1" t="s">
        <v>4425</v>
      </c>
      <c r="DHO1" t="s">
        <v>4426</v>
      </c>
      <c r="DHP1" t="s">
        <v>4427</v>
      </c>
      <c r="DHQ1" t="s">
        <v>4428</v>
      </c>
      <c r="DHR1" t="s">
        <v>4429</v>
      </c>
      <c r="DHS1" t="s">
        <v>4430</v>
      </c>
      <c r="DHT1" t="s">
        <v>4431</v>
      </c>
      <c r="DHU1" t="s">
        <v>4432</v>
      </c>
      <c r="DHV1" t="s">
        <v>4433</v>
      </c>
      <c r="DHW1" t="s">
        <v>4434</v>
      </c>
      <c r="DHX1" t="s">
        <v>4435</v>
      </c>
      <c r="DHY1" t="s">
        <v>4436</v>
      </c>
      <c r="DHZ1" t="s">
        <v>4437</v>
      </c>
      <c r="DIA1" t="s">
        <v>4438</v>
      </c>
      <c r="DIB1" t="s">
        <v>4439</v>
      </c>
      <c r="DIC1" t="s">
        <v>4440</v>
      </c>
      <c r="DID1" t="s">
        <v>4441</v>
      </c>
      <c r="DIE1" t="s">
        <v>4442</v>
      </c>
      <c r="DIF1" t="s">
        <v>4443</v>
      </c>
      <c r="DIG1" t="s">
        <v>4444</v>
      </c>
      <c r="DIH1" t="s">
        <v>4445</v>
      </c>
      <c r="DII1" t="s">
        <v>4446</v>
      </c>
      <c r="DIJ1" t="s">
        <v>4447</v>
      </c>
      <c r="DIK1" t="s">
        <v>4448</v>
      </c>
      <c r="DIL1" t="s">
        <v>4449</v>
      </c>
      <c r="DIM1" t="s">
        <v>4450</v>
      </c>
      <c r="DIN1" t="s">
        <v>4451</v>
      </c>
      <c r="DIO1" t="s">
        <v>4452</v>
      </c>
      <c r="DIP1" t="s">
        <v>4453</v>
      </c>
      <c r="DIQ1" t="s">
        <v>4454</v>
      </c>
      <c r="DIR1" t="s">
        <v>4455</v>
      </c>
      <c r="DIS1" t="s">
        <v>4456</v>
      </c>
      <c r="DIT1" t="s">
        <v>4457</v>
      </c>
      <c r="DIU1" t="s">
        <v>4458</v>
      </c>
      <c r="DIV1" t="s">
        <v>4459</v>
      </c>
      <c r="DIW1" t="s">
        <v>4460</v>
      </c>
      <c r="DIX1" t="s">
        <v>4461</v>
      </c>
      <c r="DIY1" t="s">
        <v>4462</v>
      </c>
      <c r="DIZ1" t="s">
        <v>4463</v>
      </c>
      <c r="DJA1" t="s">
        <v>4464</v>
      </c>
      <c r="DJB1" t="s">
        <v>4465</v>
      </c>
      <c r="DJC1" t="s">
        <v>4466</v>
      </c>
      <c r="DJD1" t="s">
        <v>4467</v>
      </c>
      <c r="DJE1" t="s">
        <v>4468</v>
      </c>
      <c r="DJF1" t="s">
        <v>4469</v>
      </c>
      <c r="DJG1" t="s">
        <v>4470</v>
      </c>
      <c r="DJH1" t="s">
        <v>4471</v>
      </c>
      <c r="DJI1" t="s">
        <v>4472</v>
      </c>
      <c r="DJJ1" t="s">
        <v>4473</v>
      </c>
      <c r="DJK1" t="s">
        <v>4474</v>
      </c>
      <c r="DJL1" t="s">
        <v>4475</v>
      </c>
      <c r="DJM1" t="s">
        <v>4476</v>
      </c>
      <c r="DJN1" t="s">
        <v>4477</v>
      </c>
      <c r="DJO1" t="s">
        <v>4478</v>
      </c>
      <c r="DJP1" t="s">
        <v>4479</v>
      </c>
      <c r="DJQ1" t="s">
        <v>4480</v>
      </c>
      <c r="DJR1" t="s">
        <v>4481</v>
      </c>
      <c r="DJS1" t="s">
        <v>4482</v>
      </c>
      <c r="DJT1" t="s">
        <v>4483</v>
      </c>
      <c r="DJU1" t="s">
        <v>4484</v>
      </c>
      <c r="DJV1" t="s">
        <v>4485</v>
      </c>
      <c r="DJW1" t="s">
        <v>4486</v>
      </c>
      <c r="DJX1" t="s">
        <v>4487</v>
      </c>
      <c r="DJY1" t="s">
        <v>4488</v>
      </c>
      <c r="DJZ1" t="s">
        <v>4489</v>
      </c>
      <c r="DKA1" t="s">
        <v>4490</v>
      </c>
      <c r="DKB1" t="s">
        <v>4491</v>
      </c>
      <c r="DKC1" t="s">
        <v>4492</v>
      </c>
      <c r="DKD1" t="s">
        <v>4493</v>
      </c>
      <c r="DKE1" t="s">
        <v>4494</v>
      </c>
      <c r="DKF1" t="s">
        <v>4495</v>
      </c>
      <c r="DKG1" t="s">
        <v>4496</v>
      </c>
      <c r="DKH1" t="s">
        <v>4497</v>
      </c>
      <c r="DKI1" t="s">
        <v>4498</v>
      </c>
      <c r="DKJ1" t="s">
        <v>4499</v>
      </c>
      <c r="DKK1" t="s">
        <v>4500</v>
      </c>
      <c r="DKL1" t="s">
        <v>4501</v>
      </c>
      <c r="DKM1" t="s">
        <v>4502</v>
      </c>
      <c r="DKN1" t="s">
        <v>4503</v>
      </c>
      <c r="DKO1" t="s">
        <v>4504</v>
      </c>
      <c r="DKP1" t="s">
        <v>4505</v>
      </c>
      <c r="DKQ1" t="s">
        <v>4506</v>
      </c>
      <c r="DKR1" t="s">
        <v>4507</v>
      </c>
      <c r="DKS1" t="s">
        <v>4508</v>
      </c>
      <c r="DKT1" t="s">
        <v>4509</v>
      </c>
      <c r="DKU1" t="s">
        <v>4510</v>
      </c>
      <c r="DKV1" t="s">
        <v>4511</v>
      </c>
      <c r="DKW1" t="s">
        <v>4512</v>
      </c>
      <c r="DKX1" t="s">
        <v>4513</v>
      </c>
      <c r="DKY1" t="s">
        <v>4514</v>
      </c>
      <c r="DKZ1" t="s">
        <v>4515</v>
      </c>
      <c r="DLA1" t="s">
        <v>4516</v>
      </c>
      <c r="DLB1" t="s">
        <v>4517</v>
      </c>
      <c r="DLC1" t="s">
        <v>4518</v>
      </c>
      <c r="DLD1" t="s">
        <v>4519</v>
      </c>
      <c r="DLE1" t="s">
        <v>4520</v>
      </c>
      <c r="DLF1" t="s">
        <v>4521</v>
      </c>
      <c r="DLG1" t="s">
        <v>4522</v>
      </c>
      <c r="DLH1" t="s">
        <v>4523</v>
      </c>
      <c r="DLI1" t="s">
        <v>4524</v>
      </c>
      <c r="DLJ1" t="s">
        <v>4525</v>
      </c>
      <c r="DLK1" t="s">
        <v>4526</v>
      </c>
      <c r="DLL1" t="s">
        <v>4527</v>
      </c>
      <c r="DLM1" t="s">
        <v>4528</v>
      </c>
      <c r="DLN1" t="s">
        <v>4529</v>
      </c>
      <c r="DLO1" t="s">
        <v>4530</v>
      </c>
      <c r="DLP1" t="s">
        <v>4531</v>
      </c>
      <c r="DLQ1" t="s">
        <v>4532</v>
      </c>
      <c r="DLR1" t="s">
        <v>4533</v>
      </c>
      <c r="DLS1" t="s">
        <v>4534</v>
      </c>
      <c r="DLT1" t="s">
        <v>4535</v>
      </c>
      <c r="DLU1" t="s">
        <v>4536</v>
      </c>
      <c r="DLV1" t="s">
        <v>4537</v>
      </c>
      <c r="DLW1" t="s">
        <v>4538</v>
      </c>
      <c r="DLX1" t="s">
        <v>4539</v>
      </c>
      <c r="DLY1" t="s">
        <v>4540</v>
      </c>
      <c r="DLZ1" t="s">
        <v>4541</v>
      </c>
      <c r="DMA1" t="s">
        <v>4542</v>
      </c>
      <c r="DMB1" t="s">
        <v>4543</v>
      </c>
      <c r="DMC1" t="s">
        <v>4544</v>
      </c>
      <c r="DMD1" t="s">
        <v>4545</v>
      </c>
      <c r="DME1" t="s">
        <v>4546</v>
      </c>
      <c r="DMF1" t="s">
        <v>4547</v>
      </c>
      <c r="DMG1" t="s">
        <v>4548</v>
      </c>
      <c r="DMH1" t="s">
        <v>4549</v>
      </c>
      <c r="DMI1" t="s">
        <v>4550</v>
      </c>
      <c r="DMJ1" t="s">
        <v>4551</v>
      </c>
      <c r="DMK1" t="s">
        <v>4552</v>
      </c>
      <c r="DML1" t="s">
        <v>4553</v>
      </c>
      <c r="DMM1" t="s">
        <v>4554</v>
      </c>
      <c r="DMN1" t="s">
        <v>4555</v>
      </c>
      <c r="DMO1" t="s">
        <v>4556</v>
      </c>
      <c r="DMP1" t="s">
        <v>4557</v>
      </c>
      <c r="DMQ1" t="s">
        <v>4558</v>
      </c>
      <c r="DMR1" t="s">
        <v>4559</v>
      </c>
      <c r="DMS1" t="s">
        <v>4560</v>
      </c>
      <c r="DMT1" t="s">
        <v>4561</v>
      </c>
      <c r="DMU1" t="s">
        <v>4562</v>
      </c>
      <c r="DMV1" t="s">
        <v>4563</v>
      </c>
      <c r="DMW1" t="s">
        <v>4564</v>
      </c>
      <c r="DMX1" t="s">
        <v>4565</v>
      </c>
      <c r="DMY1" t="s">
        <v>4566</v>
      </c>
      <c r="DMZ1" t="s">
        <v>4567</v>
      </c>
      <c r="DNA1" t="s">
        <v>4568</v>
      </c>
      <c r="DNB1" t="s">
        <v>4569</v>
      </c>
      <c r="DNC1" t="s">
        <v>4570</v>
      </c>
      <c r="DND1" t="s">
        <v>4571</v>
      </c>
      <c r="DNE1" t="s">
        <v>4572</v>
      </c>
      <c r="DNF1" t="s">
        <v>4573</v>
      </c>
      <c r="DNG1" t="s">
        <v>4574</v>
      </c>
      <c r="DNH1" t="s">
        <v>4575</v>
      </c>
      <c r="DNI1" t="s">
        <v>4576</v>
      </c>
      <c r="DNJ1" t="s">
        <v>4577</v>
      </c>
      <c r="DNK1" t="s">
        <v>4578</v>
      </c>
      <c r="DNL1" t="s">
        <v>4579</v>
      </c>
      <c r="DNM1" t="s">
        <v>4580</v>
      </c>
      <c r="DNN1" t="s">
        <v>4581</v>
      </c>
      <c r="DNO1" t="s">
        <v>4582</v>
      </c>
      <c r="DNP1" t="s">
        <v>4583</v>
      </c>
      <c r="DNQ1" t="s">
        <v>4584</v>
      </c>
      <c r="DNR1" t="s">
        <v>4585</v>
      </c>
      <c r="DNS1" t="s">
        <v>4586</v>
      </c>
      <c r="DNT1" t="s">
        <v>4587</v>
      </c>
      <c r="DNU1" t="s">
        <v>4588</v>
      </c>
      <c r="DNV1" t="s">
        <v>4589</v>
      </c>
      <c r="DNW1" t="s">
        <v>4590</v>
      </c>
      <c r="DNX1" t="s">
        <v>4591</v>
      </c>
      <c r="DNY1" t="s">
        <v>4592</v>
      </c>
      <c r="DNZ1" t="s">
        <v>4593</v>
      </c>
      <c r="DOA1" t="s">
        <v>4594</v>
      </c>
      <c r="DOB1" t="s">
        <v>4595</v>
      </c>
      <c r="DOC1" t="s">
        <v>4596</v>
      </c>
      <c r="DOD1" t="s">
        <v>4597</v>
      </c>
      <c r="DOE1" t="s">
        <v>4598</v>
      </c>
      <c r="DOF1" t="s">
        <v>4599</v>
      </c>
      <c r="DOG1" t="s">
        <v>4600</v>
      </c>
      <c r="DOH1" t="s">
        <v>4601</v>
      </c>
      <c r="DOI1" t="s">
        <v>4602</v>
      </c>
      <c r="DOJ1" t="s">
        <v>4603</v>
      </c>
      <c r="DOK1" t="s">
        <v>4604</v>
      </c>
      <c r="DOL1" t="s">
        <v>4605</v>
      </c>
      <c r="DOM1" t="s">
        <v>4606</v>
      </c>
      <c r="DON1" t="s">
        <v>4607</v>
      </c>
      <c r="DOO1" t="s">
        <v>4608</v>
      </c>
      <c r="DOP1" t="s">
        <v>4609</v>
      </c>
      <c r="DOQ1" t="s">
        <v>4610</v>
      </c>
      <c r="DOR1" t="s">
        <v>4611</v>
      </c>
      <c r="DOS1" t="s">
        <v>4612</v>
      </c>
      <c r="DOT1" t="s">
        <v>4613</v>
      </c>
      <c r="DOU1" t="s">
        <v>4614</v>
      </c>
      <c r="DOV1" t="s">
        <v>4615</v>
      </c>
      <c r="DOW1" t="s">
        <v>4616</v>
      </c>
      <c r="DOX1" t="s">
        <v>4617</v>
      </c>
      <c r="DOY1" t="s">
        <v>4618</v>
      </c>
      <c r="DOZ1" t="s">
        <v>4619</v>
      </c>
      <c r="DPA1" t="s">
        <v>4620</v>
      </c>
      <c r="DPB1" t="s">
        <v>4621</v>
      </c>
      <c r="DPC1" t="s">
        <v>4622</v>
      </c>
      <c r="DPD1" t="s">
        <v>4623</v>
      </c>
      <c r="DPE1" t="s">
        <v>4624</v>
      </c>
      <c r="DPF1" t="s">
        <v>4625</v>
      </c>
      <c r="DPG1" t="s">
        <v>4626</v>
      </c>
      <c r="DPH1" t="s">
        <v>4627</v>
      </c>
      <c r="DPI1" t="s">
        <v>4628</v>
      </c>
      <c r="DPJ1" t="s">
        <v>4629</v>
      </c>
      <c r="DPK1" t="s">
        <v>4630</v>
      </c>
      <c r="DPL1" t="s">
        <v>4631</v>
      </c>
      <c r="DPM1" t="s">
        <v>4632</v>
      </c>
      <c r="DPN1" t="s">
        <v>4633</v>
      </c>
      <c r="DPO1" t="s">
        <v>4634</v>
      </c>
      <c r="DPP1" t="s">
        <v>4635</v>
      </c>
      <c r="DPQ1" t="s">
        <v>4636</v>
      </c>
      <c r="DPR1" t="s">
        <v>4637</v>
      </c>
      <c r="DPS1" t="s">
        <v>4638</v>
      </c>
      <c r="DPT1" t="s">
        <v>4639</v>
      </c>
      <c r="DPU1" t="s">
        <v>4640</v>
      </c>
      <c r="DPV1" t="s">
        <v>4641</v>
      </c>
      <c r="DPW1" t="s">
        <v>4642</v>
      </c>
      <c r="DPX1" t="s">
        <v>4643</v>
      </c>
      <c r="DPY1" t="s">
        <v>4644</v>
      </c>
      <c r="DPZ1" t="s">
        <v>4645</v>
      </c>
      <c r="DQA1" t="s">
        <v>4646</v>
      </c>
      <c r="DQB1" t="s">
        <v>4647</v>
      </c>
      <c r="DQC1" t="s">
        <v>4648</v>
      </c>
      <c r="DQD1" t="s">
        <v>4649</v>
      </c>
      <c r="DQE1" t="s">
        <v>4650</v>
      </c>
      <c r="DQF1" t="s">
        <v>4651</v>
      </c>
      <c r="DQG1" t="s">
        <v>4652</v>
      </c>
      <c r="DQH1" t="s">
        <v>4653</v>
      </c>
      <c r="DQI1" t="s">
        <v>4654</v>
      </c>
      <c r="DQJ1" t="s">
        <v>4655</v>
      </c>
      <c r="DQK1" t="s">
        <v>4656</v>
      </c>
      <c r="DQL1" t="s">
        <v>4657</v>
      </c>
      <c r="DQM1" t="s">
        <v>4658</v>
      </c>
      <c r="DQN1" t="s">
        <v>4659</v>
      </c>
      <c r="DQO1" t="s">
        <v>4660</v>
      </c>
      <c r="DQP1" t="s">
        <v>4661</v>
      </c>
      <c r="DQQ1" t="s">
        <v>4662</v>
      </c>
      <c r="DQR1" t="s">
        <v>4663</v>
      </c>
      <c r="DQS1" t="s">
        <v>4664</v>
      </c>
      <c r="DQT1" t="s">
        <v>4665</v>
      </c>
      <c r="DQU1" t="s">
        <v>4666</v>
      </c>
      <c r="DQV1" t="s">
        <v>4667</v>
      </c>
      <c r="DQW1" t="s">
        <v>4668</v>
      </c>
      <c r="DQX1" t="s">
        <v>4669</v>
      </c>
      <c r="DQY1" t="s">
        <v>4670</v>
      </c>
      <c r="DQZ1" t="s">
        <v>4671</v>
      </c>
      <c r="DRA1" t="s">
        <v>4672</v>
      </c>
      <c r="DRB1" t="s">
        <v>4673</v>
      </c>
      <c r="DRC1" t="s">
        <v>4674</v>
      </c>
      <c r="DRD1" t="s">
        <v>4675</v>
      </c>
      <c r="DRE1" t="s">
        <v>4676</v>
      </c>
      <c r="DRF1" t="s">
        <v>4677</v>
      </c>
      <c r="DRG1" t="s">
        <v>4678</v>
      </c>
      <c r="DRH1" t="s">
        <v>4679</v>
      </c>
      <c r="DRI1" t="s">
        <v>4680</v>
      </c>
      <c r="DRJ1" t="s">
        <v>4681</v>
      </c>
      <c r="DRK1" t="s">
        <v>4682</v>
      </c>
      <c r="DRL1" t="s">
        <v>4683</v>
      </c>
      <c r="DRM1" t="s">
        <v>4684</v>
      </c>
      <c r="DRN1" t="s">
        <v>4685</v>
      </c>
      <c r="DRO1" t="s">
        <v>4686</v>
      </c>
      <c r="DRP1" t="s">
        <v>4687</v>
      </c>
      <c r="DRQ1" t="s">
        <v>4688</v>
      </c>
      <c r="DRR1" t="s">
        <v>4689</v>
      </c>
      <c r="DRS1" t="s">
        <v>4690</v>
      </c>
      <c r="DRT1" t="s">
        <v>4691</v>
      </c>
      <c r="DRU1" t="s">
        <v>4692</v>
      </c>
      <c r="DRV1" t="s">
        <v>4693</v>
      </c>
      <c r="DRW1" t="s">
        <v>4694</v>
      </c>
      <c r="DRX1" t="s">
        <v>4695</v>
      </c>
      <c r="DRY1" t="s">
        <v>4696</v>
      </c>
      <c r="DRZ1" t="s">
        <v>4697</v>
      </c>
      <c r="DSA1" t="s">
        <v>4698</v>
      </c>
      <c r="DSB1" t="s">
        <v>4699</v>
      </c>
      <c r="DSC1" t="s">
        <v>4700</v>
      </c>
      <c r="DSD1" t="s">
        <v>4701</v>
      </c>
      <c r="DSE1" t="s">
        <v>4702</v>
      </c>
      <c r="DSF1" t="s">
        <v>4703</v>
      </c>
      <c r="DSG1" t="s">
        <v>4704</v>
      </c>
      <c r="DSH1" t="s">
        <v>4705</v>
      </c>
      <c r="DSI1" t="s">
        <v>4706</v>
      </c>
      <c r="DSJ1" t="s">
        <v>4707</v>
      </c>
      <c r="DSK1" t="s">
        <v>4708</v>
      </c>
      <c r="DSL1" t="s">
        <v>4709</v>
      </c>
      <c r="DSM1" t="s">
        <v>4710</v>
      </c>
      <c r="DSN1" t="s">
        <v>4711</v>
      </c>
      <c r="DSO1" t="s">
        <v>4712</v>
      </c>
      <c r="DSP1" t="s">
        <v>4713</v>
      </c>
      <c r="DSQ1" t="s">
        <v>4714</v>
      </c>
      <c r="DSR1" t="s">
        <v>4715</v>
      </c>
      <c r="DSS1" t="s">
        <v>4716</v>
      </c>
      <c r="DST1" t="s">
        <v>4717</v>
      </c>
      <c r="DSU1" t="s">
        <v>4718</v>
      </c>
      <c r="DSV1" t="s">
        <v>4719</v>
      </c>
      <c r="DSW1" t="s">
        <v>4720</v>
      </c>
      <c r="DSX1" t="s">
        <v>4721</v>
      </c>
      <c r="DSY1" t="s">
        <v>4722</v>
      </c>
      <c r="DSZ1" t="s">
        <v>4723</v>
      </c>
      <c r="DTA1" t="s">
        <v>4724</v>
      </c>
      <c r="DTB1" t="s">
        <v>4725</v>
      </c>
      <c r="DTC1" t="s">
        <v>4726</v>
      </c>
      <c r="DTD1" t="s">
        <v>4727</v>
      </c>
      <c r="DTE1" t="s">
        <v>4728</v>
      </c>
      <c r="DTF1" t="s">
        <v>4729</v>
      </c>
      <c r="DTG1" t="s">
        <v>4730</v>
      </c>
      <c r="DTH1" t="s">
        <v>4731</v>
      </c>
      <c r="DTI1" t="s">
        <v>4732</v>
      </c>
      <c r="DTJ1" t="s">
        <v>4733</v>
      </c>
      <c r="DTK1" t="s">
        <v>4734</v>
      </c>
      <c r="DTL1" t="s">
        <v>4735</v>
      </c>
      <c r="DTM1" t="s">
        <v>4736</v>
      </c>
      <c r="DTN1" t="s">
        <v>4737</v>
      </c>
      <c r="DTO1" t="s">
        <v>4738</v>
      </c>
      <c r="DTP1" t="s">
        <v>4739</v>
      </c>
      <c r="DTQ1" t="s">
        <v>4740</v>
      </c>
      <c r="DTR1" t="s">
        <v>4741</v>
      </c>
      <c r="DTS1" t="s">
        <v>4742</v>
      </c>
      <c r="DTT1" t="s">
        <v>4743</v>
      </c>
      <c r="DTU1" t="s">
        <v>4744</v>
      </c>
      <c r="DTV1" t="s">
        <v>4745</v>
      </c>
      <c r="DTW1" t="s">
        <v>4746</v>
      </c>
      <c r="DTX1" t="s">
        <v>4747</v>
      </c>
      <c r="DTY1" t="s">
        <v>4748</v>
      </c>
      <c r="DTZ1" t="s">
        <v>4749</v>
      </c>
      <c r="DUA1" t="s">
        <v>4750</v>
      </c>
      <c r="DUB1" t="s">
        <v>4751</v>
      </c>
      <c r="DUC1" t="s">
        <v>4752</v>
      </c>
      <c r="DUD1" t="s">
        <v>4753</v>
      </c>
      <c r="DUE1" t="s">
        <v>4754</v>
      </c>
      <c r="DUF1" t="s">
        <v>4755</v>
      </c>
      <c r="DUG1" t="s">
        <v>4756</v>
      </c>
      <c r="DUH1" t="s">
        <v>4757</v>
      </c>
      <c r="DUI1" t="s">
        <v>4758</v>
      </c>
      <c r="DUJ1" t="s">
        <v>4759</v>
      </c>
      <c r="DUK1" t="s">
        <v>4760</v>
      </c>
      <c r="DUL1" t="s">
        <v>4761</v>
      </c>
      <c r="DUM1" t="s">
        <v>4762</v>
      </c>
      <c r="DUN1" t="s">
        <v>4763</v>
      </c>
      <c r="DUO1" t="s">
        <v>4764</v>
      </c>
      <c r="DUP1" t="s">
        <v>4765</v>
      </c>
      <c r="DUQ1" t="s">
        <v>4766</v>
      </c>
      <c r="DUR1" t="s">
        <v>4767</v>
      </c>
      <c r="DUS1" t="s">
        <v>4768</v>
      </c>
      <c r="DUT1" t="s">
        <v>4769</v>
      </c>
      <c r="DUU1" t="s">
        <v>4770</v>
      </c>
      <c r="DUV1" t="s">
        <v>4771</v>
      </c>
      <c r="DUW1" t="s">
        <v>4772</v>
      </c>
      <c r="DUX1" t="s">
        <v>4773</v>
      </c>
      <c r="DUY1" t="s">
        <v>4774</v>
      </c>
      <c r="DUZ1" t="s">
        <v>4775</v>
      </c>
      <c r="DVA1" t="s">
        <v>4776</v>
      </c>
      <c r="DVB1" t="s">
        <v>4777</v>
      </c>
      <c r="DVC1" t="s">
        <v>4778</v>
      </c>
      <c r="DVD1" t="s">
        <v>4779</v>
      </c>
      <c r="DVE1" t="s">
        <v>4780</v>
      </c>
      <c r="DVF1" t="s">
        <v>4781</v>
      </c>
      <c r="DVG1" t="s">
        <v>4782</v>
      </c>
      <c r="DVH1" t="s">
        <v>4783</v>
      </c>
      <c r="DVI1" t="s">
        <v>4784</v>
      </c>
      <c r="DVJ1" t="s">
        <v>4785</v>
      </c>
      <c r="DVK1" t="s">
        <v>4786</v>
      </c>
      <c r="DVL1" t="s">
        <v>4787</v>
      </c>
      <c r="DVM1" t="s">
        <v>4788</v>
      </c>
      <c r="DVN1" t="s">
        <v>4789</v>
      </c>
      <c r="DVO1" t="s">
        <v>4790</v>
      </c>
      <c r="DVP1" t="s">
        <v>4791</v>
      </c>
      <c r="DVQ1" t="s">
        <v>4792</v>
      </c>
      <c r="DVR1" t="s">
        <v>4793</v>
      </c>
      <c r="DVS1" t="s">
        <v>4794</v>
      </c>
      <c r="DVT1" t="s">
        <v>4795</v>
      </c>
      <c r="DVU1" t="s">
        <v>4796</v>
      </c>
      <c r="DVV1" t="s">
        <v>4797</v>
      </c>
      <c r="DVW1" t="s">
        <v>4798</v>
      </c>
      <c r="DVX1" t="s">
        <v>4799</v>
      </c>
      <c r="DVY1" t="s">
        <v>4800</v>
      </c>
      <c r="DVZ1" t="s">
        <v>4801</v>
      </c>
      <c r="DWA1" t="s">
        <v>4802</v>
      </c>
      <c r="DWB1" t="s">
        <v>4803</v>
      </c>
      <c r="DWC1" t="s">
        <v>4804</v>
      </c>
      <c r="DWD1" t="s">
        <v>4805</v>
      </c>
      <c r="DWE1" t="s">
        <v>4806</v>
      </c>
      <c r="DWF1" t="s">
        <v>4807</v>
      </c>
      <c r="DWG1" t="s">
        <v>4808</v>
      </c>
      <c r="DWH1" t="s">
        <v>4809</v>
      </c>
      <c r="DWI1" t="s">
        <v>4810</v>
      </c>
      <c r="DWJ1" t="s">
        <v>4811</v>
      </c>
      <c r="DWK1" t="s">
        <v>4812</v>
      </c>
      <c r="DWL1" t="s">
        <v>4813</v>
      </c>
      <c r="DWM1" t="s">
        <v>4814</v>
      </c>
      <c r="DWN1" t="s">
        <v>4815</v>
      </c>
      <c r="DWO1" t="s">
        <v>4816</v>
      </c>
      <c r="DWP1" t="s">
        <v>4817</v>
      </c>
      <c r="DWQ1" t="s">
        <v>4818</v>
      </c>
      <c r="DWR1" t="s">
        <v>4819</v>
      </c>
      <c r="DWS1" t="s">
        <v>4820</v>
      </c>
      <c r="DWT1" t="s">
        <v>4821</v>
      </c>
      <c r="DWU1" t="s">
        <v>4822</v>
      </c>
      <c r="DWV1" t="s">
        <v>4823</v>
      </c>
      <c r="DWW1" t="s">
        <v>4824</v>
      </c>
      <c r="DWX1" t="s">
        <v>4825</v>
      </c>
      <c r="DWY1" t="s">
        <v>4826</v>
      </c>
      <c r="DWZ1" t="s">
        <v>4827</v>
      </c>
      <c r="DXA1" t="s">
        <v>4828</v>
      </c>
      <c r="DXB1" t="s">
        <v>4829</v>
      </c>
      <c r="DXC1" t="s">
        <v>4830</v>
      </c>
      <c r="DXD1" t="s">
        <v>4831</v>
      </c>
      <c r="DXE1" t="s">
        <v>4832</v>
      </c>
      <c r="DXF1" t="s">
        <v>4833</v>
      </c>
      <c r="DXG1" t="s">
        <v>4834</v>
      </c>
      <c r="DXH1" t="s">
        <v>4835</v>
      </c>
      <c r="DXI1" t="s">
        <v>4836</v>
      </c>
      <c r="DXJ1" t="s">
        <v>4837</v>
      </c>
      <c r="DXK1" t="s">
        <v>4838</v>
      </c>
      <c r="DXL1" t="s">
        <v>4839</v>
      </c>
      <c r="DXM1" t="s">
        <v>4840</v>
      </c>
      <c r="DXN1" t="s">
        <v>4841</v>
      </c>
      <c r="DXO1" t="s">
        <v>4842</v>
      </c>
      <c r="DXP1" t="s">
        <v>4843</v>
      </c>
      <c r="DXQ1" t="s">
        <v>4844</v>
      </c>
      <c r="DXR1" t="s">
        <v>4845</v>
      </c>
      <c r="DXS1" t="s">
        <v>4846</v>
      </c>
      <c r="DXT1" t="s">
        <v>4847</v>
      </c>
      <c r="DXU1" t="s">
        <v>4848</v>
      </c>
      <c r="DXV1" t="s">
        <v>4849</v>
      </c>
      <c r="DXW1" t="s">
        <v>4850</v>
      </c>
      <c r="DXX1" t="s">
        <v>4851</v>
      </c>
      <c r="DXY1" t="s">
        <v>4852</v>
      </c>
      <c r="DXZ1" t="s">
        <v>4853</v>
      </c>
      <c r="DYA1" t="s">
        <v>4854</v>
      </c>
      <c r="DYB1" t="s">
        <v>4855</v>
      </c>
      <c r="DYC1" t="s">
        <v>4856</v>
      </c>
      <c r="DYD1" t="s">
        <v>4857</v>
      </c>
      <c r="DYE1" t="s">
        <v>4858</v>
      </c>
      <c r="DYF1" t="s">
        <v>4859</v>
      </c>
      <c r="DYG1" t="s">
        <v>4860</v>
      </c>
      <c r="DYH1" t="s">
        <v>4861</v>
      </c>
      <c r="DYI1" t="s">
        <v>4862</v>
      </c>
      <c r="DYJ1" t="s">
        <v>4863</v>
      </c>
      <c r="DYK1" t="s">
        <v>4864</v>
      </c>
      <c r="DYL1" t="s">
        <v>4865</v>
      </c>
      <c r="DYM1" t="s">
        <v>4866</v>
      </c>
      <c r="DYN1" t="s">
        <v>4867</v>
      </c>
      <c r="DYO1" t="s">
        <v>4868</v>
      </c>
      <c r="DYP1" t="s">
        <v>4869</v>
      </c>
      <c r="DYQ1" t="s">
        <v>4870</v>
      </c>
      <c r="DYR1" t="s">
        <v>4871</v>
      </c>
      <c r="DYS1" t="s">
        <v>4872</v>
      </c>
      <c r="DYT1" t="s">
        <v>4873</v>
      </c>
      <c r="DYU1" t="s">
        <v>4874</v>
      </c>
      <c r="DYV1" t="s">
        <v>4875</v>
      </c>
      <c r="DYW1" t="s">
        <v>4876</v>
      </c>
      <c r="DYX1" t="s">
        <v>4877</v>
      </c>
      <c r="DYY1" t="s">
        <v>4878</v>
      </c>
      <c r="DYZ1" t="s">
        <v>4879</v>
      </c>
      <c r="DZA1" t="s">
        <v>4880</v>
      </c>
      <c r="DZB1" t="s">
        <v>4881</v>
      </c>
      <c r="DZC1" t="s">
        <v>4882</v>
      </c>
      <c r="DZD1" t="s">
        <v>4883</v>
      </c>
      <c r="DZE1" t="s">
        <v>4884</v>
      </c>
      <c r="DZF1" t="s">
        <v>4885</v>
      </c>
      <c r="DZG1" t="s">
        <v>4886</v>
      </c>
      <c r="DZH1" t="s">
        <v>4887</v>
      </c>
      <c r="DZI1" t="s">
        <v>4888</v>
      </c>
      <c r="DZJ1" t="s">
        <v>4889</v>
      </c>
      <c r="DZK1" t="s">
        <v>4890</v>
      </c>
      <c r="DZL1" t="s">
        <v>4891</v>
      </c>
      <c r="DZM1" t="s">
        <v>4892</v>
      </c>
      <c r="DZN1" t="s">
        <v>4893</v>
      </c>
      <c r="DZO1" t="s">
        <v>4894</v>
      </c>
      <c r="DZP1" t="s">
        <v>4895</v>
      </c>
      <c r="DZQ1" t="s">
        <v>4896</v>
      </c>
      <c r="DZR1" t="s">
        <v>4897</v>
      </c>
      <c r="DZS1" t="s">
        <v>4898</v>
      </c>
      <c r="DZT1" t="s">
        <v>4899</v>
      </c>
      <c r="DZU1" t="s">
        <v>4900</v>
      </c>
      <c r="DZV1" t="s">
        <v>4901</v>
      </c>
      <c r="DZW1" t="s">
        <v>4902</v>
      </c>
      <c r="DZX1" t="s">
        <v>4903</v>
      </c>
      <c r="DZY1" t="s">
        <v>4904</v>
      </c>
      <c r="DZZ1" t="s">
        <v>4905</v>
      </c>
      <c r="EAA1" t="s">
        <v>4906</v>
      </c>
      <c r="EAB1" t="s">
        <v>4907</v>
      </c>
      <c r="EAC1" t="s">
        <v>4908</v>
      </c>
      <c r="EAD1" t="s">
        <v>4909</v>
      </c>
      <c r="EAE1" t="s">
        <v>4910</v>
      </c>
      <c r="EAF1" t="s">
        <v>4911</v>
      </c>
      <c r="EAG1" t="s">
        <v>4912</v>
      </c>
      <c r="EAH1" t="s">
        <v>4913</v>
      </c>
      <c r="EAI1" t="s">
        <v>4914</v>
      </c>
      <c r="EAJ1" t="s">
        <v>4915</v>
      </c>
      <c r="EAK1" t="s">
        <v>4916</v>
      </c>
      <c r="EAL1" t="s">
        <v>4917</v>
      </c>
      <c r="EAM1" t="s">
        <v>4918</v>
      </c>
      <c r="EAN1" t="s">
        <v>4919</v>
      </c>
      <c r="EAO1" t="s">
        <v>4920</v>
      </c>
      <c r="EAP1" t="s">
        <v>4921</v>
      </c>
      <c r="EAQ1" t="s">
        <v>4922</v>
      </c>
      <c r="EAR1" t="s">
        <v>4923</v>
      </c>
      <c r="EAS1" t="s">
        <v>4924</v>
      </c>
      <c r="EAT1" t="s">
        <v>4925</v>
      </c>
      <c r="EAU1" t="s">
        <v>4926</v>
      </c>
      <c r="EAV1" t="s">
        <v>4927</v>
      </c>
      <c r="EAW1" t="s">
        <v>4928</v>
      </c>
      <c r="EAX1" t="s">
        <v>4929</v>
      </c>
      <c r="EAY1" t="s">
        <v>4930</v>
      </c>
      <c r="EAZ1" t="s">
        <v>4931</v>
      </c>
      <c r="EBA1" t="s">
        <v>4932</v>
      </c>
      <c r="EBB1" t="s">
        <v>4933</v>
      </c>
      <c r="EBC1" t="s">
        <v>4934</v>
      </c>
      <c r="EBD1" t="s">
        <v>4935</v>
      </c>
      <c r="EBE1" t="s">
        <v>4936</v>
      </c>
      <c r="EBF1" t="s">
        <v>4937</v>
      </c>
      <c r="EBG1" t="s">
        <v>4938</v>
      </c>
      <c r="EBH1" t="s">
        <v>4939</v>
      </c>
      <c r="EBI1" t="s">
        <v>4940</v>
      </c>
      <c r="EBJ1" t="s">
        <v>4941</v>
      </c>
      <c r="EBK1" t="s">
        <v>4942</v>
      </c>
      <c r="EBL1" t="s">
        <v>4943</v>
      </c>
      <c r="EBM1" t="s">
        <v>4944</v>
      </c>
      <c r="EBN1" t="s">
        <v>4945</v>
      </c>
      <c r="EBO1" t="s">
        <v>4946</v>
      </c>
      <c r="EBP1" t="s">
        <v>4947</v>
      </c>
      <c r="EBQ1" t="s">
        <v>4948</v>
      </c>
      <c r="EBR1" t="s">
        <v>4949</v>
      </c>
      <c r="EBS1" t="s">
        <v>4950</v>
      </c>
      <c r="EBT1" t="s">
        <v>4951</v>
      </c>
      <c r="EBU1" t="s">
        <v>4952</v>
      </c>
      <c r="EBV1" t="s">
        <v>4953</v>
      </c>
      <c r="EBW1" t="s">
        <v>4954</v>
      </c>
      <c r="EBX1" t="s">
        <v>4955</v>
      </c>
      <c r="EBY1" t="s">
        <v>4956</v>
      </c>
      <c r="EBZ1" t="s">
        <v>4957</v>
      </c>
      <c r="ECA1" t="s">
        <v>4958</v>
      </c>
      <c r="ECB1" t="s">
        <v>4959</v>
      </c>
      <c r="ECC1" t="s">
        <v>4960</v>
      </c>
      <c r="ECD1" t="s">
        <v>4961</v>
      </c>
      <c r="ECE1" t="s">
        <v>4962</v>
      </c>
      <c r="ECF1" t="s">
        <v>4963</v>
      </c>
      <c r="ECG1" t="s">
        <v>4964</v>
      </c>
      <c r="ECH1" t="s">
        <v>4965</v>
      </c>
      <c r="ECI1" t="s">
        <v>4966</v>
      </c>
      <c r="ECJ1" t="s">
        <v>4967</v>
      </c>
      <c r="ECK1" t="s">
        <v>4968</v>
      </c>
      <c r="ECL1" t="s">
        <v>4969</v>
      </c>
      <c r="ECM1" t="s">
        <v>4970</v>
      </c>
      <c r="ECN1" t="s">
        <v>4971</v>
      </c>
      <c r="ECO1" t="s">
        <v>4972</v>
      </c>
      <c r="ECP1" t="s">
        <v>4973</v>
      </c>
      <c r="ECQ1" t="s">
        <v>4974</v>
      </c>
      <c r="ECR1" t="s">
        <v>4975</v>
      </c>
      <c r="ECS1" t="s">
        <v>4976</v>
      </c>
      <c r="ECT1" t="s">
        <v>4977</v>
      </c>
      <c r="ECU1" t="s">
        <v>4978</v>
      </c>
      <c r="ECV1" t="s">
        <v>4979</v>
      </c>
      <c r="ECW1" t="s">
        <v>4980</v>
      </c>
      <c r="ECX1" t="s">
        <v>4981</v>
      </c>
      <c r="ECY1" t="s">
        <v>4982</v>
      </c>
      <c r="ECZ1" t="s">
        <v>4983</v>
      </c>
      <c r="EDA1" t="s">
        <v>4984</v>
      </c>
      <c r="EDB1" t="s">
        <v>4985</v>
      </c>
      <c r="EDC1" t="s">
        <v>4986</v>
      </c>
      <c r="EDD1" t="s">
        <v>4987</v>
      </c>
      <c r="EDE1" t="s">
        <v>4988</v>
      </c>
      <c r="EDF1" t="s">
        <v>4989</v>
      </c>
      <c r="EDG1" t="s">
        <v>4990</v>
      </c>
      <c r="EDH1" t="s">
        <v>4991</v>
      </c>
      <c r="EDI1" t="s">
        <v>4992</v>
      </c>
      <c r="EDJ1" t="s">
        <v>4993</v>
      </c>
      <c r="EDK1" t="s">
        <v>4994</v>
      </c>
      <c r="EDL1" t="s">
        <v>4995</v>
      </c>
      <c r="EDM1" t="s">
        <v>4996</v>
      </c>
      <c r="EDN1" t="s">
        <v>4997</v>
      </c>
      <c r="EDO1" t="s">
        <v>4998</v>
      </c>
      <c r="EDP1" t="s">
        <v>4999</v>
      </c>
      <c r="EDQ1" t="s">
        <v>5000</v>
      </c>
      <c r="EDR1" t="s">
        <v>5001</v>
      </c>
      <c r="EDS1" t="s">
        <v>5002</v>
      </c>
      <c r="EDT1" t="s">
        <v>5003</v>
      </c>
      <c r="EDU1" t="s">
        <v>5004</v>
      </c>
      <c r="EDV1" t="s">
        <v>5005</v>
      </c>
      <c r="EDW1" t="s">
        <v>5006</v>
      </c>
      <c r="EDX1" t="s">
        <v>5007</v>
      </c>
      <c r="EDY1" t="s">
        <v>5008</v>
      </c>
      <c r="EDZ1" t="s">
        <v>5009</v>
      </c>
      <c r="EEA1" t="s">
        <v>5010</v>
      </c>
      <c r="EEB1" t="s">
        <v>5011</v>
      </c>
      <c r="EEC1" t="s">
        <v>5012</v>
      </c>
      <c r="EED1" t="s">
        <v>5013</v>
      </c>
      <c r="EEE1" t="s">
        <v>5014</v>
      </c>
      <c r="EEF1" t="s">
        <v>5015</v>
      </c>
      <c r="EEG1" t="s">
        <v>5016</v>
      </c>
      <c r="EEH1" t="s">
        <v>5017</v>
      </c>
      <c r="EEI1" t="s">
        <v>5018</v>
      </c>
      <c r="EEJ1" t="s">
        <v>5019</v>
      </c>
      <c r="EEK1" t="s">
        <v>5020</v>
      </c>
      <c r="EEL1" t="s">
        <v>5021</v>
      </c>
      <c r="EEM1" t="s">
        <v>5022</v>
      </c>
      <c r="EEN1" t="s">
        <v>5023</v>
      </c>
      <c r="EEO1" t="s">
        <v>5024</v>
      </c>
      <c r="EEP1" t="s">
        <v>5025</v>
      </c>
      <c r="EEQ1" t="s">
        <v>5026</v>
      </c>
      <c r="EER1" t="s">
        <v>5027</v>
      </c>
      <c r="EES1" t="s">
        <v>5028</v>
      </c>
      <c r="EET1" t="s">
        <v>5029</v>
      </c>
      <c r="EEU1" t="s">
        <v>5030</v>
      </c>
      <c r="EEV1" t="s">
        <v>5031</v>
      </c>
      <c r="EEW1" t="s">
        <v>5032</v>
      </c>
      <c r="EEX1" t="s">
        <v>5033</v>
      </c>
      <c r="EEY1" t="s">
        <v>5034</v>
      </c>
      <c r="EEZ1" t="s">
        <v>5035</v>
      </c>
      <c r="EFA1" t="s">
        <v>5036</v>
      </c>
      <c r="EFB1" t="s">
        <v>5037</v>
      </c>
      <c r="EFC1" t="s">
        <v>5038</v>
      </c>
      <c r="EFD1" t="s">
        <v>5039</v>
      </c>
      <c r="EFE1" t="s">
        <v>5040</v>
      </c>
      <c r="EFF1" t="s">
        <v>5041</v>
      </c>
      <c r="EFG1" t="s">
        <v>5042</v>
      </c>
      <c r="EFH1" t="s">
        <v>5043</v>
      </c>
      <c r="EFI1" t="s">
        <v>5044</v>
      </c>
      <c r="EFJ1" t="s">
        <v>5045</v>
      </c>
      <c r="EFK1" t="s">
        <v>5046</v>
      </c>
      <c r="EFL1" t="s">
        <v>5047</v>
      </c>
      <c r="EFM1" t="s">
        <v>5048</v>
      </c>
      <c r="EFN1" t="s">
        <v>5049</v>
      </c>
      <c r="EFO1" t="s">
        <v>5050</v>
      </c>
      <c r="EFP1" t="s">
        <v>5051</v>
      </c>
      <c r="EFQ1" t="s">
        <v>5052</v>
      </c>
      <c r="EFR1" t="s">
        <v>5053</v>
      </c>
      <c r="EFS1" t="s">
        <v>5054</v>
      </c>
      <c r="EFT1" t="s">
        <v>5055</v>
      </c>
      <c r="EFU1" t="s">
        <v>5056</v>
      </c>
      <c r="EFV1" t="s">
        <v>5057</v>
      </c>
      <c r="EFW1" t="s">
        <v>5058</v>
      </c>
      <c r="EFX1" t="s">
        <v>5059</v>
      </c>
      <c r="EFY1" t="s">
        <v>5060</v>
      </c>
      <c r="EFZ1" t="s">
        <v>5061</v>
      </c>
      <c r="EGA1" t="s">
        <v>5062</v>
      </c>
      <c r="EGB1" t="s">
        <v>5063</v>
      </c>
      <c r="EGC1" t="s">
        <v>5064</v>
      </c>
      <c r="EGD1" t="s">
        <v>5065</v>
      </c>
      <c r="EGE1" t="s">
        <v>5066</v>
      </c>
      <c r="EGF1" t="s">
        <v>5067</v>
      </c>
      <c r="EGG1" t="s">
        <v>5068</v>
      </c>
      <c r="EGH1" t="s">
        <v>5069</v>
      </c>
      <c r="EGI1" t="s">
        <v>5070</v>
      </c>
      <c r="EGJ1" t="s">
        <v>5071</v>
      </c>
      <c r="EGK1" t="s">
        <v>5072</v>
      </c>
      <c r="EGL1" t="s">
        <v>5073</v>
      </c>
      <c r="EGM1" t="s">
        <v>5074</v>
      </c>
      <c r="EGN1" t="s">
        <v>5075</v>
      </c>
      <c r="EGO1" t="s">
        <v>5076</v>
      </c>
      <c r="EGP1" t="s">
        <v>5077</v>
      </c>
      <c r="EGQ1" t="s">
        <v>5078</v>
      </c>
      <c r="EGR1" t="s">
        <v>5079</v>
      </c>
      <c r="EGS1" t="s">
        <v>5080</v>
      </c>
      <c r="EGT1" t="s">
        <v>5081</v>
      </c>
      <c r="EGU1" t="s">
        <v>5082</v>
      </c>
      <c r="EGV1" t="s">
        <v>5083</v>
      </c>
      <c r="EGW1" t="s">
        <v>5084</v>
      </c>
      <c r="EGX1" t="s">
        <v>5085</v>
      </c>
      <c r="EGY1" t="s">
        <v>5086</v>
      </c>
      <c r="EGZ1" t="s">
        <v>5087</v>
      </c>
      <c r="EHA1" t="s">
        <v>5088</v>
      </c>
      <c r="EHB1" t="s">
        <v>5089</v>
      </c>
      <c r="EHC1" t="s">
        <v>5090</v>
      </c>
      <c r="EHD1" t="s">
        <v>5091</v>
      </c>
      <c r="EHE1" t="s">
        <v>5092</v>
      </c>
      <c r="EHF1" t="s">
        <v>5093</v>
      </c>
      <c r="EHG1" t="s">
        <v>5094</v>
      </c>
      <c r="EHH1" t="s">
        <v>5095</v>
      </c>
      <c r="EHI1" t="s">
        <v>5096</v>
      </c>
      <c r="EHJ1" t="s">
        <v>5097</v>
      </c>
      <c r="EHK1" t="s">
        <v>5098</v>
      </c>
      <c r="EHL1" t="s">
        <v>5099</v>
      </c>
      <c r="EHM1" t="s">
        <v>5100</v>
      </c>
      <c r="EHN1" t="s">
        <v>5101</v>
      </c>
      <c r="EHO1" t="s">
        <v>5102</v>
      </c>
      <c r="EHP1" t="s">
        <v>5103</v>
      </c>
      <c r="EHQ1" t="s">
        <v>5104</v>
      </c>
      <c r="EHR1" t="s">
        <v>5105</v>
      </c>
      <c r="EHS1" t="s">
        <v>5106</v>
      </c>
      <c r="EHT1" t="s">
        <v>5107</v>
      </c>
      <c r="EHU1" t="s">
        <v>5108</v>
      </c>
      <c r="EHV1" t="s">
        <v>5109</v>
      </c>
      <c r="EHW1" t="s">
        <v>5110</v>
      </c>
      <c r="EHX1" t="s">
        <v>5111</v>
      </c>
      <c r="EHY1" t="s">
        <v>5112</v>
      </c>
      <c r="EHZ1" t="s">
        <v>5113</v>
      </c>
      <c r="EIA1" t="s">
        <v>5114</v>
      </c>
      <c r="EIB1" t="s">
        <v>5115</v>
      </c>
      <c r="EIC1" t="s">
        <v>5116</v>
      </c>
      <c r="EID1" t="s">
        <v>5117</v>
      </c>
      <c r="EIE1" t="s">
        <v>5118</v>
      </c>
      <c r="EIF1" t="s">
        <v>5119</v>
      </c>
      <c r="EIG1" t="s">
        <v>5120</v>
      </c>
      <c r="EIH1" t="s">
        <v>5121</v>
      </c>
      <c r="EII1" t="s">
        <v>5122</v>
      </c>
      <c r="EIJ1" t="s">
        <v>5123</v>
      </c>
      <c r="EIK1" t="s">
        <v>5124</v>
      </c>
      <c r="EIL1" t="s">
        <v>5125</v>
      </c>
      <c r="EIM1" t="s">
        <v>5126</v>
      </c>
      <c r="EIN1" t="s">
        <v>5127</v>
      </c>
      <c r="EIO1" t="s">
        <v>5128</v>
      </c>
      <c r="EIP1" t="s">
        <v>5129</v>
      </c>
      <c r="EIQ1" t="s">
        <v>5130</v>
      </c>
      <c r="EIR1" t="s">
        <v>5131</v>
      </c>
      <c r="EIS1" t="s">
        <v>5132</v>
      </c>
      <c r="EIT1" t="s">
        <v>5133</v>
      </c>
      <c r="EIU1" t="s">
        <v>5134</v>
      </c>
      <c r="EIV1" t="s">
        <v>5135</v>
      </c>
      <c r="EIW1" t="s">
        <v>5136</v>
      </c>
      <c r="EIX1" t="s">
        <v>5137</v>
      </c>
      <c r="EIY1" t="s">
        <v>5138</v>
      </c>
      <c r="EIZ1" t="s">
        <v>5139</v>
      </c>
      <c r="EJA1" t="s">
        <v>5140</v>
      </c>
      <c r="EJB1" t="s">
        <v>5141</v>
      </c>
      <c r="EJC1" t="s">
        <v>5142</v>
      </c>
      <c r="EJD1" t="s">
        <v>5143</v>
      </c>
      <c r="EJE1" t="s">
        <v>5144</v>
      </c>
      <c r="EJF1" t="s">
        <v>5145</v>
      </c>
      <c r="EJG1" t="s">
        <v>5146</v>
      </c>
      <c r="EJH1" t="s">
        <v>5147</v>
      </c>
      <c r="EJI1" t="s">
        <v>5148</v>
      </c>
      <c r="EJJ1" t="s">
        <v>5149</v>
      </c>
      <c r="EJK1" t="s">
        <v>5150</v>
      </c>
      <c r="EJL1" t="s">
        <v>5151</v>
      </c>
      <c r="EJM1" t="s">
        <v>5152</v>
      </c>
      <c r="EJN1" t="s">
        <v>5153</v>
      </c>
      <c r="EJO1" t="s">
        <v>5154</v>
      </c>
      <c r="EJP1" t="s">
        <v>5155</v>
      </c>
      <c r="EJQ1" t="s">
        <v>5156</v>
      </c>
      <c r="EJR1" t="s">
        <v>5157</v>
      </c>
      <c r="EJS1" t="s">
        <v>5158</v>
      </c>
      <c r="EJT1" t="s">
        <v>5159</v>
      </c>
      <c r="EJU1" t="s">
        <v>5160</v>
      </c>
      <c r="EJV1" t="s">
        <v>5161</v>
      </c>
      <c r="EJW1" t="s">
        <v>5162</v>
      </c>
      <c r="EJX1" t="s">
        <v>5163</v>
      </c>
      <c r="EJY1" t="s">
        <v>5164</v>
      </c>
      <c r="EJZ1" t="s">
        <v>5165</v>
      </c>
      <c r="EKA1" t="s">
        <v>5166</v>
      </c>
      <c r="EKB1" t="s">
        <v>5167</v>
      </c>
      <c r="EKC1" t="s">
        <v>5168</v>
      </c>
      <c r="EKD1" t="s">
        <v>5169</v>
      </c>
      <c r="EKE1" t="s">
        <v>5170</v>
      </c>
      <c r="EKF1" t="s">
        <v>5171</v>
      </c>
      <c r="EKG1" t="s">
        <v>5172</v>
      </c>
      <c r="EKH1" t="s">
        <v>5173</v>
      </c>
      <c r="EKI1" t="s">
        <v>5174</v>
      </c>
      <c r="EKJ1" t="s">
        <v>5175</v>
      </c>
      <c r="EKK1" t="s">
        <v>5176</v>
      </c>
      <c r="EKL1" t="s">
        <v>5177</v>
      </c>
      <c r="EKM1" t="s">
        <v>5178</v>
      </c>
      <c r="EKN1" t="s">
        <v>5179</v>
      </c>
      <c r="EKO1" t="s">
        <v>5180</v>
      </c>
      <c r="EKP1" t="s">
        <v>5181</v>
      </c>
      <c r="EKQ1" t="s">
        <v>5182</v>
      </c>
      <c r="EKR1" t="s">
        <v>5183</v>
      </c>
      <c r="EKS1" t="s">
        <v>5184</v>
      </c>
      <c r="EKT1" t="s">
        <v>5185</v>
      </c>
      <c r="EKU1" t="s">
        <v>5186</v>
      </c>
      <c r="EKV1" t="s">
        <v>5187</v>
      </c>
      <c r="EKW1" t="s">
        <v>5188</v>
      </c>
      <c r="EKX1" t="s">
        <v>5189</v>
      </c>
      <c r="EKY1" t="s">
        <v>5190</v>
      </c>
      <c r="EKZ1" t="s">
        <v>5191</v>
      </c>
      <c r="ELA1" t="s">
        <v>5192</v>
      </c>
      <c r="ELB1" t="s">
        <v>5193</v>
      </c>
      <c r="ELC1" t="s">
        <v>5194</v>
      </c>
      <c r="ELD1" t="s">
        <v>5195</v>
      </c>
      <c r="ELE1" t="s">
        <v>5196</v>
      </c>
      <c r="ELF1" t="s">
        <v>5197</v>
      </c>
      <c r="ELG1" t="s">
        <v>5198</v>
      </c>
      <c r="ELH1" t="s">
        <v>5199</v>
      </c>
      <c r="ELI1" t="s">
        <v>5200</v>
      </c>
      <c r="ELJ1" t="s">
        <v>5201</v>
      </c>
      <c r="ELK1" t="s">
        <v>5202</v>
      </c>
      <c r="ELL1" t="s">
        <v>5203</v>
      </c>
      <c r="ELM1" t="s">
        <v>5204</v>
      </c>
      <c r="ELN1" t="s">
        <v>5205</v>
      </c>
      <c r="ELO1" t="s">
        <v>5206</v>
      </c>
      <c r="ELP1" t="s">
        <v>5207</v>
      </c>
      <c r="ELQ1" t="s">
        <v>5208</v>
      </c>
      <c r="ELR1" t="s">
        <v>5209</v>
      </c>
      <c r="ELS1" t="s">
        <v>5210</v>
      </c>
      <c r="ELT1" t="s">
        <v>5211</v>
      </c>
      <c r="ELU1" t="s">
        <v>5212</v>
      </c>
      <c r="ELV1" t="s">
        <v>5213</v>
      </c>
      <c r="ELW1" t="s">
        <v>5214</v>
      </c>
      <c r="ELX1" t="s">
        <v>5215</v>
      </c>
      <c r="ELY1" t="s">
        <v>5216</v>
      </c>
      <c r="ELZ1" t="s">
        <v>5217</v>
      </c>
      <c r="EMA1" t="s">
        <v>5218</v>
      </c>
      <c r="EMB1" t="s">
        <v>5219</v>
      </c>
      <c r="EMC1" t="s">
        <v>5220</v>
      </c>
      <c r="EMD1" t="s">
        <v>5221</v>
      </c>
      <c r="EME1" t="s">
        <v>5222</v>
      </c>
      <c r="EMF1" t="s">
        <v>5223</v>
      </c>
      <c r="EMG1" t="s">
        <v>5224</v>
      </c>
      <c r="EMH1" t="s">
        <v>5225</v>
      </c>
      <c r="EMI1" t="s">
        <v>5226</v>
      </c>
      <c r="EMJ1" t="s">
        <v>5227</v>
      </c>
      <c r="EMK1" t="s">
        <v>5228</v>
      </c>
      <c r="EML1" t="s">
        <v>5229</v>
      </c>
      <c r="EMM1" t="s">
        <v>5230</v>
      </c>
      <c r="EMN1" t="s">
        <v>5231</v>
      </c>
      <c r="EMO1" t="s">
        <v>5232</v>
      </c>
      <c r="EMP1" t="s">
        <v>5233</v>
      </c>
      <c r="EMQ1" t="s">
        <v>5234</v>
      </c>
      <c r="EMR1" t="s">
        <v>5235</v>
      </c>
      <c r="EMS1" t="s">
        <v>5236</v>
      </c>
      <c r="EMT1" t="s">
        <v>5237</v>
      </c>
      <c r="EMU1" t="s">
        <v>5238</v>
      </c>
      <c r="EMV1" t="s">
        <v>5239</v>
      </c>
      <c r="EMW1" t="s">
        <v>5240</v>
      </c>
      <c r="EMX1" t="s">
        <v>5241</v>
      </c>
      <c r="EMY1" t="s">
        <v>5242</v>
      </c>
      <c r="EMZ1" t="s">
        <v>5243</v>
      </c>
      <c r="ENA1" t="s">
        <v>5244</v>
      </c>
      <c r="ENB1" t="s">
        <v>5245</v>
      </c>
      <c r="ENC1" t="s">
        <v>5246</v>
      </c>
      <c r="END1" t="s">
        <v>5247</v>
      </c>
      <c r="ENE1" t="s">
        <v>5248</v>
      </c>
      <c r="ENF1" t="s">
        <v>5249</v>
      </c>
      <c r="ENG1" t="s">
        <v>5250</v>
      </c>
      <c r="ENH1" t="s">
        <v>5251</v>
      </c>
      <c r="ENI1" t="s">
        <v>5252</v>
      </c>
      <c r="ENJ1" t="s">
        <v>5253</v>
      </c>
      <c r="ENK1" t="s">
        <v>5254</v>
      </c>
      <c r="ENL1" t="s">
        <v>5255</v>
      </c>
      <c r="ENM1" t="s">
        <v>5256</v>
      </c>
      <c r="ENN1" t="s">
        <v>5257</v>
      </c>
      <c r="ENO1" t="s">
        <v>5258</v>
      </c>
      <c r="ENP1" t="s">
        <v>5259</v>
      </c>
      <c r="ENQ1" t="s">
        <v>5260</v>
      </c>
      <c r="ENR1" t="s">
        <v>5261</v>
      </c>
      <c r="ENS1" t="s">
        <v>5262</v>
      </c>
      <c r="ENT1" t="s">
        <v>5263</v>
      </c>
      <c r="ENU1" t="s">
        <v>5264</v>
      </c>
      <c r="ENV1" t="s">
        <v>5265</v>
      </c>
      <c r="ENW1" t="s">
        <v>5266</v>
      </c>
      <c r="ENX1" t="s">
        <v>5267</v>
      </c>
      <c r="ENY1" t="s">
        <v>5268</v>
      </c>
      <c r="ENZ1" t="s">
        <v>5269</v>
      </c>
      <c r="EOA1" t="s">
        <v>5270</v>
      </c>
      <c r="EOB1" t="s">
        <v>5271</v>
      </c>
      <c r="EOC1" t="s">
        <v>5272</v>
      </c>
      <c r="EOD1" t="s">
        <v>5273</v>
      </c>
      <c r="EOE1" t="s">
        <v>5274</v>
      </c>
      <c r="EOF1" t="s">
        <v>5275</v>
      </c>
      <c r="EOG1" t="s">
        <v>5276</v>
      </c>
      <c r="EOH1" t="s">
        <v>5277</v>
      </c>
      <c r="EOI1" t="s">
        <v>5278</v>
      </c>
      <c r="EOJ1" t="s">
        <v>5279</v>
      </c>
      <c r="EOK1" t="s">
        <v>5280</v>
      </c>
      <c r="EOL1" t="s">
        <v>5281</v>
      </c>
      <c r="EOM1" t="s">
        <v>5282</v>
      </c>
      <c r="EON1" t="s">
        <v>5283</v>
      </c>
      <c r="EOO1" t="s">
        <v>5284</v>
      </c>
      <c r="EOP1" t="s">
        <v>5285</v>
      </c>
      <c r="EOQ1" t="s">
        <v>5286</v>
      </c>
      <c r="EOR1" t="s">
        <v>5287</v>
      </c>
      <c r="EOS1" t="s">
        <v>5288</v>
      </c>
      <c r="EOT1" t="s">
        <v>5289</v>
      </c>
      <c r="EOU1" t="s">
        <v>5290</v>
      </c>
      <c r="EOV1" t="s">
        <v>5291</v>
      </c>
      <c r="EOW1" t="s">
        <v>5292</v>
      </c>
      <c r="EOX1" t="s">
        <v>5293</v>
      </c>
      <c r="EOY1" t="s">
        <v>5294</v>
      </c>
      <c r="EOZ1" t="s">
        <v>5295</v>
      </c>
      <c r="EPA1" t="s">
        <v>5296</v>
      </c>
      <c r="EPB1" t="s">
        <v>5297</v>
      </c>
      <c r="EPC1" t="s">
        <v>5298</v>
      </c>
      <c r="EPD1" t="s">
        <v>5299</v>
      </c>
      <c r="EPE1" t="s">
        <v>5300</v>
      </c>
      <c r="EPF1" t="s">
        <v>5301</v>
      </c>
      <c r="EPG1" t="s">
        <v>5302</v>
      </c>
      <c r="EPH1" t="s">
        <v>5303</v>
      </c>
      <c r="EPI1" t="s">
        <v>5304</v>
      </c>
      <c r="EPJ1" t="s">
        <v>5305</v>
      </c>
      <c r="EPK1" t="s">
        <v>5306</v>
      </c>
      <c r="EPL1" t="s">
        <v>5307</v>
      </c>
      <c r="EPM1" t="s">
        <v>5308</v>
      </c>
      <c r="EPN1" t="s">
        <v>5309</v>
      </c>
      <c r="EPO1" t="s">
        <v>5310</v>
      </c>
      <c r="EPP1" t="s">
        <v>5311</v>
      </c>
      <c r="EPQ1" t="s">
        <v>5312</v>
      </c>
      <c r="EPR1" t="s">
        <v>5313</v>
      </c>
      <c r="EPS1" t="s">
        <v>5314</v>
      </c>
      <c r="EPT1" t="s">
        <v>5315</v>
      </c>
      <c r="EPU1" t="s">
        <v>5316</v>
      </c>
      <c r="EPV1" t="s">
        <v>5317</v>
      </c>
      <c r="EPW1" t="s">
        <v>5318</v>
      </c>
      <c r="EPX1" t="s">
        <v>5319</v>
      </c>
      <c r="EPY1" t="s">
        <v>5320</v>
      </c>
      <c r="EPZ1" t="s">
        <v>5321</v>
      </c>
      <c r="EQA1" t="s">
        <v>5322</v>
      </c>
      <c r="EQB1" t="s">
        <v>5323</v>
      </c>
      <c r="EQC1" t="s">
        <v>5324</v>
      </c>
      <c r="EQD1" t="s">
        <v>5325</v>
      </c>
      <c r="EQE1" t="s">
        <v>5326</v>
      </c>
      <c r="EQF1" t="s">
        <v>5327</v>
      </c>
      <c r="EQG1" t="s">
        <v>5328</v>
      </c>
      <c r="EQH1" t="s">
        <v>5329</v>
      </c>
      <c r="EQI1" t="s">
        <v>5330</v>
      </c>
      <c r="EQJ1" t="s">
        <v>5331</v>
      </c>
      <c r="EQK1" t="s">
        <v>5332</v>
      </c>
      <c r="EQL1" t="s">
        <v>5333</v>
      </c>
      <c r="EQM1" t="s">
        <v>5334</v>
      </c>
      <c r="EQN1" t="s">
        <v>5335</v>
      </c>
      <c r="EQO1" t="s">
        <v>5336</v>
      </c>
      <c r="EQP1" t="s">
        <v>5337</v>
      </c>
      <c r="EQQ1" t="s">
        <v>5338</v>
      </c>
      <c r="EQR1" t="s">
        <v>5339</v>
      </c>
      <c r="EQS1" t="s">
        <v>5340</v>
      </c>
      <c r="EQT1" t="s">
        <v>5341</v>
      </c>
      <c r="EQU1" t="s">
        <v>5342</v>
      </c>
      <c r="EQV1" t="s">
        <v>5343</v>
      </c>
      <c r="EQW1" t="s">
        <v>5344</v>
      </c>
      <c r="EQX1" t="s">
        <v>5345</v>
      </c>
      <c r="EQY1" t="s">
        <v>5346</v>
      </c>
      <c r="EQZ1" t="s">
        <v>5347</v>
      </c>
      <c r="ERA1" t="s">
        <v>5348</v>
      </c>
      <c r="ERB1" t="s">
        <v>5349</v>
      </c>
      <c r="ERC1" t="s">
        <v>5350</v>
      </c>
      <c r="ERD1" t="s">
        <v>5351</v>
      </c>
      <c r="ERE1" t="s">
        <v>5352</v>
      </c>
      <c r="ERF1" t="s">
        <v>5353</v>
      </c>
      <c r="ERG1" t="s">
        <v>5354</v>
      </c>
      <c r="ERH1" t="s">
        <v>5355</v>
      </c>
      <c r="ERI1" t="s">
        <v>5356</v>
      </c>
      <c r="ERJ1" t="s">
        <v>5357</v>
      </c>
      <c r="ERK1" t="s">
        <v>5358</v>
      </c>
      <c r="ERL1" t="s">
        <v>5359</v>
      </c>
      <c r="ERM1" t="s">
        <v>5360</v>
      </c>
      <c r="ERN1" t="s">
        <v>5361</v>
      </c>
      <c r="ERO1" t="s">
        <v>5362</v>
      </c>
      <c r="ERP1" t="s">
        <v>5363</v>
      </c>
      <c r="ERQ1" t="s">
        <v>5364</v>
      </c>
      <c r="ERR1" t="s">
        <v>5365</v>
      </c>
      <c r="ERS1" t="s">
        <v>5366</v>
      </c>
      <c r="ERT1" t="s">
        <v>5367</v>
      </c>
      <c r="ERU1" t="s">
        <v>5368</v>
      </c>
      <c r="ERV1" t="s">
        <v>5369</v>
      </c>
      <c r="ERW1" t="s">
        <v>5370</v>
      </c>
      <c r="ERX1" t="s">
        <v>5371</v>
      </c>
      <c r="ERY1" t="s">
        <v>5372</v>
      </c>
      <c r="ERZ1" t="s">
        <v>5373</v>
      </c>
      <c r="ESA1" t="s">
        <v>5374</v>
      </c>
      <c r="ESB1" t="s">
        <v>5375</v>
      </c>
      <c r="ESC1" t="s">
        <v>5376</v>
      </c>
      <c r="ESD1" t="s">
        <v>5377</v>
      </c>
      <c r="ESE1" t="s">
        <v>5378</v>
      </c>
      <c r="ESF1" t="s">
        <v>5379</v>
      </c>
      <c r="ESG1" t="s">
        <v>5380</v>
      </c>
      <c r="ESH1" t="s">
        <v>5381</v>
      </c>
      <c r="ESI1" t="s">
        <v>5382</v>
      </c>
      <c r="ESJ1" t="s">
        <v>5383</v>
      </c>
      <c r="ESK1" t="s">
        <v>5384</v>
      </c>
      <c r="ESL1" t="s">
        <v>5385</v>
      </c>
      <c r="ESM1" t="s">
        <v>5386</v>
      </c>
      <c r="ESN1" t="s">
        <v>5387</v>
      </c>
      <c r="ESO1" t="s">
        <v>5388</v>
      </c>
      <c r="ESP1" t="s">
        <v>5389</v>
      </c>
      <c r="ESQ1" t="s">
        <v>5390</v>
      </c>
      <c r="ESR1" t="s">
        <v>5391</v>
      </c>
      <c r="ESS1" t="s">
        <v>5392</v>
      </c>
      <c r="EST1" t="s">
        <v>5393</v>
      </c>
      <c r="ESU1" t="s">
        <v>5394</v>
      </c>
      <c r="ESV1" t="s">
        <v>5395</v>
      </c>
      <c r="ESW1" t="s">
        <v>5396</v>
      </c>
      <c r="ESX1" t="s">
        <v>5397</v>
      </c>
      <c r="ESY1" t="s">
        <v>5398</v>
      </c>
      <c r="ESZ1" t="s">
        <v>5399</v>
      </c>
      <c r="ETA1" t="s">
        <v>5400</v>
      </c>
      <c r="ETB1" t="s">
        <v>5401</v>
      </c>
      <c r="ETC1" t="s">
        <v>5402</v>
      </c>
      <c r="ETD1" t="s">
        <v>5403</v>
      </c>
      <c r="ETE1" t="s">
        <v>5404</v>
      </c>
      <c r="ETF1" t="s">
        <v>5405</v>
      </c>
      <c r="ETG1" t="s">
        <v>5406</v>
      </c>
      <c r="ETH1" t="s">
        <v>5407</v>
      </c>
      <c r="ETI1" t="s">
        <v>5408</v>
      </c>
      <c r="ETJ1" t="s">
        <v>5409</v>
      </c>
      <c r="ETK1" t="s">
        <v>5410</v>
      </c>
      <c r="ETL1" t="s">
        <v>5411</v>
      </c>
      <c r="ETM1" t="s">
        <v>5412</v>
      </c>
      <c r="ETN1" t="s">
        <v>5413</v>
      </c>
      <c r="ETO1" t="s">
        <v>5414</v>
      </c>
      <c r="ETP1" t="s">
        <v>5415</v>
      </c>
      <c r="ETQ1" t="s">
        <v>5416</v>
      </c>
      <c r="ETR1" t="s">
        <v>5417</v>
      </c>
      <c r="ETS1" t="s">
        <v>5418</v>
      </c>
      <c r="ETT1" t="s">
        <v>5419</v>
      </c>
      <c r="ETU1" t="s">
        <v>5420</v>
      </c>
      <c r="ETV1" t="s">
        <v>5421</v>
      </c>
      <c r="ETW1" t="s">
        <v>5422</v>
      </c>
      <c r="ETX1" t="s">
        <v>5423</v>
      </c>
      <c r="ETY1" t="s">
        <v>5424</v>
      </c>
      <c r="ETZ1" t="s">
        <v>5425</v>
      </c>
      <c r="EUA1" t="s">
        <v>5426</v>
      </c>
      <c r="EUB1" t="s">
        <v>5427</v>
      </c>
      <c r="EUC1" t="s">
        <v>5428</v>
      </c>
      <c r="EUD1" t="s">
        <v>5429</v>
      </c>
      <c r="EUE1" t="s">
        <v>5430</v>
      </c>
      <c r="EUF1" t="s">
        <v>5431</v>
      </c>
      <c r="EUG1" t="s">
        <v>5432</v>
      </c>
      <c r="EUH1" t="s">
        <v>5433</v>
      </c>
      <c r="EUI1" t="s">
        <v>5434</v>
      </c>
      <c r="EUJ1" t="s">
        <v>5435</v>
      </c>
      <c r="EUK1" t="s">
        <v>5436</v>
      </c>
      <c r="EUL1" t="s">
        <v>5437</v>
      </c>
      <c r="EUM1" t="s">
        <v>5438</v>
      </c>
      <c r="EUN1" t="s">
        <v>5439</v>
      </c>
      <c r="EUO1" t="s">
        <v>5440</v>
      </c>
      <c r="EUP1" t="s">
        <v>5441</v>
      </c>
      <c r="EUQ1" t="s">
        <v>5442</v>
      </c>
      <c r="EUR1" t="s">
        <v>5443</v>
      </c>
      <c r="EUS1" t="s">
        <v>5444</v>
      </c>
      <c r="EUT1" t="s">
        <v>5445</v>
      </c>
      <c r="EUU1" t="s">
        <v>5446</v>
      </c>
      <c r="EUV1" t="s">
        <v>5447</v>
      </c>
      <c r="EUW1" t="s">
        <v>5448</v>
      </c>
      <c r="EUX1" t="s">
        <v>5449</v>
      </c>
      <c r="EUY1" t="s">
        <v>5450</v>
      </c>
      <c r="EUZ1" t="s">
        <v>5451</v>
      </c>
      <c r="EVA1" t="s">
        <v>5452</v>
      </c>
      <c r="EVB1" t="s">
        <v>5453</v>
      </c>
      <c r="EVC1" t="s">
        <v>5454</v>
      </c>
      <c r="EVD1" t="s">
        <v>5455</v>
      </c>
      <c r="EVE1" t="s">
        <v>5456</v>
      </c>
      <c r="EVF1" t="s">
        <v>5457</v>
      </c>
      <c r="EVG1" t="s">
        <v>5458</v>
      </c>
      <c r="EVH1" t="s">
        <v>5459</v>
      </c>
      <c r="EVI1" t="s">
        <v>5460</v>
      </c>
      <c r="EVJ1" t="s">
        <v>5461</v>
      </c>
      <c r="EVK1" t="s">
        <v>5462</v>
      </c>
      <c r="EVL1" t="s">
        <v>5463</v>
      </c>
      <c r="EVM1" t="s">
        <v>5464</v>
      </c>
      <c r="EVN1" t="s">
        <v>5465</v>
      </c>
      <c r="EVO1" t="s">
        <v>5466</v>
      </c>
      <c r="EVP1" t="s">
        <v>5467</v>
      </c>
      <c r="EVQ1" t="s">
        <v>5468</v>
      </c>
      <c r="EVR1" t="s">
        <v>5469</v>
      </c>
      <c r="EVS1" t="s">
        <v>5470</v>
      </c>
      <c r="EVT1" t="s">
        <v>5471</v>
      </c>
      <c r="EVU1" t="s">
        <v>5472</v>
      </c>
      <c r="EVV1" t="s">
        <v>5473</v>
      </c>
      <c r="EVW1" t="s">
        <v>5474</v>
      </c>
      <c r="EVX1" t="s">
        <v>5475</v>
      </c>
      <c r="EVY1" t="s">
        <v>5476</v>
      </c>
      <c r="EVZ1" t="s">
        <v>5477</v>
      </c>
      <c r="EWA1" t="s">
        <v>5478</v>
      </c>
      <c r="EWB1" t="s">
        <v>5479</v>
      </c>
      <c r="EWC1" t="s">
        <v>5480</v>
      </c>
      <c r="EWD1" t="s">
        <v>5481</v>
      </c>
      <c r="EWE1" t="s">
        <v>5482</v>
      </c>
      <c r="EWF1" t="s">
        <v>5483</v>
      </c>
      <c r="EWG1" t="s">
        <v>5484</v>
      </c>
      <c r="EWH1" t="s">
        <v>5485</v>
      </c>
      <c r="EWI1" t="s">
        <v>5486</v>
      </c>
      <c r="EWJ1" t="s">
        <v>5487</v>
      </c>
      <c r="EWK1" t="s">
        <v>5488</v>
      </c>
      <c r="EWL1" t="s">
        <v>5489</v>
      </c>
      <c r="EWM1" t="s">
        <v>5490</v>
      </c>
      <c r="EWN1" t="s">
        <v>5491</v>
      </c>
      <c r="EWO1" t="s">
        <v>5492</v>
      </c>
      <c r="EWP1" t="s">
        <v>5493</v>
      </c>
      <c r="EWQ1" t="s">
        <v>5494</v>
      </c>
      <c r="EWR1" t="s">
        <v>5495</v>
      </c>
      <c r="EWS1" t="s">
        <v>5496</v>
      </c>
      <c r="EWT1" t="s">
        <v>5497</v>
      </c>
      <c r="EWU1" t="s">
        <v>5498</v>
      </c>
      <c r="EWV1" t="s">
        <v>5499</v>
      </c>
      <c r="EWW1" t="s">
        <v>5500</v>
      </c>
      <c r="EWX1" t="s">
        <v>5501</v>
      </c>
      <c r="EWY1" t="s">
        <v>5502</v>
      </c>
      <c r="EWZ1" t="s">
        <v>5503</v>
      </c>
      <c r="EXA1" t="s">
        <v>5504</v>
      </c>
      <c r="EXB1" t="s">
        <v>5505</v>
      </c>
      <c r="EXC1" t="s">
        <v>5506</v>
      </c>
      <c r="EXD1" t="s">
        <v>5507</v>
      </c>
      <c r="EXE1" t="s">
        <v>5508</v>
      </c>
      <c r="EXF1" t="s">
        <v>5509</v>
      </c>
      <c r="EXG1" t="s">
        <v>5510</v>
      </c>
      <c r="EXH1" t="s">
        <v>5511</v>
      </c>
      <c r="EXI1" t="s">
        <v>5512</v>
      </c>
      <c r="EXJ1" t="s">
        <v>5513</v>
      </c>
      <c r="EXK1" t="s">
        <v>5514</v>
      </c>
      <c r="EXL1" t="s">
        <v>5515</v>
      </c>
      <c r="EXM1" t="s">
        <v>5516</v>
      </c>
      <c r="EXN1" t="s">
        <v>5517</v>
      </c>
      <c r="EXO1" t="s">
        <v>5518</v>
      </c>
      <c r="EXP1" t="s">
        <v>5519</v>
      </c>
      <c r="EXQ1" t="s">
        <v>5520</v>
      </c>
      <c r="EXR1" t="s">
        <v>5521</v>
      </c>
      <c r="EXS1" t="s">
        <v>5522</v>
      </c>
      <c r="EXT1" t="s">
        <v>5523</v>
      </c>
      <c r="EXU1" t="s">
        <v>5524</v>
      </c>
      <c r="EXV1" t="s">
        <v>5525</v>
      </c>
      <c r="EXW1" t="s">
        <v>5526</v>
      </c>
      <c r="EXX1" t="s">
        <v>5527</v>
      </c>
      <c r="EXY1" t="s">
        <v>5528</v>
      </c>
      <c r="EXZ1" t="s">
        <v>5529</v>
      </c>
      <c r="EYA1" t="s">
        <v>5530</v>
      </c>
      <c r="EYB1" t="s">
        <v>5531</v>
      </c>
      <c r="EYC1" t="s">
        <v>5532</v>
      </c>
      <c r="EYD1" t="s">
        <v>5533</v>
      </c>
      <c r="EYE1" t="s">
        <v>5534</v>
      </c>
      <c r="EYF1" t="s">
        <v>5535</v>
      </c>
      <c r="EYG1" t="s">
        <v>5536</v>
      </c>
      <c r="EYH1" t="s">
        <v>5537</v>
      </c>
      <c r="EYI1" t="s">
        <v>5538</v>
      </c>
      <c r="EYJ1" t="s">
        <v>5539</v>
      </c>
      <c r="EYK1" t="s">
        <v>5540</v>
      </c>
      <c r="EYL1" t="s">
        <v>5541</v>
      </c>
      <c r="EYM1" t="s">
        <v>5542</v>
      </c>
      <c r="EYN1" t="s">
        <v>5543</v>
      </c>
      <c r="EYO1" t="s">
        <v>5544</v>
      </c>
      <c r="EYP1" t="s">
        <v>5545</v>
      </c>
      <c r="EYQ1" t="s">
        <v>5546</v>
      </c>
      <c r="EYR1" t="s">
        <v>5547</v>
      </c>
      <c r="EYS1" t="s">
        <v>5548</v>
      </c>
      <c r="EYT1" t="s">
        <v>5549</v>
      </c>
      <c r="EYU1" t="s">
        <v>5550</v>
      </c>
      <c r="EYV1" t="s">
        <v>5551</v>
      </c>
      <c r="EYW1" t="s">
        <v>5552</v>
      </c>
      <c r="EYX1" t="s">
        <v>5553</v>
      </c>
      <c r="EYY1" t="s">
        <v>5554</v>
      </c>
      <c r="EYZ1" t="s">
        <v>5555</v>
      </c>
      <c r="EZA1" t="s">
        <v>5556</v>
      </c>
      <c r="EZB1" t="s">
        <v>5557</v>
      </c>
      <c r="EZC1" t="s">
        <v>5558</v>
      </c>
      <c r="EZD1" t="s">
        <v>5559</v>
      </c>
      <c r="EZE1" t="s">
        <v>5560</v>
      </c>
      <c r="EZF1" t="s">
        <v>5561</v>
      </c>
      <c r="EZG1" t="s">
        <v>5562</v>
      </c>
      <c r="EZH1" t="s">
        <v>5563</v>
      </c>
      <c r="EZI1" t="s">
        <v>5564</v>
      </c>
      <c r="EZJ1" t="s">
        <v>5565</v>
      </c>
      <c r="EZK1" t="s">
        <v>5566</v>
      </c>
      <c r="EZL1" t="s">
        <v>5567</v>
      </c>
      <c r="EZM1" t="s">
        <v>5568</v>
      </c>
      <c r="EZN1" t="s">
        <v>5569</v>
      </c>
      <c r="EZO1" t="s">
        <v>5570</v>
      </c>
      <c r="EZP1" t="s">
        <v>5571</v>
      </c>
      <c r="EZQ1" t="s">
        <v>5572</v>
      </c>
      <c r="EZR1" t="s">
        <v>5573</v>
      </c>
      <c r="EZS1" t="s">
        <v>5574</v>
      </c>
      <c r="EZT1" t="s">
        <v>5575</v>
      </c>
      <c r="EZU1" t="s">
        <v>5576</v>
      </c>
      <c r="EZV1" t="s">
        <v>5577</v>
      </c>
      <c r="EZW1" t="s">
        <v>5578</v>
      </c>
      <c r="EZX1" t="s">
        <v>5579</v>
      </c>
      <c r="EZY1" t="s">
        <v>5580</v>
      </c>
      <c r="EZZ1" t="s">
        <v>5581</v>
      </c>
      <c r="FAA1" t="s">
        <v>5582</v>
      </c>
      <c r="FAB1" t="s">
        <v>5583</v>
      </c>
      <c r="FAC1" t="s">
        <v>5584</v>
      </c>
      <c r="FAD1" t="s">
        <v>5585</v>
      </c>
      <c r="FAE1" t="s">
        <v>5586</v>
      </c>
      <c r="FAF1" t="s">
        <v>5587</v>
      </c>
      <c r="FAG1" t="s">
        <v>5588</v>
      </c>
      <c r="FAH1" t="s">
        <v>5589</v>
      </c>
      <c r="FAI1" t="s">
        <v>5590</v>
      </c>
      <c r="FAJ1" t="s">
        <v>5591</v>
      </c>
      <c r="FAK1" t="s">
        <v>5592</v>
      </c>
      <c r="FAL1" t="s">
        <v>5593</v>
      </c>
      <c r="FAM1" t="s">
        <v>5594</v>
      </c>
      <c r="FAN1" t="s">
        <v>5595</v>
      </c>
      <c r="FAO1" t="s">
        <v>5596</v>
      </c>
      <c r="FAP1" t="s">
        <v>5597</v>
      </c>
      <c r="FAQ1" t="s">
        <v>5598</v>
      </c>
      <c r="FAR1" t="s">
        <v>5599</v>
      </c>
      <c r="FAS1" t="s">
        <v>5600</v>
      </c>
      <c r="FAT1" t="s">
        <v>5601</v>
      </c>
      <c r="FAU1" t="s">
        <v>5602</v>
      </c>
      <c r="FAV1" t="s">
        <v>5603</v>
      </c>
      <c r="FAW1" t="s">
        <v>5604</v>
      </c>
      <c r="FAX1" t="s">
        <v>5605</v>
      </c>
      <c r="FAY1" t="s">
        <v>5606</v>
      </c>
      <c r="FAZ1" t="s">
        <v>5607</v>
      </c>
      <c r="FBA1" t="s">
        <v>5608</v>
      </c>
      <c r="FBB1" t="s">
        <v>5609</v>
      </c>
      <c r="FBC1" t="s">
        <v>5610</v>
      </c>
      <c r="FBD1" t="s">
        <v>5611</v>
      </c>
      <c r="FBE1" t="s">
        <v>5612</v>
      </c>
      <c r="FBF1" t="s">
        <v>5613</v>
      </c>
      <c r="FBG1" t="s">
        <v>5614</v>
      </c>
      <c r="FBH1" t="s">
        <v>5615</v>
      </c>
      <c r="FBI1" t="s">
        <v>5616</v>
      </c>
      <c r="FBJ1" t="s">
        <v>5617</v>
      </c>
      <c r="FBK1" t="s">
        <v>5618</v>
      </c>
      <c r="FBL1" t="s">
        <v>5619</v>
      </c>
      <c r="FBM1" t="s">
        <v>5620</v>
      </c>
      <c r="FBN1" t="s">
        <v>5621</v>
      </c>
      <c r="FBO1" t="s">
        <v>5622</v>
      </c>
      <c r="FBP1" t="s">
        <v>5623</v>
      </c>
      <c r="FBQ1" t="s">
        <v>5624</v>
      </c>
      <c r="FBR1" t="s">
        <v>5625</v>
      </c>
      <c r="FBS1" t="s">
        <v>5626</v>
      </c>
      <c r="FBT1" t="s">
        <v>5627</v>
      </c>
      <c r="FBU1" t="s">
        <v>5628</v>
      </c>
      <c r="FBV1" t="s">
        <v>5629</v>
      </c>
      <c r="FBW1" t="s">
        <v>5630</v>
      </c>
      <c r="FBX1" t="s">
        <v>5631</v>
      </c>
      <c r="FBY1" t="s">
        <v>5632</v>
      </c>
      <c r="FBZ1" t="s">
        <v>5633</v>
      </c>
      <c r="FCA1" t="s">
        <v>5634</v>
      </c>
      <c r="FCB1" t="s">
        <v>5635</v>
      </c>
      <c r="FCC1" t="s">
        <v>5636</v>
      </c>
      <c r="FCD1" t="s">
        <v>5637</v>
      </c>
      <c r="FCE1" t="s">
        <v>5638</v>
      </c>
      <c r="FCF1" t="s">
        <v>5639</v>
      </c>
      <c r="FCG1" t="s">
        <v>5640</v>
      </c>
      <c r="FCH1" t="s">
        <v>5641</v>
      </c>
      <c r="FCI1" t="s">
        <v>5642</v>
      </c>
      <c r="FCJ1" t="s">
        <v>5643</v>
      </c>
      <c r="FCK1" t="s">
        <v>5644</v>
      </c>
      <c r="FCL1" t="s">
        <v>5645</v>
      </c>
      <c r="FCM1" t="s">
        <v>5646</v>
      </c>
      <c r="FCN1" t="s">
        <v>5647</v>
      </c>
      <c r="FCO1" t="s">
        <v>5648</v>
      </c>
      <c r="FCP1" t="s">
        <v>5649</v>
      </c>
      <c r="FCQ1" t="s">
        <v>5650</v>
      </c>
      <c r="FCR1" t="s">
        <v>5651</v>
      </c>
      <c r="FCS1" t="s">
        <v>5652</v>
      </c>
      <c r="FCT1" t="s">
        <v>5653</v>
      </c>
      <c r="FCU1" t="s">
        <v>5654</v>
      </c>
      <c r="FCV1" t="s">
        <v>5655</v>
      </c>
      <c r="FCW1" t="s">
        <v>5656</v>
      </c>
      <c r="FCX1" t="s">
        <v>5657</v>
      </c>
      <c r="FCY1" t="s">
        <v>5658</v>
      </c>
      <c r="FCZ1" t="s">
        <v>5659</v>
      </c>
      <c r="FDA1" t="s">
        <v>5660</v>
      </c>
      <c r="FDB1" t="s">
        <v>5661</v>
      </c>
      <c r="FDC1" t="s">
        <v>5662</v>
      </c>
      <c r="FDD1" t="s">
        <v>5663</v>
      </c>
      <c r="FDE1" t="s">
        <v>5664</v>
      </c>
      <c r="FDF1" t="s">
        <v>5665</v>
      </c>
      <c r="FDG1" t="s">
        <v>5666</v>
      </c>
      <c r="FDH1" t="s">
        <v>5667</v>
      </c>
      <c r="FDI1" t="s">
        <v>5668</v>
      </c>
      <c r="FDJ1" t="s">
        <v>5669</v>
      </c>
      <c r="FDK1" t="s">
        <v>5670</v>
      </c>
      <c r="FDL1" t="s">
        <v>5671</v>
      </c>
      <c r="FDM1" t="s">
        <v>5672</v>
      </c>
      <c r="FDN1" t="s">
        <v>5673</v>
      </c>
      <c r="FDO1" t="s">
        <v>5674</v>
      </c>
      <c r="FDP1" t="s">
        <v>5675</v>
      </c>
      <c r="FDQ1" t="s">
        <v>5676</v>
      </c>
      <c r="FDR1" t="s">
        <v>5677</v>
      </c>
      <c r="FDS1" t="s">
        <v>5678</v>
      </c>
      <c r="FDT1" t="s">
        <v>5679</v>
      </c>
      <c r="FDU1" t="s">
        <v>5680</v>
      </c>
      <c r="FDV1" t="s">
        <v>5681</v>
      </c>
      <c r="FDW1" t="s">
        <v>5682</v>
      </c>
      <c r="FDX1" t="s">
        <v>5683</v>
      </c>
      <c r="FDY1" t="s">
        <v>5684</v>
      </c>
      <c r="FDZ1" t="s">
        <v>5685</v>
      </c>
      <c r="FEA1" t="s">
        <v>5686</v>
      </c>
      <c r="FEB1" t="s">
        <v>5687</v>
      </c>
      <c r="FEC1" t="s">
        <v>5688</v>
      </c>
      <c r="FED1" t="s">
        <v>5689</v>
      </c>
      <c r="FEE1" t="s">
        <v>5690</v>
      </c>
      <c r="FEF1" t="s">
        <v>5691</v>
      </c>
      <c r="FEG1" t="s">
        <v>5692</v>
      </c>
      <c r="FEH1" t="s">
        <v>5693</v>
      </c>
      <c r="FEI1" t="s">
        <v>5694</v>
      </c>
      <c r="FEJ1" t="s">
        <v>5695</v>
      </c>
      <c r="FEK1" t="s">
        <v>5696</v>
      </c>
      <c r="FEL1" t="s">
        <v>5697</v>
      </c>
      <c r="FEM1" t="s">
        <v>5698</v>
      </c>
      <c r="FEN1" t="s">
        <v>5699</v>
      </c>
      <c r="FEO1" t="s">
        <v>5700</v>
      </c>
      <c r="FEP1" t="s">
        <v>5701</v>
      </c>
      <c r="FEQ1" t="s">
        <v>5702</v>
      </c>
      <c r="FER1" t="s">
        <v>5703</v>
      </c>
      <c r="FES1" t="s">
        <v>5704</v>
      </c>
      <c r="FET1" t="s">
        <v>5705</v>
      </c>
      <c r="FEU1" t="s">
        <v>5706</v>
      </c>
      <c r="FEV1" t="s">
        <v>5707</v>
      </c>
      <c r="FEW1" t="s">
        <v>5708</v>
      </c>
      <c r="FEX1" t="s">
        <v>5709</v>
      </c>
      <c r="FEY1" t="s">
        <v>5710</v>
      </c>
      <c r="FEZ1" t="s">
        <v>5711</v>
      </c>
      <c r="FFA1" t="s">
        <v>5712</v>
      </c>
      <c r="FFB1" t="s">
        <v>5713</v>
      </c>
      <c r="FFC1" t="s">
        <v>5714</v>
      </c>
      <c r="FFD1" t="s">
        <v>5715</v>
      </c>
      <c r="FFE1" t="s">
        <v>5716</v>
      </c>
      <c r="FFF1" t="s">
        <v>5717</v>
      </c>
      <c r="FFG1" t="s">
        <v>5718</v>
      </c>
      <c r="FFH1" t="s">
        <v>5719</v>
      </c>
      <c r="FFI1" t="s">
        <v>5720</v>
      </c>
      <c r="FFJ1" t="s">
        <v>5721</v>
      </c>
      <c r="FFK1" t="s">
        <v>5722</v>
      </c>
      <c r="FFL1" t="s">
        <v>5723</v>
      </c>
      <c r="FFM1" t="s">
        <v>5724</v>
      </c>
      <c r="FFN1" t="s">
        <v>5725</v>
      </c>
      <c r="FFO1" t="s">
        <v>5726</v>
      </c>
      <c r="FFP1" t="s">
        <v>5727</v>
      </c>
      <c r="FFQ1" t="s">
        <v>5728</v>
      </c>
      <c r="FFR1" t="s">
        <v>5729</v>
      </c>
      <c r="FFS1" t="s">
        <v>5730</v>
      </c>
      <c r="FFT1" t="s">
        <v>5731</v>
      </c>
      <c r="FFU1" t="s">
        <v>5732</v>
      </c>
      <c r="FFV1" t="s">
        <v>5733</v>
      </c>
      <c r="FFW1" t="s">
        <v>5734</v>
      </c>
      <c r="FFX1" t="s">
        <v>5735</v>
      </c>
      <c r="FFY1" t="s">
        <v>5736</v>
      </c>
      <c r="FFZ1" t="s">
        <v>5737</v>
      </c>
      <c r="FGA1" t="s">
        <v>5738</v>
      </c>
      <c r="FGB1" t="s">
        <v>5739</v>
      </c>
      <c r="FGC1" t="s">
        <v>5740</v>
      </c>
      <c r="FGD1" t="s">
        <v>5741</v>
      </c>
      <c r="FGE1" t="s">
        <v>5742</v>
      </c>
      <c r="FGF1" t="s">
        <v>5743</v>
      </c>
      <c r="FGG1" t="s">
        <v>5744</v>
      </c>
      <c r="FGH1" t="s">
        <v>5745</v>
      </c>
      <c r="FGI1" t="s">
        <v>5746</v>
      </c>
      <c r="FGJ1" t="s">
        <v>5747</v>
      </c>
      <c r="FGK1" t="s">
        <v>5748</v>
      </c>
      <c r="FGL1" t="s">
        <v>5749</v>
      </c>
      <c r="FGM1" t="s">
        <v>5750</v>
      </c>
      <c r="FGN1" t="s">
        <v>5751</v>
      </c>
      <c r="FGO1" t="s">
        <v>5752</v>
      </c>
      <c r="FGP1" t="s">
        <v>5753</v>
      </c>
      <c r="FGQ1" t="s">
        <v>5754</v>
      </c>
      <c r="FGR1" t="s">
        <v>5755</v>
      </c>
      <c r="FGS1" t="s">
        <v>5756</v>
      </c>
      <c r="FGT1" t="s">
        <v>5757</v>
      </c>
      <c r="FGU1" t="s">
        <v>5758</v>
      </c>
      <c r="FGV1" t="s">
        <v>5759</v>
      </c>
      <c r="FGW1" t="s">
        <v>5760</v>
      </c>
      <c r="FGX1" t="s">
        <v>5761</v>
      </c>
      <c r="FGY1" t="s">
        <v>5762</v>
      </c>
      <c r="FGZ1" t="s">
        <v>5763</v>
      </c>
      <c r="FHA1" t="s">
        <v>5764</v>
      </c>
      <c r="FHB1" t="s">
        <v>5765</v>
      </c>
      <c r="FHC1" t="s">
        <v>5766</v>
      </c>
      <c r="FHD1" t="s">
        <v>5767</v>
      </c>
      <c r="FHE1" t="s">
        <v>5768</v>
      </c>
      <c r="FHF1" t="s">
        <v>5769</v>
      </c>
      <c r="FHG1" t="s">
        <v>5770</v>
      </c>
      <c r="FHH1" t="s">
        <v>5771</v>
      </c>
      <c r="FHI1" t="s">
        <v>5772</v>
      </c>
      <c r="FHJ1" t="s">
        <v>5773</v>
      </c>
      <c r="FHK1" t="s">
        <v>5774</v>
      </c>
      <c r="FHL1" t="s">
        <v>5775</v>
      </c>
      <c r="FHM1" t="s">
        <v>5776</v>
      </c>
      <c r="FHN1" t="s">
        <v>5777</v>
      </c>
      <c r="FHO1" t="s">
        <v>5778</v>
      </c>
      <c r="FHP1" t="s">
        <v>5779</v>
      </c>
      <c r="FHQ1" t="s">
        <v>5780</v>
      </c>
      <c r="FHR1" t="s">
        <v>5781</v>
      </c>
      <c r="FHS1" t="s">
        <v>5782</v>
      </c>
      <c r="FHT1" t="s">
        <v>5783</v>
      </c>
      <c r="FHU1" t="s">
        <v>5784</v>
      </c>
      <c r="FHV1" t="s">
        <v>5785</v>
      </c>
      <c r="FHW1" t="s">
        <v>5786</v>
      </c>
      <c r="FHX1" t="s">
        <v>5787</v>
      </c>
      <c r="FHY1" t="s">
        <v>5788</v>
      </c>
      <c r="FHZ1" t="s">
        <v>5789</v>
      </c>
      <c r="FIA1" t="s">
        <v>5790</v>
      </c>
      <c r="FIB1" t="s">
        <v>5791</v>
      </c>
      <c r="FIC1" t="s">
        <v>5792</v>
      </c>
      <c r="FID1" t="s">
        <v>5793</v>
      </c>
      <c r="FIE1" t="s">
        <v>5794</v>
      </c>
      <c r="FIF1" t="s">
        <v>5795</v>
      </c>
      <c r="FIG1" t="s">
        <v>5796</v>
      </c>
      <c r="FIH1" t="s">
        <v>5797</v>
      </c>
      <c r="FII1" t="s">
        <v>5798</v>
      </c>
      <c r="FIJ1" t="s">
        <v>5799</v>
      </c>
      <c r="FIK1" t="s">
        <v>5800</v>
      </c>
      <c r="FIL1" t="s">
        <v>5801</v>
      </c>
      <c r="FIM1" t="s">
        <v>5802</v>
      </c>
      <c r="FIN1" t="s">
        <v>5803</v>
      </c>
      <c r="FIO1" t="s">
        <v>5804</v>
      </c>
      <c r="FIP1" t="s">
        <v>5805</v>
      </c>
      <c r="FIQ1" t="s">
        <v>5806</v>
      </c>
      <c r="FIR1" t="s">
        <v>5807</v>
      </c>
      <c r="FIS1" t="s">
        <v>5808</v>
      </c>
      <c r="FIT1" t="s">
        <v>5809</v>
      </c>
      <c r="FIU1" t="s">
        <v>5810</v>
      </c>
      <c r="FIV1" t="s">
        <v>5811</v>
      </c>
      <c r="FIW1" t="s">
        <v>5812</v>
      </c>
      <c r="FIX1" t="s">
        <v>5813</v>
      </c>
      <c r="FIY1" t="s">
        <v>5814</v>
      </c>
      <c r="FIZ1" t="s">
        <v>5815</v>
      </c>
      <c r="FJA1" t="s">
        <v>5816</v>
      </c>
      <c r="FJB1" t="s">
        <v>5817</v>
      </c>
      <c r="FJC1" t="s">
        <v>5818</v>
      </c>
      <c r="FJD1" t="s">
        <v>5819</v>
      </c>
      <c r="FJE1" t="s">
        <v>5820</v>
      </c>
      <c r="FJF1" t="s">
        <v>5821</v>
      </c>
      <c r="FJG1" t="s">
        <v>5822</v>
      </c>
      <c r="FJH1" t="s">
        <v>5823</v>
      </c>
      <c r="FJI1" t="s">
        <v>5824</v>
      </c>
      <c r="FJJ1" t="s">
        <v>5825</v>
      </c>
      <c r="FJK1" t="s">
        <v>5826</v>
      </c>
      <c r="FJL1" t="s">
        <v>5827</v>
      </c>
      <c r="FJM1" t="s">
        <v>5828</v>
      </c>
      <c r="FJN1" t="s">
        <v>5829</v>
      </c>
      <c r="FJO1" t="s">
        <v>5830</v>
      </c>
      <c r="FJP1" t="s">
        <v>5831</v>
      </c>
      <c r="FJQ1" t="s">
        <v>5832</v>
      </c>
      <c r="FJR1" t="s">
        <v>5833</v>
      </c>
      <c r="FJS1" t="s">
        <v>5834</v>
      </c>
      <c r="FJT1" t="s">
        <v>5835</v>
      </c>
      <c r="FJU1" t="s">
        <v>5836</v>
      </c>
      <c r="FJV1" t="s">
        <v>5837</v>
      </c>
      <c r="FJW1" t="s">
        <v>5838</v>
      </c>
      <c r="FJX1" t="s">
        <v>5839</v>
      </c>
      <c r="FJY1" t="s">
        <v>5840</v>
      </c>
      <c r="FJZ1" t="s">
        <v>5841</v>
      </c>
      <c r="FKA1" t="s">
        <v>5842</v>
      </c>
      <c r="FKB1" t="s">
        <v>5843</v>
      </c>
      <c r="FKC1" t="s">
        <v>5844</v>
      </c>
      <c r="FKD1" t="s">
        <v>5845</v>
      </c>
      <c r="FKE1" t="s">
        <v>5846</v>
      </c>
      <c r="FKF1" t="s">
        <v>5847</v>
      </c>
      <c r="FKG1" t="s">
        <v>5848</v>
      </c>
      <c r="FKH1" t="s">
        <v>5849</v>
      </c>
      <c r="FKI1" t="s">
        <v>5850</v>
      </c>
      <c r="FKJ1" t="s">
        <v>5851</v>
      </c>
      <c r="FKK1" t="s">
        <v>5852</v>
      </c>
      <c r="FKL1" t="s">
        <v>5853</v>
      </c>
      <c r="FKM1" t="s">
        <v>5854</v>
      </c>
      <c r="FKN1" t="s">
        <v>5855</v>
      </c>
      <c r="FKO1" t="s">
        <v>5856</v>
      </c>
      <c r="FKP1" t="s">
        <v>5857</v>
      </c>
      <c r="FKQ1" t="s">
        <v>5858</v>
      </c>
      <c r="FKR1" t="s">
        <v>5859</v>
      </c>
      <c r="FKS1" t="s">
        <v>5860</v>
      </c>
      <c r="FKT1" t="s">
        <v>5861</v>
      </c>
      <c r="FKU1" t="s">
        <v>5862</v>
      </c>
      <c r="FKV1" t="s">
        <v>5863</v>
      </c>
      <c r="FKW1" t="s">
        <v>5864</v>
      </c>
      <c r="FKX1" t="s">
        <v>5865</v>
      </c>
      <c r="FKY1" t="s">
        <v>5866</v>
      </c>
      <c r="FKZ1" t="s">
        <v>5867</v>
      </c>
      <c r="FLA1" t="s">
        <v>5868</v>
      </c>
      <c r="FLB1" t="s">
        <v>5869</v>
      </c>
      <c r="FLC1" t="s">
        <v>5870</v>
      </c>
      <c r="FLD1" t="s">
        <v>5871</v>
      </c>
      <c r="FLE1" t="s">
        <v>5872</v>
      </c>
      <c r="FLF1" t="s">
        <v>5873</v>
      </c>
      <c r="FLG1" t="s">
        <v>5874</v>
      </c>
      <c r="FLH1" t="s">
        <v>5875</v>
      </c>
      <c r="FLI1" t="s">
        <v>5876</v>
      </c>
      <c r="FLJ1" t="s">
        <v>5877</v>
      </c>
      <c r="FLK1" t="s">
        <v>5878</v>
      </c>
      <c r="FLL1" t="s">
        <v>5879</v>
      </c>
      <c r="FLM1" t="s">
        <v>5880</v>
      </c>
      <c r="FLN1" t="s">
        <v>5881</v>
      </c>
      <c r="FLO1" t="s">
        <v>5882</v>
      </c>
      <c r="FLP1" t="s">
        <v>5883</v>
      </c>
      <c r="FLQ1" t="s">
        <v>5884</v>
      </c>
      <c r="FLR1" t="s">
        <v>5885</v>
      </c>
      <c r="FLS1" t="s">
        <v>5886</v>
      </c>
      <c r="FLT1" t="s">
        <v>5887</v>
      </c>
      <c r="FLU1" t="s">
        <v>5888</v>
      </c>
      <c r="FLV1" t="s">
        <v>5889</v>
      </c>
      <c r="FLW1" t="s">
        <v>5890</v>
      </c>
      <c r="FLX1" t="s">
        <v>5891</v>
      </c>
      <c r="FLY1" t="s">
        <v>5892</v>
      </c>
      <c r="FLZ1" t="s">
        <v>5893</v>
      </c>
      <c r="FMA1" t="s">
        <v>5894</v>
      </c>
      <c r="FMB1" t="s">
        <v>5895</v>
      </c>
      <c r="FMC1" t="s">
        <v>5896</v>
      </c>
      <c r="FMD1" t="s">
        <v>5897</v>
      </c>
      <c r="FME1" t="s">
        <v>5898</v>
      </c>
      <c r="FMF1" t="s">
        <v>5899</v>
      </c>
      <c r="FMG1" t="s">
        <v>5900</v>
      </c>
      <c r="FMH1" t="s">
        <v>5901</v>
      </c>
      <c r="FMI1" t="s">
        <v>5902</v>
      </c>
      <c r="FMJ1" t="s">
        <v>5903</v>
      </c>
      <c r="FMK1" t="s">
        <v>5904</v>
      </c>
      <c r="FML1" t="s">
        <v>5905</v>
      </c>
      <c r="FMM1" t="s">
        <v>5906</v>
      </c>
      <c r="FMN1" t="s">
        <v>5907</v>
      </c>
      <c r="FMO1" t="s">
        <v>5908</v>
      </c>
      <c r="FMP1" t="s">
        <v>5909</v>
      </c>
      <c r="FMQ1" t="s">
        <v>5910</v>
      </c>
      <c r="FMR1" t="s">
        <v>5911</v>
      </c>
      <c r="FMS1" t="s">
        <v>5912</v>
      </c>
      <c r="FMT1" t="s">
        <v>5913</v>
      </c>
      <c r="FMU1" t="s">
        <v>5914</v>
      </c>
      <c r="FMV1" t="s">
        <v>5915</v>
      </c>
      <c r="FMW1" t="s">
        <v>5916</v>
      </c>
      <c r="FMX1" t="s">
        <v>5917</v>
      </c>
      <c r="FMY1" t="s">
        <v>5918</v>
      </c>
      <c r="FMZ1" t="s">
        <v>5919</v>
      </c>
      <c r="FNA1" t="s">
        <v>5920</v>
      </c>
      <c r="FNB1" t="s">
        <v>5921</v>
      </c>
      <c r="FNC1" t="s">
        <v>5922</v>
      </c>
      <c r="FND1" t="s">
        <v>5923</v>
      </c>
      <c r="FNE1" t="s">
        <v>5924</v>
      </c>
      <c r="FNF1" t="s">
        <v>5925</v>
      </c>
      <c r="FNG1" t="s">
        <v>5926</v>
      </c>
      <c r="FNH1" t="s">
        <v>5927</v>
      </c>
      <c r="FNI1" t="s">
        <v>5928</v>
      </c>
      <c r="FNJ1" t="s">
        <v>5929</v>
      </c>
      <c r="FNK1" t="s">
        <v>5930</v>
      </c>
      <c r="FNL1" t="s">
        <v>5931</v>
      </c>
      <c r="FNM1" t="s">
        <v>5932</v>
      </c>
      <c r="FNN1" t="s">
        <v>5933</v>
      </c>
      <c r="FNO1" t="s">
        <v>5934</v>
      </c>
      <c r="FNP1" t="s">
        <v>5935</v>
      </c>
      <c r="FNQ1" t="s">
        <v>5936</v>
      </c>
      <c r="FNR1" t="s">
        <v>5937</v>
      </c>
      <c r="FNS1" t="s">
        <v>5938</v>
      </c>
      <c r="FNT1" t="s">
        <v>5939</v>
      </c>
      <c r="FNU1" t="s">
        <v>5940</v>
      </c>
      <c r="FNV1" t="s">
        <v>5941</v>
      </c>
      <c r="FNW1" t="s">
        <v>5942</v>
      </c>
      <c r="FNX1" t="s">
        <v>5943</v>
      </c>
      <c r="FNY1" t="s">
        <v>5944</v>
      </c>
      <c r="FNZ1" t="s">
        <v>5945</v>
      </c>
      <c r="FOA1" t="s">
        <v>5946</v>
      </c>
      <c r="FOB1" t="s">
        <v>5947</v>
      </c>
      <c r="FOC1" t="s">
        <v>5948</v>
      </c>
      <c r="FOD1" t="s">
        <v>5949</v>
      </c>
      <c r="FOE1" t="s">
        <v>5950</v>
      </c>
      <c r="FOF1" t="s">
        <v>5951</v>
      </c>
      <c r="FOG1" t="s">
        <v>5952</v>
      </c>
      <c r="FOH1" t="s">
        <v>5953</v>
      </c>
      <c r="FOI1" t="s">
        <v>5954</v>
      </c>
      <c r="FOJ1" t="s">
        <v>5955</v>
      </c>
      <c r="FOK1" t="s">
        <v>5956</v>
      </c>
      <c r="FOL1" t="s">
        <v>5957</v>
      </c>
      <c r="FOM1" t="s">
        <v>5958</v>
      </c>
      <c r="FON1" t="s">
        <v>5959</v>
      </c>
      <c r="FOO1" t="s">
        <v>5960</v>
      </c>
      <c r="FOP1" t="s">
        <v>5961</v>
      </c>
      <c r="FOQ1" t="s">
        <v>5962</v>
      </c>
      <c r="FOR1" t="s">
        <v>5963</v>
      </c>
      <c r="FOS1" t="s">
        <v>5964</v>
      </c>
      <c r="FOT1" t="s">
        <v>5965</v>
      </c>
      <c r="FOU1" t="s">
        <v>5966</v>
      </c>
      <c r="FOV1" t="s">
        <v>5967</v>
      </c>
      <c r="FOW1" t="s">
        <v>5968</v>
      </c>
      <c r="FOX1" t="s">
        <v>5969</v>
      </c>
      <c r="FOY1" t="s">
        <v>5970</v>
      </c>
      <c r="FOZ1" t="s">
        <v>5971</v>
      </c>
      <c r="FPA1" t="s">
        <v>5972</v>
      </c>
      <c r="FPB1" t="s">
        <v>5973</v>
      </c>
      <c r="FPC1" t="s">
        <v>5974</v>
      </c>
      <c r="FPD1" t="s">
        <v>5975</v>
      </c>
      <c r="FPE1" t="s">
        <v>5976</v>
      </c>
      <c r="FPF1" t="s">
        <v>5977</v>
      </c>
      <c r="FPG1" t="s">
        <v>5978</v>
      </c>
      <c r="FPH1" t="s">
        <v>5979</v>
      </c>
      <c r="FPI1" t="s">
        <v>5980</v>
      </c>
      <c r="FPJ1" t="s">
        <v>5981</v>
      </c>
      <c r="FPK1" t="s">
        <v>5982</v>
      </c>
      <c r="FPL1" t="s">
        <v>5983</v>
      </c>
      <c r="FPM1" t="s">
        <v>5984</v>
      </c>
      <c r="FPN1" t="s">
        <v>5985</v>
      </c>
      <c r="FPO1" t="s">
        <v>5986</v>
      </c>
      <c r="FPP1" t="s">
        <v>5987</v>
      </c>
      <c r="FPQ1" t="s">
        <v>5988</v>
      </c>
      <c r="FPR1" t="s">
        <v>5989</v>
      </c>
      <c r="FPS1" t="s">
        <v>5990</v>
      </c>
      <c r="FPT1" t="s">
        <v>5991</v>
      </c>
      <c r="FPU1" t="s">
        <v>5992</v>
      </c>
      <c r="FPV1" t="s">
        <v>5993</v>
      </c>
      <c r="FPW1" t="s">
        <v>5994</v>
      </c>
      <c r="FPX1" t="s">
        <v>5995</v>
      </c>
      <c r="FPY1" t="s">
        <v>5996</v>
      </c>
      <c r="FPZ1" t="s">
        <v>5997</v>
      </c>
      <c r="FQA1" t="s">
        <v>5998</v>
      </c>
      <c r="FQB1" t="s">
        <v>5999</v>
      </c>
      <c r="FQC1" t="s">
        <v>6000</v>
      </c>
      <c r="FQD1" t="s">
        <v>6001</v>
      </c>
      <c r="FQE1" t="s">
        <v>6002</v>
      </c>
      <c r="FQF1" t="s">
        <v>6003</v>
      </c>
      <c r="FQG1" t="s">
        <v>6004</v>
      </c>
      <c r="FQH1" t="s">
        <v>6005</v>
      </c>
      <c r="FQI1" t="s">
        <v>6006</v>
      </c>
      <c r="FQJ1" t="s">
        <v>6007</v>
      </c>
      <c r="FQK1" t="s">
        <v>6008</v>
      </c>
      <c r="FQL1" t="s">
        <v>6009</v>
      </c>
      <c r="FQM1" t="s">
        <v>6010</v>
      </c>
      <c r="FQN1" t="s">
        <v>6011</v>
      </c>
      <c r="FQO1" t="s">
        <v>6012</v>
      </c>
      <c r="FQP1" t="s">
        <v>6013</v>
      </c>
      <c r="FQQ1" t="s">
        <v>6014</v>
      </c>
      <c r="FQR1" t="s">
        <v>6015</v>
      </c>
      <c r="FQS1" t="s">
        <v>6016</v>
      </c>
      <c r="FQT1" t="s">
        <v>6017</v>
      </c>
      <c r="FQU1" t="s">
        <v>6018</v>
      </c>
      <c r="FQV1" t="s">
        <v>6019</v>
      </c>
      <c r="FQW1" t="s">
        <v>6020</v>
      </c>
      <c r="FQX1" t="s">
        <v>6021</v>
      </c>
      <c r="FQY1" t="s">
        <v>6022</v>
      </c>
      <c r="FQZ1" t="s">
        <v>6023</v>
      </c>
      <c r="FRA1" t="s">
        <v>6024</v>
      </c>
      <c r="FRB1" t="s">
        <v>6025</v>
      </c>
      <c r="FRC1" t="s">
        <v>6026</v>
      </c>
      <c r="FRD1" t="s">
        <v>6027</v>
      </c>
      <c r="FRE1" t="s">
        <v>6028</v>
      </c>
      <c r="FRF1" t="s">
        <v>6029</v>
      </c>
      <c r="FRG1" t="s">
        <v>6030</v>
      </c>
      <c r="FRH1" t="s">
        <v>6031</v>
      </c>
      <c r="FRI1" t="s">
        <v>6032</v>
      </c>
      <c r="FRJ1" t="s">
        <v>6033</v>
      </c>
      <c r="FRK1" t="s">
        <v>6034</v>
      </c>
      <c r="FRL1" t="s">
        <v>6035</v>
      </c>
      <c r="FRM1" t="s">
        <v>6036</v>
      </c>
      <c r="FRN1" t="s">
        <v>6037</v>
      </c>
      <c r="FRO1" t="s">
        <v>6038</v>
      </c>
      <c r="FRP1" t="s">
        <v>6039</v>
      </c>
      <c r="FRQ1" t="s">
        <v>6040</v>
      </c>
      <c r="FRR1" t="s">
        <v>6041</v>
      </c>
      <c r="FRS1" t="s">
        <v>6042</v>
      </c>
      <c r="FRT1" t="s">
        <v>6043</v>
      </c>
      <c r="FRU1" t="s">
        <v>6044</v>
      </c>
      <c r="FRV1" t="s">
        <v>6045</v>
      </c>
      <c r="FRW1" t="s">
        <v>6046</v>
      </c>
      <c r="FRX1" t="s">
        <v>6047</v>
      </c>
      <c r="FRY1" t="s">
        <v>6048</v>
      </c>
      <c r="FRZ1" t="s">
        <v>6049</v>
      </c>
      <c r="FSA1" t="s">
        <v>6050</v>
      </c>
      <c r="FSB1" t="s">
        <v>6051</v>
      </c>
      <c r="FSC1" t="s">
        <v>6052</v>
      </c>
      <c r="FSD1" t="s">
        <v>6053</v>
      </c>
      <c r="FSE1" t="s">
        <v>6054</v>
      </c>
      <c r="FSF1" t="s">
        <v>6055</v>
      </c>
      <c r="FSG1" t="s">
        <v>6056</v>
      </c>
      <c r="FSH1" t="s">
        <v>6057</v>
      </c>
      <c r="FSI1" t="s">
        <v>6058</v>
      </c>
      <c r="FSJ1" t="s">
        <v>6059</v>
      </c>
      <c r="FSK1" t="s">
        <v>6060</v>
      </c>
      <c r="FSL1" t="s">
        <v>6061</v>
      </c>
      <c r="FSM1" t="s">
        <v>6062</v>
      </c>
      <c r="FSN1" t="s">
        <v>6063</v>
      </c>
      <c r="FSO1" t="s">
        <v>6064</v>
      </c>
      <c r="FSP1" t="s">
        <v>6065</v>
      </c>
      <c r="FSQ1" t="s">
        <v>6066</v>
      </c>
      <c r="FSR1" t="s">
        <v>6067</v>
      </c>
      <c r="FSS1" t="s">
        <v>6068</v>
      </c>
      <c r="FST1" t="s">
        <v>6069</v>
      </c>
      <c r="FSU1" t="s">
        <v>6070</v>
      </c>
      <c r="FSV1" t="s">
        <v>6071</v>
      </c>
      <c r="FSW1" t="s">
        <v>6072</v>
      </c>
      <c r="FSX1" t="s">
        <v>6073</v>
      </c>
      <c r="FSY1" t="s">
        <v>6074</v>
      </c>
      <c r="FSZ1" t="s">
        <v>6075</v>
      </c>
      <c r="FTA1" t="s">
        <v>6076</v>
      </c>
      <c r="FTB1" t="s">
        <v>6077</v>
      </c>
      <c r="FTC1" t="s">
        <v>6078</v>
      </c>
      <c r="FTD1" t="s">
        <v>6079</v>
      </c>
      <c r="FTE1" t="s">
        <v>6080</v>
      </c>
      <c r="FTF1" t="s">
        <v>6081</v>
      </c>
      <c r="FTG1" t="s">
        <v>6082</v>
      </c>
      <c r="FTH1" t="s">
        <v>6083</v>
      </c>
      <c r="FTI1" t="s">
        <v>6084</v>
      </c>
      <c r="FTJ1" t="s">
        <v>6085</v>
      </c>
      <c r="FTK1" t="s">
        <v>6086</v>
      </c>
      <c r="FTL1" t="s">
        <v>6087</v>
      </c>
      <c r="FTM1" t="s">
        <v>6088</v>
      </c>
      <c r="FTN1" t="s">
        <v>6089</v>
      </c>
      <c r="FTO1" t="s">
        <v>6090</v>
      </c>
      <c r="FTP1" t="s">
        <v>6091</v>
      </c>
      <c r="FTQ1" t="s">
        <v>6092</v>
      </c>
      <c r="FTR1" t="s">
        <v>6093</v>
      </c>
      <c r="FTS1" t="s">
        <v>6094</v>
      </c>
      <c r="FTT1" t="s">
        <v>6095</v>
      </c>
      <c r="FTU1" t="s">
        <v>6096</v>
      </c>
      <c r="FTV1" t="s">
        <v>6097</v>
      </c>
      <c r="FTW1" t="s">
        <v>6098</v>
      </c>
      <c r="FTX1" t="s">
        <v>6099</v>
      </c>
      <c r="FTY1" t="s">
        <v>6100</v>
      </c>
      <c r="FTZ1" t="s">
        <v>6101</v>
      </c>
      <c r="FUA1" t="s">
        <v>6102</v>
      </c>
      <c r="FUB1" t="s">
        <v>6103</v>
      </c>
      <c r="FUC1" t="s">
        <v>6104</v>
      </c>
      <c r="FUD1" t="s">
        <v>6105</v>
      </c>
      <c r="FUE1" t="s">
        <v>6106</v>
      </c>
      <c r="FUF1" t="s">
        <v>6107</v>
      </c>
      <c r="FUG1" t="s">
        <v>6108</v>
      </c>
      <c r="FUH1" t="s">
        <v>6109</v>
      </c>
      <c r="FUI1" t="s">
        <v>6110</v>
      </c>
      <c r="FUJ1" t="s">
        <v>6111</v>
      </c>
      <c r="FUK1" t="s">
        <v>6112</v>
      </c>
      <c r="FUL1" t="s">
        <v>6113</v>
      </c>
      <c r="FUM1" t="s">
        <v>6114</v>
      </c>
      <c r="FUN1" t="s">
        <v>6115</v>
      </c>
      <c r="FUO1" t="s">
        <v>6116</v>
      </c>
      <c r="FUP1" t="s">
        <v>6117</v>
      </c>
      <c r="FUQ1" t="s">
        <v>6118</v>
      </c>
      <c r="FUR1" t="s">
        <v>6119</v>
      </c>
      <c r="FUS1" t="s">
        <v>6120</v>
      </c>
      <c r="FUT1" t="s">
        <v>6121</v>
      </c>
      <c r="FUU1" t="s">
        <v>6122</v>
      </c>
      <c r="FUV1" t="s">
        <v>6123</v>
      </c>
      <c r="FUW1" t="s">
        <v>6124</v>
      </c>
      <c r="FUX1" t="s">
        <v>6125</v>
      </c>
      <c r="FUY1" t="s">
        <v>6126</v>
      </c>
      <c r="FUZ1" t="s">
        <v>6127</v>
      </c>
      <c r="FVA1" t="s">
        <v>6128</v>
      </c>
      <c r="FVB1" t="s">
        <v>6129</v>
      </c>
      <c r="FVC1" t="s">
        <v>6130</v>
      </c>
      <c r="FVD1" t="s">
        <v>6131</v>
      </c>
      <c r="FVE1" t="s">
        <v>6132</v>
      </c>
      <c r="FVF1" t="s">
        <v>6133</v>
      </c>
      <c r="FVG1" t="s">
        <v>6134</v>
      </c>
      <c r="FVH1" t="s">
        <v>6135</v>
      </c>
      <c r="FVI1" t="s">
        <v>6136</v>
      </c>
      <c r="FVJ1" t="s">
        <v>6137</v>
      </c>
      <c r="FVK1" t="s">
        <v>6138</v>
      </c>
      <c r="FVL1" t="s">
        <v>6139</v>
      </c>
      <c r="FVM1" t="s">
        <v>6140</v>
      </c>
      <c r="FVN1" t="s">
        <v>6141</v>
      </c>
      <c r="FVO1" t="s">
        <v>6142</v>
      </c>
      <c r="FVP1" t="s">
        <v>6143</v>
      </c>
      <c r="FVQ1" t="s">
        <v>6144</v>
      </c>
      <c r="FVR1" t="s">
        <v>6145</v>
      </c>
      <c r="FVS1" t="s">
        <v>6146</v>
      </c>
      <c r="FVT1" t="s">
        <v>6147</v>
      </c>
      <c r="FVU1" t="s">
        <v>6148</v>
      </c>
      <c r="FVV1" t="s">
        <v>6149</v>
      </c>
      <c r="FVW1" t="s">
        <v>6150</v>
      </c>
      <c r="FVX1" t="s">
        <v>6151</v>
      </c>
      <c r="FVY1" t="s">
        <v>6152</v>
      </c>
      <c r="FVZ1" t="s">
        <v>6153</v>
      </c>
      <c r="FWA1" t="s">
        <v>6154</v>
      </c>
      <c r="FWB1" t="s">
        <v>6155</v>
      </c>
      <c r="FWC1" t="s">
        <v>6156</v>
      </c>
      <c r="FWD1" t="s">
        <v>6157</v>
      </c>
      <c r="FWE1" t="s">
        <v>6158</v>
      </c>
      <c r="FWF1" t="s">
        <v>6159</v>
      </c>
      <c r="FWG1" t="s">
        <v>6160</v>
      </c>
      <c r="FWH1" t="s">
        <v>6161</v>
      </c>
      <c r="FWI1" t="s">
        <v>6162</v>
      </c>
      <c r="FWJ1" t="s">
        <v>6163</v>
      </c>
      <c r="FWK1" t="s">
        <v>6164</v>
      </c>
      <c r="FWL1" t="s">
        <v>6165</v>
      </c>
      <c r="FWM1" t="s">
        <v>6166</v>
      </c>
      <c r="FWN1" t="s">
        <v>6167</v>
      </c>
      <c r="FWO1" t="s">
        <v>6168</v>
      </c>
      <c r="FWP1" t="s">
        <v>6169</v>
      </c>
      <c r="FWQ1" t="s">
        <v>6170</v>
      </c>
      <c r="FWR1" t="s">
        <v>6171</v>
      </c>
      <c r="FWS1" t="s">
        <v>6172</v>
      </c>
      <c r="FWT1" t="s">
        <v>6173</v>
      </c>
      <c r="FWU1" t="s">
        <v>6174</v>
      </c>
      <c r="FWV1" t="s">
        <v>6175</v>
      </c>
      <c r="FWW1" t="s">
        <v>6176</v>
      </c>
      <c r="FWX1" t="s">
        <v>6177</v>
      </c>
      <c r="FWY1" t="s">
        <v>6178</v>
      </c>
      <c r="FWZ1" t="s">
        <v>6179</v>
      </c>
      <c r="FXA1" t="s">
        <v>6180</v>
      </c>
      <c r="FXB1" t="s">
        <v>6181</v>
      </c>
      <c r="FXC1" t="s">
        <v>6182</v>
      </c>
      <c r="FXD1" t="s">
        <v>6183</v>
      </c>
      <c r="FXE1" t="s">
        <v>6184</v>
      </c>
      <c r="FXF1" t="s">
        <v>6185</v>
      </c>
      <c r="FXG1" t="s">
        <v>6186</v>
      </c>
      <c r="FXH1" t="s">
        <v>6187</v>
      </c>
      <c r="FXI1" t="s">
        <v>6188</v>
      </c>
      <c r="FXJ1" t="s">
        <v>6189</v>
      </c>
      <c r="FXK1" t="s">
        <v>6190</v>
      </c>
      <c r="FXL1" t="s">
        <v>6191</v>
      </c>
      <c r="FXM1" t="s">
        <v>6192</v>
      </c>
      <c r="FXN1" t="s">
        <v>6193</v>
      </c>
      <c r="FXO1" t="s">
        <v>6194</v>
      </c>
      <c r="FXP1" t="s">
        <v>6195</v>
      </c>
      <c r="FXQ1" t="s">
        <v>6196</v>
      </c>
      <c r="FXR1" t="s">
        <v>6197</v>
      </c>
      <c r="FXS1" t="s">
        <v>6198</v>
      </c>
      <c r="FXT1" t="s">
        <v>6199</v>
      </c>
      <c r="FXU1" t="s">
        <v>6200</v>
      </c>
      <c r="FXV1" t="s">
        <v>6201</v>
      </c>
      <c r="FXW1" t="s">
        <v>6202</v>
      </c>
      <c r="FXX1" t="s">
        <v>6203</v>
      </c>
      <c r="FXY1" t="s">
        <v>6204</v>
      </c>
      <c r="FXZ1" t="s">
        <v>6205</v>
      </c>
      <c r="FYA1" t="s">
        <v>6206</v>
      </c>
      <c r="FYB1" t="s">
        <v>6207</v>
      </c>
      <c r="FYC1" t="s">
        <v>6208</v>
      </c>
      <c r="FYD1" t="s">
        <v>6209</v>
      </c>
      <c r="FYE1" t="s">
        <v>6210</v>
      </c>
      <c r="FYF1" t="s">
        <v>6211</v>
      </c>
      <c r="FYG1" t="s">
        <v>6212</v>
      </c>
      <c r="FYH1" t="s">
        <v>6213</v>
      </c>
      <c r="FYI1" t="s">
        <v>6214</v>
      </c>
      <c r="FYJ1" t="s">
        <v>6215</v>
      </c>
      <c r="FYK1" t="s">
        <v>6216</v>
      </c>
      <c r="FYL1" t="s">
        <v>6217</v>
      </c>
      <c r="FYM1" t="s">
        <v>6218</v>
      </c>
      <c r="FYN1" t="s">
        <v>6219</v>
      </c>
      <c r="FYO1" t="s">
        <v>6220</v>
      </c>
      <c r="FYP1" t="s">
        <v>6221</v>
      </c>
      <c r="FYQ1" t="s">
        <v>6222</v>
      </c>
      <c r="FYR1" t="s">
        <v>6223</v>
      </c>
      <c r="FYS1" t="s">
        <v>6224</v>
      </c>
      <c r="FYT1" t="s">
        <v>6225</v>
      </c>
      <c r="FYU1" t="s">
        <v>6226</v>
      </c>
      <c r="FYV1" t="s">
        <v>6227</v>
      </c>
      <c r="FYW1" t="s">
        <v>6228</v>
      </c>
      <c r="FYX1" t="s">
        <v>6229</v>
      </c>
      <c r="FYY1" t="s">
        <v>6230</v>
      </c>
      <c r="FYZ1" t="s">
        <v>6231</v>
      </c>
      <c r="FZA1" t="s">
        <v>6232</v>
      </c>
      <c r="FZB1" t="s">
        <v>6233</v>
      </c>
      <c r="FZC1" t="s">
        <v>6234</v>
      </c>
      <c r="FZD1" t="s">
        <v>6235</v>
      </c>
      <c r="FZE1" t="s">
        <v>6236</v>
      </c>
      <c r="FZF1" t="s">
        <v>6237</v>
      </c>
      <c r="FZG1" t="s">
        <v>6238</v>
      </c>
      <c r="FZH1" t="s">
        <v>6239</v>
      </c>
      <c r="FZI1" t="s">
        <v>6240</v>
      </c>
      <c r="FZJ1" t="s">
        <v>6241</v>
      </c>
      <c r="FZK1" t="s">
        <v>6242</v>
      </c>
      <c r="FZL1" t="s">
        <v>6243</v>
      </c>
      <c r="FZM1" t="s">
        <v>6244</v>
      </c>
      <c r="FZN1" t="s">
        <v>6245</v>
      </c>
      <c r="FZO1" t="s">
        <v>6246</v>
      </c>
      <c r="FZP1" t="s">
        <v>6247</v>
      </c>
      <c r="FZQ1" t="s">
        <v>6248</v>
      </c>
      <c r="FZR1" t="s">
        <v>6249</v>
      </c>
      <c r="FZS1" t="s">
        <v>6250</v>
      </c>
      <c r="FZT1" t="s">
        <v>6251</v>
      </c>
      <c r="FZU1" t="s">
        <v>6252</v>
      </c>
      <c r="FZV1" t="s">
        <v>6253</v>
      </c>
      <c r="FZW1" t="s">
        <v>6254</v>
      </c>
      <c r="FZX1" t="s">
        <v>6255</v>
      </c>
      <c r="FZY1" t="s">
        <v>6256</v>
      </c>
      <c r="FZZ1" t="s">
        <v>6257</v>
      </c>
      <c r="GAA1" t="s">
        <v>6258</v>
      </c>
      <c r="GAB1" t="s">
        <v>6259</v>
      </c>
      <c r="GAC1" t="s">
        <v>6260</v>
      </c>
      <c r="GAD1" t="s">
        <v>6261</v>
      </c>
      <c r="GAE1" t="s">
        <v>6262</v>
      </c>
      <c r="GAF1" t="s">
        <v>6263</v>
      </c>
      <c r="GAG1" t="s">
        <v>6264</v>
      </c>
      <c r="GAH1" t="s">
        <v>6265</v>
      </c>
      <c r="GAI1" t="s">
        <v>6266</v>
      </c>
      <c r="GAJ1" t="s">
        <v>6267</v>
      </c>
      <c r="GAK1" t="s">
        <v>6268</v>
      </c>
      <c r="GAL1" t="s">
        <v>6269</v>
      </c>
      <c r="GAM1" t="s">
        <v>6270</v>
      </c>
      <c r="GAN1" t="s">
        <v>6271</v>
      </c>
      <c r="GAO1" t="s">
        <v>6272</v>
      </c>
      <c r="GAP1" t="s">
        <v>6273</v>
      </c>
      <c r="GAQ1" t="s">
        <v>6274</v>
      </c>
      <c r="GAR1" t="s">
        <v>6275</v>
      </c>
      <c r="GAS1" t="s">
        <v>6276</v>
      </c>
      <c r="GAT1" t="s">
        <v>6277</v>
      </c>
      <c r="GAU1" t="s">
        <v>6278</v>
      </c>
      <c r="GAV1" t="s">
        <v>6279</v>
      </c>
      <c r="GAW1" t="s">
        <v>6280</v>
      </c>
      <c r="GAX1" t="s">
        <v>6281</v>
      </c>
      <c r="GAY1" t="s">
        <v>6282</v>
      </c>
      <c r="GAZ1" t="s">
        <v>6283</v>
      </c>
      <c r="GBA1" t="s">
        <v>6284</v>
      </c>
      <c r="GBB1" t="s">
        <v>6285</v>
      </c>
      <c r="GBC1" t="s">
        <v>6286</v>
      </c>
      <c r="GBD1" t="s">
        <v>6287</v>
      </c>
      <c r="GBE1" t="s">
        <v>6288</v>
      </c>
      <c r="GBF1" t="s">
        <v>6289</v>
      </c>
      <c r="GBG1" t="s">
        <v>6290</v>
      </c>
      <c r="GBH1" t="s">
        <v>6291</v>
      </c>
      <c r="GBI1" t="s">
        <v>6292</v>
      </c>
      <c r="GBJ1" t="s">
        <v>6293</v>
      </c>
      <c r="GBK1" t="s">
        <v>6294</v>
      </c>
      <c r="GBL1" t="s">
        <v>6295</v>
      </c>
      <c r="GBM1" t="s">
        <v>6296</v>
      </c>
      <c r="GBN1" t="s">
        <v>6297</v>
      </c>
      <c r="GBO1" t="s">
        <v>6298</v>
      </c>
      <c r="GBP1" t="s">
        <v>6299</v>
      </c>
      <c r="GBQ1" t="s">
        <v>6300</v>
      </c>
      <c r="GBR1" t="s">
        <v>6301</v>
      </c>
      <c r="GBS1" t="s">
        <v>6302</v>
      </c>
      <c r="GBT1" t="s">
        <v>6303</v>
      </c>
      <c r="GBU1" t="s">
        <v>6304</v>
      </c>
      <c r="GBV1" t="s">
        <v>6305</v>
      </c>
      <c r="GBW1" t="s">
        <v>6306</v>
      </c>
      <c r="GBX1" t="s">
        <v>6307</v>
      </c>
      <c r="GBY1" t="s">
        <v>6308</v>
      </c>
      <c r="GBZ1" t="s">
        <v>6309</v>
      </c>
      <c r="GCA1" t="s">
        <v>6310</v>
      </c>
      <c r="GCB1" t="s">
        <v>6311</v>
      </c>
      <c r="GCC1" t="s">
        <v>6312</v>
      </c>
      <c r="GCD1" t="s">
        <v>6313</v>
      </c>
      <c r="GCE1" t="s">
        <v>6314</v>
      </c>
      <c r="GCF1" t="s">
        <v>6315</v>
      </c>
      <c r="GCG1" t="s">
        <v>6316</v>
      </c>
      <c r="GCH1" t="s">
        <v>6317</v>
      </c>
      <c r="GCI1" t="s">
        <v>6318</v>
      </c>
      <c r="GCJ1" t="s">
        <v>6319</v>
      </c>
      <c r="GCK1" t="s">
        <v>6320</v>
      </c>
      <c r="GCL1" t="s">
        <v>6321</v>
      </c>
      <c r="GCM1" t="s">
        <v>6322</v>
      </c>
      <c r="GCN1" t="s">
        <v>6323</v>
      </c>
      <c r="GCO1" t="s">
        <v>6324</v>
      </c>
      <c r="GCP1" t="s">
        <v>6325</v>
      </c>
      <c r="GCQ1" t="s">
        <v>6326</v>
      </c>
      <c r="GCR1" t="s">
        <v>6327</v>
      </c>
      <c r="GCS1" t="s">
        <v>6328</v>
      </c>
      <c r="GCT1" t="s">
        <v>6329</v>
      </c>
      <c r="GCU1" t="s">
        <v>6330</v>
      </c>
      <c r="GCV1" t="s">
        <v>6331</v>
      </c>
      <c r="GCW1" t="s">
        <v>6332</v>
      </c>
      <c r="GCX1" t="s">
        <v>6333</v>
      </c>
      <c r="GCY1" t="s">
        <v>6334</v>
      </c>
      <c r="GCZ1" t="s">
        <v>6335</v>
      </c>
      <c r="GDA1" t="s">
        <v>6336</v>
      </c>
      <c r="GDB1" t="s">
        <v>6337</v>
      </c>
      <c r="GDC1" t="s">
        <v>6338</v>
      </c>
      <c r="GDD1" t="s">
        <v>6339</v>
      </c>
      <c r="GDE1" t="s">
        <v>6340</v>
      </c>
      <c r="GDF1" t="s">
        <v>6341</v>
      </c>
      <c r="GDG1" t="s">
        <v>6342</v>
      </c>
      <c r="GDH1" t="s">
        <v>6343</v>
      </c>
      <c r="GDI1" t="s">
        <v>6344</v>
      </c>
      <c r="GDJ1" t="s">
        <v>6345</v>
      </c>
      <c r="GDK1" t="s">
        <v>6346</v>
      </c>
      <c r="GDL1" t="s">
        <v>6347</v>
      </c>
      <c r="GDM1" t="s">
        <v>6348</v>
      </c>
      <c r="GDN1" t="s">
        <v>6349</v>
      </c>
      <c r="GDO1" t="s">
        <v>6350</v>
      </c>
      <c r="GDP1" t="s">
        <v>6351</v>
      </c>
      <c r="GDQ1" t="s">
        <v>6352</v>
      </c>
      <c r="GDR1" t="s">
        <v>6353</v>
      </c>
      <c r="GDS1" t="s">
        <v>6354</v>
      </c>
      <c r="GDT1" t="s">
        <v>6355</v>
      </c>
      <c r="GDU1" t="s">
        <v>6356</v>
      </c>
      <c r="GDV1" t="s">
        <v>6357</v>
      </c>
      <c r="GDW1" t="s">
        <v>6358</v>
      </c>
      <c r="GDX1" t="s">
        <v>6359</v>
      </c>
      <c r="GDY1" t="s">
        <v>6360</v>
      </c>
      <c r="GDZ1" t="s">
        <v>6361</v>
      </c>
      <c r="GEA1" t="s">
        <v>6362</v>
      </c>
      <c r="GEB1" t="s">
        <v>6363</v>
      </c>
      <c r="GEC1" t="s">
        <v>6364</v>
      </c>
      <c r="GED1" t="s">
        <v>6365</v>
      </c>
      <c r="GEE1" t="s">
        <v>6366</v>
      </c>
      <c r="GEF1" t="s">
        <v>6367</v>
      </c>
      <c r="GEG1" t="s">
        <v>6368</v>
      </c>
      <c r="GEH1" t="s">
        <v>6369</v>
      </c>
      <c r="GEI1" t="s">
        <v>6370</v>
      </c>
      <c r="GEJ1" t="s">
        <v>6371</v>
      </c>
      <c r="GEK1" t="s">
        <v>6372</v>
      </c>
      <c r="GEL1" t="s">
        <v>6373</v>
      </c>
      <c r="GEM1" t="s">
        <v>6374</v>
      </c>
      <c r="GEN1" t="s">
        <v>6375</v>
      </c>
      <c r="GEO1" t="s">
        <v>6376</v>
      </c>
      <c r="GEP1" t="s">
        <v>6377</v>
      </c>
      <c r="GEQ1" t="s">
        <v>6378</v>
      </c>
      <c r="GER1" t="s">
        <v>6379</v>
      </c>
      <c r="GES1" t="s">
        <v>6380</v>
      </c>
      <c r="GET1" t="s">
        <v>6381</v>
      </c>
      <c r="GEU1" t="s">
        <v>6382</v>
      </c>
      <c r="GEV1" t="s">
        <v>6383</v>
      </c>
      <c r="GEW1" t="s">
        <v>6384</v>
      </c>
      <c r="GEX1" t="s">
        <v>6385</v>
      </c>
      <c r="GEY1" t="s">
        <v>6386</v>
      </c>
      <c r="GEZ1" t="s">
        <v>6387</v>
      </c>
      <c r="GFA1" t="s">
        <v>6388</v>
      </c>
      <c r="GFB1" t="s">
        <v>6389</v>
      </c>
      <c r="GFC1" t="s">
        <v>6390</v>
      </c>
      <c r="GFD1" t="s">
        <v>6391</v>
      </c>
      <c r="GFE1" t="s">
        <v>6392</v>
      </c>
      <c r="GFF1" t="s">
        <v>6393</v>
      </c>
      <c r="GFG1" t="s">
        <v>6394</v>
      </c>
      <c r="GFH1" t="s">
        <v>6395</v>
      </c>
      <c r="GFI1" t="s">
        <v>6396</v>
      </c>
      <c r="GFJ1" t="s">
        <v>6397</v>
      </c>
      <c r="GFK1" t="s">
        <v>6398</v>
      </c>
      <c r="GFL1" t="s">
        <v>6399</v>
      </c>
      <c r="GFM1" t="s">
        <v>6400</v>
      </c>
      <c r="GFN1" t="s">
        <v>6401</v>
      </c>
      <c r="GFO1" t="s">
        <v>6402</v>
      </c>
      <c r="GFP1" t="s">
        <v>6403</v>
      </c>
      <c r="GFQ1" t="s">
        <v>6404</v>
      </c>
      <c r="GFR1" t="s">
        <v>6405</v>
      </c>
      <c r="GFS1" t="s">
        <v>6406</v>
      </c>
      <c r="GFT1" t="s">
        <v>6407</v>
      </c>
      <c r="GFU1" t="s">
        <v>6408</v>
      </c>
      <c r="GFV1" t="s">
        <v>6409</v>
      </c>
      <c r="GFW1" t="s">
        <v>6410</v>
      </c>
      <c r="GFX1" t="s">
        <v>6411</v>
      </c>
      <c r="GFY1" t="s">
        <v>6412</v>
      </c>
      <c r="GFZ1" t="s">
        <v>6413</v>
      </c>
      <c r="GGA1" t="s">
        <v>6414</v>
      </c>
      <c r="GGB1" t="s">
        <v>6415</v>
      </c>
      <c r="GGC1" t="s">
        <v>6416</v>
      </c>
      <c r="GGD1" t="s">
        <v>6417</v>
      </c>
      <c r="GGE1" t="s">
        <v>6418</v>
      </c>
      <c r="GGF1" t="s">
        <v>6419</v>
      </c>
      <c r="GGG1" t="s">
        <v>6420</v>
      </c>
      <c r="GGH1" t="s">
        <v>6421</v>
      </c>
      <c r="GGI1" t="s">
        <v>6422</v>
      </c>
      <c r="GGJ1" t="s">
        <v>6423</v>
      </c>
      <c r="GGK1" t="s">
        <v>6424</v>
      </c>
      <c r="GGL1" t="s">
        <v>6425</v>
      </c>
      <c r="GGM1" t="s">
        <v>6426</v>
      </c>
      <c r="GGN1" t="s">
        <v>6427</v>
      </c>
      <c r="GGO1" t="s">
        <v>6428</v>
      </c>
      <c r="GGP1" t="s">
        <v>6429</v>
      </c>
      <c r="GGQ1" t="s">
        <v>6430</v>
      </c>
      <c r="GGR1" t="s">
        <v>6431</v>
      </c>
      <c r="GGS1" t="s">
        <v>6432</v>
      </c>
      <c r="GGT1" t="s">
        <v>6433</v>
      </c>
      <c r="GGU1" t="s">
        <v>6434</v>
      </c>
      <c r="GGV1" t="s">
        <v>6435</v>
      </c>
      <c r="GGW1" t="s">
        <v>6436</v>
      </c>
      <c r="GGX1" t="s">
        <v>6437</v>
      </c>
      <c r="GGY1" t="s">
        <v>6438</v>
      </c>
      <c r="GGZ1" t="s">
        <v>6439</v>
      </c>
      <c r="GHA1" t="s">
        <v>6440</v>
      </c>
      <c r="GHB1" t="s">
        <v>6441</v>
      </c>
      <c r="GHC1" t="s">
        <v>6442</v>
      </c>
      <c r="GHD1" t="s">
        <v>6443</v>
      </c>
      <c r="GHE1" t="s">
        <v>6444</v>
      </c>
      <c r="GHF1" t="s">
        <v>6445</v>
      </c>
      <c r="GHG1" t="s">
        <v>6446</v>
      </c>
      <c r="GHH1" t="s">
        <v>6447</v>
      </c>
      <c r="GHI1" t="s">
        <v>6448</v>
      </c>
      <c r="GHJ1" t="s">
        <v>6449</v>
      </c>
      <c r="GHK1" t="s">
        <v>6450</v>
      </c>
      <c r="GHL1" t="s">
        <v>6451</v>
      </c>
      <c r="GHM1" t="s">
        <v>6452</v>
      </c>
      <c r="GHN1" t="s">
        <v>6453</v>
      </c>
      <c r="GHO1" t="s">
        <v>6454</v>
      </c>
      <c r="GHP1" t="s">
        <v>6455</v>
      </c>
      <c r="GHQ1" t="s">
        <v>6456</v>
      </c>
      <c r="GHR1" t="s">
        <v>6457</v>
      </c>
      <c r="GHS1" t="s">
        <v>6458</v>
      </c>
      <c r="GHT1" t="s">
        <v>6459</v>
      </c>
      <c r="GHU1" t="s">
        <v>6460</v>
      </c>
      <c r="GHV1" t="s">
        <v>6461</v>
      </c>
      <c r="GHW1" t="s">
        <v>6462</v>
      </c>
      <c r="GHX1" t="s">
        <v>6463</v>
      </c>
      <c r="GHY1" t="s">
        <v>6464</v>
      </c>
      <c r="GHZ1" t="s">
        <v>6465</v>
      </c>
      <c r="GIA1" t="s">
        <v>6466</v>
      </c>
      <c r="GIB1" t="s">
        <v>6467</v>
      </c>
      <c r="GIC1" t="s">
        <v>6468</v>
      </c>
      <c r="GID1" t="s">
        <v>6469</v>
      </c>
      <c r="GIE1" t="s">
        <v>6470</v>
      </c>
      <c r="GIF1" t="s">
        <v>6471</v>
      </c>
      <c r="GIG1" t="s">
        <v>6472</v>
      </c>
      <c r="GIH1" t="s">
        <v>6473</v>
      </c>
      <c r="GII1" t="s">
        <v>6474</v>
      </c>
      <c r="GIJ1" t="s">
        <v>6475</v>
      </c>
      <c r="GIK1" t="s">
        <v>6476</v>
      </c>
      <c r="GIL1" t="s">
        <v>6477</v>
      </c>
      <c r="GIM1" t="s">
        <v>6478</v>
      </c>
      <c r="GIN1" t="s">
        <v>6479</v>
      </c>
      <c r="GIO1" t="s">
        <v>6480</v>
      </c>
      <c r="GIP1" t="s">
        <v>6481</v>
      </c>
      <c r="GIQ1" t="s">
        <v>6482</v>
      </c>
      <c r="GIR1" t="s">
        <v>6483</v>
      </c>
      <c r="GIS1" t="s">
        <v>6484</v>
      </c>
      <c r="GIT1" t="s">
        <v>6485</v>
      </c>
      <c r="GIU1" t="s">
        <v>6486</v>
      </c>
      <c r="GIV1" t="s">
        <v>6487</v>
      </c>
      <c r="GIW1" t="s">
        <v>6488</v>
      </c>
      <c r="GIX1" t="s">
        <v>6489</v>
      </c>
      <c r="GIY1" t="s">
        <v>6490</v>
      </c>
      <c r="GIZ1" t="s">
        <v>6491</v>
      </c>
      <c r="GJA1" t="s">
        <v>6492</v>
      </c>
      <c r="GJB1" t="s">
        <v>6493</v>
      </c>
      <c r="GJC1" t="s">
        <v>6494</v>
      </c>
      <c r="GJD1" t="s">
        <v>6495</v>
      </c>
      <c r="GJE1" t="s">
        <v>6496</v>
      </c>
      <c r="GJF1" t="s">
        <v>6497</v>
      </c>
      <c r="GJG1" t="s">
        <v>6498</v>
      </c>
      <c r="GJH1" t="s">
        <v>6499</v>
      </c>
      <c r="GJI1" t="s">
        <v>6500</v>
      </c>
      <c r="GJJ1" t="s">
        <v>6501</v>
      </c>
      <c r="GJK1" t="s">
        <v>6502</v>
      </c>
      <c r="GJL1" t="s">
        <v>6503</v>
      </c>
      <c r="GJM1" t="s">
        <v>6504</v>
      </c>
      <c r="GJN1" t="s">
        <v>6505</v>
      </c>
      <c r="GJO1" t="s">
        <v>6506</v>
      </c>
      <c r="GJP1" t="s">
        <v>6507</v>
      </c>
      <c r="GJQ1" t="s">
        <v>6508</v>
      </c>
      <c r="GJR1" t="s">
        <v>6509</v>
      </c>
      <c r="GJS1" t="s">
        <v>6510</v>
      </c>
      <c r="GJT1" t="s">
        <v>6511</v>
      </c>
      <c r="GJU1" t="s">
        <v>6512</v>
      </c>
      <c r="GJV1" t="s">
        <v>6513</v>
      </c>
      <c r="GJW1" t="s">
        <v>6514</v>
      </c>
      <c r="GJX1" t="s">
        <v>6515</v>
      </c>
      <c r="GJY1" t="s">
        <v>6516</v>
      </c>
      <c r="GJZ1" t="s">
        <v>6517</v>
      </c>
      <c r="GKA1" t="s">
        <v>6518</v>
      </c>
      <c r="GKB1" t="s">
        <v>6519</v>
      </c>
      <c r="GKC1" t="s">
        <v>6520</v>
      </c>
      <c r="GKD1" t="s">
        <v>6521</v>
      </c>
      <c r="GKE1" t="s">
        <v>6522</v>
      </c>
      <c r="GKF1" t="s">
        <v>6523</v>
      </c>
      <c r="GKG1" t="s">
        <v>6524</v>
      </c>
      <c r="GKH1" t="s">
        <v>6525</v>
      </c>
      <c r="GKI1" t="s">
        <v>6526</v>
      </c>
      <c r="GKJ1" t="s">
        <v>6527</v>
      </c>
      <c r="GKK1" t="s">
        <v>6528</v>
      </c>
      <c r="GKL1" t="s">
        <v>6529</v>
      </c>
      <c r="GKM1" t="s">
        <v>6530</v>
      </c>
      <c r="GKN1" t="s">
        <v>6531</v>
      </c>
      <c r="GKO1" t="s">
        <v>6532</v>
      </c>
      <c r="GKP1" t="s">
        <v>6533</v>
      </c>
      <c r="GKQ1" t="s">
        <v>6534</v>
      </c>
      <c r="GKR1" t="s">
        <v>6535</v>
      </c>
      <c r="GKS1" t="s">
        <v>6536</v>
      </c>
      <c r="GKT1" t="s">
        <v>6537</v>
      </c>
      <c r="GKU1" t="s">
        <v>6538</v>
      </c>
      <c r="GKV1" t="s">
        <v>6539</v>
      </c>
      <c r="GKW1" t="s">
        <v>6540</v>
      </c>
      <c r="GKX1" t="s">
        <v>6541</v>
      </c>
      <c r="GKY1" t="s">
        <v>6542</v>
      </c>
      <c r="GKZ1" t="s">
        <v>6543</v>
      </c>
      <c r="GLA1" t="s">
        <v>6544</v>
      </c>
      <c r="GLB1" t="s">
        <v>6545</v>
      </c>
      <c r="GLC1" t="s">
        <v>6546</v>
      </c>
      <c r="GLD1" t="s">
        <v>6547</v>
      </c>
      <c r="GLE1" t="s">
        <v>6548</v>
      </c>
      <c r="GLF1" t="s">
        <v>6549</v>
      </c>
      <c r="GLG1" t="s">
        <v>6550</v>
      </c>
      <c r="GLH1" t="s">
        <v>6551</v>
      </c>
      <c r="GLI1" t="s">
        <v>6552</v>
      </c>
      <c r="GLJ1" t="s">
        <v>6553</v>
      </c>
      <c r="GLK1" t="s">
        <v>6554</v>
      </c>
      <c r="GLL1" t="s">
        <v>6555</v>
      </c>
      <c r="GLM1" t="s">
        <v>6556</v>
      </c>
      <c r="GLN1" t="s">
        <v>6557</v>
      </c>
      <c r="GLO1" t="s">
        <v>6558</v>
      </c>
      <c r="GLP1" t="s">
        <v>6559</v>
      </c>
      <c r="GLQ1" t="s">
        <v>6560</v>
      </c>
      <c r="GLR1" t="s">
        <v>6561</v>
      </c>
      <c r="GLS1" t="s">
        <v>6562</v>
      </c>
      <c r="GLT1" t="s">
        <v>6563</v>
      </c>
      <c r="GLU1" t="s">
        <v>6564</v>
      </c>
      <c r="GLV1" t="s">
        <v>6565</v>
      </c>
      <c r="GLW1" t="s">
        <v>6566</v>
      </c>
      <c r="GLX1" t="s">
        <v>6567</v>
      </c>
      <c r="GLY1" t="s">
        <v>6568</v>
      </c>
      <c r="GLZ1" t="s">
        <v>6569</v>
      </c>
      <c r="GMA1" t="s">
        <v>6570</v>
      </c>
      <c r="GMB1" t="s">
        <v>6571</v>
      </c>
      <c r="GMC1" t="s">
        <v>6572</v>
      </c>
      <c r="GMD1" t="s">
        <v>6573</v>
      </c>
      <c r="GME1" t="s">
        <v>6574</v>
      </c>
      <c r="GMF1" t="s">
        <v>6575</v>
      </c>
      <c r="GMG1" t="s">
        <v>6576</v>
      </c>
      <c r="GMH1" t="s">
        <v>6577</v>
      </c>
      <c r="GMI1" t="s">
        <v>6578</v>
      </c>
      <c r="GMJ1" t="s">
        <v>6579</v>
      </c>
      <c r="GMK1" t="s">
        <v>6580</v>
      </c>
      <c r="GML1" t="s">
        <v>6581</v>
      </c>
      <c r="GMM1" t="s">
        <v>6582</v>
      </c>
      <c r="GMN1" t="s">
        <v>6583</v>
      </c>
      <c r="GMO1" t="s">
        <v>6584</v>
      </c>
      <c r="GMP1" t="s">
        <v>6585</v>
      </c>
      <c r="GMQ1" t="s">
        <v>6586</v>
      </c>
      <c r="GMR1" t="s">
        <v>6587</v>
      </c>
      <c r="GMS1" t="s">
        <v>6588</v>
      </c>
      <c r="GMT1" t="s">
        <v>6589</v>
      </c>
      <c r="GMU1" t="s">
        <v>6590</v>
      </c>
      <c r="GMV1" t="s">
        <v>6591</v>
      </c>
      <c r="GMW1" t="s">
        <v>6592</v>
      </c>
      <c r="GMX1" t="s">
        <v>6593</v>
      </c>
      <c r="GMY1" t="s">
        <v>6594</v>
      </c>
      <c r="GMZ1" t="s">
        <v>6595</v>
      </c>
      <c r="GNA1" t="s">
        <v>6596</v>
      </c>
      <c r="GNB1" t="s">
        <v>6597</v>
      </c>
      <c r="GNC1" t="s">
        <v>6598</v>
      </c>
      <c r="GND1" t="s">
        <v>6599</v>
      </c>
      <c r="GNE1" t="s">
        <v>6600</v>
      </c>
      <c r="GNF1" t="s">
        <v>6601</v>
      </c>
      <c r="GNG1" t="s">
        <v>6602</v>
      </c>
      <c r="GNH1" t="s">
        <v>6603</v>
      </c>
      <c r="GNI1" t="s">
        <v>6604</v>
      </c>
      <c r="GNJ1" t="s">
        <v>6605</v>
      </c>
      <c r="GNK1" t="s">
        <v>6606</v>
      </c>
      <c r="GNL1" t="s">
        <v>6607</v>
      </c>
      <c r="GNM1" t="s">
        <v>6608</v>
      </c>
      <c r="GNN1" t="s">
        <v>6609</v>
      </c>
      <c r="GNO1" t="s">
        <v>6610</v>
      </c>
      <c r="GNP1" t="s">
        <v>6611</v>
      </c>
      <c r="GNQ1" t="s">
        <v>6612</v>
      </c>
      <c r="GNR1" t="s">
        <v>6613</v>
      </c>
      <c r="GNS1" t="s">
        <v>6614</v>
      </c>
      <c r="GNT1" t="s">
        <v>6615</v>
      </c>
      <c r="GNU1" t="s">
        <v>6616</v>
      </c>
      <c r="GNV1" t="s">
        <v>6617</v>
      </c>
      <c r="GNW1" t="s">
        <v>6618</v>
      </c>
      <c r="GNX1" t="s">
        <v>6619</v>
      </c>
      <c r="GNY1" t="s">
        <v>6620</v>
      </c>
      <c r="GNZ1" t="s">
        <v>6621</v>
      </c>
      <c r="GOA1" t="s">
        <v>6622</v>
      </c>
      <c r="GOB1" t="s">
        <v>6623</v>
      </c>
      <c r="GOC1" t="s">
        <v>6624</v>
      </c>
      <c r="GOD1" t="s">
        <v>6625</v>
      </c>
      <c r="GOE1" t="s">
        <v>6626</v>
      </c>
      <c r="GOF1" t="s">
        <v>6627</v>
      </c>
      <c r="GOG1" t="s">
        <v>6628</v>
      </c>
      <c r="GOH1" t="s">
        <v>6629</v>
      </c>
      <c r="GOI1" t="s">
        <v>6630</v>
      </c>
      <c r="GOJ1" t="s">
        <v>6631</v>
      </c>
      <c r="GOK1" t="s">
        <v>6632</v>
      </c>
      <c r="GOL1" t="s">
        <v>6633</v>
      </c>
      <c r="GOM1" t="s">
        <v>6634</v>
      </c>
      <c r="GON1" t="s">
        <v>6635</v>
      </c>
      <c r="GOO1" t="s">
        <v>6636</v>
      </c>
      <c r="GOP1" t="s">
        <v>6637</v>
      </c>
      <c r="GOQ1" t="s">
        <v>6638</v>
      </c>
      <c r="GOR1" t="s">
        <v>6639</v>
      </c>
      <c r="GOS1" t="s">
        <v>6640</v>
      </c>
      <c r="GOT1" t="s">
        <v>6641</v>
      </c>
      <c r="GOU1" t="s">
        <v>6642</v>
      </c>
      <c r="GOV1" t="s">
        <v>6643</v>
      </c>
      <c r="GOW1" t="s">
        <v>6644</v>
      </c>
      <c r="GOX1" t="s">
        <v>6645</v>
      </c>
      <c r="GOY1" t="s">
        <v>6646</v>
      </c>
      <c r="GOZ1" t="s">
        <v>6647</v>
      </c>
      <c r="GPA1" t="s">
        <v>6648</v>
      </c>
      <c r="GPB1" t="s">
        <v>6649</v>
      </c>
      <c r="GPC1" t="s">
        <v>6650</v>
      </c>
      <c r="GPD1" t="s">
        <v>6651</v>
      </c>
      <c r="GPE1" t="s">
        <v>6652</v>
      </c>
      <c r="GPF1" t="s">
        <v>6653</v>
      </c>
      <c r="GPG1" t="s">
        <v>6654</v>
      </c>
      <c r="GPH1" t="s">
        <v>6655</v>
      </c>
      <c r="GPI1" t="s">
        <v>6656</v>
      </c>
      <c r="GPJ1" t="s">
        <v>6657</v>
      </c>
      <c r="GPK1" t="s">
        <v>6658</v>
      </c>
      <c r="GPL1" t="s">
        <v>6659</v>
      </c>
      <c r="GPM1" t="s">
        <v>6660</v>
      </c>
      <c r="GPN1" t="s">
        <v>6661</v>
      </c>
      <c r="GPO1" t="s">
        <v>6662</v>
      </c>
      <c r="GPP1" t="s">
        <v>6663</v>
      </c>
      <c r="GPQ1" t="s">
        <v>6664</v>
      </c>
      <c r="GPR1" t="s">
        <v>6665</v>
      </c>
      <c r="GPS1" t="s">
        <v>6666</v>
      </c>
      <c r="GPT1" t="s">
        <v>6667</v>
      </c>
      <c r="GPU1" t="s">
        <v>6668</v>
      </c>
      <c r="GPV1" t="s">
        <v>6669</v>
      </c>
      <c r="GPW1" t="s">
        <v>6670</v>
      </c>
      <c r="GPX1" t="s">
        <v>6671</v>
      </c>
      <c r="GPY1" t="s">
        <v>6672</v>
      </c>
      <c r="GPZ1" t="s">
        <v>6673</v>
      </c>
      <c r="GQA1" t="s">
        <v>6674</v>
      </c>
      <c r="GQB1" t="s">
        <v>6675</v>
      </c>
      <c r="GQC1" t="s">
        <v>6676</v>
      </c>
      <c r="GQD1" t="s">
        <v>6677</v>
      </c>
      <c r="GQE1" t="s">
        <v>6678</v>
      </c>
      <c r="GQF1" t="s">
        <v>6679</v>
      </c>
      <c r="GQG1" t="s">
        <v>6680</v>
      </c>
      <c r="GQH1" t="s">
        <v>6681</v>
      </c>
      <c r="GQI1" t="s">
        <v>6682</v>
      </c>
      <c r="GQJ1" t="s">
        <v>6683</v>
      </c>
      <c r="GQK1" t="s">
        <v>6684</v>
      </c>
      <c r="GQL1" t="s">
        <v>6685</v>
      </c>
      <c r="GQM1" t="s">
        <v>6686</v>
      </c>
      <c r="GQN1" t="s">
        <v>6687</v>
      </c>
      <c r="GQO1" t="s">
        <v>6688</v>
      </c>
      <c r="GQP1" t="s">
        <v>6689</v>
      </c>
      <c r="GQQ1" t="s">
        <v>6690</v>
      </c>
      <c r="GQR1" t="s">
        <v>6691</v>
      </c>
      <c r="GQS1" t="s">
        <v>6692</v>
      </c>
      <c r="GQT1" t="s">
        <v>6693</v>
      </c>
      <c r="GQU1" t="s">
        <v>6694</v>
      </c>
      <c r="GQV1" t="s">
        <v>6695</v>
      </c>
      <c r="GQW1" t="s">
        <v>6696</v>
      </c>
      <c r="GQX1" t="s">
        <v>6697</v>
      </c>
      <c r="GQY1" t="s">
        <v>6698</v>
      </c>
      <c r="GQZ1" t="s">
        <v>6699</v>
      </c>
      <c r="GRA1" t="s">
        <v>6700</v>
      </c>
      <c r="GRB1" t="s">
        <v>6701</v>
      </c>
      <c r="GRC1" t="s">
        <v>6702</v>
      </c>
      <c r="GRD1" t="s">
        <v>6703</v>
      </c>
      <c r="GRE1" t="s">
        <v>6704</v>
      </c>
      <c r="GRF1" t="s">
        <v>6705</v>
      </c>
      <c r="GRG1" t="s">
        <v>6706</v>
      </c>
      <c r="GRH1" t="s">
        <v>6707</v>
      </c>
      <c r="GRI1" t="s">
        <v>6708</v>
      </c>
      <c r="GRJ1" t="s">
        <v>6709</v>
      </c>
      <c r="GRK1" t="s">
        <v>6710</v>
      </c>
      <c r="GRL1" t="s">
        <v>6711</v>
      </c>
      <c r="GRM1" t="s">
        <v>6712</v>
      </c>
      <c r="GRN1" t="s">
        <v>6713</v>
      </c>
      <c r="GRO1" t="s">
        <v>6714</v>
      </c>
      <c r="GRP1" t="s">
        <v>6715</v>
      </c>
      <c r="GRQ1" t="s">
        <v>6716</v>
      </c>
      <c r="GRR1" t="s">
        <v>6717</v>
      </c>
      <c r="GRS1" t="s">
        <v>6718</v>
      </c>
      <c r="GRT1" t="s">
        <v>6719</v>
      </c>
      <c r="GRU1" t="s">
        <v>6720</v>
      </c>
      <c r="GRV1" t="s">
        <v>6721</v>
      </c>
      <c r="GRW1" t="s">
        <v>6722</v>
      </c>
      <c r="GRX1" t="s">
        <v>6723</v>
      </c>
      <c r="GRY1" t="s">
        <v>6724</v>
      </c>
      <c r="GRZ1" t="s">
        <v>6725</v>
      </c>
      <c r="GSA1" t="s">
        <v>6726</v>
      </c>
      <c r="GSB1" t="s">
        <v>6727</v>
      </c>
      <c r="GSC1" t="s">
        <v>6728</v>
      </c>
      <c r="GSD1" t="s">
        <v>6729</v>
      </c>
      <c r="GSE1" t="s">
        <v>6730</v>
      </c>
      <c r="GSF1" t="s">
        <v>6731</v>
      </c>
      <c r="GSG1" t="s">
        <v>6732</v>
      </c>
      <c r="GSH1" t="s">
        <v>6733</v>
      </c>
      <c r="GSI1" t="s">
        <v>6734</v>
      </c>
      <c r="GSJ1" t="s">
        <v>6735</v>
      </c>
      <c r="GSK1" t="s">
        <v>6736</v>
      </c>
      <c r="GSL1" t="s">
        <v>6737</v>
      </c>
      <c r="GSM1" t="s">
        <v>6738</v>
      </c>
      <c r="GSN1" t="s">
        <v>6739</v>
      </c>
      <c r="GSO1" t="s">
        <v>6740</v>
      </c>
      <c r="GSP1" t="s">
        <v>6741</v>
      </c>
      <c r="GSQ1" t="s">
        <v>6742</v>
      </c>
      <c r="GSR1" t="s">
        <v>6743</v>
      </c>
      <c r="GSS1" t="s">
        <v>6744</v>
      </c>
      <c r="GST1" t="s">
        <v>6745</v>
      </c>
      <c r="GSU1" t="s">
        <v>6746</v>
      </c>
      <c r="GSV1" t="s">
        <v>6747</v>
      </c>
      <c r="GSW1" t="s">
        <v>6748</v>
      </c>
      <c r="GSX1" t="s">
        <v>6749</v>
      </c>
      <c r="GSY1" t="s">
        <v>6750</v>
      </c>
      <c r="GSZ1" t="s">
        <v>6751</v>
      </c>
      <c r="GTA1" t="s">
        <v>6752</v>
      </c>
      <c r="GTB1" t="s">
        <v>6753</v>
      </c>
      <c r="GTC1" t="s">
        <v>6754</v>
      </c>
      <c r="GTD1" t="s">
        <v>6755</v>
      </c>
      <c r="GTE1" t="s">
        <v>6756</v>
      </c>
      <c r="GTF1" t="s">
        <v>6757</v>
      </c>
      <c r="GTG1" t="s">
        <v>6758</v>
      </c>
      <c r="GTH1" t="s">
        <v>6759</v>
      </c>
      <c r="GTI1" t="s">
        <v>6760</v>
      </c>
      <c r="GTJ1" t="s">
        <v>6761</v>
      </c>
      <c r="GTK1" t="s">
        <v>6762</v>
      </c>
      <c r="GTL1" t="s">
        <v>6763</v>
      </c>
      <c r="GTM1" t="s">
        <v>6764</v>
      </c>
      <c r="GTN1" t="s">
        <v>6765</v>
      </c>
      <c r="GTO1" t="s">
        <v>6766</v>
      </c>
      <c r="GTP1" t="s">
        <v>6767</v>
      </c>
      <c r="GTQ1" t="s">
        <v>6768</v>
      </c>
      <c r="GTR1" t="s">
        <v>6769</v>
      </c>
      <c r="GTS1" t="s">
        <v>6770</v>
      </c>
      <c r="GTT1" t="s">
        <v>6771</v>
      </c>
      <c r="GTU1" t="s">
        <v>6772</v>
      </c>
      <c r="GTV1" t="s">
        <v>6773</v>
      </c>
      <c r="GTW1" t="s">
        <v>6774</v>
      </c>
      <c r="GTX1" t="s">
        <v>6775</v>
      </c>
      <c r="GTY1" t="s">
        <v>6776</v>
      </c>
      <c r="GTZ1" t="s">
        <v>6777</v>
      </c>
      <c r="GUA1" t="s">
        <v>6778</v>
      </c>
      <c r="GUB1" t="s">
        <v>6779</v>
      </c>
      <c r="GUC1" t="s">
        <v>6780</v>
      </c>
      <c r="GUD1" t="s">
        <v>6781</v>
      </c>
      <c r="GUE1" t="s">
        <v>6782</v>
      </c>
      <c r="GUF1" t="s">
        <v>6783</v>
      </c>
      <c r="GUG1" t="s">
        <v>6784</v>
      </c>
      <c r="GUH1" t="s">
        <v>6785</v>
      </c>
      <c r="GUI1" t="s">
        <v>6786</v>
      </c>
      <c r="GUJ1" t="s">
        <v>6787</v>
      </c>
      <c r="GUK1" t="s">
        <v>6788</v>
      </c>
      <c r="GUL1" t="s">
        <v>6789</v>
      </c>
      <c r="GUM1" t="s">
        <v>6790</v>
      </c>
      <c r="GUN1" t="s">
        <v>6791</v>
      </c>
      <c r="GUO1" t="s">
        <v>6792</v>
      </c>
      <c r="GUP1" t="s">
        <v>6793</v>
      </c>
      <c r="GUQ1" t="s">
        <v>6794</v>
      </c>
      <c r="GUR1" t="s">
        <v>6795</v>
      </c>
      <c r="GUS1" t="s">
        <v>6796</v>
      </c>
      <c r="GUT1" t="s">
        <v>6797</v>
      </c>
      <c r="GUU1" t="s">
        <v>6798</v>
      </c>
      <c r="GUV1" t="s">
        <v>6799</v>
      </c>
      <c r="GUW1" t="s">
        <v>6800</v>
      </c>
      <c r="GUX1" t="s">
        <v>6801</v>
      </c>
      <c r="GUY1" t="s">
        <v>6802</v>
      </c>
      <c r="GUZ1" t="s">
        <v>6803</v>
      </c>
      <c r="GVA1" t="s">
        <v>6804</v>
      </c>
      <c r="GVB1" t="s">
        <v>6805</v>
      </c>
      <c r="GVC1" t="s">
        <v>6806</v>
      </c>
      <c r="GVD1" t="s">
        <v>6807</v>
      </c>
      <c r="GVE1" t="s">
        <v>6808</v>
      </c>
      <c r="GVF1" t="s">
        <v>6809</v>
      </c>
      <c r="GVG1" t="s">
        <v>6810</v>
      </c>
      <c r="GVH1" t="s">
        <v>6811</v>
      </c>
      <c r="GVI1" t="s">
        <v>6812</v>
      </c>
      <c r="GVJ1" t="s">
        <v>6813</v>
      </c>
      <c r="GVK1" t="s">
        <v>6814</v>
      </c>
      <c r="GVL1" t="s">
        <v>6815</v>
      </c>
      <c r="GVM1" t="s">
        <v>6816</v>
      </c>
      <c r="GVN1" t="s">
        <v>6817</v>
      </c>
      <c r="GVO1" t="s">
        <v>6818</v>
      </c>
      <c r="GVP1" t="s">
        <v>6819</v>
      </c>
      <c r="GVQ1" t="s">
        <v>6820</v>
      </c>
      <c r="GVR1" t="s">
        <v>6821</v>
      </c>
      <c r="GVS1" t="s">
        <v>6822</v>
      </c>
      <c r="GVT1" t="s">
        <v>6823</v>
      </c>
      <c r="GVU1" t="s">
        <v>6824</v>
      </c>
      <c r="GVV1" t="s">
        <v>6825</v>
      </c>
      <c r="GVW1" t="s">
        <v>6826</v>
      </c>
      <c r="GVX1" t="s">
        <v>6827</v>
      </c>
      <c r="GVY1" t="s">
        <v>6828</v>
      </c>
      <c r="GVZ1" t="s">
        <v>6829</v>
      </c>
      <c r="GWA1" t="s">
        <v>6830</v>
      </c>
      <c r="GWB1" t="s">
        <v>6831</v>
      </c>
      <c r="GWC1" t="s">
        <v>6832</v>
      </c>
      <c r="GWD1" t="s">
        <v>6833</v>
      </c>
      <c r="GWE1" t="s">
        <v>6834</v>
      </c>
      <c r="GWF1" t="s">
        <v>6835</v>
      </c>
      <c r="GWG1" t="s">
        <v>6836</v>
      </c>
      <c r="GWH1" t="s">
        <v>6837</v>
      </c>
      <c r="GWI1" t="s">
        <v>6838</v>
      </c>
      <c r="GWJ1" t="s">
        <v>6839</v>
      </c>
      <c r="GWK1" t="s">
        <v>6840</v>
      </c>
      <c r="GWL1" t="s">
        <v>6841</v>
      </c>
      <c r="GWM1" t="s">
        <v>6842</v>
      </c>
      <c r="GWN1" t="s">
        <v>6843</v>
      </c>
      <c r="GWO1" t="s">
        <v>6844</v>
      </c>
      <c r="GWP1" t="s">
        <v>6845</v>
      </c>
      <c r="GWQ1" t="s">
        <v>6846</v>
      </c>
      <c r="GWR1" t="s">
        <v>6847</v>
      </c>
      <c r="GWS1" t="s">
        <v>6848</v>
      </c>
      <c r="GWT1" t="s">
        <v>6849</v>
      </c>
      <c r="GWU1" t="s">
        <v>6850</v>
      </c>
      <c r="GWV1" t="s">
        <v>6851</v>
      </c>
      <c r="GWW1" t="s">
        <v>6852</v>
      </c>
      <c r="GWX1" t="s">
        <v>6853</v>
      </c>
      <c r="GWY1" t="s">
        <v>6854</v>
      </c>
      <c r="GWZ1" t="s">
        <v>6855</v>
      </c>
      <c r="GXA1" t="s">
        <v>6856</v>
      </c>
      <c r="GXB1" t="s">
        <v>6857</v>
      </c>
      <c r="GXC1" t="s">
        <v>6858</v>
      </c>
      <c r="GXD1" t="s">
        <v>6859</v>
      </c>
      <c r="GXE1" t="s">
        <v>6860</v>
      </c>
      <c r="GXF1" t="s">
        <v>6861</v>
      </c>
      <c r="GXG1" t="s">
        <v>6862</v>
      </c>
      <c r="GXH1" t="s">
        <v>6863</v>
      </c>
      <c r="GXI1" t="s">
        <v>6864</v>
      </c>
      <c r="GXJ1" t="s">
        <v>6865</v>
      </c>
      <c r="GXK1" t="s">
        <v>6866</v>
      </c>
      <c r="GXL1" t="s">
        <v>6867</v>
      </c>
      <c r="GXM1" t="s">
        <v>6868</v>
      </c>
      <c r="GXN1" t="s">
        <v>6869</v>
      </c>
      <c r="GXO1" t="s">
        <v>6870</v>
      </c>
      <c r="GXP1" t="s">
        <v>6871</v>
      </c>
      <c r="GXQ1" t="s">
        <v>6872</v>
      </c>
      <c r="GXR1" t="s">
        <v>6873</v>
      </c>
      <c r="GXS1" t="s">
        <v>6874</v>
      </c>
      <c r="GXT1" t="s">
        <v>6875</v>
      </c>
      <c r="GXU1" t="s">
        <v>6876</v>
      </c>
      <c r="GXV1" t="s">
        <v>6877</v>
      </c>
      <c r="GXW1" t="s">
        <v>6878</v>
      </c>
      <c r="GXX1" t="s">
        <v>6879</v>
      </c>
      <c r="GXY1" t="s">
        <v>6880</v>
      </c>
      <c r="GXZ1" t="s">
        <v>6881</v>
      </c>
      <c r="GYA1" t="s">
        <v>6882</v>
      </c>
      <c r="GYB1" t="s">
        <v>6883</v>
      </c>
      <c r="GYC1" t="s">
        <v>6884</v>
      </c>
      <c r="GYD1" t="s">
        <v>6885</v>
      </c>
      <c r="GYE1" t="s">
        <v>6886</v>
      </c>
      <c r="GYF1" t="s">
        <v>6887</v>
      </c>
      <c r="GYG1" t="s">
        <v>6888</v>
      </c>
      <c r="GYH1" t="s">
        <v>6889</v>
      </c>
      <c r="GYI1" t="s">
        <v>6890</v>
      </c>
      <c r="GYJ1" t="s">
        <v>6891</v>
      </c>
      <c r="GYK1" t="s">
        <v>6892</v>
      </c>
      <c r="GYL1" t="s">
        <v>6893</v>
      </c>
      <c r="GYM1" t="s">
        <v>6894</v>
      </c>
      <c r="GYN1" t="s">
        <v>6895</v>
      </c>
      <c r="GYO1" t="s">
        <v>6896</v>
      </c>
      <c r="GYP1" t="s">
        <v>6897</v>
      </c>
      <c r="GYQ1" t="s">
        <v>6898</v>
      </c>
      <c r="GYR1" t="s">
        <v>6899</v>
      </c>
      <c r="GYS1" t="s">
        <v>6900</v>
      </c>
      <c r="GYT1" t="s">
        <v>6901</v>
      </c>
      <c r="GYU1" t="s">
        <v>6902</v>
      </c>
      <c r="GYV1" t="s">
        <v>6903</v>
      </c>
      <c r="GYW1" t="s">
        <v>6904</v>
      </c>
      <c r="GYX1" t="s">
        <v>6905</v>
      </c>
      <c r="GYY1" t="s">
        <v>6906</v>
      </c>
      <c r="GYZ1" t="s">
        <v>6907</v>
      </c>
      <c r="GZA1" t="s">
        <v>6908</v>
      </c>
      <c r="GZB1" t="s">
        <v>6909</v>
      </c>
      <c r="GZC1" t="s">
        <v>6910</v>
      </c>
      <c r="GZD1" t="s">
        <v>6911</v>
      </c>
      <c r="GZE1" t="s">
        <v>6912</v>
      </c>
      <c r="GZF1" t="s">
        <v>6913</v>
      </c>
      <c r="GZG1" t="s">
        <v>6914</v>
      </c>
      <c r="GZH1" t="s">
        <v>6915</v>
      </c>
      <c r="GZI1" t="s">
        <v>6916</v>
      </c>
      <c r="GZJ1" t="s">
        <v>6917</v>
      </c>
      <c r="GZK1" t="s">
        <v>6918</v>
      </c>
      <c r="GZL1" t="s">
        <v>6919</v>
      </c>
      <c r="GZM1" t="s">
        <v>6920</v>
      </c>
      <c r="GZN1" t="s">
        <v>6921</v>
      </c>
      <c r="GZO1" t="s">
        <v>6922</v>
      </c>
      <c r="GZP1" t="s">
        <v>6923</v>
      </c>
      <c r="GZQ1" t="s">
        <v>6924</v>
      </c>
      <c r="GZR1" t="s">
        <v>6925</v>
      </c>
      <c r="GZS1" t="s">
        <v>6926</v>
      </c>
      <c r="GZT1" t="s">
        <v>6927</v>
      </c>
      <c r="GZU1" t="s">
        <v>6928</v>
      </c>
      <c r="GZV1" t="s">
        <v>6929</v>
      </c>
      <c r="GZW1" t="s">
        <v>6930</v>
      </c>
      <c r="GZX1" t="s">
        <v>6931</v>
      </c>
      <c r="GZY1" t="s">
        <v>6932</v>
      </c>
      <c r="GZZ1" t="s">
        <v>6933</v>
      </c>
      <c r="HAA1" t="s">
        <v>6934</v>
      </c>
      <c r="HAB1" t="s">
        <v>6935</v>
      </c>
      <c r="HAC1" t="s">
        <v>6936</v>
      </c>
      <c r="HAD1" t="s">
        <v>6937</v>
      </c>
      <c r="HAE1" t="s">
        <v>6938</v>
      </c>
      <c r="HAF1" t="s">
        <v>6939</v>
      </c>
      <c r="HAG1" t="s">
        <v>6940</v>
      </c>
      <c r="HAH1" t="s">
        <v>6941</v>
      </c>
      <c r="HAI1" t="s">
        <v>6942</v>
      </c>
      <c r="HAJ1" t="s">
        <v>6943</v>
      </c>
      <c r="HAK1" t="s">
        <v>6944</v>
      </c>
      <c r="HAL1" t="s">
        <v>6945</v>
      </c>
      <c r="HAM1" t="s">
        <v>6946</v>
      </c>
      <c r="HAN1" t="s">
        <v>6947</v>
      </c>
      <c r="HAO1" t="s">
        <v>6948</v>
      </c>
      <c r="HAP1" t="s">
        <v>6949</v>
      </c>
      <c r="HAQ1" t="s">
        <v>6950</v>
      </c>
      <c r="HAR1" t="s">
        <v>6951</v>
      </c>
      <c r="HAS1" t="s">
        <v>6952</v>
      </c>
      <c r="HAT1" t="s">
        <v>6953</v>
      </c>
      <c r="HAU1" t="s">
        <v>6954</v>
      </c>
      <c r="HAV1" t="s">
        <v>6955</v>
      </c>
      <c r="HAW1" t="s">
        <v>6956</v>
      </c>
      <c r="HAX1" t="s">
        <v>6957</v>
      </c>
      <c r="HAY1" t="s">
        <v>6958</v>
      </c>
      <c r="HAZ1" t="s">
        <v>6959</v>
      </c>
      <c r="HBA1" t="s">
        <v>6960</v>
      </c>
      <c r="HBB1" t="s">
        <v>6961</v>
      </c>
      <c r="HBC1" t="s">
        <v>6962</v>
      </c>
      <c r="HBD1" t="s">
        <v>6963</v>
      </c>
      <c r="HBE1" t="s">
        <v>6964</v>
      </c>
      <c r="HBF1" t="s">
        <v>6965</v>
      </c>
      <c r="HBG1" t="s">
        <v>6966</v>
      </c>
      <c r="HBH1" t="s">
        <v>6967</v>
      </c>
      <c r="HBI1" t="s">
        <v>6968</v>
      </c>
      <c r="HBJ1" t="s">
        <v>6969</v>
      </c>
      <c r="HBK1" t="s">
        <v>6970</v>
      </c>
      <c r="HBL1" t="s">
        <v>6971</v>
      </c>
      <c r="HBM1" t="s">
        <v>6972</v>
      </c>
      <c r="HBN1" t="s">
        <v>6973</v>
      </c>
      <c r="HBO1" t="s">
        <v>6974</v>
      </c>
      <c r="HBP1" t="s">
        <v>6975</v>
      </c>
      <c r="HBQ1" t="s">
        <v>6976</v>
      </c>
      <c r="HBR1" t="s">
        <v>6977</v>
      </c>
      <c r="HBS1" t="s">
        <v>6978</v>
      </c>
      <c r="HBT1" t="s">
        <v>6979</v>
      </c>
      <c r="HBU1" t="s">
        <v>6980</v>
      </c>
      <c r="HBV1" t="s">
        <v>6981</v>
      </c>
      <c r="HBW1" t="s">
        <v>6982</v>
      </c>
      <c r="HBX1" t="s">
        <v>6983</v>
      </c>
      <c r="HBY1" t="s">
        <v>6984</v>
      </c>
      <c r="HBZ1" t="s">
        <v>6985</v>
      </c>
      <c r="HCA1" t="s">
        <v>6986</v>
      </c>
      <c r="HCB1" t="s">
        <v>6987</v>
      </c>
      <c r="HCC1" t="s">
        <v>6988</v>
      </c>
      <c r="HCD1" t="s">
        <v>6989</v>
      </c>
      <c r="HCE1" t="s">
        <v>6990</v>
      </c>
      <c r="HCF1" t="s">
        <v>6991</v>
      </c>
      <c r="HCG1" t="s">
        <v>6992</v>
      </c>
      <c r="HCH1" t="s">
        <v>6993</v>
      </c>
      <c r="HCI1" t="s">
        <v>6994</v>
      </c>
      <c r="HCJ1" t="s">
        <v>6995</v>
      </c>
      <c r="HCK1" t="s">
        <v>6996</v>
      </c>
      <c r="HCL1" t="s">
        <v>6997</v>
      </c>
      <c r="HCM1" t="s">
        <v>6998</v>
      </c>
      <c r="HCN1" t="s">
        <v>6999</v>
      </c>
      <c r="HCO1" t="s">
        <v>7000</v>
      </c>
      <c r="HCP1" t="s">
        <v>7001</v>
      </c>
      <c r="HCQ1" t="s">
        <v>7002</v>
      </c>
      <c r="HCR1" t="s">
        <v>7003</v>
      </c>
      <c r="HCS1" t="s">
        <v>7004</v>
      </c>
      <c r="HCT1" t="s">
        <v>7005</v>
      </c>
      <c r="HCU1" t="s">
        <v>7006</v>
      </c>
      <c r="HCV1" t="s">
        <v>7007</v>
      </c>
      <c r="HCW1" t="s">
        <v>7008</v>
      </c>
      <c r="HCX1" t="s">
        <v>7009</v>
      </c>
      <c r="HCY1" t="s">
        <v>7010</v>
      </c>
      <c r="HCZ1" t="s">
        <v>7011</v>
      </c>
      <c r="HDA1" t="s">
        <v>7012</v>
      </c>
      <c r="HDB1" t="s">
        <v>7013</v>
      </c>
      <c r="HDC1" t="s">
        <v>7014</v>
      </c>
      <c r="HDD1" t="s">
        <v>7015</v>
      </c>
      <c r="HDE1" t="s">
        <v>7016</v>
      </c>
      <c r="HDF1" t="s">
        <v>7017</v>
      </c>
      <c r="HDG1" t="s">
        <v>7018</v>
      </c>
      <c r="HDH1" t="s">
        <v>7019</v>
      </c>
      <c r="HDI1" t="s">
        <v>7020</v>
      </c>
      <c r="HDJ1" t="s">
        <v>7021</v>
      </c>
      <c r="HDK1" t="s">
        <v>7022</v>
      </c>
      <c r="HDL1" t="s">
        <v>7023</v>
      </c>
      <c r="HDM1" t="s">
        <v>7024</v>
      </c>
      <c r="HDN1" t="s">
        <v>7025</v>
      </c>
      <c r="HDO1" t="s">
        <v>7026</v>
      </c>
      <c r="HDP1" t="s">
        <v>7027</v>
      </c>
      <c r="HDQ1" t="s">
        <v>7028</v>
      </c>
      <c r="HDR1" t="s">
        <v>7029</v>
      </c>
      <c r="HDS1" t="s">
        <v>7030</v>
      </c>
      <c r="HDT1" t="s">
        <v>7031</v>
      </c>
      <c r="HDU1" t="s">
        <v>7032</v>
      </c>
      <c r="HDV1" t="s">
        <v>7033</v>
      </c>
      <c r="HDW1" t="s">
        <v>7034</v>
      </c>
      <c r="HDX1" t="s">
        <v>7035</v>
      </c>
      <c r="HDY1" t="s">
        <v>7036</v>
      </c>
      <c r="HDZ1" t="s">
        <v>7037</v>
      </c>
      <c r="HEA1" t="s">
        <v>7038</v>
      </c>
      <c r="HEB1" t="s">
        <v>7039</v>
      </c>
      <c r="HEC1" t="s">
        <v>7040</v>
      </c>
      <c r="HED1" t="s">
        <v>7041</v>
      </c>
      <c r="HEE1" t="s">
        <v>7042</v>
      </c>
      <c r="HEF1" t="s">
        <v>7043</v>
      </c>
      <c r="HEG1" t="s">
        <v>7044</v>
      </c>
      <c r="HEH1" t="s">
        <v>7045</v>
      </c>
      <c r="HEI1" t="s">
        <v>7046</v>
      </c>
      <c r="HEJ1" t="s">
        <v>7047</v>
      </c>
      <c r="HEK1" t="s">
        <v>7048</v>
      </c>
      <c r="HEL1" t="s">
        <v>7049</v>
      </c>
      <c r="HEM1" t="s">
        <v>7050</v>
      </c>
      <c r="HEN1" t="s">
        <v>7051</v>
      </c>
      <c r="HEO1" t="s">
        <v>7052</v>
      </c>
      <c r="HEP1" t="s">
        <v>7053</v>
      </c>
      <c r="HEQ1" t="s">
        <v>7054</v>
      </c>
      <c r="HER1" t="s">
        <v>7055</v>
      </c>
      <c r="HES1" t="s">
        <v>7056</v>
      </c>
      <c r="HET1" t="s">
        <v>7057</v>
      </c>
      <c r="HEU1" t="s">
        <v>7058</v>
      </c>
      <c r="HEV1" t="s">
        <v>7059</v>
      </c>
      <c r="HEW1" t="s">
        <v>7060</v>
      </c>
      <c r="HEX1" t="s">
        <v>7061</v>
      </c>
      <c r="HEY1" t="s">
        <v>7062</v>
      </c>
      <c r="HEZ1" t="s">
        <v>7063</v>
      </c>
      <c r="HFA1" t="s">
        <v>7064</v>
      </c>
      <c r="HFB1" t="s">
        <v>7065</v>
      </c>
      <c r="HFC1" t="s">
        <v>7066</v>
      </c>
      <c r="HFD1" t="s">
        <v>7067</v>
      </c>
      <c r="HFE1" t="s">
        <v>7068</v>
      </c>
      <c r="HFF1" t="s">
        <v>7069</v>
      </c>
      <c r="HFG1" t="s">
        <v>7070</v>
      </c>
      <c r="HFH1" t="s">
        <v>7071</v>
      </c>
      <c r="HFI1" t="s">
        <v>7072</v>
      </c>
      <c r="HFJ1" t="s">
        <v>7073</v>
      </c>
      <c r="HFK1" t="s">
        <v>7074</v>
      </c>
      <c r="HFL1" t="s">
        <v>7075</v>
      </c>
      <c r="HFM1" t="s">
        <v>7076</v>
      </c>
      <c r="HFN1" t="s">
        <v>7077</v>
      </c>
      <c r="HFO1" t="s">
        <v>7078</v>
      </c>
      <c r="HFP1" t="s">
        <v>7079</v>
      </c>
      <c r="HFQ1" t="s">
        <v>7080</v>
      </c>
      <c r="HFR1" t="s">
        <v>7081</v>
      </c>
      <c r="HFS1" t="s">
        <v>7082</v>
      </c>
      <c r="HFT1" t="s">
        <v>7083</v>
      </c>
      <c r="HFU1" t="s">
        <v>7084</v>
      </c>
      <c r="HFV1" t="s">
        <v>7085</v>
      </c>
      <c r="HFW1" t="s">
        <v>7086</v>
      </c>
      <c r="HFX1" t="s">
        <v>7087</v>
      </c>
      <c r="HFY1" t="s">
        <v>7088</v>
      </c>
      <c r="HFZ1" t="s">
        <v>7089</v>
      </c>
      <c r="HGA1" t="s">
        <v>7090</v>
      </c>
      <c r="HGB1" t="s">
        <v>7091</v>
      </c>
      <c r="HGC1" t="s">
        <v>7092</v>
      </c>
      <c r="HGD1" t="s">
        <v>7093</v>
      </c>
      <c r="HGE1" t="s">
        <v>7094</v>
      </c>
      <c r="HGF1" t="s">
        <v>7095</v>
      </c>
      <c r="HGG1" t="s">
        <v>7096</v>
      </c>
      <c r="HGH1" t="s">
        <v>7097</v>
      </c>
      <c r="HGI1" t="s">
        <v>7098</v>
      </c>
      <c r="HGJ1" t="s">
        <v>7099</v>
      </c>
      <c r="HGK1" t="s">
        <v>7100</v>
      </c>
      <c r="HGL1" t="s">
        <v>7101</v>
      </c>
      <c r="HGM1" t="s">
        <v>7102</v>
      </c>
      <c r="HGN1" t="s">
        <v>7103</v>
      </c>
      <c r="HGO1" t="s">
        <v>7104</v>
      </c>
      <c r="HGP1" t="s">
        <v>7105</v>
      </c>
      <c r="HGQ1" t="s">
        <v>7106</v>
      </c>
      <c r="HGR1" t="s">
        <v>7107</v>
      </c>
      <c r="HGS1" t="s">
        <v>7108</v>
      </c>
      <c r="HGT1" t="s">
        <v>7109</v>
      </c>
      <c r="HGU1" t="s">
        <v>7110</v>
      </c>
      <c r="HGV1" t="s">
        <v>7111</v>
      </c>
      <c r="HGW1" t="s">
        <v>7112</v>
      </c>
      <c r="HGX1" t="s">
        <v>7113</v>
      </c>
      <c r="HGY1" t="s">
        <v>7114</v>
      </c>
      <c r="HGZ1" t="s">
        <v>7115</v>
      </c>
      <c r="HHA1" t="s">
        <v>7116</v>
      </c>
      <c r="HHB1" t="s">
        <v>7117</v>
      </c>
      <c r="HHC1" t="s">
        <v>7118</v>
      </c>
      <c r="HHD1" t="s">
        <v>7119</v>
      </c>
      <c r="HHE1" t="s">
        <v>7120</v>
      </c>
      <c r="HHF1" t="s">
        <v>7121</v>
      </c>
      <c r="HHG1" t="s">
        <v>7122</v>
      </c>
      <c r="HHH1" t="s">
        <v>7123</v>
      </c>
      <c r="HHI1" t="s">
        <v>7124</v>
      </c>
      <c r="HHJ1" t="s">
        <v>7125</v>
      </c>
      <c r="HHK1" t="s">
        <v>7126</v>
      </c>
      <c r="HHL1" t="s">
        <v>7127</v>
      </c>
      <c r="HHM1" t="s">
        <v>7128</v>
      </c>
      <c r="HHN1" t="s">
        <v>7129</v>
      </c>
      <c r="HHO1" t="s">
        <v>7130</v>
      </c>
      <c r="HHP1" t="s">
        <v>7131</v>
      </c>
      <c r="HHQ1" t="s">
        <v>7132</v>
      </c>
      <c r="HHR1" t="s">
        <v>7133</v>
      </c>
      <c r="HHS1" t="s">
        <v>7134</v>
      </c>
      <c r="HHT1" t="s">
        <v>7135</v>
      </c>
      <c r="HHU1" t="s">
        <v>7136</v>
      </c>
      <c r="HHV1" t="s">
        <v>7137</v>
      </c>
      <c r="HHW1" t="s">
        <v>7138</v>
      </c>
      <c r="HHX1" t="s">
        <v>7139</v>
      </c>
      <c r="HHY1" t="s">
        <v>7140</v>
      </c>
      <c r="HHZ1" t="s">
        <v>7141</v>
      </c>
      <c r="HIA1" t="s">
        <v>7142</v>
      </c>
      <c r="HIB1" t="s">
        <v>7143</v>
      </c>
      <c r="HIC1" t="s">
        <v>7144</v>
      </c>
      <c r="HID1" t="s">
        <v>7145</v>
      </c>
      <c r="HIE1" t="s">
        <v>7146</v>
      </c>
      <c r="HIF1" t="s">
        <v>7147</v>
      </c>
      <c r="HIG1" t="s">
        <v>7148</v>
      </c>
      <c r="HIH1" t="s">
        <v>7149</v>
      </c>
      <c r="HII1" t="s">
        <v>7150</v>
      </c>
      <c r="HIJ1" t="s">
        <v>7151</v>
      </c>
      <c r="HIK1" t="s">
        <v>7152</v>
      </c>
      <c r="HIL1" t="s">
        <v>7153</v>
      </c>
      <c r="HIM1" t="s">
        <v>7154</v>
      </c>
      <c r="HIN1" t="s">
        <v>7155</v>
      </c>
      <c r="HIO1" t="s">
        <v>7156</v>
      </c>
      <c r="HIP1" t="s">
        <v>7157</v>
      </c>
      <c r="HIQ1" t="s">
        <v>7158</v>
      </c>
      <c r="HIR1" t="s">
        <v>7159</v>
      </c>
      <c r="HIS1" t="s">
        <v>7160</v>
      </c>
      <c r="HIT1" t="s">
        <v>7161</v>
      </c>
      <c r="HIU1" t="s">
        <v>7162</v>
      </c>
      <c r="HIV1" t="s">
        <v>7163</v>
      </c>
      <c r="HIW1" t="s">
        <v>7164</v>
      </c>
      <c r="HIX1" t="s">
        <v>7165</v>
      </c>
      <c r="HIY1" t="s">
        <v>7166</v>
      </c>
      <c r="HIZ1" t="s">
        <v>7167</v>
      </c>
      <c r="HJA1" t="s">
        <v>7168</v>
      </c>
      <c r="HJB1" t="s">
        <v>7169</v>
      </c>
      <c r="HJC1" t="s">
        <v>7170</v>
      </c>
      <c r="HJD1" t="s">
        <v>7171</v>
      </c>
      <c r="HJE1" t="s">
        <v>7172</v>
      </c>
      <c r="HJF1" t="s">
        <v>7173</v>
      </c>
      <c r="HJG1" t="s">
        <v>7174</v>
      </c>
      <c r="HJH1" t="s">
        <v>7175</v>
      </c>
      <c r="HJI1" t="s">
        <v>7176</v>
      </c>
      <c r="HJJ1" t="s">
        <v>7177</v>
      </c>
      <c r="HJK1" t="s">
        <v>7178</v>
      </c>
      <c r="HJL1" t="s">
        <v>7179</v>
      </c>
      <c r="HJM1" t="s">
        <v>7180</v>
      </c>
      <c r="HJN1" t="s">
        <v>7181</v>
      </c>
      <c r="HJO1" t="s">
        <v>7182</v>
      </c>
      <c r="HJP1" t="s">
        <v>7183</v>
      </c>
      <c r="HJQ1" t="s">
        <v>7184</v>
      </c>
      <c r="HJR1" t="s">
        <v>7185</v>
      </c>
      <c r="HJS1" t="s">
        <v>7186</v>
      </c>
      <c r="HJT1" t="s">
        <v>7187</v>
      </c>
      <c r="HJU1" t="s">
        <v>7188</v>
      </c>
      <c r="HJV1" t="s">
        <v>7189</v>
      </c>
      <c r="HJW1" t="s">
        <v>7190</v>
      </c>
      <c r="HJX1" t="s">
        <v>7191</v>
      </c>
      <c r="HJY1" t="s">
        <v>7192</v>
      </c>
      <c r="HJZ1" t="s">
        <v>7193</v>
      </c>
      <c r="HKA1" t="s">
        <v>7194</v>
      </c>
      <c r="HKB1" t="s">
        <v>7195</v>
      </c>
      <c r="HKC1" t="s">
        <v>7196</v>
      </c>
      <c r="HKD1" t="s">
        <v>7197</v>
      </c>
      <c r="HKE1" t="s">
        <v>7198</v>
      </c>
      <c r="HKF1" t="s">
        <v>7199</v>
      </c>
      <c r="HKG1" t="s">
        <v>7200</v>
      </c>
      <c r="HKH1" t="s">
        <v>7201</v>
      </c>
      <c r="HKI1" t="s">
        <v>7202</v>
      </c>
      <c r="HKJ1" t="s">
        <v>7203</v>
      </c>
      <c r="HKK1" t="s">
        <v>7204</v>
      </c>
      <c r="HKL1" t="s">
        <v>7205</v>
      </c>
      <c r="HKM1" t="s">
        <v>7206</v>
      </c>
      <c r="HKN1" t="s">
        <v>7207</v>
      </c>
      <c r="HKO1" t="s">
        <v>7208</v>
      </c>
      <c r="HKP1" t="s">
        <v>7209</v>
      </c>
      <c r="HKQ1" t="s">
        <v>7210</v>
      </c>
      <c r="HKR1" t="s">
        <v>7211</v>
      </c>
      <c r="HKS1" t="s">
        <v>7212</v>
      </c>
      <c r="HKT1" t="s">
        <v>7213</v>
      </c>
      <c r="HKU1" t="s">
        <v>7214</v>
      </c>
      <c r="HKV1" t="s">
        <v>7215</v>
      </c>
      <c r="HKW1" t="s">
        <v>7216</v>
      </c>
      <c r="HKX1" t="s">
        <v>7217</v>
      </c>
      <c r="HKY1" t="s">
        <v>7218</v>
      </c>
      <c r="HKZ1" t="s">
        <v>7219</v>
      </c>
      <c r="HLA1" t="s">
        <v>7220</v>
      </c>
      <c r="HLB1" t="s">
        <v>7221</v>
      </c>
      <c r="HLC1" t="s">
        <v>7222</v>
      </c>
      <c r="HLD1" t="s">
        <v>7223</v>
      </c>
      <c r="HLE1" t="s">
        <v>7224</v>
      </c>
      <c r="HLF1" t="s">
        <v>7225</v>
      </c>
      <c r="HLG1" t="s">
        <v>7226</v>
      </c>
      <c r="HLH1" t="s">
        <v>7227</v>
      </c>
      <c r="HLI1" t="s">
        <v>7228</v>
      </c>
      <c r="HLJ1" t="s">
        <v>7229</v>
      </c>
      <c r="HLK1" t="s">
        <v>7230</v>
      </c>
      <c r="HLL1" t="s">
        <v>7231</v>
      </c>
      <c r="HLM1" t="s">
        <v>7232</v>
      </c>
      <c r="HLN1" t="s">
        <v>7233</v>
      </c>
      <c r="HLO1" t="s">
        <v>7234</v>
      </c>
      <c r="HLP1" t="s">
        <v>7235</v>
      </c>
      <c r="HLQ1" t="s">
        <v>7236</v>
      </c>
      <c r="HLR1" t="s">
        <v>7237</v>
      </c>
      <c r="HLS1" t="s">
        <v>7238</v>
      </c>
      <c r="HLT1" t="s">
        <v>7239</v>
      </c>
      <c r="HLU1" t="s">
        <v>7240</v>
      </c>
      <c r="HLV1" t="s">
        <v>7241</v>
      </c>
      <c r="HLW1" t="s">
        <v>7242</v>
      </c>
      <c r="HLX1" t="s">
        <v>7243</v>
      </c>
      <c r="HLY1" t="s">
        <v>7244</v>
      </c>
      <c r="HLZ1" t="s">
        <v>7245</v>
      </c>
      <c r="HMA1" t="s">
        <v>7246</v>
      </c>
      <c r="HMB1" t="s">
        <v>7247</v>
      </c>
      <c r="HMC1" t="s">
        <v>7248</v>
      </c>
      <c r="HMD1" t="s">
        <v>7249</v>
      </c>
      <c r="HME1" t="s">
        <v>7250</v>
      </c>
      <c r="HMF1" t="s">
        <v>7251</v>
      </c>
      <c r="HMG1" t="s">
        <v>7252</v>
      </c>
      <c r="HMH1" t="s">
        <v>7253</v>
      </c>
      <c r="HMI1" t="s">
        <v>7254</v>
      </c>
      <c r="HMJ1" t="s">
        <v>7255</v>
      </c>
      <c r="HMK1" t="s">
        <v>7256</v>
      </c>
      <c r="HML1" t="s">
        <v>7257</v>
      </c>
      <c r="HMM1" t="s">
        <v>7258</v>
      </c>
      <c r="HMN1" t="s">
        <v>7259</v>
      </c>
      <c r="HMO1" t="s">
        <v>7260</v>
      </c>
      <c r="HMP1" t="s">
        <v>7261</v>
      </c>
      <c r="HMQ1" t="s">
        <v>7262</v>
      </c>
      <c r="HMR1" t="s">
        <v>7263</v>
      </c>
      <c r="HMS1" t="s">
        <v>7264</v>
      </c>
      <c r="HMT1" t="s">
        <v>7265</v>
      </c>
      <c r="HMU1" t="s">
        <v>7266</v>
      </c>
      <c r="HMV1" t="s">
        <v>7267</v>
      </c>
      <c r="HMW1" t="s">
        <v>7268</v>
      </c>
      <c r="HMX1" t="s">
        <v>7269</v>
      </c>
      <c r="HMY1" t="s">
        <v>7270</v>
      </c>
      <c r="HMZ1" t="s">
        <v>7271</v>
      </c>
      <c r="HNA1" t="s">
        <v>7272</v>
      </c>
      <c r="HNB1" t="s">
        <v>7273</v>
      </c>
      <c r="HNC1" t="s">
        <v>7274</v>
      </c>
      <c r="HND1" t="s">
        <v>7275</v>
      </c>
      <c r="HNE1" t="s">
        <v>7276</v>
      </c>
      <c r="HNF1" t="s">
        <v>7277</v>
      </c>
      <c r="HNG1" t="s">
        <v>7278</v>
      </c>
      <c r="HNH1" t="s">
        <v>7279</v>
      </c>
      <c r="HNI1" t="s">
        <v>7280</v>
      </c>
      <c r="HNJ1" t="s">
        <v>7281</v>
      </c>
      <c r="HNK1" t="s">
        <v>7282</v>
      </c>
      <c r="HNL1" t="s">
        <v>7283</v>
      </c>
      <c r="HNM1" t="s">
        <v>7284</v>
      </c>
      <c r="HNN1" t="s">
        <v>7285</v>
      </c>
      <c r="HNO1" t="s">
        <v>7286</v>
      </c>
      <c r="HNP1" t="s">
        <v>7287</v>
      </c>
      <c r="HNQ1" t="s">
        <v>7288</v>
      </c>
      <c r="HNR1" t="s">
        <v>7289</v>
      </c>
      <c r="HNS1" t="s">
        <v>7290</v>
      </c>
      <c r="HNT1" t="s">
        <v>7291</v>
      </c>
      <c r="HNU1" t="s">
        <v>7292</v>
      </c>
      <c r="HNV1" t="s">
        <v>7293</v>
      </c>
      <c r="HNW1" t="s">
        <v>7294</v>
      </c>
      <c r="HNX1" t="s">
        <v>7295</v>
      </c>
      <c r="HNY1" t="s">
        <v>7296</v>
      </c>
      <c r="HNZ1" t="s">
        <v>7297</v>
      </c>
      <c r="HOA1" t="s">
        <v>7298</v>
      </c>
      <c r="HOB1" t="s">
        <v>7299</v>
      </c>
      <c r="HOC1" t="s">
        <v>7300</v>
      </c>
      <c r="HOD1" t="s">
        <v>7301</v>
      </c>
      <c r="HOE1" t="s">
        <v>7302</v>
      </c>
      <c r="HOF1" t="s">
        <v>7303</v>
      </c>
      <c r="HOG1" t="s">
        <v>7304</v>
      </c>
      <c r="HOH1" t="s">
        <v>7305</v>
      </c>
      <c r="HOI1" t="s">
        <v>7306</v>
      </c>
      <c r="HOJ1" t="s">
        <v>7307</v>
      </c>
      <c r="HOK1" t="s">
        <v>7308</v>
      </c>
      <c r="HOL1" t="s">
        <v>7309</v>
      </c>
      <c r="HOM1" t="s">
        <v>7310</v>
      </c>
      <c r="HON1" t="s">
        <v>7311</v>
      </c>
      <c r="HOO1" t="s">
        <v>7312</v>
      </c>
      <c r="HOP1" t="s">
        <v>7313</v>
      </c>
      <c r="HOQ1" t="s">
        <v>7314</v>
      </c>
      <c r="HOR1" t="s">
        <v>7315</v>
      </c>
      <c r="HOS1" t="s">
        <v>7316</v>
      </c>
      <c r="HOT1" t="s">
        <v>7317</v>
      </c>
      <c r="HOU1" t="s">
        <v>7318</v>
      </c>
      <c r="HOV1" t="s">
        <v>7319</v>
      </c>
      <c r="HOW1" t="s">
        <v>7320</v>
      </c>
      <c r="HOX1" t="s">
        <v>7321</v>
      </c>
      <c r="HOY1" t="s">
        <v>7322</v>
      </c>
      <c r="HOZ1" t="s">
        <v>7323</v>
      </c>
      <c r="HPA1" t="s">
        <v>7324</v>
      </c>
      <c r="HPB1" t="s">
        <v>7325</v>
      </c>
      <c r="HPC1" t="s">
        <v>7326</v>
      </c>
      <c r="HPD1" t="s">
        <v>7327</v>
      </c>
      <c r="HPE1" t="s">
        <v>7328</v>
      </c>
      <c r="HPF1" t="s">
        <v>7329</v>
      </c>
      <c r="HPG1" t="s">
        <v>7330</v>
      </c>
      <c r="HPH1" t="s">
        <v>7331</v>
      </c>
      <c r="HPI1" t="s">
        <v>7332</v>
      </c>
      <c r="HPJ1" t="s">
        <v>7333</v>
      </c>
      <c r="HPK1" t="s">
        <v>7334</v>
      </c>
      <c r="HPL1" t="s">
        <v>7335</v>
      </c>
      <c r="HPM1" t="s">
        <v>7336</v>
      </c>
      <c r="HPN1" t="s">
        <v>7337</v>
      </c>
      <c r="HPO1" t="s">
        <v>7338</v>
      </c>
      <c r="HPP1" t="s">
        <v>7339</v>
      </c>
      <c r="HPQ1" t="s">
        <v>7340</v>
      </c>
      <c r="HPR1" t="s">
        <v>7341</v>
      </c>
      <c r="HPS1" t="s">
        <v>7342</v>
      </c>
      <c r="HPT1" t="s">
        <v>7343</v>
      </c>
      <c r="HPU1" t="s">
        <v>7344</v>
      </c>
      <c r="HPV1" t="s">
        <v>7345</v>
      </c>
      <c r="HPW1" t="s">
        <v>7346</v>
      </c>
      <c r="HPX1" t="s">
        <v>7347</v>
      </c>
      <c r="HPY1" t="s">
        <v>7348</v>
      </c>
      <c r="HPZ1" t="s">
        <v>7349</v>
      </c>
      <c r="HQA1" t="s">
        <v>7350</v>
      </c>
      <c r="HQB1" t="s">
        <v>7351</v>
      </c>
      <c r="HQC1" t="s">
        <v>7352</v>
      </c>
      <c r="HQD1" t="s">
        <v>7353</v>
      </c>
      <c r="HQE1" t="s">
        <v>7354</v>
      </c>
      <c r="HQF1" t="s">
        <v>7355</v>
      </c>
      <c r="HQG1" t="s">
        <v>7356</v>
      </c>
      <c r="HQH1" t="s">
        <v>7357</v>
      </c>
      <c r="HQI1" t="s">
        <v>7358</v>
      </c>
      <c r="HQJ1" t="s">
        <v>7359</v>
      </c>
      <c r="HQK1" t="s">
        <v>7360</v>
      </c>
      <c r="HQL1" t="s">
        <v>7361</v>
      </c>
      <c r="HQM1" t="s">
        <v>7362</v>
      </c>
      <c r="HQN1" t="s">
        <v>7363</v>
      </c>
      <c r="HQO1" t="s">
        <v>7364</v>
      </c>
      <c r="HQP1" t="s">
        <v>7365</v>
      </c>
      <c r="HQQ1" t="s">
        <v>7366</v>
      </c>
      <c r="HQR1" t="s">
        <v>7367</v>
      </c>
      <c r="HQS1" t="s">
        <v>7368</v>
      </c>
      <c r="HQT1" t="s">
        <v>7369</v>
      </c>
      <c r="HQU1" t="s">
        <v>7370</v>
      </c>
      <c r="HQV1" t="s">
        <v>7371</v>
      </c>
      <c r="HQW1" t="s">
        <v>7372</v>
      </c>
      <c r="HQX1" t="s">
        <v>7373</v>
      </c>
      <c r="HQY1" t="s">
        <v>7374</v>
      </c>
      <c r="HQZ1" t="s">
        <v>7375</v>
      </c>
      <c r="HRA1" t="s">
        <v>7376</v>
      </c>
      <c r="HRB1" t="s">
        <v>7377</v>
      </c>
      <c r="HRC1" t="s">
        <v>7378</v>
      </c>
      <c r="HRD1" t="s">
        <v>7379</v>
      </c>
      <c r="HRE1" t="s">
        <v>7380</v>
      </c>
      <c r="HRF1" t="s">
        <v>7381</v>
      </c>
      <c r="HRG1" t="s">
        <v>7382</v>
      </c>
      <c r="HRH1" t="s">
        <v>7383</v>
      </c>
      <c r="HRI1" t="s">
        <v>7384</v>
      </c>
      <c r="HRJ1" t="s">
        <v>7385</v>
      </c>
      <c r="HRK1" t="s">
        <v>7386</v>
      </c>
      <c r="HRL1" t="s">
        <v>7387</v>
      </c>
      <c r="HRM1" t="s">
        <v>7388</v>
      </c>
      <c r="HRN1" t="s">
        <v>7389</v>
      </c>
      <c r="HRO1" t="s">
        <v>7390</v>
      </c>
      <c r="HRP1" t="s">
        <v>7391</v>
      </c>
      <c r="HRQ1" t="s">
        <v>7392</v>
      </c>
      <c r="HRR1" t="s">
        <v>7393</v>
      </c>
      <c r="HRS1" t="s">
        <v>7394</v>
      </c>
      <c r="HRT1" t="s">
        <v>7395</v>
      </c>
      <c r="HRU1" t="s">
        <v>7396</v>
      </c>
      <c r="HRV1" t="s">
        <v>7397</v>
      </c>
      <c r="HRW1" t="s">
        <v>7398</v>
      </c>
      <c r="HRX1" t="s">
        <v>7399</v>
      </c>
      <c r="HRY1" t="s">
        <v>7400</v>
      </c>
      <c r="HRZ1" t="s">
        <v>7401</v>
      </c>
      <c r="HSA1" t="s">
        <v>7402</v>
      </c>
      <c r="HSB1" t="s">
        <v>7403</v>
      </c>
      <c r="HSC1" t="s">
        <v>7404</v>
      </c>
      <c r="HSD1" t="s">
        <v>7405</v>
      </c>
      <c r="HSE1" t="s">
        <v>7406</v>
      </c>
      <c r="HSF1" t="s">
        <v>7407</v>
      </c>
      <c r="HSG1" t="s">
        <v>7408</v>
      </c>
      <c r="HSH1" t="s">
        <v>7409</v>
      </c>
      <c r="HSI1" t="s">
        <v>7410</v>
      </c>
      <c r="HSJ1" t="s">
        <v>7411</v>
      </c>
      <c r="HSK1" t="s">
        <v>7412</v>
      </c>
      <c r="HSL1" t="s">
        <v>7413</v>
      </c>
      <c r="HSM1" t="s">
        <v>7414</v>
      </c>
      <c r="HSN1" t="s">
        <v>7415</v>
      </c>
      <c r="HSO1" t="s">
        <v>7416</v>
      </c>
      <c r="HSP1" t="s">
        <v>7417</v>
      </c>
      <c r="HSQ1" t="s">
        <v>7418</v>
      </c>
      <c r="HSR1" t="s">
        <v>7419</v>
      </c>
      <c r="HSS1" t="s">
        <v>7420</v>
      </c>
      <c r="HST1" t="s">
        <v>7421</v>
      </c>
      <c r="HSU1" t="s">
        <v>7422</v>
      </c>
      <c r="HSV1" t="s">
        <v>7423</v>
      </c>
      <c r="HSW1" t="s">
        <v>7424</v>
      </c>
      <c r="HSX1" t="s">
        <v>7425</v>
      </c>
      <c r="HSY1" t="s">
        <v>7426</v>
      </c>
      <c r="HSZ1" t="s">
        <v>7427</v>
      </c>
      <c r="HTA1" t="s">
        <v>7428</v>
      </c>
      <c r="HTB1" t="s">
        <v>7429</v>
      </c>
      <c r="HTC1" t="s">
        <v>7430</v>
      </c>
      <c r="HTD1" t="s">
        <v>7431</v>
      </c>
      <c r="HTE1" t="s">
        <v>7432</v>
      </c>
      <c r="HTF1" t="s">
        <v>7433</v>
      </c>
      <c r="HTG1" t="s">
        <v>7434</v>
      </c>
      <c r="HTH1" t="s">
        <v>7435</v>
      </c>
      <c r="HTI1" t="s">
        <v>7436</v>
      </c>
      <c r="HTJ1" t="s">
        <v>7437</v>
      </c>
      <c r="HTK1" t="s">
        <v>7438</v>
      </c>
      <c r="HTL1" t="s">
        <v>7439</v>
      </c>
      <c r="HTM1" t="s">
        <v>7440</v>
      </c>
      <c r="HTN1" t="s">
        <v>7441</v>
      </c>
      <c r="HTO1" t="s">
        <v>7442</v>
      </c>
      <c r="HTP1" t="s">
        <v>7443</v>
      </c>
      <c r="HTQ1" t="s">
        <v>7444</v>
      </c>
      <c r="HTR1" t="s">
        <v>7445</v>
      </c>
      <c r="HTS1" t="s">
        <v>7446</v>
      </c>
      <c r="HTT1" t="s">
        <v>7447</v>
      </c>
      <c r="HTU1" t="s">
        <v>7448</v>
      </c>
      <c r="HTV1" t="s">
        <v>7449</v>
      </c>
      <c r="HTW1" t="s">
        <v>7450</v>
      </c>
      <c r="HTX1" t="s">
        <v>7451</v>
      </c>
      <c r="HTY1" t="s">
        <v>7452</v>
      </c>
      <c r="HTZ1" t="s">
        <v>7453</v>
      </c>
      <c r="HUA1" t="s">
        <v>7454</v>
      </c>
      <c r="HUB1" t="s">
        <v>7455</v>
      </c>
      <c r="HUC1" t="s">
        <v>7456</v>
      </c>
      <c r="HUD1" t="s">
        <v>7457</v>
      </c>
      <c r="HUE1" t="s">
        <v>7458</v>
      </c>
      <c r="HUF1" t="s">
        <v>7459</v>
      </c>
      <c r="HUG1" t="s">
        <v>7460</v>
      </c>
      <c r="HUH1" t="s">
        <v>7461</v>
      </c>
      <c r="HUI1" t="s">
        <v>7462</v>
      </c>
      <c r="HUJ1" t="s">
        <v>7463</v>
      </c>
      <c r="HUK1" t="s">
        <v>7464</v>
      </c>
      <c r="HUL1" t="s">
        <v>7465</v>
      </c>
      <c r="HUM1" t="s">
        <v>7466</v>
      </c>
      <c r="HUN1" t="s">
        <v>7467</v>
      </c>
      <c r="HUO1" t="s">
        <v>7468</v>
      </c>
      <c r="HUP1" t="s">
        <v>7469</v>
      </c>
      <c r="HUQ1" t="s">
        <v>7470</v>
      </c>
      <c r="HUR1" t="s">
        <v>7471</v>
      </c>
      <c r="HUS1" t="s">
        <v>7472</v>
      </c>
      <c r="HUT1" t="s">
        <v>7473</v>
      </c>
      <c r="HUU1" t="s">
        <v>7474</v>
      </c>
      <c r="HUV1" t="s">
        <v>7475</v>
      </c>
      <c r="HUW1" t="s">
        <v>7476</v>
      </c>
      <c r="HUX1" t="s">
        <v>7477</v>
      </c>
      <c r="HUY1" t="s">
        <v>7478</v>
      </c>
      <c r="HUZ1" t="s">
        <v>7479</v>
      </c>
      <c r="HVA1" t="s">
        <v>7480</v>
      </c>
      <c r="HVB1" t="s">
        <v>7481</v>
      </c>
      <c r="HVC1" t="s">
        <v>7482</v>
      </c>
      <c r="HVD1" t="s">
        <v>7483</v>
      </c>
      <c r="HVE1" t="s">
        <v>7484</v>
      </c>
      <c r="HVF1" t="s">
        <v>7485</v>
      </c>
      <c r="HVG1" t="s">
        <v>7486</v>
      </c>
      <c r="HVH1" t="s">
        <v>7487</v>
      </c>
      <c r="HVI1" t="s">
        <v>7488</v>
      </c>
      <c r="HVJ1" t="s">
        <v>7489</v>
      </c>
      <c r="HVK1" t="s">
        <v>7490</v>
      </c>
      <c r="HVL1" t="s">
        <v>7491</v>
      </c>
      <c r="HVM1" t="s">
        <v>7492</v>
      </c>
      <c r="HVN1" t="s">
        <v>7493</v>
      </c>
      <c r="HVO1" t="s">
        <v>7494</v>
      </c>
      <c r="HVP1" t="s">
        <v>7495</v>
      </c>
      <c r="HVQ1" t="s">
        <v>7496</v>
      </c>
      <c r="HVR1" t="s">
        <v>7497</v>
      </c>
      <c r="HVS1" t="s">
        <v>7498</v>
      </c>
      <c r="HVT1" t="s">
        <v>7499</v>
      </c>
      <c r="HVU1" t="s">
        <v>7500</v>
      </c>
      <c r="HVV1" t="s">
        <v>7501</v>
      </c>
      <c r="HVW1" t="s">
        <v>7502</v>
      </c>
      <c r="HVX1" t="s">
        <v>7503</v>
      </c>
      <c r="HVY1" t="s">
        <v>7504</v>
      </c>
      <c r="HVZ1" t="s">
        <v>7505</v>
      </c>
      <c r="HWA1" t="s">
        <v>7506</v>
      </c>
      <c r="HWB1" t="s">
        <v>7507</v>
      </c>
      <c r="HWC1" t="s">
        <v>7508</v>
      </c>
      <c r="HWD1" t="s">
        <v>7509</v>
      </c>
      <c r="HWE1" t="s">
        <v>7510</v>
      </c>
      <c r="HWF1" t="s">
        <v>7511</v>
      </c>
      <c r="HWG1" t="s">
        <v>7512</v>
      </c>
      <c r="HWH1" t="s">
        <v>7513</v>
      </c>
      <c r="HWI1" t="s">
        <v>7514</v>
      </c>
      <c r="HWJ1" t="s">
        <v>7515</v>
      </c>
      <c r="HWK1" t="s">
        <v>7516</v>
      </c>
      <c r="HWL1" t="s">
        <v>7517</v>
      </c>
      <c r="HWM1" t="s">
        <v>7518</v>
      </c>
      <c r="HWN1" t="s">
        <v>7519</v>
      </c>
      <c r="HWO1" t="s">
        <v>7520</v>
      </c>
      <c r="HWP1" t="s">
        <v>7521</v>
      </c>
      <c r="HWQ1" t="s">
        <v>7522</v>
      </c>
      <c r="HWR1" t="s">
        <v>7523</v>
      </c>
      <c r="HWS1" t="s">
        <v>7524</v>
      </c>
      <c r="HWT1" t="s">
        <v>7525</v>
      </c>
      <c r="HWU1" t="s">
        <v>7526</v>
      </c>
      <c r="HWV1" t="s">
        <v>7527</v>
      </c>
      <c r="HWW1" t="s">
        <v>7528</v>
      </c>
      <c r="HWX1" t="s">
        <v>7529</v>
      </c>
      <c r="HWY1" t="s">
        <v>7530</v>
      </c>
      <c r="HWZ1" t="s">
        <v>7531</v>
      </c>
      <c r="HXA1" t="s">
        <v>7532</v>
      </c>
      <c r="HXB1" t="s">
        <v>7533</v>
      </c>
      <c r="HXC1" t="s">
        <v>7534</v>
      </c>
      <c r="HXD1" t="s">
        <v>7535</v>
      </c>
      <c r="HXE1" t="s">
        <v>7536</v>
      </c>
      <c r="HXF1" t="s">
        <v>7537</v>
      </c>
      <c r="HXG1" t="s">
        <v>7538</v>
      </c>
      <c r="HXH1" t="s">
        <v>7539</v>
      </c>
      <c r="HXI1" t="s">
        <v>7540</v>
      </c>
      <c r="HXJ1" t="s">
        <v>7541</v>
      </c>
      <c r="HXK1" t="s">
        <v>7542</v>
      </c>
      <c r="HXL1" t="s">
        <v>7543</v>
      </c>
      <c r="HXM1" t="s">
        <v>7544</v>
      </c>
      <c r="HXN1" t="s">
        <v>7545</v>
      </c>
      <c r="HXO1" t="s">
        <v>7546</v>
      </c>
      <c r="HXP1" t="s">
        <v>7547</v>
      </c>
      <c r="HXQ1" t="s">
        <v>7548</v>
      </c>
      <c r="HXR1" t="s">
        <v>7549</v>
      </c>
      <c r="HXS1" t="s">
        <v>7550</v>
      </c>
      <c r="HXT1" t="s">
        <v>7551</v>
      </c>
      <c r="HXU1" t="s">
        <v>7552</v>
      </c>
      <c r="HXV1" t="s">
        <v>7553</v>
      </c>
      <c r="HXW1" t="s">
        <v>7554</v>
      </c>
      <c r="HXX1" t="s">
        <v>7555</v>
      </c>
      <c r="HXY1" t="s">
        <v>7556</v>
      </c>
      <c r="HXZ1" t="s">
        <v>7557</v>
      </c>
      <c r="HYA1" t="s">
        <v>7558</v>
      </c>
      <c r="HYB1" t="s">
        <v>7559</v>
      </c>
      <c r="HYC1" t="s">
        <v>7560</v>
      </c>
      <c r="HYD1" t="s">
        <v>7561</v>
      </c>
      <c r="HYE1" t="s">
        <v>7562</v>
      </c>
      <c r="HYF1" t="s">
        <v>7563</v>
      </c>
      <c r="HYG1" t="s">
        <v>7564</v>
      </c>
      <c r="HYH1" t="s">
        <v>7565</v>
      </c>
      <c r="HYI1" t="s">
        <v>7566</v>
      </c>
      <c r="HYJ1" t="s">
        <v>7567</v>
      </c>
      <c r="HYK1" t="s">
        <v>7568</v>
      </c>
      <c r="HYL1" t="s">
        <v>7569</v>
      </c>
      <c r="HYM1" t="s">
        <v>7570</v>
      </c>
      <c r="HYN1" t="s">
        <v>7571</v>
      </c>
      <c r="HYO1" t="s">
        <v>7572</v>
      </c>
      <c r="HYP1" t="s">
        <v>7573</v>
      </c>
      <c r="HYQ1" t="s">
        <v>7574</v>
      </c>
      <c r="HYR1" t="s">
        <v>7575</v>
      </c>
      <c r="HYS1" t="s">
        <v>7576</v>
      </c>
      <c r="HYT1" t="s">
        <v>7577</v>
      </c>
      <c r="HYU1" t="s">
        <v>7578</v>
      </c>
      <c r="HYV1" t="s">
        <v>7579</v>
      </c>
      <c r="HYW1" t="s">
        <v>7580</v>
      </c>
      <c r="HYX1" t="s">
        <v>7581</v>
      </c>
      <c r="HYY1" t="s">
        <v>7582</v>
      </c>
      <c r="HYZ1" t="s">
        <v>7583</v>
      </c>
      <c r="HZA1" t="s">
        <v>7584</v>
      </c>
      <c r="HZB1" t="s">
        <v>7585</v>
      </c>
      <c r="HZC1" t="s">
        <v>7586</v>
      </c>
      <c r="HZD1" t="s">
        <v>7587</v>
      </c>
      <c r="HZE1" t="s">
        <v>7588</v>
      </c>
      <c r="HZF1" t="s">
        <v>7589</v>
      </c>
      <c r="HZG1" t="s">
        <v>7590</v>
      </c>
      <c r="HZH1" t="s">
        <v>7591</v>
      </c>
      <c r="HZI1" t="s">
        <v>7592</v>
      </c>
      <c r="HZJ1" t="s">
        <v>7593</v>
      </c>
      <c r="HZK1" t="s">
        <v>7594</v>
      </c>
      <c r="HZL1" t="s">
        <v>7595</v>
      </c>
      <c r="HZM1" t="s">
        <v>7596</v>
      </c>
      <c r="HZN1" t="s">
        <v>7597</v>
      </c>
      <c r="HZO1" t="s">
        <v>7598</v>
      </c>
      <c r="HZP1" t="s">
        <v>7599</v>
      </c>
      <c r="HZQ1" t="s">
        <v>7600</v>
      </c>
      <c r="HZR1" t="s">
        <v>7601</v>
      </c>
      <c r="HZS1" t="s">
        <v>7602</v>
      </c>
      <c r="HZT1" t="s">
        <v>7603</v>
      </c>
      <c r="HZU1" t="s">
        <v>7604</v>
      </c>
      <c r="HZV1" t="s">
        <v>7605</v>
      </c>
      <c r="HZW1" t="s">
        <v>7606</v>
      </c>
      <c r="HZX1" t="s">
        <v>7607</v>
      </c>
      <c r="HZY1" t="s">
        <v>7608</v>
      </c>
      <c r="HZZ1" t="s">
        <v>7609</v>
      </c>
      <c r="IAA1" t="s">
        <v>7610</v>
      </c>
      <c r="IAB1" t="s">
        <v>7611</v>
      </c>
      <c r="IAC1" t="s">
        <v>7612</v>
      </c>
      <c r="IAD1" t="s">
        <v>7613</v>
      </c>
      <c r="IAE1" t="s">
        <v>7614</v>
      </c>
      <c r="IAF1" t="s">
        <v>7615</v>
      </c>
      <c r="IAG1" t="s">
        <v>7616</v>
      </c>
      <c r="IAH1" t="s">
        <v>7617</v>
      </c>
      <c r="IAI1" t="s">
        <v>7618</v>
      </c>
      <c r="IAJ1" t="s">
        <v>7619</v>
      </c>
      <c r="IAK1" t="s">
        <v>7620</v>
      </c>
      <c r="IAL1" t="s">
        <v>7621</v>
      </c>
      <c r="IAM1" t="s">
        <v>7622</v>
      </c>
      <c r="IAN1" t="s">
        <v>7623</v>
      </c>
      <c r="IAO1" t="s">
        <v>7624</v>
      </c>
      <c r="IAP1" t="s">
        <v>7625</v>
      </c>
      <c r="IAQ1" t="s">
        <v>7626</v>
      </c>
      <c r="IAR1" t="s">
        <v>7627</v>
      </c>
      <c r="IAS1" t="s">
        <v>7628</v>
      </c>
      <c r="IAT1" t="s">
        <v>7629</v>
      </c>
      <c r="IAU1" t="s">
        <v>7630</v>
      </c>
      <c r="IAV1" t="s">
        <v>7631</v>
      </c>
      <c r="IAW1" t="s">
        <v>7632</v>
      </c>
      <c r="IAX1" t="s">
        <v>7633</v>
      </c>
      <c r="IAY1" t="s">
        <v>7634</v>
      </c>
      <c r="IAZ1" t="s">
        <v>7635</v>
      </c>
      <c r="IBA1" t="s">
        <v>7636</v>
      </c>
      <c r="IBB1" t="s">
        <v>7637</v>
      </c>
      <c r="IBC1" t="s">
        <v>7638</v>
      </c>
      <c r="IBD1" t="s">
        <v>7639</v>
      </c>
      <c r="IBE1" t="s">
        <v>7640</v>
      </c>
      <c r="IBF1" t="s">
        <v>7641</v>
      </c>
      <c r="IBG1" t="s">
        <v>7642</v>
      </c>
      <c r="IBH1" t="s">
        <v>7643</v>
      </c>
      <c r="IBI1" t="s">
        <v>7644</v>
      </c>
      <c r="IBJ1" t="s">
        <v>7645</v>
      </c>
      <c r="IBK1" t="s">
        <v>7646</v>
      </c>
      <c r="IBL1" t="s">
        <v>7647</v>
      </c>
      <c r="IBM1" t="s">
        <v>7648</v>
      </c>
      <c r="IBN1" t="s">
        <v>7649</v>
      </c>
      <c r="IBO1" t="s">
        <v>7650</v>
      </c>
      <c r="IBP1" t="s">
        <v>7651</v>
      </c>
      <c r="IBQ1" t="s">
        <v>7652</v>
      </c>
      <c r="IBR1" t="s">
        <v>7653</v>
      </c>
      <c r="IBS1" t="s">
        <v>7654</v>
      </c>
      <c r="IBT1" t="s">
        <v>7655</v>
      </c>
      <c r="IBU1" t="s">
        <v>7656</v>
      </c>
      <c r="IBV1" t="s">
        <v>7657</v>
      </c>
      <c r="IBW1" t="s">
        <v>7658</v>
      </c>
      <c r="IBX1" t="s">
        <v>7659</v>
      </c>
      <c r="IBY1" t="s">
        <v>7660</v>
      </c>
      <c r="IBZ1" t="s">
        <v>7661</v>
      </c>
      <c r="ICA1" t="s">
        <v>7662</v>
      </c>
      <c r="ICB1" t="s">
        <v>7663</v>
      </c>
      <c r="ICC1" t="s">
        <v>7664</v>
      </c>
      <c r="ICD1" t="s">
        <v>7665</v>
      </c>
      <c r="ICE1" t="s">
        <v>7666</v>
      </c>
      <c r="ICF1" t="s">
        <v>7667</v>
      </c>
      <c r="ICG1" t="s">
        <v>7668</v>
      </c>
      <c r="ICH1" t="s">
        <v>7669</v>
      </c>
      <c r="ICI1" t="s">
        <v>7670</v>
      </c>
      <c r="ICJ1" t="s">
        <v>7671</v>
      </c>
      <c r="ICK1" t="s">
        <v>7672</v>
      </c>
      <c r="ICL1" t="s">
        <v>7673</v>
      </c>
      <c r="ICM1" t="s">
        <v>7674</v>
      </c>
      <c r="ICN1" t="s">
        <v>7675</v>
      </c>
      <c r="ICO1" t="s">
        <v>7676</v>
      </c>
      <c r="ICP1" t="s">
        <v>7677</v>
      </c>
      <c r="ICQ1" t="s">
        <v>7678</v>
      </c>
      <c r="ICR1" t="s">
        <v>7679</v>
      </c>
      <c r="ICS1" t="s">
        <v>7680</v>
      </c>
      <c r="ICT1" t="s">
        <v>7681</v>
      </c>
      <c r="ICU1" t="s">
        <v>7682</v>
      </c>
      <c r="ICV1" t="s">
        <v>7683</v>
      </c>
      <c r="ICW1" t="s">
        <v>7684</v>
      </c>
      <c r="ICX1" t="s">
        <v>7685</v>
      </c>
      <c r="ICY1" t="s">
        <v>7686</v>
      </c>
      <c r="ICZ1" t="s">
        <v>7687</v>
      </c>
      <c r="IDA1" t="s">
        <v>7688</v>
      </c>
      <c r="IDB1" t="s">
        <v>7689</v>
      </c>
      <c r="IDC1" t="s">
        <v>7690</v>
      </c>
      <c r="IDD1" t="s">
        <v>7691</v>
      </c>
      <c r="IDE1" t="s">
        <v>7692</v>
      </c>
      <c r="IDF1" t="s">
        <v>7693</v>
      </c>
      <c r="IDG1" t="s">
        <v>7694</v>
      </c>
      <c r="IDH1" t="s">
        <v>7695</v>
      </c>
      <c r="IDI1" t="s">
        <v>7696</v>
      </c>
      <c r="IDJ1" t="s">
        <v>7697</v>
      </c>
      <c r="IDK1" t="s">
        <v>7698</v>
      </c>
      <c r="IDL1" t="s">
        <v>7699</v>
      </c>
      <c r="IDM1" t="s">
        <v>7700</v>
      </c>
      <c r="IDN1" t="s">
        <v>7701</v>
      </c>
      <c r="IDO1" t="s">
        <v>7702</v>
      </c>
      <c r="IDP1" t="s">
        <v>7703</v>
      </c>
      <c r="IDQ1" t="s">
        <v>7704</v>
      </c>
      <c r="IDR1" t="s">
        <v>7705</v>
      </c>
      <c r="IDS1" t="s">
        <v>7706</v>
      </c>
      <c r="IDT1" t="s">
        <v>7707</v>
      </c>
      <c r="IDU1" t="s">
        <v>7708</v>
      </c>
      <c r="IDV1" t="s">
        <v>7709</v>
      </c>
      <c r="IDW1" t="s">
        <v>7710</v>
      </c>
      <c r="IDX1" t="s">
        <v>7711</v>
      </c>
      <c r="IDY1" t="s">
        <v>7712</v>
      </c>
      <c r="IDZ1" t="s">
        <v>7713</v>
      </c>
      <c r="IEA1" t="s">
        <v>7714</v>
      </c>
      <c r="IEB1" t="s">
        <v>7715</v>
      </c>
      <c r="IEC1" t="s">
        <v>7716</v>
      </c>
      <c r="IED1" t="s">
        <v>7717</v>
      </c>
      <c r="IEE1" t="s">
        <v>7718</v>
      </c>
      <c r="IEF1" t="s">
        <v>7719</v>
      </c>
      <c r="IEG1" t="s">
        <v>7720</v>
      </c>
      <c r="IEH1" t="s">
        <v>7721</v>
      </c>
      <c r="IEI1" t="s">
        <v>7722</v>
      </c>
      <c r="IEJ1" t="s">
        <v>7723</v>
      </c>
      <c r="IEK1" t="s">
        <v>7724</v>
      </c>
      <c r="IEL1" t="s">
        <v>7725</v>
      </c>
      <c r="IEM1" t="s">
        <v>7726</v>
      </c>
      <c r="IEN1" t="s">
        <v>7727</v>
      </c>
      <c r="IEO1" t="s">
        <v>7728</v>
      </c>
      <c r="IEP1" t="s">
        <v>7729</v>
      </c>
      <c r="IEQ1" t="s">
        <v>7730</v>
      </c>
      <c r="IER1" t="s">
        <v>7731</v>
      </c>
      <c r="IES1" t="s">
        <v>7732</v>
      </c>
      <c r="IET1" t="s">
        <v>7733</v>
      </c>
      <c r="IEU1" t="s">
        <v>7734</v>
      </c>
      <c r="IEV1" t="s">
        <v>7735</v>
      </c>
      <c r="IEW1" t="s">
        <v>7736</v>
      </c>
      <c r="IEX1" t="s">
        <v>7737</v>
      </c>
      <c r="IEY1" t="s">
        <v>7738</v>
      </c>
      <c r="IEZ1" t="s">
        <v>7739</v>
      </c>
      <c r="IFA1" t="s">
        <v>7740</v>
      </c>
      <c r="IFB1" t="s">
        <v>7741</v>
      </c>
      <c r="IFC1" t="s">
        <v>7742</v>
      </c>
      <c r="IFD1" t="s">
        <v>7743</v>
      </c>
      <c r="IFE1" t="s">
        <v>7744</v>
      </c>
      <c r="IFF1" t="s">
        <v>7745</v>
      </c>
      <c r="IFG1" t="s">
        <v>7746</v>
      </c>
      <c r="IFH1" t="s">
        <v>7747</v>
      </c>
      <c r="IFI1" t="s">
        <v>7748</v>
      </c>
      <c r="IFJ1" t="s">
        <v>7749</v>
      </c>
      <c r="IFK1" t="s">
        <v>7750</v>
      </c>
      <c r="IFL1" t="s">
        <v>7751</v>
      </c>
      <c r="IFM1" t="s">
        <v>7752</v>
      </c>
      <c r="IFN1" t="s">
        <v>7753</v>
      </c>
      <c r="IFO1" t="s">
        <v>7754</v>
      </c>
      <c r="IFP1" t="s">
        <v>7755</v>
      </c>
      <c r="IFQ1" t="s">
        <v>7756</v>
      </c>
      <c r="IFR1" t="s">
        <v>7757</v>
      </c>
      <c r="IFS1" t="s">
        <v>7758</v>
      </c>
      <c r="IFT1" t="s">
        <v>7759</v>
      </c>
      <c r="IFU1" t="s">
        <v>7760</v>
      </c>
      <c r="IFV1" t="s">
        <v>7761</v>
      </c>
      <c r="IFW1" t="s">
        <v>7762</v>
      </c>
      <c r="IFX1" t="s">
        <v>7763</v>
      </c>
      <c r="IFY1" t="s">
        <v>7764</v>
      </c>
      <c r="IFZ1" t="s">
        <v>7765</v>
      </c>
      <c r="IGA1" t="s">
        <v>7766</v>
      </c>
      <c r="IGB1" t="s">
        <v>7767</v>
      </c>
      <c r="IGC1" t="s">
        <v>7768</v>
      </c>
      <c r="IGD1" t="s">
        <v>7769</v>
      </c>
      <c r="IGE1" t="s">
        <v>7770</v>
      </c>
      <c r="IGF1" t="s">
        <v>7771</v>
      </c>
      <c r="IGG1" t="s">
        <v>7772</v>
      </c>
      <c r="IGH1" t="s">
        <v>7773</v>
      </c>
      <c r="IGI1" t="s">
        <v>7774</v>
      </c>
      <c r="IGJ1" t="s">
        <v>7775</v>
      </c>
      <c r="IGK1" t="s">
        <v>7776</v>
      </c>
      <c r="IGL1" t="s">
        <v>7777</v>
      </c>
      <c r="IGM1" t="s">
        <v>7778</v>
      </c>
      <c r="IGN1" t="s">
        <v>7779</v>
      </c>
      <c r="IGO1" t="s">
        <v>7780</v>
      </c>
      <c r="IGP1" t="s">
        <v>7781</v>
      </c>
      <c r="IGQ1" t="s">
        <v>7782</v>
      </c>
      <c r="IGR1" t="s">
        <v>7783</v>
      </c>
      <c r="IGS1" t="s">
        <v>7784</v>
      </c>
      <c r="IGT1" t="s">
        <v>7785</v>
      </c>
      <c r="IGU1" t="s">
        <v>7786</v>
      </c>
      <c r="IGV1" t="s">
        <v>7787</v>
      </c>
      <c r="IGW1" t="s">
        <v>7788</v>
      </c>
      <c r="IGX1" t="s">
        <v>7789</v>
      </c>
      <c r="IGY1" t="s">
        <v>7790</v>
      </c>
      <c r="IGZ1" t="s">
        <v>7791</v>
      </c>
      <c r="IHA1" t="s">
        <v>7792</v>
      </c>
      <c r="IHB1" t="s">
        <v>7793</v>
      </c>
      <c r="IHC1" t="s">
        <v>7794</v>
      </c>
      <c r="IHD1" t="s">
        <v>7795</v>
      </c>
      <c r="IHE1" t="s">
        <v>7796</v>
      </c>
      <c r="IHF1" t="s">
        <v>7797</v>
      </c>
      <c r="IHG1" t="s">
        <v>7798</v>
      </c>
      <c r="IHH1" t="s">
        <v>7799</v>
      </c>
      <c r="IHI1" t="s">
        <v>7800</v>
      </c>
      <c r="IHJ1" t="s">
        <v>7801</v>
      </c>
      <c r="IHK1" t="s">
        <v>7802</v>
      </c>
      <c r="IHL1" t="s">
        <v>7803</v>
      </c>
      <c r="IHM1" t="s">
        <v>7804</v>
      </c>
      <c r="IHN1" t="s">
        <v>7805</v>
      </c>
      <c r="IHO1" t="s">
        <v>7806</v>
      </c>
      <c r="IHP1" t="s">
        <v>7807</v>
      </c>
      <c r="IHQ1" t="s">
        <v>7808</v>
      </c>
      <c r="IHR1" t="s">
        <v>7809</v>
      </c>
      <c r="IHS1" t="s">
        <v>7810</v>
      </c>
      <c r="IHT1" t="s">
        <v>7811</v>
      </c>
      <c r="IHU1" t="s">
        <v>7812</v>
      </c>
      <c r="IHV1" t="s">
        <v>7813</v>
      </c>
      <c r="IHW1" t="s">
        <v>7814</v>
      </c>
      <c r="IHX1" t="s">
        <v>7815</v>
      </c>
      <c r="IHY1" t="s">
        <v>7816</v>
      </c>
      <c r="IHZ1" t="s">
        <v>7817</v>
      </c>
      <c r="IIA1" t="s">
        <v>7818</v>
      </c>
      <c r="IIB1" t="s">
        <v>7819</v>
      </c>
      <c r="IIC1" t="s">
        <v>7820</v>
      </c>
      <c r="IID1" t="s">
        <v>7821</v>
      </c>
      <c r="IIE1" t="s">
        <v>7822</v>
      </c>
      <c r="IIF1" t="s">
        <v>7823</v>
      </c>
      <c r="IIG1" t="s">
        <v>7824</v>
      </c>
      <c r="IIH1" t="s">
        <v>7825</v>
      </c>
      <c r="III1" t="s">
        <v>7826</v>
      </c>
      <c r="IIJ1" t="s">
        <v>7827</v>
      </c>
      <c r="IIK1" t="s">
        <v>7828</v>
      </c>
      <c r="IIL1" t="s">
        <v>7829</v>
      </c>
      <c r="IIM1" t="s">
        <v>7830</v>
      </c>
      <c r="IIN1" t="s">
        <v>7831</v>
      </c>
      <c r="IIO1" t="s">
        <v>7832</v>
      </c>
      <c r="IIP1" t="s">
        <v>7833</v>
      </c>
      <c r="IIQ1" t="s">
        <v>7834</v>
      </c>
      <c r="IIR1" t="s">
        <v>7835</v>
      </c>
      <c r="IIS1" t="s">
        <v>7836</v>
      </c>
      <c r="IIT1" t="s">
        <v>7837</v>
      </c>
      <c r="IIU1" t="s">
        <v>7838</v>
      </c>
      <c r="IIV1" t="s">
        <v>7839</v>
      </c>
      <c r="IIW1" t="s">
        <v>7840</v>
      </c>
      <c r="IIX1" t="s">
        <v>7841</v>
      </c>
      <c r="IIY1" t="s">
        <v>7842</v>
      </c>
      <c r="IIZ1" t="s">
        <v>7843</v>
      </c>
      <c r="IJA1" t="s">
        <v>7844</v>
      </c>
      <c r="IJB1" t="s">
        <v>7845</v>
      </c>
      <c r="IJC1" t="s">
        <v>7846</v>
      </c>
      <c r="IJD1" t="s">
        <v>7847</v>
      </c>
      <c r="IJE1" t="s">
        <v>7848</v>
      </c>
      <c r="IJF1" t="s">
        <v>7849</v>
      </c>
      <c r="IJG1" t="s">
        <v>7850</v>
      </c>
      <c r="IJH1" t="s">
        <v>7851</v>
      </c>
      <c r="IJI1" t="s">
        <v>7852</v>
      </c>
      <c r="IJJ1" t="s">
        <v>7853</v>
      </c>
      <c r="IJK1" t="s">
        <v>7854</v>
      </c>
      <c r="IJL1" t="s">
        <v>7855</v>
      </c>
      <c r="IJM1" t="s">
        <v>7856</v>
      </c>
      <c r="IJN1" t="s">
        <v>7857</v>
      </c>
      <c r="IJO1" t="s">
        <v>7858</v>
      </c>
      <c r="IJP1" t="s">
        <v>7859</v>
      </c>
      <c r="IJQ1" t="s">
        <v>7860</v>
      </c>
      <c r="IJR1" t="s">
        <v>7861</v>
      </c>
      <c r="IJS1" t="s">
        <v>7862</v>
      </c>
      <c r="IJT1" t="s">
        <v>7863</v>
      </c>
      <c r="IJU1" t="s">
        <v>7864</v>
      </c>
      <c r="IJV1" t="s">
        <v>7865</v>
      </c>
      <c r="IJW1" t="s">
        <v>7866</v>
      </c>
      <c r="IJX1" t="s">
        <v>7867</v>
      </c>
      <c r="IJY1" t="s">
        <v>7868</v>
      </c>
      <c r="IJZ1" t="s">
        <v>7869</v>
      </c>
      <c r="IKA1" t="s">
        <v>7870</v>
      </c>
      <c r="IKB1" t="s">
        <v>7871</v>
      </c>
      <c r="IKC1" t="s">
        <v>7872</v>
      </c>
      <c r="IKD1" t="s">
        <v>7873</v>
      </c>
      <c r="IKE1" t="s">
        <v>7874</v>
      </c>
      <c r="IKF1" t="s">
        <v>7875</v>
      </c>
      <c r="IKG1" t="s">
        <v>7876</v>
      </c>
      <c r="IKH1" t="s">
        <v>7877</v>
      </c>
      <c r="IKI1" t="s">
        <v>7878</v>
      </c>
      <c r="IKJ1" t="s">
        <v>7879</v>
      </c>
      <c r="IKK1" t="s">
        <v>7880</v>
      </c>
      <c r="IKL1" t="s">
        <v>7881</v>
      </c>
      <c r="IKM1" t="s">
        <v>7882</v>
      </c>
      <c r="IKN1" t="s">
        <v>7883</v>
      </c>
      <c r="IKO1" t="s">
        <v>7884</v>
      </c>
      <c r="IKP1" t="s">
        <v>7885</v>
      </c>
      <c r="IKQ1" t="s">
        <v>7886</v>
      </c>
      <c r="IKR1" t="s">
        <v>7887</v>
      </c>
      <c r="IKS1" t="s">
        <v>7888</v>
      </c>
      <c r="IKT1" t="s">
        <v>7889</v>
      </c>
      <c r="IKU1" t="s">
        <v>7890</v>
      </c>
      <c r="IKV1" t="s">
        <v>7891</v>
      </c>
      <c r="IKW1" t="s">
        <v>7892</v>
      </c>
      <c r="IKX1" t="s">
        <v>7893</v>
      </c>
      <c r="IKY1" t="s">
        <v>7894</v>
      </c>
      <c r="IKZ1" t="s">
        <v>7895</v>
      </c>
      <c r="ILA1" t="s">
        <v>7896</v>
      </c>
      <c r="ILB1" t="s">
        <v>7897</v>
      </c>
      <c r="ILC1" t="s">
        <v>7898</v>
      </c>
      <c r="ILD1" t="s">
        <v>7899</v>
      </c>
      <c r="ILE1" t="s">
        <v>7900</v>
      </c>
      <c r="ILF1" t="s">
        <v>7901</v>
      </c>
      <c r="ILG1" t="s">
        <v>7902</v>
      </c>
      <c r="ILH1" t="s">
        <v>7903</v>
      </c>
      <c r="ILI1" t="s">
        <v>7904</v>
      </c>
      <c r="ILJ1" t="s">
        <v>7905</v>
      </c>
      <c r="ILK1" t="s">
        <v>7906</v>
      </c>
      <c r="ILL1" t="s">
        <v>7907</v>
      </c>
      <c r="ILM1" t="s">
        <v>7908</v>
      </c>
      <c r="ILN1" t="s">
        <v>7909</v>
      </c>
      <c r="ILO1" t="s">
        <v>7910</v>
      </c>
      <c r="ILP1" t="s">
        <v>7911</v>
      </c>
      <c r="ILQ1" t="s">
        <v>7912</v>
      </c>
      <c r="ILR1" t="s">
        <v>7913</v>
      </c>
      <c r="ILS1" t="s">
        <v>7914</v>
      </c>
      <c r="ILT1" t="s">
        <v>7915</v>
      </c>
      <c r="ILU1" t="s">
        <v>7916</v>
      </c>
      <c r="ILV1" t="s">
        <v>7917</v>
      </c>
      <c r="ILW1" t="s">
        <v>7918</v>
      </c>
      <c r="ILX1" t="s">
        <v>7919</v>
      </c>
      <c r="ILY1" t="s">
        <v>7920</v>
      </c>
      <c r="ILZ1" t="s">
        <v>7921</v>
      </c>
      <c r="IMA1" t="s">
        <v>7922</v>
      </c>
      <c r="IMB1" t="s">
        <v>7923</v>
      </c>
      <c r="IMC1" t="s">
        <v>7924</v>
      </c>
      <c r="IMD1" t="s">
        <v>7925</v>
      </c>
      <c r="IME1" t="s">
        <v>7926</v>
      </c>
      <c r="IMF1" t="s">
        <v>7927</v>
      </c>
      <c r="IMG1" t="s">
        <v>7928</v>
      </c>
      <c r="IMH1" t="s">
        <v>7929</v>
      </c>
      <c r="IMI1" t="s">
        <v>7930</v>
      </c>
      <c r="IMJ1" t="s">
        <v>7931</v>
      </c>
      <c r="IMK1" t="s">
        <v>7932</v>
      </c>
      <c r="IML1" t="s">
        <v>7933</v>
      </c>
      <c r="IMM1" t="s">
        <v>7934</v>
      </c>
      <c r="IMN1" t="s">
        <v>7935</v>
      </c>
      <c r="IMO1" t="s">
        <v>7936</v>
      </c>
      <c r="IMP1" t="s">
        <v>7937</v>
      </c>
      <c r="IMQ1" t="s">
        <v>7938</v>
      </c>
      <c r="IMR1" t="s">
        <v>7939</v>
      </c>
      <c r="IMS1" t="s">
        <v>7940</v>
      </c>
      <c r="IMT1" t="s">
        <v>7941</v>
      </c>
      <c r="IMU1" t="s">
        <v>7942</v>
      </c>
      <c r="IMV1" t="s">
        <v>7943</v>
      </c>
      <c r="IMW1" t="s">
        <v>7944</v>
      </c>
      <c r="IMX1" t="s">
        <v>7945</v>
      </c>
      <c r="IMY1" t="s">
        <v>7946</v>
      </c>
      <c r="IMZ1" t="s">
        <v>7947</v>
      </c>
      <c r="INA1" t="s">
        <v>7948</v>
      </c>
      <c r="INB1" t="s">
        <v>7949</v>
      </c>
      <c r="INC1" t="s">
        <v>7950</v>
      </c>
      <c r="IND1" t="s">
        <v>7951</v>
      </c>
      <c r="INE1" t="s">
        <v>7952</v>
      </c>
      <c r="INF1" t="s">
        <v>7953</v>
      </c>
      <c r="ING1" t="s">
        <v>7954</v>
      </c>
      <c r="INH1" t="s">
        <v>7955</v>
      </c>
      <c r="INI1" t="s">
        <v>7956</v>
      </c>
      <c r="INJ1" t="s">
        <v>7957</v>
      </c>
      <c r="INK1" t="s">
        <v>7958</v>
      </c>
      <c r="INL1" t="s">
        <v>7959</v>
      </c>
      <c r="INM1" t="s">
        <v>7960</v>
      </c>
      <c r="INN1" t="s">
        <v>7961</v>
      </c>
      <c r="INO1" t="s">
        <v>7962</v>
      </c>
      <c r="INP1" t="s">
        <v>7963</v>
      </c>
      <c r="INQ1" t="s">
        <v>7964</v>
      </c>
      <c r="INR1" t="s">
        <v>7965</v>
      </c>
      <c r="INS1" t="s">
        <v>7966</v>
      </c>
      <c r="INT1" t="s">
        <v>7967</v>
      </c>
      <c r="INU1" t="s">
        <v>7968</v>
      </c>
      <c r="INV1" t="s">
        <v>7969</v>
      </c>
      <c r="INW1" t="s">
        <v>7970</v>
      </c>
      <c r="INX1" t="s">
        <v>7971</v>
      </c>
      <c r="INY1" t="s">
        <v>7972</v>
      </c>
      <c r="INZ1" t="s">
        <v>7973</v>
      </c>
      <c r="IOA1" t="s">
        <v>7974</v>
      </c>
      <c r="IOB1" t="s">
        <v>7975</v>
      </c>
      <c r="IOC1" t="s">
        <v>7976</v>
      </c>
      <c r="IOD1" t="s">
        <v>7977</v>
      </c>
      <c r="IOE1" t="s">
        <v>7978</v>
      </c>
      <c r="IOF1" t="s">
        <v>7979</v>
      </c>
      <c r="IOG1" t="s">
        <v>7980</v>
      </c>
      <c r="IOH1" t="s">
        <v>7981</v>
      </c>
      <c r="IOI1" t="s">
        <v>7982</v>
      </c>
      <c r="IOJ1" t="s">
        <v>7983</v>
      </c>
      <c r="IOK1" t="s">
        <v>7984</v>
      </c>
      <c r="IOL1" t="s">
        <v>7985</v>
      </c>
      <c r="IOM1" t="s">
        <v>7986</v>
      </c>
      <c r="ION1" t="s">
        <v>7987</v>
      </c>
      <c r="IOO1" t="s">
        <v>7988</v>
      </c>
      <c r="IOP1" t="s">
        <v>7989</v>
      </c>
      <c r="IOQ1" t="s">
        <v>7990</v>
      </c>
      <c r="IOR1" t="s">
        <v>7991</v>
      </c>
      <c r="IOS1" t="s">
        <v>7992</v>
      </c>
      <c r="IOT1" t="s">
        <v>7993</v>
      </c>
      <c r="IOU1" t="s">
        <v>7994</v>
      </c>
      <c r="IOV1" t="s">
        <v>7995</v>
      </c>
      <c r="IOW1" t="s">
        <v>7996</v>
      </c>
      <c r="IOX1" t="s">
        <v>7997</v>
      </c>
      <c r="IOY1" t="s">
        <v>7998</v>
      </c>
      <c r="IOZ1" t="s">
        <v>7999</v>
      </c>
      <c r="IPA1" t="s">
        <v>8000</v>
      </c>
      <c r="IPB1" t="s">
        <v>8001</v>
      </c>
      <c r="IPC1" t="s">
        <v>8002</v>
      </c>
      <c r="IPD1" t="s">
        <v>8003</v>
      </c>
      <c r="IPE1" t="s">
        <v>8004</v>
      </c>
      <c r="IPF1" t="s">
        <v>8005</v>
      </c>
      <c r="IPG1" t="s">
        <v>8006</v>
      </c>
      <c r="IPH1" t="s">
        <v>8007</v>
      </c>
      <c r="IPI1" t="s">
        <v>8008</v>
      </c>
      <c r="IPJ1" t="s">
        <v>8009</v>
      </c>
      <c r="IPK1" t="s">
        <v>8010</v>
      </c>
      <c r="IPL1" t="s">
        <v>8011</v>
      </c>
      <c r="IPM1" t="s">
        <v>8012</v>
      </c>
      <c r="IPN1" t="s">
        <v>8013</v>
      </c>
      <c r="IPO1" t="s">
        <v>8014</v>
      </c>
      <c r="IPP1" t="s">
        <v>8015</v>
      </c>
      <c r="IPQ1" t="s">
        <v>8016</v>
      </c>
      <c r="IPR1" t="s">
        <v>8017</v>
      </c>
      <c r="IPS1" t="s">
        <v>8018</v>
      </c>
      <c r="IPT1" t="s">
        <v>8019</v>
      </c>
      <c r="IPU1" t="s">
        <v>8020</v>
      </c>
      <c r="IPV1" t="s">
        <v>8021</v>
      </c>
      <c r="IPW1" t="s">
        <v>8022</v>
      </c>
      <c r="IPX1" t="s">
        <v>8023</v>
      </c>
      <c r="IPY1" t="s">
        <v>8024</v>
      </c>
      <c r="IPZ1" t="s">
        <v>8025</v>
      </c>
      <c r="IQA1" t="s">
        <v>8026</v>
      </c>
      <c r="IQB1" t="s">
        <v>8027</v>
      </c>
      <c r="IQC1" t="s">
        <v>8028</v>
      </c>
      <c r="IQD1" t="s">
        <v>8029</v>
      </c>
      <c r="IQE1" t="s">
        <v>8030</v>
      </c>
      <c r="IQF1" t="s">
        <v>8031</v>
      </c>
      <c r="IQG1" t="s">
        <v>8032</v>
      </c>
      <c r="IQH1" t="s">
        <v>8033</v>
      </c>
      <c r="IQI1" t="s">
        <v>8034</v>
      </c>
      <c r="IQJ1" t="s">
        <v>8035</v>
      </c>
      <c r="IQK1" t="s">
        <v>8036</v>
      </c>
      <c r="IQL1" t="s">
        <v>8037</v>
      </c>
      <c r="IQM1" t="s">
        <v>8038</v>
      </c>
      <c r="IQN1" t="s">
        <v>8039</v>
      </c>
      <c r="IQO1" t="s">
        <v>8040</v>
      </c>
      <c r="IQP1" t="s">
        <v>8041</v>
      </c>
      <c r="IQQ1" t="s">
        <v>8042</v>
      </c>
      <c r="IQR1" t="s">
        <v>8043</v>
      </c>
      <c r="IQS1" t="s">
        <v>8044</v>
      </c>
      <c r="IQT1" t="s">
        <v>8045</v>
      </c>
      <c r="IQU1" t="s">
        <v>8046</v>
      </c>
      <c r="IQV1" t="s">
        <v>8047</v>
      </c>
      <c r="IQW1" t="s">
        <v>8048</v>
      </c>
      <c r="IQX1" t="s">
        <v>8049</v>
      </c>
      <c r="IQY1" t="s">
        <v>8050</v>
      </c>
      <c r="IQZ1" t="s">
        <v>8051</v>
      </c>
      <c r="IRA1" t="s">
        <v>8052</v>
      </c>
      <c r="IRB1" t="s">
        <v>8053</v>
      </c>
      <c r="IRC1" t="s">
        <v>8054</v>
      </c>
      <c r="IRD1" t="s">
        <v>8055</v>
      </c>
      <c r="IRE1" t="s">
        <v>8056</v>
      </c>
      <c r="IRF1" t="s">
        <v>8057</v>
      </c>
      <c r="IRG1" t="s">
        <v>8058</v>
      </c>
      <c r="IRH1" t="s">
        <v>8059</v>
      </c>
      <c r="IRI1" t="s">
        <v>8060</v>
      </c>
      <c r="IRJ1" t="s">
        <v>8061</v>
      </c>
      <c r="IRK1" t="s">
        <v>8062</v>
      </c>
      <c r="IRL1" t="s">
        <v>8063</v>
      </c>
      <c r="IRM1" t="s">
        <v>8064</v>
      </c>
      <c r="IRN1" t="s">
        <v>8065</v>
      </c>
      <c r="IRO1" t="s">
        <v>8066</v>
      </c>
      <c r="IRP1" t="s">
        <v>8067</v>
      </c>
      <c r="IRQ1" t="s">
        <v>8068</v>
      </c>
      <c r="IRR1" t="s">
        <v>8069</v>
      </c>
      <c r="IRS1" t="s">
        <v>8070</v>
      </c>
      <c r="IRT1" t="s">
        <v>8071</v>
      </c>
      <c r="IRU1" t="s">
        <v>8072</v>
      </c>
      <c r="IRV1" t="s">
        <v>8073</v>
      </c>
      <c r="IRW1" t="s">
        <v>8074</v>
      </c>
      <c r="IRX1" t="s">
        <v>8075</v>
      </c>
      <c r="IRY1" t="s">
        <v>8076</v>
      </c>
      <c r="IRZ1" t="s">
        <v>8077</v>
      </c>
      <c r="ISA1" t="s">
        <v>8078</v>
      </c>
      <c r="ISB1" t="s">
        <v>8079</v>
      </c>
      <c r="ISC1" t="s">
        <v>8080</v>
      </c>
      <c r="ISD1" t="s">
        <v>8081</v>
      </c>
      <c r="ISE1" t="s">
        <v>8082</v>
      </c>
      <c r="ISF1" t="s">
        <v>8083</v>
      </c>
      <c r="ISG1" t="s">
        <v>8084</v>
      </c>
      <c r="ISH1" t="s">
        <v>8085</v>
      </c>
      <c r="ISI1" t="s">
        <v>8086</v>
      </c>
      <c r="ISJ1" t="s">
        <v>8087</v>
      </c>
      <c r="ISK1" t="s">
        <v>8088</v>
      </c>
      <c r="ISL1" t="s">
        <v>8089</v>
      </c>
      <c r="ISM1" t="s">
        <v>8090</v>
      </c>
      <c r="ISN1" t="s">
        <v>8091</v>
      </c>
      <c r="ISO1" t="s">
        <v>8092</v>
      </c>
      <c r="ISP1" t="s">
        <v>8093</v>
      </c>
      <c r="ISQ1" t="s">
        <v>8094</v>
      </c>
      <c r="ISR1" t="s">
        <v>8095</v>
      </c>
      <c r="ISS1" t="s">
        <v>8096</v>
      </c>
      <c r="IST1" t="s">
        <v>8097</v>
      </c>
      <c r="ISU1" t="s">
        <v>8098</v>
      </c>
      <c r="ISV1" t="s">
        <v>8099</v>
      </c>
      <c r="ISW1" t="s">
        <v>8100</v>
      </c>
      <c r="ISX1" t="s">
        <v>8101</v>
      </c>
      <c r="ISY1" t="s">
        <v>8102</v>
      </c>
      <c r="ISZ1" t="s">
        <v>8103</v>
      </c>
      <c r="ITA1" t="s">
        <v>8104</v>
      </c>
      <c r="ITB1" t="s">
        <v>8105</v>
      </c>
      <c r="ITC1" t="s">
        <v>8106</v>
      </c>
      <c r="ITD1" t="s">
        <v>8107</v>
      </c>
      <c r="ITE1" t="s">
        <v>8108</v>
      </c>
      <c r="ITF1" t="s">
        <v>8109</v>
      </c>
      <c r="ITG1" t="s">
        <v>8110</v>
      </c>
      <c r="ITH1" t="s">
        <v>8111</v>
      </c>
      <c r="ITI1" t="s">
        <v>8112</v>
      </c>
      <c r="ITJ1" t="s">
        <v>8113</v>
      </c>
      <c r="ITK1" t="s">
        <v>8114</v>
      </c>
      <c r="ITL1" t="s">
        <v>8115</v>
      </c>
      <c r="ITM1" t="s">
        <v>8116</v>
      </c>
      <c r="ITN1" t="s">
        <v>8117</v>
      </c>
      <c r="ITO1" t="s">
        <v>8118</v>
      </c>
      <c r="ITP1" t="s">
        <v>8119</v>
      </c>
      <c r="ITQ1" t="s">
        <v>8120</v>
      </c>
      <c r="ITR1" t="s">
        <v>8121</v>
      </c>
      <c r="ITS1" t="s">
        <v>8122</v>
      </c>
      <c r="ITT1" t="s">
        <v>8123</v>
      </c>
      <c r="ITU1" t="s">
        <v>8124</v>
      </c>
      <c r="ITV1" t="s">
        <v>8125</v>
      </c>
      <c r="ITW1" t="s">
        <v>8126</v>
      </c>
      <c r="ITX1" t="s">
        <v>8127</v>
      </c>
      <c r="ITY1" t="s">
        <v>8128</v>
      </c>
      <c r="ITZ1" t="s">
        <v>8129</v>
      </c>
      <c r="IUA1" t="s">
        <v>8130</v>
      </c>
      <c r="IUB1" t="s">
        <v>8131</v>
      </c>
      <c r="IUC1" t="s">
        <v>8132</v>
      </c>
      <c r="IUD1" t="s">
        <v>8133</v>
      </c>
      <c r="IUE1" t="s">
        <v>8134</v>
      </c>
      <c r="IUF1" t="s">
        <v>8135</v>
      </c>
      <c r="IUG1" t="s">
        <v>8136</v>
      </c>
      <c r="IUH1" t="s">
        <v>8137</v>
      </c>
      <c r="IUI1" t="s">
        <v>8138</v>
      </c>
      <c r="IUJ1" t="s">
        <v>8139</v>
      </c>
      <c r="IUK1" t="s">
        <v>8140</v>
      </c>
      <c r="IUL1" t="s">
        <v>8141</v>
      </c>
      <c r="IUM1" t="s">
        <v>8142</v>
      </c>
      <c r="IUN1" t="s">
        <v>8143</v>
      </c>
      <c r="IUO1" t="s">
        <v>8144</v>
      </c>
      <c r="IUP1" t="s">
        <v>8145</v>
      </c>
      <c r="IUQ1" t="s">
        <v>8146</v>
      </c>
      <c r="IUR1" t="s">
        <v>8147</v>
      </c>
      <c r="IUS1" t="s">
        <v>8148</v>
      </c>
      <c r="IUT1" t="s">
        <v>8149</v>
      </c>
      <c r="IUU1" t="s">
        <v>8150</v>
      </c>
      <c r="IUV1" t="s">
        <v>8151</v>
      </c>
      <c r="IUW1" t="s">
        <v>8152</v>
      </c>
      <c r="IUX1" t="s">
        <v>8153</v>
      </c>
      <c r="IUY1" t="s">
        <v>8154</v>
      </c>
      <c r="IUZ1" t="s">
        <v>8155</v>
      </c>
      <c r="IVA1" t="s">
        <v>8156</v>
      </c>
      <c r="IVB1" t="s">
        <v>8157</v>
      </c>
      <c r="IVC1" t="s">
        <v>8158</v>
      </c>
      <c r="IVD1" t="s">
        <v>8159</v>
      </c>
      <c r="IVE1" t="s">
        <v>8160</v>
      </c>
      <c r="IVF1" t="s">
        <v>8161</v>
      </c>
      <c r="IVG1" t="s">
        <v>8162</v>
      </c>
      <c r="IVH1" t="s">
        <v>8163</v>
      </c>
      <c r="IVI1" t="s">
        <v>8164</v>
      </c>
      <c r="IVJ1" t="s">
        <v>8165</v>
      </c>
      <c r="IVK1" t="s">
        <v>8166</v>
      </c>
      <c r="IVL1" t="s">
        <v>8167</v>
      </c>
      <c r="IVM1" t="s">
        <v>8168</v>
      </c>
      <c r="IVN1" t="s">
        <v>8169</v>
      </c>
      <c r="IVO1" t="s">
        <v>8170</v>
      </c>
      <c r="IVP1" t="s">
        <v>8171</v>
      </c>
      <c r="IVQ1" t="s">
        <v>8172</v>
      </c>
      <c r="IVR1" t="s">
        <v>8173</v>
      </c>
      <c r="IVS1" t="s">
        <v>8174</v>
      </c>
      <c r="IVT1" t="s">
        <v>8175</v>
      </c>
      <c r="IVU1" t="s">
        <v>8176</v>
      </c>
      <c r="IVV1" t="s">
        <v>8177</v>
      </c>
      <c r="IVW1" t="s">
        <v>8178</v>
      </c>
      <c r="IVX1" t="s">
        <v>8179</v>
      </c>
      <c r="IVY1" t="s">
        <v>8180</v>
      </c>
      <c r="IVZ1" t="s">
        <v>8181</v>
      </c>
      <c r="IWA1" t="s">
        <v>8182</v>
      </c>
      <c r="IWB1" t="s">
        <v>8183</v>
      </c>
      <c r="IWC1" t="s">
        <v>8184</v>
      </c>
      <c r="IWD1" t="s">
        <v>8185</v>
      </c>
      <c r="IWE1" t="s">
        <v>8186</v>
      </c>
      <c r="IWF1" t="s">
        <v>8187</v>
      </c>
      <c r="IWG1" t="s">
        <v>8188</v>
      </c>
      <c r="IWH1" t="s">
        <v>8189</v>
      </c>
      <c r="IWI1" t="s">
        <v>8190</v>
      </c>
      <c r="IWJ1" t="s">
        <v>8191</v>
      </c>
      <c r="IWK1" t="s">
        <v>8192</v>
      </c>
      <c r="IWL1" t="s">
        <v>8193</v>
      </c>
      <c r="IWM1" t="s">
        <v>8194</v>
      </c>
      <c r="IWN1" t="s">
        <v>8195</v>
      </c>
      <c r="IWO1" t="s">
        <v>8196</v>
      </c>
      <c r="IWP1" t="s">
        <v>8197</v>
      </c>
      <c r="IWQ1" t="s">
        <v>8198</v>
      </c>
      <c r="IWR1" t="s">
        <v>8199</v>
      </c>
      <c r="IWS1" t="s">
        <v>8200</v>
      </c>
      <c r="IWT1" t="s">
        <v>8201</v>
      </c>
      <c r="IWU1" t="s">
        <v>8202</v>
      </c>
      <c r="IWV1" t="s">
        <v>8203</v>
      </c>
      <c r="IWW1" t="s">
        <v>8204</v>
      </c>
      <c r="IWX1" t="s">
        <v>8205</v>
      </c>
      <c r="IWY1" t="s">
        <v>8206</v>
      </c>
      <c r="IWZ1" t="s">
        <v>8207</v>
      </c>
      <c r="IXA1" t="s">
        <v>8208</v>
      </c>
      <c r="IXB1" t="s">
        <v>8209</v>
      </c>
      <c r="IXC1" t="s">
        <v>8210</v>
      </c>
      <c r="IXD1" t="s">
        <v>8211</v>
      </c>
      <c r="IXE1" t="s">
        <v>8212</v>
      </c>
      <c r="IXF1" t="s">
        <v>8213</v>
      </c>
      <c r="IXG1" t="s">
        <v>8214</v>
      </c>
      <c r="IXH1" t="s">
        <v>8215</v>
      </c>
      <c r="IXI1" t="s">
        <v>8216</v>
      </c>
      <c r="IXJ1" t="s">
        <v>8217</v>
      </c>
      <c r="IXK1" t="s">
        <v>8218</v>
      </c>
      <c r="IXL1" t="s">
        <v>8219</v>
      </c>
      <c r="IXM1" t="s">
        <v>8220</v>
      </c>
      <c r="IXN1" t="s">
        <v>8221</v>
      </c>
      <c r="IXO1" t="s">
        <v>8222</v>
      </c>
      <c r="IXP1" t="s">
        <v>8223</v>
      </c>
      <c r="IXQ1" t="s">
        <v>8224</v>
      </c>
      <c r="IXR1" t="s">
        <v>8225</v>
      </c>
      <c r="IXS1" t="s">
        <v>8226</v>
      </c>
      <c r="IXT1" t="s">
        <v>8227</v>
      </c>
      <c r="IXU1" t="s">
        <v>8228</v>
      </c>
      <c r="IXV1" t="s">
        <v>8229</v>
      </c>
      <c r="IXW1" t="s">
        <v>8230</v>
      </c>
      <c r="IXX1" t="s">
        <v>8231</v>
      </c>
      <c r="IXY1" t="s">
        <v>8232</v>
      </c>
      <c r="IXZ1" t="s">
        <v>8233</v>
      </c>
      <c r="IYA1" t="s">
        <v>8234</v>
      </c>
      <c r="IYB1" t="s">
        <v>8235</v>
      </c>
      <c r="IYC1" t="s">
        <v>8236</v>
      </c>
      <c r="IYD1" t="s">
        <v>8237</v>
      </c>
      <c r="IYE1" t="s">
        <v>8238</v>
      </c>
      <c r="IYF1" t="s">
        <v>8239</v>
      </c>
      <c r="IYG1" t="s">
        <v>8240</v>
      </c>
      <c r="IYH1" t="s">
        <v>8241</v>
      </c>
      <c r="IYI1" t="s">
        <v>8242</v>
      </c>
      <c r="IYJ1" t="s">
        <v>8243</v>
      </c>
      <c r="IYK1" t="s">
        <v>8244</v>
      </c>
      <c r="IYL1" t="s">
        <v>8245</v>
      </c>
      <c r="IYM1" t="s">
        <v>8246</v>
      </c>
      <c r="IYN1" t="s">
        <v>8247</v>
      </c>
      <c r="IYO1" t="s">
        <v>8248</v>
      </c>
      <c r="IYP1" t="s">
        <v>8249</v>
      </c>
      <c r="IYQ1" t="s">
        <v>8250</v>
      </c>
      <c r="IYR1" t="s">
        <v>8251</v>
      </c>
      <c r="IYS1" t="s">
        <v>8252</v>
      </c>
      <c r="IYT1" t="s">
        <v>8253</v>
      </c>
      <c r="IYU1" t="s">
        <v>8254</v>
      </c>
      <c r="IYV1" t="s">
        <v>8255</v>
      </c>
      <c r="IYW1" t="s">
        <v>8256</v>
      </c>
      <c r="IYX1" t="s">
        <v>8257</v>
      </c>
      <c r="IYY1" t="s">
        <v>8258</v>
      </c>
      <c r="IYZ1" t="s">
        <v>8259</v>
      </c>
      <c r="IZA1" t="s">
        <v>8260</v>
      </c>
      <c r="IZB1" t="s">
        <v>8261</v>
      </c>
      <c r="IZC1" t="s">
        <v>8262</v>
      </c>
      <c r="IZD1" t="s">
        <v>8263</v>
      </c>
      <c r="IZE1" t="s">
        <v>8264</v>
      </c>
      <c r="IZF1" t="s">
        <v>8265</v>
      </c>
      <c r="IZG1" t="s">
        <v>8266</v>
      </c>
      <c r="IZH1" t="s">
        <v>8267</v>
      </c>
      <c r="IZI1" t="s">
        <v>8268</v>
      </c>
      <c r="IZJ1" t="s">
        <v>8269</v>
      </c>
      <c r="IZK1" t="s">
        <v>8270</v>
      </c>
      <c r="IZL1" t="s">
        <v>8271</v>
      </c>
      <c r="IZM1" t="s">
        <v>8272</v>
      </c>
      <c r="IZN1" t="s">
        <v>8273</v>
      </c>
      <c r="IZO1" t="s">
        <v>8274</v>
      </c>
      <c r="IZP1" t="s">
        <v>8275</v>
      </c>
      <c r="IZQ1" t="s">
        <v>8276</v>
      </c>
      <c r="IZR1" t="s">
        <v>8277</v>
      </c>
      <c r="IZS1" t="s">
        <v>8278</v>
      </c>
      <c r="IZT1" t="s">
        <v>8279</v>
      </c>
      <c r="IZU1" t="s">
        <v>8280</v>
      </c>
      <c r="IZV1" t="s">
        <v>8281</v>
      </c>
      <c r="IZW1" t="s">
        <v>8282</v>
      </c>
      <c r="IZX1" t="s">
        <v>8283</v>
      </c>
      <c r="IZY1" t="s">
        <v>8284</v>
      </c>
      <c r="IZZ1" t="s">
        <v>8285</v>
      </c>
      <c r="JAA1" t="s">
        <v>8286</v>
      </c>
      <c r="JAB1" t="s">
        <v>8287</v>
      </c>
      <c r="JAC1" t="s">
        <v>8288</v>
      </c>
      <c r="JAD1" t="s">
        <v>8289</v>
      </c>
      <c r="JAE1" t="s">
        <v>8290</v>
      </c>
      <c r="JAF1" t="s">
        <v>8291</v>
      </c>
      <c r="JAG1" t="s">
        <v>8292</v>
      </c>
      <c r="JAH1" t="s">
        <v>8293</v>
      </c>
      <c r="JAI1" t="s">
        <v>8294</v>
      </c>
      <c r="JAJ1" t="s">
        <v>8295</v>
      </c>
      <c r="JAK1" t="s">
        <v>8296</v>
      </c>
      <c r="JAL1" t="s">
        <v>8297</v>
      </c>
      <c r="JAM1" t="s">
        <v>8298</v>
      </c>
      <c r="JAN1" t="s">
        <v>8299</v>
      </c>
      <c r="JAO1" t="s">
        <v>8300</v>
      </c>
      <c r="JAP1" t="s">
        <v>8301</v>
      </c>
      <c r="JAQ1" t="s">
        <v>8302</v>
      </c>
      <c r="JAR1" t="s">
        <v>8303</v>
      </c>
      <c r="JAS1" t="s">
        <v>8304</v>
      </c>
      <c r="JAT1" t="s">
        <v>8305</v>
      </c>
      <c r="JAU1" t="s">
        <v>8306</v>
      </c>
      <c r="JAV1" t="s">
        <v>8307</v>
      </c>
      <c r="JAW1" t="s">
        <v>8308</v>
      </c>
      <c r="JAX1" t="s">
        <v>8309</v>
      </c>
      <c r="JAY1" t="s">
        <v>8310</v>
      </c>
      <c r="JAZ1" t="s">
        <v>8311</v>
      </c>
      <c r="JBA1" t="s">
        <v>8312</v>
      </c>
      <c r="JBB1" t="s">
        <v>8313</v>
      </c>
      <c r="JBC1" t="s">
        <v>8314</v>
      </c>
      <c r="JBD1" t="s">
        <v>8315</v>
      </c>
      <c r="JBE1" t="s">
        <v>8316</v>
      </c>
      <c r="JBF1" t="s">
        <v>8317</v>
      </c>
      <c r="JBG1" t="s">
        <v>8318</v>
      </c>
      <c r="JBH1" t="s">
        <v>8319</v>
      </c>
      <c r="JBI1" t="s">
        <v>8320</v>
      </c>
      <c r="JBJ1" t="s">
        <v>8321</v>
      </c>
      <c r="JBK1" t="s">
        <v>8322</v>
      </c>
      <c r="JBL1" t="s">
        <v>8323</v>
      </c>
      <c r="JBM1" t="s">
        <v>8324</v>
      </c>
      <c r="JBN1" t="s">
        <v>8325</v>
      </c>
      <c r="JBO1" t="s">
        <v>8326</v>
      </c>
      <c r="JBP1" t="s">
        <v>8327</v>
      </c>
      <c r="JBQ1" t="s">
        <v>8328</v>
      </c>
      <c r="JBR1" t="s">
        <v>8329</v>
      </c>
      <c r="JBS1" t="s">
        <v>8330</v>
      </c>
      <c r="JBT1" t="s">
        <v>8331</v>
      </c>
      <c r="JBU1" t="s">
        <v>8332</v>
      </c>
      <c r="JBV1" t="s">
        <v>8333</v>
      </c>
      <c r="JBW1" t="s">
        <v>8334</v>
      </c>
      <c r="JBX1" t="s">
        <v>8335</v>
      </c>
      <c r="JBY1" t="s">
        <v>8336</v>
      </c>
      <c r="JBZ1" t="s">
        <v>8337</v>
      </c>
      <c r="JCA1" t="s">
        <v>8338</v>
      </c>
      <c r="JCB1" t="s">
        <v>8339</v>
      </c>
      <c r="JCC1" t="s">
        <v>8340</v>
      </c>
      <c r="JCD1" t="s">
        <v>8341</v>
      </c>
      <c r="JCE1" t="s">
        <v>8342</v>
      </c>
      <c r="JCF1" t="s">
        <v>8343</v>
      </c>
      <c r="JCG1" t="s">
        <v>8344</v>
      </c>
      <c r="JCH1" t="s">
        <v>8345</v>
      </c>
      <c r="JCI1" t="s">
        <v>8346</v>
      </c>
      <c r="JCJ1" t="s">
        <v>8347</v>
      </c>
      <c r="JCK1" t="s">
        <v>8348</v>
      </c>
      <c r="JCL1" t="s">
        <v>8349</v>
      </c>
      <c r="JCM1" t="s">
        <v>8350</v>
      </c>
      <c r="JCN1" t="s">
        <v>8351</v>
      </c>
      <c r="JCO1" t="s">
        <v>8352</v>
      </c>
      <c r="JCP1" t="s">
        <v>8353</v>
      </c>
      <c r="JCQ1" t="s">
        <v>8354</v>
      </c>
      <c r="JCR1" t="s">
        <v>8355</v>
      </c>
      <c r="JCS1" t="s">
        <v>8356</v>
      </c>
      <c r="JCT1" t="s">
        <v>8357</v>
      </c>
      <c r="JCU1" t="s">
        <v>8358</v>
      </c>
      <c r="JCV1" t="s">
        <v>8359</v>
      </c>
      <c r="JCW1" t="s">
        <v>8360</v>
      </c>
      <c r="JCX1" t="s">
        <v>8361</v>
      </c>
      <c r="JCY1" t="s">
        <v>8362</v>
      </c>
      <c r="JCZ1" t="s">
        <v>8363</v>
      </c>
      <c r="JDA1" t="s">
        <v>8364</v>
      </c>
      <c r="JDB1" t="s">
        <v>8365</v>
      </c>
      <c r="JDC1" t="s">
        <v>8366</v>
      </c>
      <c r="JDD1" t="s">
        <v>8367</v>
      </c>
      <c r="JDE1" t="s">
        <v>8368</v>
      </c>
      <c r="JDF1" t="s">
        <v>8369</v>
      </c>
      <c r="JDG1" t="s">
        <v>8370</v>
      </c>
      <c r="JDH1" t="s">
        <v>8371</v>
      </c>
      <c r="JDI1" t="s">
        <v>8372</v>
      </c>
      <c r="JDJ1" t="s">
        <v>8373</v>
      </c>
      <c r="JDK1" t="s">
        <v>8374</v>
      </c>
      <c r="JDL1" t="s">
        <v>8375</v>
      </c>
      <c r="JDM1" t="s">
        <v>8376</v>
      </c>
      <c r="JDN1" t="s">
        <v>8377</v>
      </c>
      <c r="JDO1" t="s">
        <v>8378</v>
      </c>
      <c r="JDP1" t="s">
        <v>8379</v>
      </c>
      <c r="JDQ1" t="s">
        <v>8380</v>
      </c>
      <c r="JDR1" t="s">
        <v>8381</v>
      </c>
      <c r="JDS1" t="s">
        <v>8382</v>
      </c>
      <c r="JDT1" t="s">
        <v>8383</v>
      </c>
      <c r="JDU1" t="s">
        <v>8384</v>
      </c>
      <c r="JDV1" t="s">
        <v>8385</v>
      </c>
      <c r="JDW1" t="s">
        <v>8386</v>
      </c>
      <c r="JDX1" t="s">
        <v>8387</v>
      </c>
      <c r="JDY1" t="s">
        <v>8388</v>
      </c>
      <c r="JDZ1" t="s">
        <v>8389</v>
      </c>
      <c r="JEA1" t="s">
        <v>8390</v>
      </c>
      <c r="JEB1" t="s">
        <v>8391</v>
      </c>
      <c r="JEC1" t="s">
        <v>8392</v>
      </c>
      <c r="JED1" t="s">
        <v>8393</v>
      </c>
      <c r="JEE1" t="s">
        <v>8394</v>
      </c>
      <c r="JEF1" t="s">
        <v>8395</v>
      </c>
      <c r="JEG1" t="s">
        <v>8396</v>
      </c>
      <c r="JEH1" t="s">
        <v>8397</v>
      </c>
      <c r="JEI1" t="s">
        <v>8398</v>
      </c>
      <c r="JEJ1" t="s">
        <v>8399</v>
      </c>
      <c r="JEK1" t="s">
        <v>8400</v>
      </c>
      <c r="JEL1" t="s">
        <v>8401</v>
      </c>
      <c r="JEM1" t="s">
        <v>8402</v>
      </c>
      <c r="JEN1" t="s">
        <v>8403</v>
      </c>
      <c r="JEO1" t="s">
        <v>8404</v>
      </c>
      <c r="JEP1" t="s">
        <v>8405</v>
      </c>
      <c r="JEQ1" t="s">
        <v>8406</v>
      </c>
      <c r="JER1" t="s">
        <v>8407</v>
      </c>
      <c r="JES1" t="s">
        <v>8408</v>
      </c>
      <c r="JET1" t="s">
        <v>8409</v>
      </c>
      <c r="JEU1" t="s">
        <v>8410</v>
      </c>
      <c r="JEV1" t="s">
        <v>8411</v>
      </c>
      <c r="JEW1" t="s">
        <v>8412</v>
      </c>
      <c r="JEX1" t="s">
        <v>8413</v>
      </c>
      <c r="JEY1" t="s">
        <v>8414</v>
      </c>
      <c r="JEZ1" t="s">
        <v>8415</v>
      </c>
      <c r="JFA1" t="s">
        <v>8416</v>
      </c>
      <c r="JFB1" t="s">
        <v>8417</v>
      </c>
      <c r="JFC1" t="s">
        <v>8418</v>
      </c>
      <c r="JFD1" t="s">
        <v>8419</v>
      </c>
      <c r="JFE1" t="s">
        <v>8420</v>
      </c>
      <c r="JFF1" t="s">
        <v>8421</v>
      </c>
      <c r="JFG1" t="s">
        <v>8422</v>
      </c>
      <c r="JFH1" t="s">
        <v>8423</v>
      </c>
      <c r="JFI1" t="s">
        <v>8424</v>
      </c>
      <c r="JFJ1" t="s">
        <v>8425</v>
      </c>
      <c r="JFK1" t="s">
        <v>8426</v>
      </c>
      <c r="JFL1" t="s">
        <v>8427</v>
      </c>
      <c r="JFM1" t="s">
        <v>8428</v>
      </c>
      <c r="JFN1" t="s">
        <v>8429</v>
      </c>
      <c r="JFO1" t="s">
        <v>8430</v>
      </c>
      <c r="JFP1" t="s">
        <v>8431</v>
      </c>
      <c r="JFQ1" t="s">
        <v>8432</v>
      </c>
      <c r="JFR1" t="s">
        <v>8433</v>
      </c>
      <c r="JFS1" t="s">
        <v>8434</v>
      </c>
      <c r="JFT1" t="s">
        <v>8435</v>
      </c>
      <c r="JFU1" t="s">
        <v>8436</v>
      </c>
      <c r="JFV1" t="s">
        <v>8437</v>
      </c>
      <c r="JFW1" t="s">
        <v>8438</v>
      </c>
      <c r="JFX1" t="s">
        <v>8439</v>
      </c>
      <c r="JFY1" t="s">
        <v>8440</v>
      </c>
      <c r="JFZ1" t="s">
        <v>8441</v>
      </c>
      <c r="JGA1" t="s">
        <v>8442</v>
      </c>
      <c r="JGB1" t="s">
        <v>8443</v>
      </c>
      <c r="JGC1" t="s">
        <v>8444</v>
      </c>
      <c r="JGD1" t="s">
        <v>8445</v>
      </c>
      <c r="JGE1" t="s">
        <v>8446</v>
      </c>
      <c r="JGF1" t="s">
        <v>8447</v>
      </c>
      <c r="JGG1" t="s">
        <v>8448</v>
      </c>
      <c r="JGH1" t="s">
        <v>8449</v>
      </c>
      <c r="JGI1" t="s">
        <v>8450</v>
      </c>
      <c r="JGJ1" t="s">
        <v>8451</v>
      </c>
      <c r="JGK1" t="s">
        <v>8452</v>
      </c>
      <c r="JGL1" t="s">
        <v>8453</v>
      </c>
      <c r="JGM1" t="s">
        <v>8454</v>
      </c>
      <c r="JGN1" t="s">
        <v>8455</v>
      </c>
      <c r="JGO1" t="s">
        <v>8456</v>
      </c>
      <c r="JGP1" t="s">
        <v>8457</v>
      </c>
      <c r="JGQ1" t="s">
        <v>8458</v>
      </c>
      <c r="JGR1" t="s">
        <v>8459</v>
      </c>
      <c r="JGS1" t="s">
        <v>8460</v>
      </c>
      <c r="JGT1" t="s">
        <v>8461</v>
      </c>
      <c r="JGU1" t="s">
        <v>8462</v>
      </c>
      <c r="JGV1" t="s">
        <v>8463</v>
      </c>
      <c r="JGW1" t="s">
        <v>8464</v>
      </c>
      <c r="JGX1" t="s">
        <v>8465</v>
      </c>
      <c r="JGY1" t="s">
        <v>8466</v>
      </c>
      <c r="JGZ1" t="s">
        <v>8467</v>
      </c>
      <c r="JHA1" t="s">
        <v>8468</v>
      </c>
      <c r="JHB1" t="s">
        <v>8469</v>
      </c>
      <c r="JHC1" t="s">
        <v>8470</v>
      </c>
      <c r="JHD1" t="s">
        <v>8471</v>
      </c>
      <c r="JHE1" t="s">
        <v>8472</v>
      </c>
      <c r="JHF1" t="s">
        <v>8473</v>
      </c>
      <c r="JHG1" t="s">
        <v>8474</v>
      </c>
      <c r="JHH1" t="s">
        <v>8475</v>
      </c>
      <c r="JHI1" t="s">
        <v>8476</v>
      </c>
      <c r="JHJ1" t="s">
        <v>8477</v>
      </c>
      <c r="JHK1" t="s">
        <v>8478</v>
      </c>
      <c r="JHL1" t="s">
        <v>8479</v>
      </c>
      <c r="JHM1" t="s">
        <v>8480</v>
      </c>
      <c r="JHN1" t="s">
        <v>8481</v>
      </c>
      <c r="JHO1" t="s">
        <v>8482</v>
      </c>
      <c r="JHP1" t="s">
        <v>8483</v>
      </c>
      <c r="JHQ1" t="s">
        <v>8484</v>
      </c>
      <c r="JHR1" t="s">
        <v>8485</v>
      </c>
      <c r="JHS1" t="s">
        <v>8486</v>
      </c>
      <c r="JHT1" t="s">
        <v>8487</v>
      </c>
      <c r="JHU1" t="s">
        <v>8488</v>
      </c>
      <c r="JHV1" t="s">
        <v>8489</v>
      </c>
      <c r="JHW1" t="s">
        <v>8490</v>
      </c>
      <c r="JHX1" t="s">
        <v>8491</v>
      </c>
      <c r="JHY1" t="s">
        <v>8492</v>
      </c>
      <c r="JHZ1" t="s">
        <v>8493</v>
      </c>
      <c r="JIA1" t="s">
        <v>8494</v>
      </c>
      <c r="JIB1" t="s">
        <v>8495</v>
      </c>
      <c r="JIC1" t="s">
        <v>8496</v>
      </c>
      <c r="JID1" t="s">
        <v>8497</v>
      </c>
      <c r="JIE1" t="s">
        <v>8498</v>
      </c>
      <c r="JIF1" t="s">
        <v>8499</v>
      </c>
      <c r="JIG1" t="s">
        <v>8500</v>
      </c>
      <c r="JIH1" t="s">
        <v>8501</v>
      </c>
      <c r="JII1" t="s">
        <v>8502</v>
      </c>
      <c r="JIJ1" t="s">
        <v>8503</v>
      </c>
      <c r="JIK1" t="s">
        <v>8504</v>
      </c>
      <c r="JIL1" t="s">
        <v>8505</v>
      </c>
      <c r="JIM1" t="s">
        <v>8506</v>
      </c>
      <c r="JIN1" t="s">
        <v>8507</v>
      </c>
      <c r="JIO1" t="s">
        <v>8508</v>
      </c>
      <c r="JIP1" t="s">
        <v>8509</v>
      </c>
      <c r="JIQ1" t="s">
        <v>8510</v>
      </c>
      <c r="JIR1" t="s">
        <v>8511</v>
      </c>
      <c r="JIS1" t="s">
        <v>8512</v>
      </c>
      <c r="JIT1" t="s">
        <v>8513</v>
      </c>
      <c r="JIU1" t="s">
        <v>8514</v>
      </c>
      <c r="JIV1" t="s">
        <v>8515</v>
      </c>
      <c r="JIW1" t="s">
        <v>8516</v>
      </c>
      <c r="JIX1" t="s">
        <v>8517</v>
      </c>
      <c r="JIY1" t="s">
        <v>8518</v>
      </c>
      <c r="JIZ1" t="s">
        <v>8519</v>
      </c>
      <c r="JJA1" t="s">
        <v>8520</v>
      </c>
      <c r="JJB1" t="s">
        <v>8521</v>
      </c>
      <c r="JJC1" t="s">
        <v>8522</v>
      </c>
      <c r="JJD1" t="s">
        <v>8523</v>
      </c>
      <c r="JJE1" t="s">
        <v>8524</v>
      </c>
      <c r="JJF1" t="s">
        <v>8525</v>
      </c>
      <c r="JJG1" t="s">
        <v>8526</v>
      </c>
      <c r="JJH1" t="s">
        <v>8527</v>
      </c>
      <c r="JJI1" t="s">
        <v>8528</v>
      </c>
      <c r="JJJ1" t="s">
        <v>8529</v>
      </c>
      <c r="JJK1" t="s">
        <v>8530</v>
      </c>
      <c r="JJL1" t="s">
        <v>8531</v>
      </c>
      <c r="JJM1" t="s">
        <v>8532</v>
      </c>
      <c r="JJN1" t="s">
        <v>8533</v>
      </c>
      <c r="JJO1" t="s">
        <v>8534</v>
      </c>
      <c r="JJP1" t="s">
        <v>8535</v>
      </c>
      <c r="JJQ1" t="s">
        <v>8536</v>
      </c>
      <c r="JJR1" t="s">
        <v>8537</v>
      </c>
      <c r="JJS1" t="s">
        <v>8538</v>
      </c>
      <c r="JJT1" t="s">
        <v>8539</v>
      </c>
      <c r="JJU1" t="s">
        <v>8540</v>
      </c>
      <c r="JJV1" t="s">
        <v>8541</v>
      </c>
      <c r="JJW1" t="s">
        <v>8542</v>
      </c>
      <c r="JJX1" t="s">
        <v>8543</v>
      </c>
      <c r="JJY1" t="s">
        <v>8544</v>
      </c>
      <c r="JJZ1" t="s">
        <v>8545</v>
      </c>
      <c r="JKA1" t="s">
        <v>8546</v>
      </c>
      <c r="JKB1" t="s">
        <v>8547</v>
      </c>
      <c r="JKC1" t="s">
        <v>8548</v>
      </c>
      <c r="JKD1" t="s">
        <v>8549</v>
      </c>
      <c r="JKE1" t="s">
        <v>8550</v>
      </c>
      <c r="JKF1" t="s">
        <v>8551</v>
      </c>
      <c r="JKG1" t="s">
        <v>8552</v>
      </c>
      <c r="JKH1" t="s">
        <v>8553</v>
      </c>
      <c r="JKI1" t="s">
        <v>8554</v>
      </c>
      <c r="JKJ1" t="s">
        <v>8555</v>
      </c>
      <c r="JKK1" t="s">
        <v>8556</v>
      </c>
      <c r="JKL1" t="s">
        <v>8557</v>
      </c>
      <c r="JKM1" t="s">
        <v>8558</v>
      </c>
      <c r="JKN1" t="s">
        <v>8559</v>
      </c>
      <c r="JKO1" t="s">
        <v>8560</v>
      </c>
      <c r="JKP1" t="s">
        <v>8561</v>
      </c>
      <c r="JKQ1" t="s">
        <v>8562</v>
      </c>
      <c r="JKR1" t="s">
        <v>8563</v>
      </c>
      <c r="JKS1" t="s">
        <v>8564</v>
      </c>
      <c r="JKT1" t="s">
        <v>8565</v>
      </c>
      <c r="JKU1" t="s">
        <v>8566</v>
      </c>
      <c r="JKV1" t="s">
        <v>8567</v>
      </c>
      <c r="JKW1" t="s">
        <v>8568</v>
      </c>
      <c r="JKX1" t="s">
        <v>8569</v>
      </c>
      <c r="JKY1" t="s">
        <v>8570</v>
      </c>
      <c r="JKZ1" t="s">
        <v>8571</v>
      </c>
      <c r="JLA1" t="s">
        <v>8572</v>
      </c>
      <c r="JLB1" t="s">
        <v>8573</v>
      </c>
      <c r="JLC1" t="s">
        <v>8574</v>
      </c>
      <c r="JLD1" t="s">
        <v>8575</v>
      </c>
      <c r="JLE1" t="s">
        <v>8576</v>
      </c>
      <c r="JLF1" t="s">
        <v>8577</v>
      </c>
      <c r="JLG1" t="s">
        <v>8578</v>
      </c>
      <c r="JLH1" t="s">
        <v>8579</v>
      </c>
      <c r="JLI1" t="s">
        <v>8580</v>
      </c>
      <c r="JLJ1" t="s">
        <v>8581</v>
      </c>
      <c r="JLK1" t="s">
        <v>8582</v>
      </c>
      <c r="JLL1" t="s">
        <v>8583</v>
      </c>
      <c r="JLM1" t="s">
        <v>8584</v>
      </c>
      <c r="JLN1" t="s">
        <v>8585</v>
      </c>
      <c r="JLO1" t="s">
        <v>8586</v>
      </c>
      <c r="JLP1" t="s">
        <v>8587</v>
      </c>
      <c r="JLQ1" t="s">
        <v>8588</v>
      </c>
      <c r="JLR1" t="s">
        <v>8589</v>
      </c>
      <c r="JLS1" t="s">
        <v>8590</v>
      </c>
      <c r="JLT1" t="s">
        <v>8591</v>
      </c>
      <c r="JLU1" t="s">
        <v>8592</v>
      </c>
      <c r="JLV1" t="s">
        <v>8593</v>
      </c>
      <c r="JLW1" t="s">
        <v>8594</v>
      </c>
      <c r="JLX1" t="s">
        <v>8595</v>
      </c>
      <c r="JLY1" t="s">
        <v>8596</v>
      </c>
      <c r="JLZ1" t="s">
        <v>8597</v>
      </c>
      <c r="JMA1" t="s">
        <v>8598</v>
      </c>
      <c r="JMB1" t="s">
        <v>8599</v>
      </c>
      <c r="JMC1" t="s">
        <v>8600</v>
      </c>
      <c r="JMD1" t="s">
        <v>8601</v>
      </c>
      <c r="JME1" t="s">
        <v>8602</v>
      </c>
      <c r="JMF1" t="s">
        <v>8603</v>
      </c>
      <c r="JMG1" t="s">
        <v>8604</v>
      </c>
      <c r="JMH1" t="s">
        <v>8605</v>
      </c>
      <c r="JMI1" t="s">
        <v>8606</v>
      </c>
      <c r="JMJ1" t="s">
        <v>8607</v>
      </c>
      <c r="JMK1" t="s">
        <v>8608</v>
      </c>
      <c r="JML1" t="s">
        <v>8609</v>
      </c>
      <c r="JMM1" t="s">
        <v>8610</v>
      </c>
      <c r="JMN1" t="s">
        <v>8611</v>
      </c>
      <c r="JMO1" t="s">
        <v>8612</v>
      </c>
      <c r="JMP1" t="s">
        <v>8613</v>
      </c>
      <c r="JMQ1" t="s">
        <v>8614</v>
      </c>
      <c r="JMR1" t="s">
        <v>8615</v>
      </c>
      <c r="JMS1" t="s">
        <v>8616</v>
      </c>
      <c r="JMT1" t="s">
        <v>8617</v>
      </c>
      <c r="JMU1" t="s">
        <v>8618</v>
      </c>
      <c r="JMV1" t="s">
        <v>8619</v>
      </c>
      <c r="JMW1" t="s">
        <v>8620</v>
      </c>
      <c r="JMX1" t="s">
        <v>8621</v>
      </c>
      <c r="JMY1" t="s">
        <v>8622</v>
      </c>
      <c r="JMZ1" t="s">
        <v>8623</v>
      </c>
      <c r="JNA1" t="s">
        <v>8624</v>
      </c>
      <c r="JNB1" t="s">
        <v>8625</v>
      </c>
      <c r="JNC1" t="s">
        <v>8626</v>
      </c>
      <c r="JND1" t="s">
        <v>8627</v>
      </c>
      <c r="JNE1" t="s">
        <v>8628</v>
      </c>
      <c r="JNF1" t="s">
        <v>8629</v>
      </c>
      <c r="JNG1" t="s">
        <v>8630</v>
      </c>
      <c r="JNH1" t="s">
        <v>8631</v>
      </c>
      <c r="JNI1" t="s">
        <v>8632</v>
      </c>
      <c r="JNJ1" t="s">
        <v>8633</v>
      </c>
      <c r="JNK1" t="s">
        <v>8634</v>
      </c>
      <c r="JNL1" t="s">
        <v>8635</v>
      </c>
      <c r="JNM1" t="s">
        <v>8636</v>
      </c>
      <c r="JNN1" t="s">
        <v>8637</v>
      </c>
      <c r="JNO1" t="s">
        <v>8638</v>
      </c>
      <c r="JNP1" t="s">
        <v>8639</v>
      </c>
      <c r="JNQ1" t="s">
        <v>8640</v>
      </c>
      <c r="JNR1" t="s">
        <v>8641</v>
      </c>
      <c r="JNS1" t="s">
        <v>8642</v>
      </c>
      <c r="JNT1" t="s">
        <v>8643</v>
      </c>
      <c r="JNU1" t="s">
        <v>8644</v>
      </c>
      <c r="JNV1" t="s">
        <v>8645</v>
      </c>
      <c r="JNW1" t="s">
        <v>8646</v>
      </c>
      <c r="JNX1" t="s">
        <v>8647</v>
      </c>
      <c r="JNY1" t="s">
        <v>8648</v>
      </c>
      <c r="JNZ1" t="s">
        <v>8649</v>
      </c>
      <c r="JOA1" t="s">
        <v>8650</v>
      </c>
      <c r="JOB1" t="s">
        <v>8651</v>
      </c>
      <c r="JOC1" t="s">
        <v>8652</v>
      </c>
      <c r="JOD1" t="s">
        <v>8653</v>
      </c>
      <c r="JOE1" t="s">
        <v>8654</v>
      </c>
      <c r="JOF1" t="s">
        <v>8655</v>
      </c>
      <c r="JOG1" t="s">
        <v>8656</v>
      </c>
      <c r="JOH1" t="s">
        <v>8657</v>
      </c>
      <c r="JOI1" t="s">
        <v>8658</v>
      </c>
      <c r="JOJ1" t="s">
        <v>8659</v>
      </c>
      <c r="JOK1" t="s">
        <v>8660</v>
      </c>
      <c r="JOL1" t="s">
        <v>8661</v>
      </c>
      <c r="JOM1" t="s">
        <v>8662</v>
      </c>
      <c r="JON1" t="s">
        <v>8663</v>
      </c>
      <c r="JOO1" t="s">
        <v>8664</v>
      </c>
      <c r="JOP1" t="s">
        <v>8665</v>
      </c>
      <c r="JOQ1" t="s">
        <v>8666</v>
      </c>
      <c r="JOR1" t="s">
        <v>8667</v>
      </c>
      <c r="JOS1" t="s">
        <v>8668</v>
      </c>
      <c r="JOT1" t="s">
        <v>8669</v>
      </c>
      <c r="JOU1" t="s">
        <v>8670</v>
      </c>
      <c r="JOV1" t="s">
        <v>8671</v>
      </c>
      <c r="JOW1" t="s">
        <v>8672</v>
      </c>
      <c r="JOX1" t="s">
        <v>8673</v>
      </c>
      <c r="JOY1" t="s">
        <v>8674</v>
      </c>
      <c r="JOZ1" t="s">
        <v>8675</v>
      </c>
      <c r="JPA1" t="s">
        <v>8676</v>
      </c>
      <c r="JPB1" t="s">
        <v>8677</v>
      </c>
      <c r="JPC1" t="s">
        <v>8678</v>
      </c>
      <c r="JPD1" t="s">
        <v>8679</v>
      </c>
      <c r="JPE1" t="s">
        <v>8680</v>
      </c>
      <c r="JPF1" t="s">
        <v>8681</v>
      </c>
      <c r="JPG1" t="s">
        <v>8682</v>
      </c>
      <c r="JPH1" t="s">
        <v>8683</v>
      </c>
      <c r="JPI1" t="s">
        <v>8684</v>
      </c>
      <c r="JPJ1" t="s">
        <v>8685</v>
      </c>
      <c r="JPK1" t="s">
        <v>8686</v>
      </c>
      <c r="JPL1" t="s">
        <v>8687</v>
      </c>
      <c r="JPM1" t="s">
        <v>8688</v>
      </c>
      <c r="JPN1" t="s">
        <v>8689</v>
      </c>
      <c r="JPO1" t="s">
        <v>8690</v>
      </c>
      <c r="JPP1" t="s">
        <v>8691</v>
      </c>
      <c r="JPQ1" t="s">
        <v>8692</v>
      </c>
      <c r="JPR1" t="s">
        <v>8693</v>
      </c>
      <c r="JPS1" t="s">
        <v>8694</v>
      </c>
      <c r="JPT1" t="s">
        <v>8695</v>
      </c>
      <c r="JPU1" t="s">
        <v>8696</v>
      </c>
      <c r="JPV1" t="s">
        <v>8697</v>
      </c>
      <c r="JPW1" t="s">
        <v>8698</v>
      </c>
      <c r="JPX1" t="s">
        <v>8699</v>
      </c>
      <c r="JPY1" t="s">
        <v>8700</v>
      </c>
      <c r="JPZ1" t="s">
        <v>8701</v>
      </c>
      <c r="JQA1" t="s">
        <v>8702</v>
      </c>
      <c r="JQB1" t="s">
        <v>8703</v>
      </c>
      <c r="JQC1" t="s">
        <v>8704</v>
      </c>
      <c r="JQD1" t="s">
        <v>8705</v>
      </c>
      <c r="JQE1" t="s">
        <v>8706</v>
      </c>
      <c r="JQF1" t="s">
        <v>8707</v>
      </c>
      <c r="JQG1" t="s">
        <v>8708</v>
      </c>
      <c r="JQH1" t="s">
        <v>8709</v>
      </c>
      <c r="JQI1" t="s">
        <v>8710</v>
      </c>
      <c r="JQJ1" t="s">
        <v>8711</v>
      </c>
      <c r="JQK1" t="s">
        <v>8712</v>
      </c>
      <c r="JQL1" t="s">
        <v>8713</v>
      </c>
      <c r="JQM1" t="s">
        <v>8714</v>
      </c>
      <c r="JQN1" t="s">
        <v>8715</v>
      </c>
      <c r="JQO1" t="s">
        <v>8716</v>
      </c>
      <c r="JQP1" t="s">
        <v>8717</v>
      </c>
      <c r="JQQ1" t="s">
        <v>8718</v>
      </c>
      <c r="JQR1" t="s">
        <v>8719</v>
      </c>
      <c r="JQS1" t="s">
        <v>8720</v>
      </c>
      <c r="JQT1" t="s">
        <v>8721</v>
      </c>
      <c r="JQU1" t="s">
        <v>8722</v>
      </c>
      <c r="JQV1" t="s">
        <v>8723</v>
      </c>
      <c r="JQW1" t="s">
        <v>8724</v>
      </c>
      <c r="JQX1" t="s">
        <v>8725</v>
      </c>
      <c r="JQY1" t="s">
        <v>8726</v>
      </c>
      <c r="JQZ1" t="s">
        <v>8727</v>
      </c>
      <c r="JRA1" t="s">
        <v>8728</v>
      </c>
      <c r="JRB1" t="s">
        <v>8729</v>
      </c>
      <c r="JRC1" t="s">
        <v>8730</v>
      </c>
      <c r="JRD1" t="s">
        <v>8731</v>
      </c>
      <c r="JRE1" t="s">
        <v>8732</v>
      </c>
      <c r="JRF1" t="s">
        <v>8733</v>
      </c>
      <c r="JRG1" t="s">
        <v>8734</v>
      </c>
      <c r="JRH1" t="s">
        <v>8735</v>
      </c>
      <c r="JRI1" t="s">
        <v>8736</v>
      </c>
      <c r="JRJ1" t="s">
        <v>8737</v>
      </c>
      <c r="JRK1" t="s">
        <v>8738</v>
      </c>
      <c r="JRL1" t="s">
        <v>8739</v>
      </c>
      <c r="JRM1" t="s">
        <v>8740</v>
      </c>
      <c r="JRN1" t="s">
        <v>8741</v>
      </c>
      <c r="JRO1" t="s">
        <v>8742</v>
      </c>
      <c r="JRP1" t="s">
        <v>8743</v>
      </c>
      <c r="JRQ1" t="s">
        <v>8744</v>
      </c>
      <c r="JRR1" t="s">
        <v>8745</v>
      </c>
      <c r="JRS1" t="s">
        <v>8746</v>
      </c>
      <c r="JRT1" t="s">
        <v>8747</v>
      </c>
      <c r="JRU1" t="s">
        <v>8748</v>
      </c>
      <c r="JRV1" t="s">
        <v>8749</v>
      </c>
      <c r="JRW1" t="s">
        <v>8750</v>
      </c>
      <c r="JRX1" t="s">
        <v>8751</v>
      </c>
      <c r="JRY1" t="s">
        <v>8752</v>
      </c>
      <c r="JRZ1" t="s">
        <v>8753</v>
      </c>
      <c r="JSA1" t="s">
        <v>8754</v>
      </c>
      <c r="JSB1" t="s">
        <v>8755</v>
      </c>
      <c r="JSC1" t="s">
        <v>8756</v>
      </c>
      <c r="JSD1" t="s">
        <v>8757</v>
      </c>
      <c r="JSE1" t="s">
        <v>8758</v>
      </c>
      <c r="JSF1" t="s">
        <v>8759</v>
      </c>
      <c r="JSG1" t="s">
        <v>8760</v>
      </c>
      <c r="JSH1" t="s">
        <v>8761</v>
      </c>
      <c r="JSI1" t="s">
        <v>8762</v>
      </c>
      <c r="JSJ1" t="s">
        <v>8763</v>
      </c>
      <c r="JSK1" t="s">
        <v>8764</v>
      </c>
      <c r="JSL1" t="s">
        <v>8765</v>
      </c>
      <c r="JSM1" t="s">
        <v>8766</v>
      </c>
      <c r="JSN1" t="s">
        <v>8767</v>
      </c>
      <c r="JSO1" t="s">
        <v>8768</v>
      </c>
      <c r="JSP1" t="s">
        <v>8769</v>
      </c>
      <c r="JSQ1" t="s">
        <v>8770</v>
      </c>
      <c r="JSR1" t="s">
        <v>8771</v>
      </c>
      <c r="JSS1" t="s">
        <v>8772</v>
      </c>
      <c r="JST1" t="s">
        <v>8773</v>
      </c>
      <c r="JSU1" t="s">
        <v>8774</v>
      </c>
      <c r="JSV1" t="s">
        <v>8775</v>
      </c>
      <c r="JSW1" t="s">
        <v>8776</v>
      </c>
      <c r="JSX1" t="s">
        <v>8777</v>
      </c>
      <c r="JSY1" t="s">
        <v>8778</v>
      </c>
      <c r="JSZ1" t="s">
        <v>8779</v>
      </c>
      <c r="JTA1" t="s">
        <v>8780</v>
      </c>
      <c r="JTB1" t="s">
        <v>8781</v>
      </c>
      <c r="JTC1" t="s">
        <v>8782</v>
      </c>
      <c r="JTD1" t="s">
        <v>8783</v>
      </c>
      <c r="JTE1" t="s">
        <v>8784</v>
      </c>
      <c r="JTF1" t="s">
        <v>8785</v>
      </c>
      <c r="JTG1" t="s">
        <v>8786</v>
      </c>
      <c r="JTH1" t="s">
        <v>8787</v>
      </c>
      <c r="JTI1" t="s">
        <v>8788</v>
      </c>
      <c r="JTJ1" t="s">
        <v>8789</v>
      </c>
      <c r="JTK1" t="s">
        <v>8790</v>
      </c>
      <c r="JTL1" t="s">
        <v>8791</v>
      </c>
      <c r="JTM1" t="s">
        <v>8792</v>
      </c>
      <c r="JTN1" t="s">
        <v>8793</v>
      </c>
      <c r="JTO1" t="s">
        <v>8794</v>
      </c>
      <c r="JTP1" t="s">
        <v>8795</v>
      </c>
      <c r="JTQ1" t="s">
        <v>8796</v>
      </c>
      <c r="JTR1" t="s">
        <v>8797</v>
      </c>
      <c r="JTS1" t="s">
        <v>8798</v>
      </c>
      <c r="JTT1" t="s">
        <v>8799</v>
      </c>
      <c r="JTU1" t="s">
        <v>8800</v>
      </c>
      <c r="JTV1" t="s">
        <v>8801</v>
      </c>
      <c r="JTW1" t="s">
        <v>8802</v>
      </c>
      <c r="JTX1" t="s">
        <v>8803</v>
      </c>
      <c r="JTY1" t="s">
        <v>8804</v>
      </c>
      <c r="JTZ1" t="s">
        <v>8805</v>
      </c>
      <c r="JUA1" t="s">
        <v>8806</v>
      </c>
      <c r="JUB1" t="s">
        <v>8807</v>
      </c>
      <c r="JUC1" t="s">
        <v>8808</v>
      </c>
      <c r="JUD1" t="s">
        <v>8809</v>
      </c>
      <c r="JUE1" t="s">
        <v>8810</v>
      </c>
      <c r="JUF1" t="s">
        <v>8811</v>
      </c>
      <c r="JUG1" t="s">
        <v>8812</v>
      </c>
      <c r="JUH1" t="s">
        <v>8813</v>
      </c>
      <c r="JUI1" t="s">
        <v>8814</v>
      </c>
      <c r="JUJ1" t="s">
        <v>8815</v>
      </c>
      <c r="JUK1" t="s">
        <v>8816</v>
      </c>
      <c r="JUL1" t="s">
        <v>8817</v>
      </c>
      <c r="JUM1" t="s">
        <v>8818</v>
      </c>
      <c r="JUN1" t="s">
        <v>8819</v>
      </c>
      <c r="JUO1" t="s">
        <v>8820</v>
      </c>
      <c r="JUP1" t="s">
        <v>8821</v>
      </c>
      <c r="JUQ1" t="s">
        <v>8822</v>
      </c>
      <c r="JUR1" t="s">
        <v>8823</v>
      </c>
      <c r="JUS1" t="s">
        <v>8824</v>
      </c>
      <c r="JUT1" t="s">
        <v>8825</v>
      </c>
      <c r="JUU1" t="s">
        <v>8826</v>
      </c>
      <c r="JUV1" t="s">
        <v>8827</v>
      </c>
      <c r="JUW1" t="s">
        <v>8828</v>
      </c>
      <c r="JUX1" t="s">
        <v>8829</v>
      </c>
      <c r="JUY1" t="s">
        <v>8830</v>
      </c>
      <c r="JUZ1" t="s">
        <v>8831</v>
      </c>
      <c r="JVA1" t="s">
        <v>8832</v>
      </c>
      <c r="JVB1" t="s">
        <v>8833</v>
      </c>
      <c r="JVC1" t="s">
        <v>8834</v>
      </c>
      <c r="JVD1" t="s">
        <v>8835</v>
      </c>
      <c r="JVE1" t="s">
        <v>8836</v>
      </c>
      <c r="JVF1" t="s">
        <v>8837</v>
      </c>
      <c r="JVG1" t="s">
        <v>8838</v>
      </c>
      <c r="JVH1" t="s">
        <v>8839</v>
      </c>
      <c r="JVI1" t="s">
        <v>8840</v>
      </c>
      <c r="JVJ1" t="s">
        <v>8841</v>
      </c>
      <c r="JVK1" t="s">
        <v>8842</v>
      </c>
      <c r="JVL1" t="s">
        <v>8843</v>
      </c>
      <c r="JVM1" t="s">
        <v>8844</v>
      </c>
      <c r="JVN1" t="s">
        <v>8845</v>
      </c>
      <c r="JVO1" t="s">
        <v>8846</v>
      </c>
      <c r="JVP1" t="s">
        <v>8847</v>
      </c>
      <c r="JVQ1" t="s">
        <v>8848</v>
      </c>
      <c r="JVR1" t="s">
        <v>8849</v>
      </c>
      <c r="JVS1" t="s">
        <v>8850</v>
      </c>
      <c r="JVT1" t="s">
        <v>8851</v>
      </c>
      <c r="JVU1" t="s">
        <v>8852</v>
      </c>
      <c r="JVV1" t="s">
        <v>8853</v>
      </c>
      <c r="JVW1" t="s">
        <v>8854</v>
      </c>
      <c r="JVX1" t="s">
        <v>8855</v>
      </c>
      <c r="JVY1" t="s">
        <v>8856</v>
      </c>
      <c r="JVZ1" t="s">
        <v>8857</v>
      </c>
      <c r="JWA1" t="s">
        <v>8858</v>
      </c>
      <c r="JWB1" t="s">
        <v>8859</v>
      </c>
      <c r="JWC1" t="s">
        <v>8860</v>
      </c>
      <c r="JWD1" t="s">
        <v>8861</v>
      </c>
      <c r="JWE1" t="s">
        <v>8862</v>
      </c>
      <c r="JWF1" t="s">
        <v>8863</v>
      </c>
      <c r="JWG1" t="s">
        <v>8864</v>
      </c>
      <c r="JWH1" t="s">
        <v>8865</v>
      </c>
      <c r="JWI1" t="s">
        <v>8866</v>
      </c>
      <c r="JWJ1" t="s">
        <v>8867</v>
      </c>
      <c r="JWK1" t="s">
        <v>8868</v>
      </c>
      <c r="JWL1" t="s">
        <v>8869</v>
      </c>
      <c r="JWM1" t="s">
        <v>8870</v>
      </c>
      <c r="JWN1" t="s">
        <v>8871</v>
      </c>
      <c r="JWO1" t="s">
        <v>8872</v>
      </c>
      <c r="JWP1" t="s">
        <v>8873</v>
      </c>
      <c r="JWQ1" t="s">
        <v>8874</v>
      </c>
      <c r="JWR1" t="s">
        <v>8875</v>
      </c>
      <c r="JWS1" t="s">
        <v>8876</v>
      </c>
      <c r="JWT1" t="s">
        <v>8877</v>
      </c>
      <c r="JWU1" t="s">
        <v>8878</v>
      </c>
      <c r="JWV1" t="s">
        <v>8879</v>
      </c>
      <c r="JWW1" t="s">
        <v>8880</v>
      </c>
      <c r="JWX1" t="s">
        <v>8881</v>
      </c>
      <c r="JWY1" t="s">
        <v>8882</v>
      </c>
      <c r="JWZ1" t="s">
        <v>8883</v>
      </c>
      <c r="JXA1" t="s">
        <v>8884</v>
      </c>
      <c r="JXB1" t="s">
        <v>8885</v>
      </c>
      <c r="JXC1" t="s">
        <v>8886</v>
      </c>
      <c r="JXD1" t="s">
        <v>8887</v>
      </c>
      <c r="JXE1" t="s">
        <v>8888</v>
      </c>
      <c r="JXF1" t="s">
        <v>8889</v>
      </c>
      <c r="JXG1" t="s">
        <v>8890</v>
      </c>
      <c r="JXH1" t="s">
        <v>8891</v>
      </c>
      <c r="JXI1" t="s">
        <v>8892</v>
      </c>
      <c r="JXJ1" t="s">
        <v>8893</v>
      </c>
      <c r="JXK1" t="s">
        <v>8894</v>
      </c>
      <c r="JXL1" t="s">
        <v>8895</v>
      </c>
      <c r="JXM1" t="s">
        <v>8896</v>
      </c>
      <c r="JXN1" t="s">
        <v>8897</v>
      </c>
      <c r="JXO1" t="s">
        <v>8898</v>
      </c>
      <c r="JXP1" t="s">
        <v>8899</v>
      </c>
      <c r="JXQ1" t="s">
        <v>8900</v>
      </c>
      <c r="JXR1" t="s">
        <v>8901</v>
      </c>
      <c r="JXS1" t="s">
        <v>8902</v>
      </c>
      <c r="JXT1" t="s">
        <v>8903</v>
      </c>
      <c r="JXU1" t="s">
        <v>8904</v>
      </c>
      <c r="JXV1" t="s">
        <v>8905</v>
      </c>
      <c r="JXW1" t="s">
        <v>8906</v>
      </c>
      <c r="JXX1" t="s">
        <v>8907</v>
      </c>
      <c r="JXY1" t="s">
        <v>8908</v>
      </c>
      <c r="JXZ1" t="s">
        <v>8909</v>
      </c>
      <c r="JYA1" t="s">
        <v>8910</v>
      </c>
      <c r="JYB1" t="s">
        <v>8911</v>
      </c>
      <c r="JYC1" t="s">
        <v>8912</v>
      </c>
      <c r="JYD1" t="s">
        <v>8913</v>
      </c>
      <c r="JYE1" t="s">
        <v>8914</v>
      </c>
      <c r="JYF1" t="s">
        <v>8915</v>
      </c>
      <c r="JYG1" t="s">
        <v>8916</v>
      </c>
      <c r="JYH1" t="s">
        <v>8917</v>
      </c>
      <c r="JYI1" t="s">
        <v>8918</v>
      </c>
      <c r="JYJ1" t="s">
        <v>8919</v>
      </c>
      <c r="JYK1" t="s">
        <v>8920</v>
      </c>
      <c r="JYL1" t="s">
        <v>8921</v>
      </c>
      <c r="JYM1" t="s">
        <v>8922</v>
      </c>
      <c r="JYN1" t="s">
        <v>8923</v>
      </c>
      <c r="JYO1" t="s">
        <v>8924</v>
      </c>
      <c r="JYP1" t="s">
        <v>8925</v>
      </c>
      <c r="JYQ1" t="s">
        <v>8926</v>
      </c>
      <c r="JYR1" t="s">
        <v>8927</v>
      </c>
      <c r="JYS1" t="s">
        <v>8928</v>
      </c>
      <c r="JYT1" t="s">
        <v>8929</v>
      </c>
      <c r="JYU1" t="s">
        <v>8930</v>
      </c>
      <c r="JYV1" t="s">
        <v>8931</v>
      </c>
      <c r="JYW1" t="s">
        <v>8932</v>
      </c>
      <c r="JYX1" t="s">
        <v>8933</v>
      </c>
      <c r="JYY1" t="s">
        <v>8934</v>
      </c>
      <c r="JYZ1" t="s">
        <v>8935</v>
      </c>
      <c r="JZA1" t="s">
        <v>8936</v>
      </c>
      <c r="JZB1" t="s">
        <v>8937</v>
      </c>
      <c r="JZC1" t="s">
        <v>8938</v>
      </c>
      <c r="JZD1" t="s">
        <v>8939</v>
      </c>
      <c r="JZE1" t="s">
        <v>8940</v>
      </c>
      <c r="JZF1" t="s">
        <v>8941</v>
      </c>
      <c r="JZG1" t="s">
        <v>8942</v>
      </c>
      <c r="JZH1" t="s">
        <v>8943</v>
      </c>
      <c r="JZI1" t="s">
        <v>8944</v>
      </c>
      <c r="JZJ1" t="s">
        <v>8945</v>
      </c>
      <c r="JZK1" t="s">
        <v>8946</v>
      </c>
      <c r="JZL1" t="s">
        <v>8947</v>
      </c>
      <c r="JZM1" t="s">
        <v>8948</v>
      </c>
      <c r="JZN1" t="s">
        <v>8949</v>
      </c>
      <c r="JZO1" t="s">
        <v>8950</v>
      </c>
      <c r="JZP1" t="s">
        <v>8951</v>
      </c>
      <c r="JZQ1" t="s">
        <v>8952</v>
      </c>
      <c r="JZR1" t="s">
        <v>8953</v>
      </c>
      <c r="JZS1" t="s">
        <v>8954</v>
      </c>
      <c r="JZT1" t="s">
        <v>8955</v>
      </c>
      <c r="JZU1" t="s">
        <v>8956</v>
      </c>
      <c r="JZV1" t="s">
        <v>8957</v>
      </c>
      <c r="JZW1" t="s">
        <v>8958</v>
      </c>
      <c r="JZX1" t="s">
        <v>8959</v>
      </c>
      <c r="JZY1" t="s">
        <v>8960</v>
      </c>
      <c r="JZZ1" t="s">
        <v>8961</v>
      </c>
      <c r="KAA1" t="s">
        <v>8962</v>
      </c>
      <c r="KAB1" t="s">
        <v>8963</v>
      </c>
      <c r="KAC1" t="s">
        <v>8964</v>
      </c>
      <c r="KAD1" t="s">
        <v>8965</v>
      </c>
      <c r="KAE1" t="s">
        <v>8966</v>
      </c>
      <c r="KAF1" t="s">
        <v>8967</v>
      </c>
      <c r="KAG1" t="s">
        <v>8968</v>
      </c>
      <c r="KAH1" t="s">
        <v>8969</v>
      </c>
      <c r="KAI1" t="s">
        <v>8970</v>
      </c>
      <c r="KAJ1" t="s">
        <v>8971</v>
      </c>
      <c r="KAK1" t="s">
        <v>8972</v>
      </c>
      <c r="KAL1" t="s">
        <v>8973</v>
      </c>
      <c r="KAM1" t="s">
        <v>8974</v>
      </c>
      <c r="KAN1" t="s">
        <v>8975</v>
      </c>
      <c r="KAO1" t="s">
        <v>8976</v>
      </c>
      <c r="KAP1" t="s">
        <v>8977</v>
      </c>
      <c r="KAQ1" t="s">
        <v>8978</v>
      </c>
      <c r="KAR1" t="s">
        <v>8979</v>
      </c>
      <c r="KAS1" t="s">
        <v>8980</v>
      </c>
      <c r="KAT1" t="s">
        <v>8981</v>
      </c>
      <c r="KAU1" t="s">
        <v>8982</v>
      </c>
      <c r="KAV1" t="s">
        <v>8983</v>
      </c>
      <c r="KAW1" t="s">
        <v>8984</v>
      </c>
      <c r="KAX1" t="s">
        <v>8985</v>
      </c>
      <c r="KAY1" t="s">
        <v>8986</v>
      </c>
      <c r="KAZ1" t="s">
        <v>8987</v>
      </c>
      <c r="KBA1" t="s">
        <v>8988</v>
      </c>
      <c r="KBB1" t="s">
        <v>8989</v>
      </c>
      <c r="KBC1" t="s">
        <v>8990</v>
      </c>
      <c r="KBD1" t="s">
        <v>8991</v>
      </c>
      <c r="KBE1" t="s">
        <v>8992</v>
      </c>
      <c r="KBF1" t="s">
        <v>8993</v>
      </c>
      <c r="KBG1" t="s">
        <v>8994</v>
      </c>
      <c r="KBH1" t="s">
        <v>8995</v>
      </c>
      <c r="KBI1" t="s">
        <v>8996</v>
      </c>
      <c r="KBJ1" t="s">
        <v>8997</v>
      </c>
      <c r="KBK1" t="s">
        <v>8998</v>
      </c>
      <c r="KBL1" t="s">
        <v>8999</v>
      </c>
      <c r="KBM1" t="s">
        <v>9000</v>
      </c>
      <c r="KBN1" t="s">
        <v>9001</v>
      </c>
      <c r="KBO1" t="s">
        <v>9002</v>
      </c>
      <c r="KBP1" t="s">
        <v>9003</v>
      </c>
      <c r="KBQ1" t="s">
        <v>9004</v>
      </c>
      <c r="KBR1" t="s">
        <v>9005</v>
      </c>
      <c r="KBS1" t="s">
        <v>9006</v>
      </c>
      <c r="KBT1" t="s">
        <v>9007</v>
      </c>
      <c r="KBU1" t="s">
        <v>9008</v>
      </c>
      <c r="KBV1" t="s">
        <v>9009</v>
      </c>
      <c r="KBW1" t="s">
        <v>9010</v>
      </c>
      <c r="KBX1" t="s">
        <v>9011</v>
      </c>
      <c r="KBY1" t="s">
        <v>9012</v>
      </c>
      <c r="KBZ1" t="s">
        <v>9013</v>
      </c>
      <c r="KCA1" t="s">
        <v>9014</v>
      </c>
      <c r="KCB1" t="s">
        <v>9015</v>
      </c>
      <c r="KCC1" t="s">
        <v>9016</v>
      </c>
      <c r="KCD1" t="s">
        <v>9017</v>
      </c>
      <c r="KCE1" t="s">
        <v>9018</v>
      </c>
      <c r="KCF1" t="s">
        <v>9019</v>
      </c>
      <c r="KCG1" t="s">
        <v>9020</v>
      </c>
      <c r="KCH1" t="s">
        <v>9021</v>
      </c>
      <c r="KCI1" t="s">
        <v>9022</v>
      </c>
      <c r="KCJ1" t="s">
        <v>9023</v>
      </c>
      <c r="KCK1" t="s">
        <v>9024</v>
      </c>
      <c r="KCL1" t="s">
        <v>9025</v>
      </c>
      <c r="KCM1" t="s">
        <v>9026</v>
      </c>
      <c r="KCN1" t="s">
        <v>9027</v>
      </c>
      <c r="KCO1" t="s">
        <v>9028</v>
      </c>
      <c r="KCP1" t="s">
        <v>9029</v>
      </c>
      <c r="KCQ1" t="s">
        <v>9030</v>
      </c>
      <c r="KCR1" t="s">
        <v>9031</v>
      </c>
      <c r="KCS1" t="s">
        <v>9032</v>
      </c>
      <c r="KCT1" t="s">
        <v>9033</v>
      </c>
      <c r="KCU1" t="s">
        <v>9034</v>
      </c>
      <c r="KCV1" t="s">
        <v>9035</v>
      </c>
      <c r="KCW1" t="s">
        <v>9036</v>
      </c>
      <c r="KCX1" t="s">
        <v>9037</v>
      </c>
      <c r="KCY1" t="s">
        <v>9038</v>
      </c>
      <c r="KCZ1" t="s">
        <v>9039</v>
      </c>
      <c r="KDA1" t="s">
        <v>9040</v>
      </c>
      <c r="KDB1" t="s">
        <v>9041</v>
      </c>
      <c r="KDC1" t="s">
        <v>9042</v>
      </c>
      <c r="KDD1" t="s">
        <v>9043</v>
      </c>
      <c r="KDE1" t="s">
        <v>9044</v>
      </c>
      <c r="KDF1" t="s">
        <v>9045</v>
      </c>
      <c r="KDG1" t="s">
        <v>9046</v>
      </c>
      <c r="KDH1" t="s">
        <v>9047</v>
      </c>
      <c r="KDI1" t="s">
        <v>9048</v>
      </c>
      <c r="KDJ1" t="s">
        <v>9049</v>
      </c>
      <c r="KDK1" t="s">
        <v>9050</v>
      </c>
      <c r="KDL1" t="s">
        <v>9051</v>
      </c>
      <c r="KDM1" t="s">
        <v>9052</v>
      </c>
      <c r="KDN1" t="s">
        <v>9053</v>
      </c>
      <c r="KDO1" t="s">
        <v>9054</v>
      </c>
      <c r="KDP1" t="s">
        <v>9055</v>
      </c>
      <c r="KDQ1" t="s">
        <v>9056</v>
      </c>
      <c r="KDR1" t="s">
        <v>9057</v>
      </c>
      <c r="KDS1" t="s">
        <v>9058</v>
      </c>
      <c r="KDT1" t="s">
        <v>9059</v>
      </c>
      <c r="KDU1" t="s">
        <v>9060</v>
      </c>
      <c r="KDV1" t="s">
        <v>9061</v>
      </c>
      <c r="KDW1" t="s">
        <v>9062</v>
      </c>
      <c r="KDX1" t="s">
        <v>9063</v>
      </c>
      <c r="KDY1" t="s">
        <v>9064</v>
      </c>
      <c r="KDZ1" t="s">
        <v>9065</v>
      </c>
      <c r="KEA1" t="s">
        <v>9066</v>
      </c>
      <c r="KEB1" t="s">
        <v>9067</v>
      </c>
      <c r="KEC1" t="s">
        <v>9068</v>
      </c>
      <c r="KED1" t="s">
        <v>9069</v>
      </c>
      <c r="KEE1" t="s">
        <v>9070</v>
      </c>
      <c r="KEF1" t="s">
        <v>9071</v>
      </c>
      <c r="KEG1" t="s">
        <v>9072</v>
      </c>
      <c r="KEH1" t="s">
        <v>9073</v>
      </c>
      <c r="KEI1" t="s">
        <v>9074</v>
      </c>
      <c r="KEJ1" t="s">
        <v>9075</v>
      </c>
      <c r="KEK1" t="s">
        <v>9076</v>
      </c>
      <c r="KEL1" t="s">
        <v>9077</v>
      </c>
      <c r="KEM1" t="s">
        <v>9078</v>
      </c>
      <c r="KEN1" t="s">
        <v>9079</v>
      </c>
      <c r="KEO1" t="s">
        <v>9080</v>
      </c>
      <c r="KEP1" t="s">
        <v>9081</v>
      </c>
      <c r="KEQ1" t="s">
        <v>9082</v>
      </c>
      <c r="KER1" t="s">
        <v>9083</v>
      </c>
      <c r="KES1" t="s">
        <v>9084</v>
      </c>
      <c r="KET1" t="s">
        <v>9085</v>
      </c>
      <c r="KEU1" t="s">
        <v>9086</v>
      </c>
      <c r="KEV1" t="s">
        <v>9087</v>
      </c>
      <c r="KEW1" t="s">
        <v>9088</v>
      </c>
      <c r="KEX1" t="s">
        <v>9089</v>
      </c>
      <c r="KEY1" t="s">
        <v>9090</v>
      </c>
      <c r="KEZ1" t="s">
        <v>9091</v>
      </c>
      <c r="KFA1" t="s">
        <v>9092</v>
      </c>
      <c r="KFB1" t="s">
        <v>9093</v>
      </c>
      <c r="KFC1" t="s">
        <v>9094</v>
      </c>
      <c r="KFD1" t="s">
        <v>9095</v>
      </c>
      <c r="KFE1" t="s">
        <v>9096</v>
      </c>
      <c r="KFF1" t="s">
        <v>9097</v>
      </c>
      <c r="KFG1" t="s">
        <v>9098</v>
      </c>
      <c r="KFH1" t="s">
        <v>9099</v>
      </c>
      <c r="KFI1" t="s">
        <v>9100</v>
      </c>
      <c r="KFJ1" t="s">
        <v>9101</v>
      </c>
      <c r="KFK1" t="s">
        <v>9102</v>
      </c>
      <c r="KFL1" t="s">
        <v>9103</v>
      </c>
      <c r="KFM1" t="s">
        <v>9104</v>
      </c>
      <c r="KFN1" t="s">
        <v>9105</v>
      </c>
      <c r="KFO1" t="s">
        <v>9106</v>
      </c>
      <c r="KFP1" t="s">
        <v>9107</v>
      </c>
      <c r="KFQ1" t="s">
        <v>9108</v>
      </c>
      <c r="KFR1" t="s">
        <v>9109</v>
      </c>
      <c r="KFS1" t="s">
        <v>9110</v>
      </c>
      <c r="KFT1" t="s">
        <v>9111</v>
      </c>
      <c r="KFU1" t="s">
        <v>9112</v>
      </c>
      <c r="KFV1" t="s">
        <v>9113</v>
      </c>
      <c r="KFW1" t="s">
        <v>9114</v>
      </c>
      <c r="KFX1" t="s">
        <v>9115</v>
      </c>
      <c r="KFY1" t="s">
        <v>9116</v>
      </c>
      <c r="KFZ1" t="s">
        <v>9117</v>
      </c>
      <c r="KGA1" t="s">
        <v>9118</v>
      </c>
      <c r="KGB1" t="s">
        <v>9119</v>
      </c>
      <c r="KGC1" t="s">
        <v>9120</v>
      </c>
      <c r="KGD1" t="s">
        <v>9121</v>
      </c>
      <c r="KGE1" t="s">
        <v>9122</v>
      </c>
      <c r="KGF1" t="s">
        <v>9123</v>
      </c>
      <c r="KGG1" t="s">
        <v>9124</v>
      </c>
      <c r="KGH1" t="s">
        <v>9125</v>
      </c>
      <c r="KGI1" t="s">
        <v>9126</v>
      </c>
      <c r="KGJ1" t="s">
        <v>9127</v>
      </c>
      <c r="KGK1" t="s">
        <v>9128</v>
      </c>
      <c r="KGL1" t="s">
        <v>9129</v>
      </c>
      <c r="KGM1" t="s">
        <v>9130</v>
      </c>
      <c r="KGN1" t="s">
        <v>9131</v>
      </c>
      <c r="KGO1" t="s">
        <v>9132</v>
      </c>
      <c r="KGP1" t="s">
        <v>9133</v>
      </c>
      <c r="KGQ1" t="s">
        <v>9134</v>
      </c>
      <c r="KGR1" t="s">
        <v>9135</v>
      </c>
      <c r="KGS1" t="s">
        <v>9136</v>
      </c>
      <c r="KGT1" t="s">
        <v>9137</v>
      </c>
      <c r="KGU1" t="s">
        <v>9138</v>
      </c>
      <c r="KGV1" t="s">
        <v>9139</v>
      </c>
      <c r="KGW1" t="s">
        <v>9140</v>
      </c>
      <c r="KGX1" t="s">
        <v>9141</v>
      </c>
      <c r="KGY1" t="s">
        <v>9142</v>
      </c>
      <c r="KGZ1" t="s">
        <v>9143</v>
      </c>
      <c r="KHA1" t="s">
        <v>9144</v>
      </c>
      <c r="KHB1" t="s">
        <v>9145</v>
      </c>
      <c r="KHC1" t="s">
        <v>9146</v>
      </c>
      <c r="KHD1" t="s">
        <v>9147</v>
      </c>
      <c r="KHE1" t="s">
        <v>9148</v>
      </c>
      <c r="KHF1" t="s">
        <v>9149</v>
      </c>
      <c r="KHG1" t="s">
        <v>9150</v>
      </c>
      <c r="KHH1" t="s">
        <v>9151</v>
      </c>
      <c r="KHI1" t="s">
        <v>9152</v>
      </c>
      <c r="KHJ1" t="s">
        <v>9153</v>
      </c>
      <c r="KHK1" t="s">
        <v>9154</v>
      </c>
      <c r="KHL1" t="s">
        <v>9155</v>
      </c>
      <c r="KHM1" t="s">
        <v>9156</v>
      </c>
      <c r="KHN1" t="s">
        <v>9157</v>
      </c>
      <c r="KHO1" t="s">
        <v>9158</v>
      </c>
      <c r="KHP1" t="s">
        <v>9159</v>
      </c>
      <c r="KHQ1" t="s">
        <v>9160</v>
      </c>
      <c r="KHR1" t="s">
        <v>9161</v>
      </c>
      <c r="KHS1" t="s">
        <v>9162</v>
      </c>
      <c r="KHT1" t="s">
        <v>9163</v>
      </c>
      <c r="KHU1" t="s">
        <v>9164</v>
      </c>
      <c r="KHV1" t="s">
        <v>9165</v>
      </c>
      <c r="KHW1" t="s">
        <v>9166</v>
      </c>
      <c r="KHX1" t="s">
        <v>9167</v>
      </c>
      <c r="KHY1" t="s">
        <v>9168</v>
      </c>
      <c r="KHZ1" t="s">
        <v>9169</v>
      </c>
      <c r="KIA1" t="s">
        <v>9170</v>
      </c>
      <c r="KIB1" t="s">
        <v>9171</v>
      </c>
      <c r="KIC1" t="s">
        <v>9172</v>
      </c>
      <c r="KID1" t="s">
        <v>9173</v>
      </c>
      <c r="KIE1" t="s">
        <v>9174</v>
      </c>
      <c r="KIF1" t="s">
        <v>9175</v>
      </c>
      <c r="KIG1" t="s">
        <v>9176</v>
      </c>
      <c r="KIH1" t="s">
        <v>9177</v>
      </c>
      <c r="KII1" t="s">
        <v>9178</v>
      </c>
      <c r="KIJ1" t="s">
        <v>9179</v>
      </c>
      <c r="KIK1" t="s">
        <v>9180</v>
      </c>
      <c r="KIL1" t="s">
        <v>9181</v>
      </c>
      <c r="KIM1" t="s">
        <v>9182</v>
      </c>
      <c r="KIN1" t="s">
        <v>9183</v>
      </c>
      <c r="KIO1" t="s">
        <v>9184</v>
      </c>
      <c r="KIP1" t="s">
        <v>9185</v>
      </c>
      <c r="KIQ1" t="s">
        <v>9186</v>
      </c>
      <c r="KIR1" t="s">
        <v>9187</v>
      </c>
      <c r="KIS1" t="s">
        <v>9188</v>
      </c>
      <c r="KIT1" t="s">
        <v>9189</v>
      </c>
      <c r="KIU1" t="s">
        <v>9190</v>
      </c>
      <c r="KIV1" t="s">
        <v>9191</v>
      </c>
      <c r="KIW1" t="s">
        <v>9192</v>
      </c>
      <c r="KIX1" t="s">
        <v>9193</v>
      </c>
      <c r="KIY1" t="s">
        <v>9194</v>
      </c>
      <c r="KIZ1" t="s">
        <v>9195</v>
      </c>
      <c r="KJA1" t="s">
        <v>9196</v>
      </c>
      <c r="KJB1" t="s">
        <v>9197</v>
      </c>
      <c r="KJC1" t="s">
        <v>9198</v>
      </c>
      <c r="KJD1" t="s">
        <v>9199</v>
      </c>
      <c r="KJE1" t="s">
        <v>9200</v>
      </c>
      <c r="KJF1" t="s">
        <v>9201</v>
      </c>
      <c r="KJG1" t="s">
        <v>9202</v>
      </c>
      <c r="KJH1" t="s">
        <v>9203</v>
      </c>
      <c r="KJI1" t="s">
        <v>9204</v>
      </c>
      <c r="KJJ1" t="s">
        <v>9205</v>
      </c>
      <c r="KJK1" t="s">
        <v>9206</v>
      </c>
      <c r="KJL1" t="s">
        <v>9207</v>
      </c>
      <c r="KJM1" t="s">
        <v>9208</v>
      </c>
      <c r="KJN1" t="s">
        <v>9209</v>
      </c>
      <c r="KJO1" t="s">
        <v>9210</v>
      </c>
      <c r="KJP1" t="s">
        <v>9211</v>
      </c>
      <c r="KJQ1" t="s">
        <v>9212</v>
      </c>
      <c r="KJR1" t="s">
        <v>9213</v>
      </c>
      <c r="KJS1" t="s">
        <v>9214</v>
      </c>
      <c r="KJT1" t="s">
        <v>9215</v>
      </c>
      <c r="KJU1" t="s">
        <v>9216</v>
      </c>
      <c r="KJV1" t="s">
        <v>9217</v>
      </c>
      <c r="KJW1" t="s">
        <v>9218</v>
      </c>
      <c r="KJX1" t="s">
        <v>9219</v>
      </c>
      <c r="KJY1" t="s">
        <v>9220</v>
      </c>
      <c r="KJZ1" t="s">
        <v>9221</v>
      </c>
      <c r="KKA1" t="s">
        <v>9222</v>
      </c>
      <c r="KKB1" t="s">
        <v>9223</v>
      </c>
      <c r="KKC1" t="s">
        <v>9224</v>
      </c>
      <c r="KKD1" t="s">
        <v>9225</v>
      </c>
      <c r="KKE1" t="s">
        <v>9226</v>
      </c>
      <c r="KKF1" t="s">
        <v>9227</v>
      </c>
      <c r="KKG1" t="s">
        <v>9228</v>
      </c>
      <c r="KKH1" t="s">
        <v>9229</v>
      </c>
      <c r="KKI1" t="s">
        <v>9230</v>
      </c>
      <c r="KKJ1" t="s">
        <v>9231</v>
      </c>
      <c r="KKK1" t="s">
        <v>9232</v>
      </c>
      <c r="KKL1" t="s">
        <v>9233</v>
      </c>
      <c r="KKM1" t="s">
        <v>9234</v>
      </c>
      <c r="KKN1" t="s">
        <v>9235</v>
      </c>
      <c r="KKO1" t="s">
        <v>9236</v>
      </c>
      <c r="KKP1" t="s">
        <v>9237</v>
      </c>
      <c r="KKQ1" t="s">
        <v>9238</v>
      </c>
      <c r="KKR1" t="s">
        <v>9239</v>
      </c>
      <c r="KKS1" t="s">
        <v>9240</v>
      </c>
      <c r="KKT1" t="s">
        <v>9241</v>
      </c>
      <c r="KKU1" t="s">
        <v>9242</v>
      </c>
      <c r="KKV1" t="s">
        <v>9243</v>
      </c>
      <c r="KKW1" t="s">
        <v>9244</v>
      </c>
      <c r="KKX1" t="s">
        <v>9245</v>
      </c>
      <c r="KKY1" t="s">
        <v>9246</v>
      </c>
      <c r="KKZ1" t="s">
        <v>9247</v>
      </c>
      <c r="KLA1" t="s">
        <v>9248</v>
      </c>
      <c r="KLB1" t="s">
        <v>9249</v>
      </c>
      <c r="KLC1" t="s">
        <v>9250</v>
      </c>
      <c r="KLD1" t="s">
        <v>9251</v>
      </c>
      <c r="KLE1" t="s">
        <v>9252</v>
      </c>
      <c r="KLF1" t="s">
        <v>9253</v>
      </c>
      <c r="KLG1" t="s">
        <v>9254</v>
      </c>
      <c r="KLH1" t="s">
        <v>9255</v>
      </c>
      <c r="KLI1" t="s">
        <v>9256</v>
      </c>
      <c r="KLJ1" t="s">
        <v>9257</v>
      </c>
      <c r="KLK1" t="s">
        <v>9258</v>
      </c>
      <c r="KLL1" t="s">
        <v>9259</v>
      </c>
      <c r="KLM1" t="s">
        <v>9260</v>
      </c>
      <c r="KLN1" t="s">
        <v>9261</v>
      </c>
      <c r="KLO1" t="s">
        <v>9262</v>
      </c>
      <c r="KLP1" t="s">
        <v>9263</v>
      </c>
      <c r="KLQ1" t="s">
        <v>9264</v>
      </c>
      <c r="KLR1" t="s">
        <v>9265</v>
      </c>
      <c r="KLS1" t="s">
        <v>9266</v>
      </c>
      <c r="KLT1" t="s">
        <v>9267</v>
      </c>
      <c r="KLU1" t="s">
        <v>9268</v>
      </c>
      <c r="KLV1" t="s">
        <v>9269</v>
      </c>
      <c r="KLW1" t="s">
        <v>9270</v>
      </c>
      <c r="KLX1" t="s">
        <v>9271</v>
      </c>
      <c r="KLY1" t="s">
        <v>9272</v>
      </c>
      <c r="KLZ1" t="s">
        <v>9273</v>
      </c>
      <c r="KMA1" t="s">
        <v>9274</v>
      </c>
      <c r="KMB1" t="s">
        <v>9275</v>
      </c>
      <c r="KMC1" t="s">
        <v>9276</v>
      </c>
      <c r="KMD1" t="s">
        <v>9277</v>
      </c>
      <c r="KME1" t="s">
        <v>9278</v>
      </c>
      <c r="KMF1" t="s">
        <v>9279</v>
      </c>
      <c r="KMG1" t="s">
        <v>9280</v>
      </c>
      <c r="KMH1" t="s">
        <v>9281</v>
      </c>
      <c r="KMI1" t="s">
        <v>9282</v>
      </c>
      <c r="KMJ1" t="s">
        <v>9283</v>
      </c>
      <c r="KMK1" t="s">
        <v>9284</v>
      </c>
      <c r="KML1" t="s">
        <v>9285</v>
      </c>
      <c r="KMM1" t="s">
        <v>9286</v>
      </c>
      <c r="KMN1" t="s">
        <v>9287</v>
      </c>
      <c r="KMO1" t="s">
        <v>9288</v>
      </c>
      <c r="KMP1" t="s">
        <v>9289</v>
      </c>
      <c r="KMQ1" t="s">
        <v>9290</v>
      </c>
      <c r="KMR1" t="s">
        <v>9291</v>
      </c>
      <c r="KMS1" t="s">
        <v>9292</v>
      </c>
      <c r="KMT1" t="s">
        <v>9293</v>
      </c>
      <c r="KMU1" t="s">
        <v>9294</v>
      </c>
      <c r="KMV1" t="s">
        <v>9295</v>
      </c>
      <c r="KMW1" t="s">
        <v>9296</v>
      </c>
      <c r="KMX1" t="s">
        <v>9297</v>
      </c>
      <c r="KMY1" t="s">
        <v>9298</v>
      </c>
      <c r="KMZ1" t="s">
        <v>9299</v>
      </c>
      <c r="KNA1" t="s">
        <v>9300</v>
      </c>
      <c r="KNB1" t="s">
        <v>9301</v>
      </c>
      <c r="KNC1" t="s">
        <v>9302</v>
      </c>
      <c r="KND1" t="s">
        <v>9303</v>
      </c>
      <c r="KNE1" t="s">
        <v>9304</v>
      </c>
      <c r="KNF1" t="s">
        <v>9305</v>
      </c>
      <c r="KNG1" t="s">
        <v>9306</v>
      </c>
      <c r="KNH1" t="s">
        <v>9307</v>
      </c>
      <c r="KNI1" t="s">
        <v>9308</v>
      </c>
      <c r="KNJ1" t="s">
        <v>9309</v>
      </c>
      <c r="KNK1" t="s">
        <v>9310</v>
      </c>
      <c r="KNL1" t="s">
        <v>9311</v>
      </c>
      <c r="KNM1" t="s">
        <v>9312</v>
      </c>
      <c r="KNN1" t="s">
        <v>9313</v>
      </c>
      <c r="KNO1" t="s">
        <v>9314</v>
      </c>
      <c r="KNP1" t="s">
        <v>9315</v>
      </c>
      <c r="KNQ1" t="s">
        <v>9316</v>
      </c>
      <c r="KNR1" t="s">
        <v>9317</v>
      </c>
      <c r="KNS1" t="s">
        <v>9318</v>
      </c>
      <c r="KNT1" t="s">
        <v>9319</v>
      </c>
      <c r="KNU1" t="s">
        <v>9320</v>
      </c>
      <c r="KNV1" t="s">
        <v>9321</v>
      </c>
      <c r="KNW1" t="s">
        <v>9322</v>
      </c>
      <c r="KNX1" t="s">
        <v>9323</v>
      </c>
      <c r="KNY1" t="s">
        <v>9324</v>
      </c>
      <c r="KNZ1" t="s">
        <v>9325</v>
      </c>
      <c r="KOA1" t="s">
        <v>9326</v>
      </c>
      <c r="KOB1" t="s">
        <v>9327</v>
      </c>
      <c r="KOC1" t="s">
        <v>9328</v>
      </c>
      <c r="KOD1" t="s">
        <v>9329</v>
      </c>
      <c r="KOE1" t="s">
        <v>9330</v>
      </c>
      <c r="KOF1" t="s">
        <v>9331</v>
      </c>
      <c r="KOG1" t="s">
        <v>9332</v>
      </c>
      <c r="KOH1" t="s">
        <v>9333</v>
      </c>
      <c r="KOI1" t="s">
        <v>9334</v>
      </c>
      <c r="KOJ1" t="s">
        <v>9335</v>
      </c>
      <c r="KOK1" t="s">
        <v>9336</v>
      </c>
      <c r="KOL1" t="s">
        <v>9337</v>
      </c>
      <c r="KOM1" t="s">
        <v>9338</v>
      </c>
      <c r="KON1" t="s">
        <v>9339</v>
      </c>
      <c r="KOO1" t="s">
        <v>9340</v>
      </c>
      <c r="KOP1" t="s">
        <v>9341</v>
      </c>
      <c r="KOQ1" t="s">
        <v>9342</v>
      </c>
      <c r="KOR1" t="s">
        <v>9343</v>
      </c>
      <c r="KOS1" t="s">
        <v>9344</v>
      </c>
      <c r="KOT1" t="s">
        <v>9345</v>
      </c>
      <c r="KOU1" t="s">
        <v>9346</v>
      </c>
      <c r="KOV1" t="s">
        <v>9347</v>
      </c>
      <c r="KOW1" t="s">
        <v>9348</v>
      </c>
      <c r="KOX1" t="s">
        <v>9349</v>
      </c>
      <c r="KOY1" t="s">
        <v>9350</v>
      </c>
      <c r="KOZ1" t="s">
        <v>9351</v>
      </c>
      <c r="KPA1" t="s">
        <v>9352</v>
      </c>
      <c r="KPB1" t="s">
        <v>9353</v>
      </c>
      <c r="KPC1" t="s">
        <v>9354</v>
      </c>
      <c r="KPD1" t="s">
        <v>9355</v>
      </c>
      <c r="KPE1" t="s">
        <v>9356</v>
      </c>
      <c r="KPF1" t="s">
        <v>9357</v>
      </c>
      <c r="KPG1" t="s">
        <v>9358</v>
      </c>
      <c r="KPH1" t="s">
        <v>9359</v>
      </c>
      <c r="KPI1" t="s">
        <v>9360</v>
      </c>
      <c r="KPJ1" t="s">
        <v>9361</v>
      </c>
      <c r="KPK1" t="s">
        <v>9362</v>
      </c>
      <c r="KPL1" t="s">
        <v>9363</v>
      </c>
      <c r="KPM1" t="s">
        <v>9364</v>
      </c>
      <c r="KPN1" t="s">
        <v>9365</v>
      </c>
      <c r="KPO1" t="s">
        <v>9366</v>
      </c>
      <c r="KPP1" t="s">
        <v>9367</v>
      </c>
      <c r="KPQ1" t="s">
        <v>9368</v>
      </c>
      <c r="KPR1" t="s">
        <v>9369</v>
      </c>
      <c r="KPS1" t="s">
        <v>9370</v>
      </c>
      <c r="KPT1" t="s">
        <v>9371</v>
      </c>
      <c r="KPU1" t="s">
        <v>9372</v>
      </c>
      <c r="KPV1" t="s">
        <v>9373</v>
      </c>
      <c r="KPW1" t="s">
        <v>9374</v>
      </c>
      <c r="KPX1" t="s">
        <v>9375</v>
      </c>
      <c r="KPY1" t="s">
        <v>9376</v>
      </c>
      <c r="KPZ1" t="s">
        <v>9377</v>
      </c>
      <c r="KQA1" t="s">
        <v>9378</v>
      </c>
      <c r="KQB1" t="s">
        <v>9379</v>
      </c>
      <c r="KQC1" t="s">
        <v>9380</v>
      </c>
      <c r="KQD1" t="s">
        <v>9381</v>
      </c>
      <c r="KQE1" t="s">
        <v>9382</v>
      </c>
      <c r="KQF1" t="s">
        <v>9383</v>
      </c>
      <c r="KQG1" t="s">
        <v>9384</v>
      </c>
      <c r="KQH1" t="s">
        <v>9385</v>
      </c>
      <c r="KQI1" t="s">
        <v>9386</v>
      </c>
      <c r="KQJ1" t="s">
        <v>9387</v>
      </c>
      <c r="KQK1" t="s">
        <v>9388</v>
      </c>
      <c r="KQL1" t="s">
        <v>9389</v>
      </c>
      <c r="KQM1" t="s">
        <v>9390</v>
      </c>
      <c r="KQN1" t="s">
        <v>9391</v>
      </c>
      <c r="KQO1" t="s">
        <v>9392</v>
      </c>
      <c r="KQP1" t="s">
        <v>9393</v>
      </c>
      <c r="KQQ1" t="s">
        <v>9394</v>
      </c>
      <c r="KQR1" t="s">
        <v>9395</v>
      </c>
      <c r="KQS1" t="s">
        <v>9396</v>
      </c>
      <c r="KQT1" t="s">
        <v>9397</v>
      </c>
      <c r="KQU1" t="s">
        <v>9398</v>
      </c>
      <c r="KQV1" t="s">
        <v>9399</v>
      </c>
      <c r="KQW1" t="s">
        <v>9400</v>
      </c>
      <c r="KQX1" t="s">
        <v>9401</v>
      </c>
      <c r="KQY1" t="s">
        <v>9402</v>
      </c>
      <c r="KQZ1" t="s">
        <v>9403</v>
      </c>
      <c r="KRA1" t="s">
        <v>9404</v>
      </c>
      <c r="KRB1" t="s">
        <v>9405</v>
      </c>
      <c r="KRC1" t="s">
        <v>9406</v>
      </c>
      <c r="KRD1" t="s">
        <v>9407</v>
      </c>
      <c r="KRE1" t="s">
        <v>9408</v>
      </c>
      <c r="KRF1" t="s">
        <v>9409</v>
      </c>
      <c r="KRG1" t="s">
        <v>9410</v>
      </c>
      <c r="KRH1" t="s">
        <v>9411</v>
      </c>
      <c r="KRI1" t="s">
        <v>9412</v>
      </c>
      <c r="KRJ1" t="s">
        <v>9413</v>
      </c>
      <c r="KRK1" t="s">
        <v>9414</v>
      </c>
      <c r="KRL1" t="s">
        <v>9415</v>
      </c>
      <c r="KRM1" t="s">
        <v>9416</v>
      </c>
      <c r="KRN1" t="s">
        <v>9417</v>
      </c>
      <c r="KRO1" t="s">
        <v>9418</v>
      </c>
      <c r="KRP1" t="s">
        <v>9419</v>
      </c>
      <c r="KRQ1" t="s">
        <v>9420</v>
      </c>
      <c r="KRR1" t="s">
        <v>9421</v>
      </c>
      <c r="KRS1" t="s">
        <v>9422</v>
      </c>
      <c r="KRT1" t="s">
        <v>9423</v>
      </c>
      <c r="KRU1" t="s">
        <v>9424</v>
      </c>
      <c r="KRV1" t="s">
        <v>9425</v>
      </c>
      <c r="KRW1" t="s">
        <v>9426</v>
      </c>
      <c r="KRX1" t="s">
        <v>9427</v>
      </c>
      <c r="KRY1" t="s">
        <v>9428</v>
      </c>
      <c r="KRZ1" t="s">
        <v>9429</v>
      </c>
      <c r="KSA1" t="s">
        <v>9430</v>
      </c>
      <c r="KSB1" t="s">
        <v>9431</v>
      </c>
      <c r="KSC1" t="s">
        <v>9432</v>
      </c>
      <c r="KSD1" t="s">
        <v>9433</v>
      </c>
      <c r="KSE1" t="s">
        <v>9434</v>
      </c>
      <c r="KSF1" t="s">
        <v>9435</v>
      </c>
      <c r="KSG1" t="s">
        <v>9436</v>
      </c>
      <c r="KSH1" t="s">
        <v>9437</v>
      </c>
      <c r="KSI1" t="s">
        <v>9438</v>
      </c>
      <c r="KSJ1" t="s">
        <v>9439</v>
      </c>
      <c r="KSK1" t="s">
        <v>9440</v>
      </c>
      <c r="KSL1" t="s">
        <v>9441</v>
      </c>
      <c r="KSM1" t="s">
        <v>9442</v>
      </c>
      <c r="KSN1" t="s">
        <v>9443</v>
      </c>
      <c r="KSO1" t="s">
        <v>9444</v>
      </c>
      <c r="KSP1" t="s">
        <v>9445</v>
      </c>
      <c r="KSQ1" t="s">
        <v>9446</v>
      </c>
      <c r="KSR1" t="s">
        <v>9447</v>
      </c>
      <c r="KSS1" t="s">
        <v>9448</v>
      </c>
      <c r="KST1" t="s">
        <v>9449</v>
      </c>
      <c r="KSU1" t="s">
        <v>9450</v>
      </c>
      <c r="KSV1" t="s">
        <v>9451</v>
      </c>
      <c r="KSW1" t="s">
        <v>9452</v>
      </c>
      <c r="KSX1" t="s">
        <v>9453</v>
      </c>
      <c r="KSY1" t="s">
        <v>9454</v>
      </c>
      <c r="KSZ1" t="s">
        <v>9455</v>
      </c>
      <c r="KTA1" t="s">
        <v>9456</v>
      </c>
      <c r="KTB1" t="s">
        <v>9457</v>
      </c>
      <c r="KTC1" t="s">
        <v>9458</v>
      </c>
      <c r="KTD1" t="s">
        <v>9459</v>
      </c>
      <c r="KTE1" t="s">
        <v>9460</v>
      </c>
      <c r="KTF1" t="s">
        <v>9461</v>
      </c>
      <c r="KTG1" t="s">
        <v>9462</v>
      </c>
      <c r="KTH1" t="s">
        <v>9463</v>
      </c>
      <c r="KTI1" t="s">
        <v>9464</v>
      </c>
      <c r="KTJ1" t="s">
        <v>9465</v>
      </c>
      <c r="KTK1" t="s">
        <v>9466</v>
      </c>
      <c r="KTL1" t="s">
        <v>9467</v>
      </c>
      <c r="KTM1" t="s">
        <v>9468</v>
      </c>
      <c r="KTN1" t="s">
        <v>9469</v>
      </c>
      <c r="KTO1" t="s">
        <v>9470</v>
      </c>
      <c r="KTP1" t="s">
        <v>9471</v>
      </c>
      <c r="KTQ1" t="s">
        <v>9472</v>
      </c>
      <c r="KTR1" t="s">
        <v>9473</v>
      </c>
      <c r="KTS1" t="s">
        <v>9474</v>
      </c>
      <c r="KTT1" t="s">
        <v>9475</v>
      </c>
      <c r="KTU1" t="s">
        <v>9476</v>
      </c>
      <c r="KTV1" t="s">
        <v>9477</v>
      </c>
      <c r="KTW1" t="s">
        <v>9478</v>
      </c>
      <c r="KTX1" t="s">
        <v>9479</v>
      </c>
      <c r="KTY1" t="s">
        <v>9480</v>
      </c>
      <c r="KTZ1" t="s">
        <v>9481</v>
      </c>
      <c r="KUA1" t="s">
        <v>9482</v>
      </c>
      <c r="KUB1" t="s">
        <v>9483</v>
      </c>
      <c r="KUC1" t="s">
        <v>9484</v>
      </c>
      <c r="KUD1" t="s">
        <v>9485</v>
      </c>
      <c r="KUE1" t="s">
        <v>9486</v>
      </c>
      <c r="KUF1" t="s">
        <v>9487</v>
      </c>
      <c r="KUG1" t="s">
        <v>9488</v>
      </c>
      <c r="KUH1" t="s">
        <v>9489</v>
      </c>
      <c r="KUI1" t="s">
        <v>9490</v>
      </c>
      <c r="KUJ1" t="s">
        <v>9491</v>
      </c>
      <c r="KUK1" t="s">
        <v>9492</v>
      </c>
      <c r="KUL1" t="s">
        <v>9493</v>
      </c>
      <c r="KUM1" t="s">
        <v>9494</v>
      </c>
      <c r="KUN1" t="s">
        <v>9495</v>
      </c>
      <c r="KUO1" t="s">
        <v>9496</v>
      </c>
      <c r="KUP1" t="s">
        <v>9497</v>
      </c>
      <c r="KUQ1" t="s">
        <v>9498</v>
      </c>
      <c r="KUR1" t="s">
        <v>9499</v>
      </c>
      <c r="KUS1" t="s">
        <v>9500</v>
      </c>
      <c r="KUT1" t="s">
        <v>9501</v>
      </c>
      <c r="KUU1" t="s">
        <v>9502</v>
      </c>
      <c r="KUV1" t="s">
        <v>9503</v>
      </c>
      <c r="KUW1" t="s">
        <v>9504</v>
      </c>
      <c r="KUX1" t="s">
        <v>9505</v>
      </c>
      <c r="KUY1" t="s">
        <v>9506</v>
      </c>
      <c r="KUZ1" t="s">
        <v>9507</v>
      </c>
      <c r="KVA1" t="s">
        <v>9508</v>
      </c>
      <c r="KVB1" t="s">
        <v>9509</v>
      </c>
      <c r="KVC1" t="s">
        <v>9510</v>
      </c>
      <c r="KVD1" t="s">
        <v>9511</v>
      </c>
      <c r="KVE1" t="s">
        <v>9512</v>
      </c>
      <c r="KVF1" t="s">
        <v>9513</v>
      </c>
      <c r="KVG1" t="s">
        <v>9514</v>
      </c>
      <c r="KVH1" t="s">
        <v>9515</v>
      </c>
      <c r="KVI1" t="s">
        <v>9516</v>
      </c>
      <c r="KVJ1" t="s">
        <v>9517</v>
      </c>
      <c r="KVK1" t="s">
        <v>9518</v>
      </c>
      <c r="KVL1" t="s">
        <v>9519</v>
      </c>
      <c r="KVM1" t="s">
        <v>9520</v>
      </c>
      <c r="KVN1" t="s">
        <v>9521</v>
      </c>
      <c r="KVO1" t="s">
        <v>9522</v>
      </c>
      <c r="KVP1" t="s">
        <v>9523</v>
      </c>
      <c r="KVQ1" t="s">
        <v>9524</v>
      </c>
      <c r="KVR1" t="s">
        <v>9525</v>
      </c>
      <c r="KVS1" t="s">
        <v>9526</v>
      </c>
      <c r="KVT1" t="s">
        <v>9527</v>
      </c>
      <c r="KVU1" t="s">
        <v>9528</v>
      </c>
      <c r="KVV1" t="s">
        <v>9529</v>
      </c>
      <c r="KVW1" t="s">
        <v>9530</v>
      </c>
      <c r="KVX1" t="s">
        <v>9531</v>
      </c>
      <c r="KVY1" t="s">
        <v>9532</v>
      </c>
      <c r="KVZ1" t="s">
        <v>9533</v>
      </c>
      <c r="KWA1" t="s">
        <v>9534</v>
      </c>
      <c r="KWB1" t="s">
        <v>9535</v>
      </c>
      <c r="KWC1" t="s">
        <v>9536</v>
      </c>
      <c r="KWD1" t="s">
        <v>9537</v>
      </c>
      <c r="KWE1" t="s">
        <v>9538</v>
      </c>
      <c r="KWF1" t="s">
        <v>9539</v>
      </c>
      <c r="KWG1" t="s">
        <v>9540</v>
      </c>
      <c r="KWH1" t="s">
        <v>9541</v>
      </c>
      <c r="KWI1" t="s">
        <v>9542</v>
      </c>
      <c r="KWJ1" t="s">
        <v>9543</v>
      </c>
      <c r="KWK1" t="s">
        <v>9544</v>
      </c>
      <c r="KWL1" t="s">
        <v>9545</v>
      </c>
      <c r="KWM1" t="s">
        <v>9546</v>
      </c>
      <c r="KWN1" t="s">
        <v>9547</v>
      </c>
      <c r="KWO1" t="s">
        <v>9548</v>
      </c>
      <c r="KWP1" t="s">
        <v>9549</v>
      </c>
      <c r="KWQ1" t="s">
        <v>9550</v>
      </c>
      <c r="KWR1" t="s">
        <v>9551</v>
      </c>
      <c r="KWS1" t="s">
        <v>9552</v>
      </c>
      <c r="KWT1" t="s">
        <v>9553</v>
      </c>
      <c r="KWU1" t="s">
        <v>9554</v>
      </c>
      <c r="KWV1" t="s">
        <v>9555</v>
      </c>
      <c r="KWW1" t="s">
        <v>9556</v>
      </c>
      <c r="KWX1" t="s">
        <v>9557</v>
      </c>
      <c r="KWY1" t="s">
        <v>9558</v>
      </c>
      <c r="KWZ1" t="s">
        <v>9559</v>
      </c>
      <c r="KXA1" t="s">
        <v>9560</v>
      </c>
      <c r="KXB1" t="s">
        <v>9561</v>
      </c>
      <c r="KXC1" t="s">
        <v>9562</v>
      </c>
      <c r="KXD1" t="s">
        <v>9563</v>
      </c>
      <c r="KXE1" t="s">
        <v>9564</v>
      </c>
      <c r="KXF1" t="s">
        <v>9565</v>
      </c>
      <c r="KXG1" t="s">
        <v>9566</v>
      </c>
      <c r="KXH1" t="s">
        <v>9567</v>
      </c>
      <c r="KXI1" t="s">
        <v>9568</v>
      </c>
      <c r="KXJ1" t="s">
        <v>9569</v>
      </c>
      <c r="KXK1" t="s">
        <v>9570</v>
      </c>
      <c r="KXL1" t="s">
        <v>9571</v>
      </c>
      <c r="KXM1" t="s">
        <v>9572</v>
      </c>
      <c r="KXN1" t="s">
        <v>9573</v>
      </c>
      <c r="KXO1" t="s">
        <v>9574</v>
      </c>
      <c r="KXP1" t="s">
        <v>9575</v>
      </c>
      <c r="KXQ1" t="s">
        <v>9576</v>
      </c>
      <c r="KXR1" t="s">
        <v>9577</v>
      </c>
      <c r="KXS1" t="s">
        <v>9578</v>
      </c>
      <c r="KXT1" t="s">
        <v>9579</v>
      </c>
      <c r="KXU1" t="s">
        <v>9580</v>
      </c>
      <c r="KXV1" t="s">
        <v>9581</v>
      </c>
      <c r="KXW1" t="s">
        <v>9582</v>
      </c>
      <c r="KXX1" t="s">
        <v>9583</v>
      </c>
      <c r="KXY1" t="s">
        <v>9584</v>
      </c>
      <c r="KXZ1" t="s">
        <v>9585</v>
      </c>
      <c r="KYA1" t="s">
        <v>9586</v>
      </c>
      <c r="KYB1" t="s">
        <v>9587</v>
      </c>
      <c r="KYC1" t="s">
        <v>9588</v>
      </c>
      <c r="KYD1" t="s">
        <v>9589</v>
      </c>
      <c r="KYE1" t="s">
        <v>9590</v>
      </c>
      <c r="KYF1" t="s">
        <v>9591</v>
      </c>
      <c r="KYG1" t="s">
        <v>9592</v>
      </c>
      <c r="KYH1" t="s">
        <v>9593</v>
      </c>
      <c r="KYI1" t="s">
        <v>9594</v>
      </c>
      <c r="KYJ1" t="s">
        <v>9595</v>
      </c>
      <c r="KYK1" t="s">
        <v>9596</v>
      </c>
      <c r="KYL1" t="s">
        <v>9597</v>
      </c>
      <c r="KYM1" t="s">
        <v>9598</v>
      </c>
      <c r="KYN1" t="s">
        <v>9599</v>
      </c>
      <c r="KYO1" t="s">
        <v>9600</v>
      </c>
      <c r="KYP1" t="s">
        <v>9601</v>
      </c>
      <c r="KYQ1" t="s">
        <v>9602</v>
      </c>
      <c r="KYR1" t="s">
        <v>9603</v>
      </c>
      <c r="KYS1" t="s">
        <v>9604</v>
      </c>
      <c r="KYT1" t="s">
        <v>9605</v>
      </c>
      <c r="KYU1" t="s">
        <v>9606</v>
      </c>
      <c r="KYV1" t="s">
        <v>9607</v>
      </c>
      <c r="KYW1" t="s">
        <v>9608</v>
      </c>
      <c r="KYX1" t="s">
        <v>9609</v>
      </c>
      <c r="KYY1" t="s">
        <v>9610</v>
      </c>
      <c r="KYZ1" t="s">
        <v>9611</v>
      </c>
      <c r="KZA1" t="s">
        <v>9612</v>
      </c>
      <c r="KZB1" t="s">
        <v>9613</v>
      </c>
      <c r="KZC1" t="s">
        <v>9614</v>
      </c>
      <c r="KZD1" t="s">
        <v>9615</v>
      </c>
      <c r="KZE1" t="s">
        <v>9616</v>
      </c>
      <c r="KZF1" t="s">
        <v>9617</v>
      </c>
      <c r="KZG1" t="s">
        <v>9618</v>
      </c>
      <c r="KZH1" t="s">
        <v>9619</v>
      </c>
      <c r="KZI1" t="s">
        <v>9620</v>
      </c>
      <c r="KZJ1" t="s">
        <v>9621</v>
      </c>
      <c r="KZK1" t="s">
        <v>9622</v>
      </c>
      <c r="KZL1" t="s">
        <v>9623</v>
      </c>
      <c r="KZM1" t="s">
        <v>9624</v>
      </c>
      <c r="KZN1" t="s">
        <v>9625</v>
      </c>
      <c r="KZO1" t="s">
        <v>9626</v>
      </c>
      <c r="KZP1" t="s">
        <v>9627</v>
      </c>
      <c r="KZQ1" t="s">
        <v>9628</v>
      </c>
      <c r="KZR1" t="s">
        <v>9629</v>
      </c>
      <c r="KZS1" t="s">
        <v>9630</v>
      </c>
      <c r="KZT1" t="s">
        <v>9631</v>
      </c>
      <c r="KZU1" t="s">
        <v>9632</v>
      </c>
      <c r="KZV1" t="s">
        <v>9633</v>
      </c>
      <c r="KZW1" t="s">
        <v>9634</v>
      </c>
      <c r="KZX1" t="s">
        <v>9635</v>
      </c>
      <c r="KZY1" t="s">
        <v>9636</v>
      </c>
      <c r="KZZ1" t="s">
        <v>9637</v>
      </c>
      <c r="LAA1" t="s">
        <v>9638</v>
      </c>
      <c r="LAB1" t="s">
        <v>9639</v>
      </c>
      <c r="LAC1" t="s">
        <v>9640</v>
      </c>
      <c r="LAD1" t="s">
        <v>9641</v>
      </c>
      <c r="LAE1" t="s">
        <v>9642</v>
      </c>
      <c r="LAF1" t="s">
        <v>9643</v>
      </c>
      <c r="LAG1" t="s">
        <v>9644</v>
      </c>
      <c r="LAH1" t="s">
        <v>9645</v>
      </c>
      <c r="LAI1" t="s">
        <v>9646</v>
      </c>
      <c r="LAJ1" t="s">
        <v>9647</v>
      </c>
      <c r="LAK1" t="s">
        <v>9648</v>
      </c>
      <c r="LAL1" t="s">
        <v>9649</v>
      </c>
      <c r="LAM1" t="s">
        <v>9650</v>
      </c>
      <c r="LAN1" t="s">
        <v>9651</v>
      </c>
      <c r="LAO1" t="s">
        <v>9652</v>
      </c>
      <c r="LAP1" t="s">
        <v>9653</v>
      </c>
      <c r="LAQ1" t="s">
        <v>9654</v>
      </c>
      <c r="LAR1" t="s">
        <v>9655</v>
      </c>
      <c r="LAS1" t="s">
        <v>9656</v>
      </c>
      <c r="LAT1" t="s">
        <v>9657</v>
      </c>
      <c r="LAU1" t="s">
        <v>9658</v>
      </c>
      <c r="LAV1" t="s">
        <v>9659</v>
      </c>
      <c r="LAW1" t="s">
        <v>9660</v>
      </c>
      <c r="LAX1" t="s">
        <v>9661</v>
      </c>
      <c r="LAY1" t="s">
        <v>9662</v>
      </c>
      <c r="LAZ1" t="s">
        <v>9663</v>
      </c>
      <c r="LBA1" t="s">
        <v>9664</v>
      </c>
      <c r="LBB1" t="s">
        <v>9665</v>
      </c>
      <c r="LBC1" t="s">
        <v>9666</v>
      </c>
      <c r="LBD1" t="s">
        <v>9667</v>
      </c>
      <c r="LBE1" t="s">
        <v>9668</v>
      </c>
      <c r="LBF1" t="s">
        <v>9669</v>
      </c>
      <c r="LBG1" t="s">
        <v>9670</v>
      </c>
      <c r="LBH1" t="s">
        <v>9671</v>
      </c>
      <c r="LBI1" t="s">
        <v>9672</v>
      </c>
      <c r="LBJ1" t="s">
        <v>9673</v>
      </c>
      <c r="LBK1" t="s">
        <v>9674</v>
      </c>
      <c r="LBL1" t="s">
        <v>9675</v>
      </c>
      <c r="LBM1" t="s">
        <v>9676</v>
      </c>
      <c r="LBN1" t="s">
        <v>9677</v>
      </c>
      <c r="LBO1" t="s">
        <v>9678</v>
      </c>
      <c r="LBP1" t="s">
        <v>9679</v>
      </c>
      <c r="LBQ1" t="s">
        <v>9680</v>
      </c>
      <c r="LBR1" t="s">
        <v>9681</v>
      </c>
      <c r="LBS1" t="s">
        <v>9682</v>
      </c>
      <c r="LBT1" t="s">
        <v>9683</v>
      </c>
      <c r="LBU1" t="s">
        <v>9684</v>
      </c>
      <c r="LBV1" t="s">
        <v>9685</v>
      </c>
      <c r="LBW1" t="s">
        <v>9686</v>
      </c>
      <c r="LBX1" t="s">
        <v>9687</v>
      </c>
      <c r="LBY1" t="s">
        <v>9688</v>
      </c>
      <c r="LBZ1" t="s">
        <v>9689</v>
      </c>
      <c r="LCA1" t="s">
        <v>9690</v>
      </c>
      <c r="LCB1" t="s">
        <v>9691</v>
      </c>
      <c r="LCC1" t="s">
        <v>9692</v>
      </c>
      <c r="LCD1" t="s">
        <v>9693</v>
      </c>
      <c r="LCE1" t="s">
        <v>9694</v>
      </c>
      <c r="LCF1" t="s">
        <v>9695</v>
      </c>
      <c r="LCG1" t="s">
        <v>9696</v>
      </c>
      <c r="LCH1" t="s">
        <v>9697</v>
      </c>
      <c r="LCI1" t="s">
        <v>9698</v>
      </c>
      <c r="LCJ1" t="s">
        <v>9699</v>
      </c>
      <c r="LCK1" t="s">
        <v>9700</v>
      </c>
      <c r="LCL1" t="s">
        <v>9701</v>
      </c>
      <c r="LCM1" t="s">
        <v>9702</v>
      </c>
      <c r="LCN1" t="s">
        <v>9703</v>
      </c>
      <c r="LCO1" t="s">
        <v>9704</v>
      </c>
      <c r="LCP1" t="s">
        <v>9705</v>
      </c>
      <c r="LCQ1" t="s">
        <v>9706</v>
      </c>
      <c r="LCR1" t="s">
        <v>9707</v>
      </c>
      <c r="LCS1" t="s">
        <v>9708</v>
      </c>
      <c r="LCT1" t="s">
        <v>9709</v>
      </c>
      <c r="LCU1" t="s">
        <v>9710</v>
      </c>
      <c r="LCV1" t="s">
        <v>9711</v>
      </c>
      <c r="LCW1" t="s">
        <v>9712</v>
      </c>
      <c r="LCX1" t="s">
        <v>9713</v>
      </c>
      <c r="LCY1" t="s">
        <v>9714</v>
      </c>
      <c r="LCZ1" t="s">
        <v>9715</v>
      </c>
      <c r="LDA1" t="s">
        <v>9716</v>
      </c>
      <c r="LDB1" t="s">
        <v>9717</v>
      </c>
      <c r="LDC1" t="s">
        <v>9718</v>
      </c>
      <c r="LDD1" t="s">
        <v>9719</v>
      </c>
      <c r="LDE1" t="s">
        <v>9720</v>
      </c>
      <c r="LDF1" t="s">
        <v>9721</v>
      </c>
      <c r="LDG1" t="s">
        <v>9722</v>
      </c>
      <c r="LDH1" t="s">
        <v>9723</v>
      </c>
      <c r="LDI1" t="s">
        <v>9724</v>
      </c>
      <c r="LDJ1" t="s">
        <v>9725</v>
      </c>
      <c r="LDK1" t="s">
        <v>9726</v>
      </c>
      <c r="LDL1" t="s">
        <v>9727</v>
      </c>
      <c r="LDM1" t="s">
        <v>9728</v>
      </c>
      <c r="LDN1" t="s">
        <v>9729</v>
      </c>
      <c r="LDO1" t="s">
        <v>9730</v>
      </c>
      <c r="LDP1" t="s">
        <v>9731</v>
      </c>
      <c r="LDQ1" t="s">
        <v>9732</v>
      </c>
      <c r="LDR1" t="s">
        <v>9733</v>
      </c>
      <c r="LDS1" t="s">
        <v>9734</v>
      </c>
      <c r="LDT1" t="s">
        <v>9735</v>
      </c>
      <c r="LDU1" t="s">
        <v>9736</v>
      </c>
      <c r="LDV1" t="s">
        <v>9737</v>
      </c>
      <c r="LDW1" t="s">
        <v>9738</v>
      </c>
      <c r="LDX1" t="s">
        <v>9739</v>
      </c>
      <c r="LDY1" t="s">
        <v>9740</v>
      </c>
      <c r="LDZ1" t="s">
        <v>9741</v>
      </c>
      <c r="LEA1" t="s">
        <v>9742</v>
      </c>
      <c r="LEB1" t="s">
        <v>9743</v>
      </c>
      <c r="LEC1" t="s">
        <v>9744</v>
      </c>
      <c r="LED1" t="s">
        <v>9745</v>
      </c>
      <c r="LEE1" t="s">
        <v>9746</v>
      </c>
      <c r="LEF1" t="s">
        <v>9747</v>
      </c>
      <c r="LEG1" t="s">
        <v>9748</v>
      </c>
      <c r="LEH1" t="s">
        <v>9749</v>
      </c>
      <c r="LEI1" t="s">
        <v>9750</v>
      </c>
      <c r="LEJ1" t="s">
        <v>9751</v>
      </c>
      <c r="LEK1" t="s">
        <v>9752</v>
      </c>
      <c r="LEL1" t="s">
        <v>9753</v>
      </c>
      <c r="LEM1" t="s">
        <v>9754</v>
      </c>
      <c r="LEN1" t="s">
        <v>9755</v>
      </c>
      <c r="LEO1" t="s">
        <v>9756</v>
      </c>
      <c r="LEP1" t="s">
        <v>9757</v>
      </c>
      <c r="LEQ1" t="s">
        <v>9758</v>
      </c>
      <c r="LER1" t="s">
        <v>9759</v>
      </c>
      <c r="LES1" t="s">
        <v>9760</v>
      </c>
      <c r="LET1" t="s">
        <v>9761</v>
      </c>
      <c r="LEU1" t="s">
        <v>9762</v>
      </c>
      <c r="LEV1" t="s">
        <v>9763</v>
      </c>
      <c r="LEW1" t="s">
        <v>9764</v>
      </c>
      <c r="LEX1" t="s">
        <v>9765</v>
      </c>
      <c r="LEY1" t="s">
        <v>9766</v>
      </c>
      <c r="LEZ1" t="s">
        <v>9767</v>
      </c>
      <c r="LFA1" t="s">
        <v>9768</v>
      </c>
      <c r="LFB1" t="s">
        <v>9769</v>
      </c>
      <c r="LFC1" t="s">
        <v>9770</v>
      </c>
      <c r="LFD1" t="s">
        <v>9771</v>
      </c>
      <c r="LFE1" t="s">
        <v>9772</v>
      </c>
      <c r="LFF1" t="s">
        <v>9773</v>
      </c>
      <c r="LFG1" t="s">
        <v>9774</v>
      </c>
      <c r="LFH1" t="s">
        <v>9775</v>
      </c>
      <c r="LFI1" t="s">
        <v>9776</v>
      </c>
      <c r="LFJ1" t="s">
        <v>9777</v>
      </c>
      <c r="LFK1" t="s">
        <v>9778</v>
      </c>
      <c r="LFL1" t="s">
        <v>9779</v>
      </c>
      <c r="LFM1" t="s">
        <v>9780</v>
      </c>
      <c r="LFN1" t="s">
        <v>9781</v>
      </c>
      <c r="LFO1" t="s">
        <v>9782</v>
      </c>
      <c r="LFP1" t="s">
        <v>9783</v>
      </c>
      <c r="LFQ1" t="s">
        <v>9784</v>
      </c>
      <c r="LFR1" t="s">
        <v>9785</v>
      </c>
      <c r="LFS1" t="s">
        <v>9786</v>
      </c>
      <c r="LFT1" t="s">
        <v>9787</v>
      </c>
      <c r="LFU1" t="s">
        <v>9788</v>
      </c>
      <c r="LFV1" t="s">
        <v>9789</v>
      </c>
      <c r="LFW1" t="s">
        <v>9790</v>
      </c>
      <c r="LFX1" t="s">
        <v>9791</v>
      </c>
      <c r="LFY1" t="s">
        <v>9792</v>
      </c>
      <c r="LFZ1" t="s">
        <v>9793</v>
      </c>
      <c r="LGA1" t="s">
        <v>9794</v>
      </c>
      <c r="LGB1" t="s">
        <v>9795</v>
      </c>
      <c r="LGC1" t="s">
        <v>9796</v>
      </c>
      <c r="LGD1" t="s">
        <v>9797</v>
      </c>
      <c r="LGE1" t="s">
        <v>9798</v>
      </c>
      <c r="LGF1" t="s">
        <v>9799</v>
      </c>
      <c r="LGG1" t="s">
        <v>9800</v>
      </c>
      <c r="LGH1" t="s">
        <v>9801</v>
      </c>
      <c r="LGI1" t="s">
        <v>9802</v>
      </c>
      <c r="LGJ1" t="s">
        <v>9803</v>
      </c>
      <c r="LGK1" t="s">
        <v>9804</v>
      </c>
      <c r="LGL1" t="s">
        <v>9805</v>
      </c>
      <c r="LGM1" t="s">
        <v>9806</v>
      </c>
      <c r="LGN1" t="s">
        <v>9807</v>
      </c>
      <c r="LGO1" t="s">
        <v>9808</v>
      </c>
      <c r="LGP1" t="s">
        <v>9809</v>
      </c>
      <c r="LGQ1" t="s">
        <v>9810</v>
      </c>
      <c r="LGR1" t="s">
        <v>9811</v>
      </c>
      <c r="LGS1" t="s">
        <v>9812</v>
      </c>
      <c r="LGT1" t="s">
        <v>9813</v>
      </c>
      <c r="LGU1" t="s">
        <v>9814</v>
      </c>
      <c r="LGV1" t="s">
        <v>9815</v>
      </c>
      <c r="LGW1" t="s">
        <v>9816</v>
      </c>
      <c r="LGX1" t="s">
        <v>9817</v>
      </c>
      <c r="LGY1" t="s">
        <v>9818</v>
      </c>
      <c r="LGZ1" t="s">
        <v>9819</v>
      </c>
      <c r="LHA1" t="s">
        <v>9820</v>
      </c>
      <c r="LHB1" t="s">
        <v>9821</v>
      </c>
      <c r="LHC1" t="s">
        <v>9822</v>
      </c>
      <c r="LHD1" t="s">
        <v>9823</v>
      </c>
      <c r="LHE1" t="s">
        <v>9824</v>
      </c>
      <c r="LHF1" t="s">
        <v>9825</v>
      </c>
      <c r="LHG1" t="s">
        <v>9826</v>
      </c>
      <c r="LHH1" t="s">
        <v>9827</v>
      </c>
      <c r="LHI1" t="s">
        <v>9828</v>
      </c>
      <c r="LHJ1" t="s">
        <v>9829</v>
      </c>
      <c r="LHK1" t="s">
        <v>9830</v>
      </c>
      <c r="LHL1" t="s">
        <v>9831</v>
      </c>
      <c r="LHM1" t="s">
        <v>9832</v>
      </c>
      <c r="LHN1" t="s">
        <v>9833</v>
      </c>
      <c r="LHO1" t="s">
        <v>9834</v>
      </c>
      <c r="LHP1" t="s">
        <v>9835</v>
      </c>
      <c r="LHQ1" t="s">
        <v>9836</v>
      </c>
      <c r="LHR1" t="s">
        <v>9837</v>
      </c>
      <c r="LHS1" t="s">
        <v>9838</v>
      </c>
      <c r="LHT1" t="s">
        <v>9839</v>
      </c>
      <c r="LHU1" t="s">
        <v>9840</v>
      </c>
      <c r="LHV1" t="s">
        <v>9841</v>
      </c>
      <c r="LHW1" t="s">
        <v>9842</v>
      </c>
      <c r="LHX1" t="s">
        <v>9843</v>
      </c>
      <c r="LHY1" t="s">
        <v>9844</v>
      </c>
      <c r="LHZ1" t="s">
        <v>9845</v>
      </c>
      <c r="LIA1" t="s">
        <v>9846</v>
      </c>
      <c r="LIB1" t="s">
        <v>9847</v>
      </c>
      <c r="LIC1" t="s">
        <v>9848</v>
      </c>
      <c r="LID1" t="s">
        <v>9849</v>
      </c>
      <c r="LIE1" t="s">
        <v>9850</v>
      </c>
      <c r="LIF1" t="s">
        <v>9851</v>
      </c>
      <c r="LIG1" t="s">
        <v>9852</v>
      </c>
      <c r="LIH1" t="s">
        <v>9853</v>
      </c>
      <c r="LII1" t="s">
        <v>9854</v>
      </c>
      <c r="LIJ1" t="s">
        <v>9855</v>
      </c>
      <c r="LIK1" t="s">
        <v>9856</v>
      </c>
      <c r="LIL1" t="s">
        <v>9857</v>
      </c>
      <c r="LIM1" t="s">
        <v>9858</v>
      </c>
      <c r="LIN1" t="s">
        <v>9859</v>
      </c>
      <c r="LIO1" t="s">
        <v>9860</v>
      </c>
      <c r="LIP1" t="s">
        <v>9861</v>
      </c>
      <c r="LIQ1" t="s">
        <v>9862</v>
      </c>
      <c r="LIR1" t="s">
        <v>9863</v>
      </c>
      <c r="LIS1" t="s">
        <v>9864</v>
      </c>
      <c r="LIT1" t="s">
        <v>9865</v>
      </c>
      <c r="LIU1" t="s">
        <v>9866</v>
      </c>
      <c r="LIV1" t="s">
        <v>9867</v>
      </c>
      <c r="LIW1" t="s">
        <v>9868</v>
      </c>
      <c r="LIX1" t="s">
        <v>9869</v>
      </c>
      <c r="LIY1" t="s">
        <v>9870</v>
      </c>
      <c r="LIZ1" t="s">
        <v>9871</v>
      </c>
      <c r="LJA1" t="s">
        <v>9872</v>
      </c>
      <c r="LJB1" t="s">
        <v>9873</v>
      </c>
      <c r="LJC1" t="s">
        <v>9874</v>
      </c>
      <c r="LJD1" t="s">
        <v>9875</v>
      </c>
      <c r="LJE1" t="s">
        <v>9876</v>
      </c>
      <c r="LJF1" t="s">
        <v>9877</v>
      </c>
      <c r="LJG1" t="s">
        <v>9878</v>
      </c>
      <c r="LJH1" t="s">
        <v>9879</v>
      </c>
      <c r="LJI1" t="s">
        <v>9880</v>
      </c>
      <c r="LJJ1" t="s">
        <v>9881</v>
      </c>
      <c r="LJK1" t="s">
        <v>9882</v>
      </c>
      <c r="LJL1" t="s">
        <v>9883</v>
      </c>
      <c r="LJM1" t="s">
        <v>9884</v>
      </c>
      <c r="LJN1" t="s">
        <v>9885</v>
      </c>
      <c r="LJO1" t="s">
        <v>9886</v>
      </c>
      <c r="LJP1" t="s">
        <v>9887</v>
      </c>
      <c r="LJQ1" t="s">
        <v>9888</v>
      </c>
      <c r="LJR1" t="s">
        <v>9889</v>
      </c>
      <c r="LJS1" t="s">
        <v>9890</v>
      </c>
      <c r="LJT1" t="s">
        <v>9891</v>
      </c>
      <c r="LJU1" t="s">
        <v>9892</v>
      </c>
      <c r="LJV1" t="s">
        <v>9893</v>
      </c>
      <c r="LJW1" t="s">
        <v>9894</v>
      </c>
      <c r="LJX1" t="s">
        <v>9895</v>
      </c>
      <c r="LJY1" t="s">
        <v>9896</v>
      </c>
      <c r="LJZ1" t="s">
        <v>9897</v>
      </c>
      <c r="LKA1" t="s">
        <v>9898</v>
      </c>
      <c r="LKB1" t="s">
        <v>9899</v>
      </c>
      <c r="LKC1" t="s">
        <v>9900</v>
      </c>
      <c r="LKD1" t="s">
        <v>9901</v>
      </c>
      <c r="LKE1" t="s">
        <v>9902</v>
      </c>
      <c r="LKF1" t="s">
        <v>9903</v>
      </c>
      <c r="LKG1" t="s">
        <v>9904</v>
      </c>
      <c r="LKH1" t="s">
        <v>9905</v>
      </c>
      <c r="LKI1" t="s">
        <v>9906</v>
      </c>
      <c r="LKJ1" t="s">
        <v>9907</v>
      </c>
      <c r="LKK1" t="s">
        <v>9908</v>
      </c>
      <c r="LKL1" t="s">
        <v>9909</v>
      </c>
      <c r="LKM1" t="s">
        <v>9910</v>
      </c>
      <c r="LKN1" t="s">
        <v>9911</v>
      </c>
      <c r="LKO1" t="s">
        <v>9912</v>
      </c>
      <c r="LKP1" t="s">
        <v>9913</v>
      </c>
      <c r="LKQ1" t="s">
        <v>9914</v>
      </c>
      <c r="LKR1" t="s">
        <v>9915</v>
      </c>
      <c r="LKS1" t="s">
        <v>9916</v>
      </c>
      <c r="LKT1" t="s">
        <v>9917</v>
      </c>
      <c r="LKU1" t="s">
        <v>9918</v>
      </c>
      <c r="LKV1" t="s">
        <v>9919</v>
      </c>
      <c r="LKW1" t="s">
        <v>9920</v>
      </c>
      <c r="LKX1" t="s">
        <v>9921</v>
      </c>
      <c r="LKY1" t="s">
        <v>9922</v>
      </c>
      <c r="LKZ1" t="s">
        <v>9923</v>
      </c>
      <c r="LLA1" t="s">
        <v>9924</v>
      </c>
      <c r="LLB1" t="s">
        <v>9925</v>
      </c>
      <c r="LLC1" t="s">
        <v>9926</v>
      </c>
      <c r="LLD1" t="s">
        <v>9927</v>
      </c>
      <c r="LLE1" t="s">
        <v>9928</v>
      </c>
      <c r="LLF1" t="s">
        <v>9929</v>
      </c>
      <c r="LLG1" t="s">
        <v>9930</v>
      </c>
      <c r="LLH1" t="s">
        <v>9931</v>
      </c>
      <c r="LLI1" t="s">
        <v>9932</v>
      </c>
      <c r="LLJ1" t="s">
        <v>9933</v>
      </c>
      <c r="LLK1" t="s">
        <v>9934</v>
      </c>
      <c r="LLL1" t="s">
        <v>9935</v>
      </c>
      <c r="LLM1" t="s">
        <v>9936</v>
      </c>
      <c r="LLN1" t="s">
        <v>9937</v>
      </c>
      <c r="LLO1" t="s">
        <v>9938</v>
      </c>
      <c r="LLP1" t="s">
        <v>9939</v>
      </c>
      <c r="LLQ1" t="s">
        <v>9940</v>
      </c>
      <c r="LLR1" t="s">
        <v>9941</v>
      </c>
      <c r="LLS1" t="s">
        <v>9942</v>
      </c>
      <c r="LLT1" t="s">
        <v>9943</v>
      </c>
      <c r="LLU1" t="s">
        <v>9944</v>
      </c>
      <c r="LLV1" t="s">
        <v>9945</v>
      </c>
      <c r="LLW1" t="s">
        <v>9946</v>
      </c>
      <c r="LLX1" t="s">
        <v>9947</v>
      </c>
      <c r="LLY1" t="s">
        <v>9948</v>
      </c>
      <c r="LLZ1" t="s">
        <v>9949</v>
      </c>
      <c r="LMA1" t="s">
        <v>9950</v>
      </c>
      <c r="LMB1" t="s">
        <v>9951</v>
      </c>
      <c r="LMC1" t="s">
        <v>9952</v>
      </c>
      <c r="LMD1" t="s">
        <v>9953</v>
      </c>
      <c r="LME1" t="s">
        <v>9954</v>
      </c>
      <c r="LMF1" t="s">
        <v>9955</v>
      </c>
      <c r="LMG1" t="s">
        <v>9956</v>
      </c>
      <c r="LMH1" t="s">
        <v>9957</v>
      </c>
      <c r="LMI1" t="s">
        <v>9958</v>
      </c>
      <c r="LMJ1" t="s">
        <v>9959</v>
      </c>
      <c r="LMK1" t="s">
        <v>9960</v>
      </c>
      <c r="LML1" t="s">
        <v>9961</v>
      </c>
      <c r="LMM1" t="s">
        <v>9962</v>
      </c>
      <c r="LMN1" t="s">
        <v>9963</v>
      </c>
      <c r="LMO1" t="s">
        <v>9964</v>
      </c>
      <c r="LMP1" t="s">
        <v>9965</v>
      </c>
      <c r="LMQ1" t="s">
        <v>9966</v>
      </c>
      <c r="LMR1" t="s">
        <v>9967</v>
      </c>
      <c r="LMS1" t="s">
        <v>9968</v>
      </c>
      <c r="LMT1" t="s">
        <v>9969</v>
      </c>
      <c r="LMU1" t="s">
        <v>9970</v>
      </c>
      <c r="LMV1" t="s">
        <v>9971</v>
      </c>
      <c r="LMW1" t="s">
        <v>9972</v>
      </c>
      <c r="LMX1" t="s">
        <v>9973</v>
      </c>
      <c r="LMY1" t="s">
        <v>9974</v>
      </c>
      <c r="LMZ1" t="s">
        <v>9975</v>
      </c>
      <c r="LNA1" t="s">
        <v>9976</v>
      </c>
      <c r="LNB1" t="s">
        <v>9977</v>
      </c>
      <c r="LNC1" t="s">
        <v>9978</v>
      </c>
      <c r="LND1" t="s">
        <v>9979</v>
      </c>
      <c r="LNE1" t="s">
        <v>9980</v>
      </c>
      <c r="LNF1" t="s">
        <v>9981</v>
      </c>
      <c r="LNG1" t="s">
        <v>9982</v>
      </c>
      <c r="LNH1" t="s">
        <v>9983</v>
      </c>
      <c r="LNI1" t="s">
        <v>9984</v>
      </c>
      <c r="LNJ1" t="s">
        <v>9985</v>
      </c>
      <c r="LNK1" t="s">
        <v>9986</v>
      </c>
      <c r="LNL1" t="s">
        <v>9987</v>
      </c>
      <c r="LNM1" t="s">
        <v>9988</v>
      </c>
      <c r="LNN1" t="s">
        <v>9989</v>
      </c>
      <c r="LNO1" t="s">
        <v>9990</v>
      </c>
      <c r="LNP1" t="s">
        <v>9991</v>
      </c>
      <c r="LNQ1" t="s">
        <v>9992</v>
      </c>
      <c r="LNR1" t="s">
        <v>9993</v>
      </c>
      <c r="LNS1" t="s">
        <v>9994</v>
      </c>
      <c r="LNT1" t="s">
        <v>9995</v>
      </c>
      <c r="LNU1" t="s">
        <v>9996</v>
      </c>
      <c r="LNV1" t="s">
        <v>9997</v>
      </c>
      <c r="LNW1" t="s">
        <v>9998</v>
      </c>
      <c r="LNX1" t="s">
        <v>9999</v>
      </c>
      <c r="LNY1" t="s">
        <v>10000</v>
      </c>
      <c r="LNZ1" t="s">
        <v>10001</v>
      </c>
      <c r="LOA1" t="s">
        <v>10002</v>
      </c>
      <c r="LOB1" t="s">
        <v>10003</v>
      </c>
      <c r="LOC1" t="s">
        <v>10004</v>
      </c>
      <c r="LOD1" t="s">
        <v>10005</v>
      </c>
      <c r="LOE1" t="s">
        <v>10006</v>
      </c>
      <c r="LOF1" t="s">
        <v>10007</v>
      </c>
      <c r="LOG1" t="s">
        <v>10008</v>
      </c>
      <c r="LOH1" t="s">
        <v>10009</v>
      </c>
      <c r="LOI1" t="s">
        <v>10010</v>
      </c>
      <c r="LOJ1" t="s">
        <v>10011</v>
      </c>
      <c r="LOK1" t="s">
        <v>10012</v>
      </c>
      <c r="LOL1" t="s">
        <v>10013</v>
      </c>
      <c r="LOM1" t="s">
        <v>10014</v>
      </c>
      <c r="LON1" t="s">
        <v>10015</v>
      </c>
      <c r="LOO1" t="s">
        <v>10016</v>
      </c>
      <c r="LOP1" t="s">
        <v>10017</v>
      </c>
      <c r="LOQ1" t="s">
        <v>10018</v>
      </c>
      <c r="LOR1" t="s">
        <v>10019</v>
      </c>
      <c r="LOS1" t="s">
        <v>10020</v>
      </c>
      <c r="LOT1" t="s">
        <v>10021</v>
      </c>
      <c r="LOU1" t="s">
        <v>10022</v>
      </c>
      <c r="LOV1" t="s">
        <v>10023</v>
      </c>
      <c r="LOW1" t="s">
        <v>10024</v>
      </c>
      <c r="LOX1" t="s">
        <v>10025</v>
      </c>
      <c r="LOY1" t="s">
        <v>10026</v>
      </c>
      <c r="LOZ1" t="s">
        <v>10027</v>
      </c>
      <c r="LPA1" t="s">
        <v>10028</v>
      </c>
      <c r="LPB1" t="s">
        <v>10029</v>
      </c>
      <c r="LPC1" t="s">
        <v>10030</v>
      </c>
      <c r="LPD1" t="s">
        <v>10031</v>
      </c>
      <c r="LPE1" t="s">
        <v>10032</v>
      </c>
      <c r="LPF1" t="s">
        <v>10033</v>
      </c>
      <c r="LPG1" t="s">
        <v>10034</v>
      </c>
      <c r="LPH1" t="s">
        <v>10035</v>
      </c>
      <c r="LPI1" t="s">
        <v>10036</v>
      </c>
      <c r="LPJ1" t="s">
        <v>10037</v>
      </c>
      <c r="LPK1" t="s">
        <v>10038</v>
      </c>
      <c r="LPL1" t="s">
        <v>10039</v>
      </c>
      <c r="LPM1" t="s">
        <v>10040</v>
      </c>
      <c r="LPN1" t="s">
        <v>10041</v>
      </c>
      <c r="LPO1" t="s">
        <v>10042</v>
      </c>
      <c r="LPP1" t="s">
        <v>10043</v>
      </c>
      <c r="LPQ1" t="s">
        <v>10044</v>
      </c>
      <c r="LPR1" t="s">
        <v>10045</v>
      </c>
      <c r="LPS1" t="s">
        <v>10046</v>
      </c>
      <c r="LPT1" t="s">
        <v>10047</v>
      </c>
      <c r="LPU1" t="s">
        <v>10048</v>
      </c>
      <c r="LPV1" t="s">
        <v>10049</v>
      </c>
      <c r="LPW1" t="s">
        <v>10050</v>
      </c>
      <c r="LPX1" t="s">
        <v>10051</v>
      </c>
      <c r="LPY1" t="s">
        <v>10052</v>
      </c>
      <c r="LPZ1" t="s">
        <v>10053</v>
      </c>
      <c r="LQA1" t="s">
        <v>10054</v>
      </c>
      <c r="LQB1" t="s">
        <v>10055</v>
      </c>
      <c r="LQC1" t="s">
        <v>10056</v>
      </c>
      <c r="LQD1" t="s">
        <v>10057</v>
      </c>
      <c r="LQE1" t="s">
        <v>10058</v>
      </c>
      <c r="LQF1" t="s">
        <v>10059</v>
      </c>
      <c r="LQG1" t="s">
        <v>10060</v>
      </c>
      <c r="LQH1" t="s">
        <v>10061</v>
      </c>
      <c r="LQI1" t="s">
        <v>10062</v>
      </c>
      <c r="LQJ1" t="s">
        <v>10063</v>
      </c>
      <c r="LQK1" t="s">
        <v>10064</v>
      </c>
      <c r="LQL1" t="s">
        <v>10065</v>
      </c>
      <c r="LQM1" t="s">
        <v>10066</v>
      </c>
      <c r="LQN1" t="s">
        <v>10067</v>
      </c>
      <c r="LQO1" t="s">
        <v>10068</v>
      </c>
      <c r="LQP1" t="s">
        <v>10069</v>
      </c>
      <c r="LQQ1" t="s">
        <v>10070</v>
      </c>
      <c r="LQR1" t="s">
        <v>10071</v>
      </c>
      <c r="LQS1" t="s">
        <v>10072</v>
      </c>
      <c r="LQT1" t="s">
        <v>10073</v>
      </c>
      <c r="LQU1" t="s">
        <v>10074</v>
      </c>
      <c r="LQV1" t="s">
        <v>10075</v>
      </c>
      <c r="LQW1" t="s">
        <v>10076</v>
      </c>
      <c r="LQX1" t="s">
        <v>10077</v>
      </c>
      <c r="LQY1" t="s">
        <v>10078</v>
      </c>
      <c r="LQZ1" t="s">
        <v>10079</v>
      </c>
      <c r="LRA1" t="s">
        <v>10080</v>
      </c>
      <c r="LRB1" t="s">
        <v>10081</v>
      </c>
      <c r="LRC1" t="s">
        <v>10082</v>
      </c>
      <c r="LRD1" t="s">
        <v>10083</v>
      </c>
      <c r="LRE1" t="s">
        <v>10084</v>
      </c>
      <c r="LRF1" t="s">
        <v>10085</v>
      </c>
      <c r="LRG1" t="s">
        <v>10086</v>
      </c>
      <c r="LRH1" t="s">
        <v>10087</v>
      </c>
      <c r="LRI1" t="s">
        <v>10088</v>
      </c>
      <c r="LRJ1" t="s">
        <v>10089</v>
      </c>
      <c r="LRK1" t="s">
        <v>10090</v>
      </c>
      <c r="LRL1" t="s">
        <v>10091</v>
      </c>
      <c r="LRM1" t="s">
        <v>10092</v>
      </c>
      <c r="LRN1" t="s">
        <v>10093</v>
      </c>
      <c r="LRO1" t="s">
        <v>10094</v>
      </c>
      <c r="LRP1" t="s">
        <v>10095</v>
      </c>
      <c r="LRQ1" t="s">
        <v>10096</v>
      </c>
      <c r="LRR1" t="s">
        <v>10097</v>
      </c>
      <c r="LRS1" t="s">
        <v>10098</v>
      </c>
      <c r="LRT1" t="s">
        <v>10099</v>
      </c>
      <c r="LRU1" t="s">
        <v>10100</v>
      </c>
      <c r="LRV1" t="s">
        <v>10101</v>
      </c>
      <c r="LRW1" t="s">
        <v>10102</v>
      </c>
      <c r="LRX1" t="s">
        <v>10103</v>
      </c>
      <c r="LRY1" t="s">
        <v>10104</v>
      </c>
      <c r="LRZ1" t="s">
        <v>10105</v>
      </c>
      <c r="LSA1" t="s">
        <v>10106</v>
      </c>
      <c r="LSB1" t="s">
        <v>10107</v>
      </c>
      <c r="LSC1" t="s">
        <v>10108</v>
      </c>
      <c r="LSD1" t="s">
        <v>10109</v>
      </c>
      <c r="LSE1" t="s">
        <v>10110</v>
      </c>
      <c r="LSF1" t="s">
        <v>10111</v>
      </c>
      <c r="LSG1" t="s">
        <v>10112</v>
      </c>
      <c r="LSH1" t="s">
        <v>10113</v>
      </c>
      <c r="LSI1" t="s">
        <v>10114</v>
      </c>
      <c r="LSJ1" t="s">
        <v>10115</v>
      </c>
      <c r="LSK1" t="s">
        <v>10116</v>
      </c>
      <c r="LSL1" t="s">
        <v>10117</v>
      </c>
      <c r="LSM1" t="s">
        <v>10118</v>
      </c>
      <c r="LSN1" t="s">
        <v>10119</v>
      </c>
      <c r="LSO1" t="s">
        <v>10120</v>
      </c>
      <c r="LSP1" t="s">
        <v>10121</v>
      </c>
      <c r="LSQ1" t="s">
        <v>10122</v>
      </c>
      <c r="LSR1" t="s">
        <v>10123</v>
      </c>
      <c r="LSS1" t="s">
        <v>10124</v>
      </c>
      <c r="LST1" t="s">
        <v>10125</v>
      </c>
      <c r="LSU1" t="s">
        <v>10126</v>
      </c>
      <c r="LSV1" t="s">
        <v>10127</v>
      </c>
      <c r="LSW1" t="s">
        <v>10128</v>
      </c>
      <c r="LSX1" t="s">
        <v>10129</v>
      </c>
      <c r="LSY1" t="s">
        <v>10130</v>
      </c>
      <c r="LSZ1" t="s">
        <v>10131</v>
      </c>
      <c r="LTA1" t="s">
        <v>10132</v>
      </c>
      <c r="LTB1" t="s">
        <v>10133</v>
      </c>
      <c r="LTC1" t="s">
        <v>10134</v>
      </c>
      <c r="LTD1" t="s">
        <v>10135</v>
      </c>
      <c r="LTE1" t="s">
        <v>10136</v>
      </c>
      <c r="LTF1" t="s">
        <v>10137</v>
      </c>
      <c r="LTG1" t="s">
        <v>10138</v>
      </c>
      <c r="LTH1" t="s">
        <v>10139</v>
      </c>
      <c r="LTI1" t="s">
        <v>10140</v>
      </c>
      <c r="LTJ1" t="s">
        <v>10141</v>
      </c>
      <c r="LTK1" t="s">
        <v>10142</v>
      </c>
      <c r="LTL1" t="s">
        <v>10143</v>
      </c>
      <c r="LTM1" t="s">
        <v>10144</v>
      </c>
      <c r="LTN1" t="s">
        <v>10145</v>
      </c>
      <c r="LTO1" t="s">
        <v>10146</v>
      </c>
      <c r="LTP1" t="s">
        <v>10147</v>
      </c>
      <c r="LTQ1" t="s">
        <v>10148</v>
      </c>
      <c r="LTR1" t="s">
        <v>10149</v>
      </c>
      <c r="LTS1" t="s">
        <v>10150</v>
      </c>
      <c r="LTT1" t="s">
        <v>10151</v>
      </c>
      <c r="LTU1" t="s">
        <v>10152</v>
      </c>
      <c r="LTV1" t="s">
        <v>10153</v>
      </c>
      <c r="LTW1" t="s">
        <v>10154</v>
      </c>
      <c r="LTX1" t="s">
        <v>10155</v>
      </c>
      <c r="LTY1" t="s">
        <v>10156</v>
      </c>
      <c r="LTZ1" t="s">
        <v>10157</v>
      </c>
      <c r="LUA1" t="s">
        <v>10158</v>
      </c>
      <c r="LUB1" t="s">
        <v>10159</v>
      </c>
      <c r="LUC1" t="s">
        <v>10160</v>
      </c>
      <c r="LUD1" t="s">
        <v>10161</v>
      </c>
      <c r="LUE1" t="s">
        <v>10162</v>
      </c>
      <c r="LUF1" t="s">
        <v>10163</v>
      </c>
      <c r="LUG1" t="s">
        <v>10164</v>
      </c>
      <c r="LUH1" t="s">
        <v>10165</v>
      </c>
      <c r="LUI1" t="s">
        <v>10166</v>
      </c>
      <c r="LUJ1" t="s">
        <v>10167</v>
      </c>
      <c r="LUK1" t="s">
        <v>10168</v>
      </c>
      <c r="LUL1" t="s">
        <v>10169</v>
      </c>
      <c r="LUM1" t="s">
        <v>10170</v>
      </c>
      <c r="LUN1" t="s">
        <v>10171</v>
      </c>
      <c r="LUO1" t="s">
        <v>10172</v>
      </c>
      <c r="LUP1" t="s">
        <v>10173</v>
      </c>
      <c r="LUQ1" t="s">
        <v>10174</v>
      </c>
      <c r="LUR1" t="s">
        <v>10175</v>
      </c>
      <c r="LUS1" t="s">
        <v>10176</v>
      </c>
      <c r="LUT1" t="s">
        <v>10177</v>
      </c>
      <c r="LUU1" t="s">
        <v>10178</v>
      </c>
      <c r="LUV1" t="s">
        <v>10179</v>
      </c>
      <c r="LUW1" t="s">
        <v>10180</v>
      </c>
      <c r="LUX1" t="s">
        <v>10181</v>
      </c>
      <c r="LUY1" t="s">
        <v>10182</v>
      </c>
      <c r="LUZ1" t="s">
        <v>10183</v>
      </c>
      <c r="LVA1" t="s">
        <v>10184</v>
      </c>
      <c r="LVB1" t="s">
        <v>10185</v>
      </c>
      <c r="LVC1" t="s">
        <v>10186</v>
      </c>
      <c r="LVD1" t="s">
        <v>10187</v>
      </c>
      <c r="LVE1" t="s">
        <v>10188</v>
      </c>
      <c r="LVF1" t="s">
        <v>10189</v>
      </c>
      <c r="LVG1" t="s">
        <v>10190</v>
      </c>
      <c r="LVH1" t="s">
        <v>10191</v>
      </c>
      <c r="LVI1" t="s">
        <v>10192</v>
      </c>
      <c r="LVJ1" t="s">
        <v>10193</v>
      </c>
      <c r="LVK1" t="s">
        <v>10194</v>
      </c>
      <c r="LVL1" t="s">
        <v>10195</v>
      </c>
      <c r="LVM1" t="s">
        <v>10196</v>
      </c>
      <c r="LVN1" t="s">
        <v>10197</v>
      </c>
      <c r="LVO1" t="s">
        <v>10198</v>
      </c>
      <c r="LVP1" t="s">
        <v>10199</v>
      </c>
      <c r="LVQ1" t="s">
        <v>10200</v>
      </c>
      <c r="LVR1" t="s">
        <v>10201</v>
      </c>
      <c r="LVS1" t="s">
        <v>10202</v>
      </c>
      <c r="LVT1" t="s">
        <v>10203</v>
      </c>
      <c r="LVU1" t="s">
        <v>10204</v>
      </c>
      <c r="LVV1" t="s">
        <v>10205</v>
      </c>
      <c r="LVW1" t="s">
        <v>10206</v>
      </c>
      <c r="LVX1" t="s">
        <v>10207</v>
      </c>
      <c r="LVY1" t="s">
        <v>10208</v>
      </c>
      <c r="LVZ1" t="s">
        <v>10209</v>
      </c>
      <c r="LWA1" t="s">
        <v>10210</v>
      </c>
      <c r="LWB1" t="s">
        <v>10211</v>
      </c>
      <c r="LWC1" t="s">
        <v>10212</v>
      </c>
      <c r="LWD1" t="s">
        <v>10213</v>
      </c>
      <c r="LWE1" t="s">
        <v>10214</v>
      </c>
      <c r="LWF1" t="s">
        <v>10215</v>
      </c>
      <c r="LWG1" t="s">
        <v>10216</v>
      </c>
      <c r="LWH1" t="s">
        <v>10217</v>
      </c>
      <c r="LWI1" t="s">
        <v>10218</v>
      </c>
      <c r="LWJ1" t="s">
        <v>10219</v>
      </c>
      <c r="LWK1" t="s">
        <v>10220</v>
      </c>
      <c r="LWL1" t="s">
        <v>10221</v>
      </c>
      <c r="LWM1" t="s">
        <v>10222</v>
      </c>
      <c r="LWN1" t="s">
        <v>10223</v>
      </c>
      <c r="LWO1" t="s">
        <v>10224</v>
      </c>
      <c r="LWP1" t="s">
        <v>10225</v>
      </c>
      <c r="LWQ1" t="s">
        <v>10226</v>
      </c>
      <c r="LWR1" t="s">
        <v>10227</v>
      </c>
      <c r="LWS1" t="s">
        <v>10228</v>
      </c>
      <c r="LWT1" t="s">
        <v>10229</v>
      </c>
      <c r="LWU1" t="s">
        <v>10230</v>
      </c>
      <c r="LWV1" t="s">
        <v>10231</v>
      </c>
      <c r="LWW1" t="s">
        <v>10232</v>
      </c>
      <c r="LWX1" t="s">
        <v>10233</v>
      </c>
      <c r="LWY1" t="s">
        <v>10234</v>
      </c>
      <c r="LWZ1" t="s">
        <v>10235</v>
      </c>
      <c r="LXA1" t="s">
        <v>10236</v>
      </c>
      <c r="LXB1" t="s">
        <v>10237</v>
      </c>
      <c r="LXC1" t="s">
        <v>10238</v>
      </c>
      <c r="LXD1" t="s">
        <v>10239</v>
      </c>
      <c r="LXE1" t="s">
        <v>10240</v>
      </c>
      <c r="LXF1" t="s">
        <v>10241</v>
      </c>
      <c r="LXG1" t="s">
        <v>10242</v>
      </c>
      <c r="LXH1" t="s">
        <v>10243</v>
      </c>
      <c r="LXI1" t="s">
        <v>10244</v>
      </c>
      <c r="LXJ1" t="s">
        <v>10245</v>
      </c>
      <c r="LXK1" t="s">
        <v>10246</v>
      </c>
      <c r="LXL1" t="s">
        <v>10247</v>
      </c>
      <c r="LXM1" t="s">
        <v>10248</v>
      </c>
      <c r="LXN1" t="s">
        <v>10249</v>
      </c>
      <c r="LXO1" t="s">
        <v>10250</v>
      </c>
      <c r="LXP1" t="s">
        <v>10251</v>
      </c>
      <c r="LXQ1" t="s">
        <v>10252</v>
      </c>
      <c r="LXR1" t="s">
        <v>10253</v>
      </c>
      <c r="LXS1" t="s">
        <v>10254</v>
      </c>
      <c r="LXT1" t="s">
        <v>10255</v>
      </c>
      <c r="LXU1" t="s">
        <v>10256</v>
      </c>
      <c r="LXV1" t="s">
        <v>10257</v>
      </c>
      <c r="LXW1" t="s">
        <v>10258</v>
      </c>
      <c r="LXX1" t="s">
        <v>10259</v>
      </c>
      <c r="LXY1" t="s">
        <v>10260</v>
      </c>
      <c r="LXZ1" t="s">
        <v>10261</v>
      </c>
      <c r="LYA1" t="s">
        <v>10262</v>
      </c>
      <c r="LYB1" t="s">
        <v>10263</v>
      </c>
      <c r="LYC1" t="s">
        <v>10264</v>
      </c>
      <c r="LYD1" t="s">
        <v>10265</v>
      </c>
      <c r="LYE1" t="s">
        <v>10266</v>
      </c>
      <c r="LYF1" t="s">
        <v>10267</v>
      </c>
      <c r="LYG1" t="s">
        <v>10268</v>
      </c>
      <c r="LYH1" t="s">
        <v>10269</v>
      </c>
      <c r="LYI1" t="s">
        <v>10270</v>
      </c>
      <c r="LYJ1" t="s">
        <v>10271</v>
      </c>
      <c r="LYK1" t="s">
        <v>10272</v>
      </c>
      <c r="LYL1" t="s">
        <v>10273</v>
      </c>
      <c r="LYM1" t="s">
        <v>10274</v>
      </c>
      <c r="LYN1" t="s">
        <v>10275</v>
      </c>
      <c r="LYO1" t="s">
        <v>10276</v>
      </c>
      <c r="LYP1" t="s">
        <v>10277</v>
      </c>
      <c r="LYQ1" t="s">
        <v>10278</v>
      </c>
      <c r="LYR1" t="s">
        <v>10279</v>
      </c>
      <c r="LYS1" t="s">
        <v>10280</v>
      </c>
      <c r="LYT1" t="s">
        <v>10281</v>
      </c>
      <c r="LYU1" t="s">
        <v>10282</v>
      </c>
      <c r="LYV1" t="s">
        <v>10283</v>
      </c>
      <c r="LYW1" t="s">
        <v>10284</v>
      </c>
      <c r="LYX1" t="s">
        <v>10285</v>
      </c>
      <c r="LYY1" t="s">
        <v>10286</v>
      </c>
      <c r="LYZ1" t="s">
        <v>10287</v>
      </c>
      <c r="LZA1" t="s">
        <v>10288</v>
      </c>
      <c r="LZB1" t="s">
        <v>10289</v>
      </c>
      <c r="LZC1" t="s">
        <v>10290</v>
      </c>
      <c r="LZD1" t="s">
        <v>10291</v>
      </c>
      <c r="LZE1" t="s">
        <v>10292</v>
      </c>
      <c r="LZF1" t="s">
        <v>10293</v>
      </c>
      <c r="LZG1" t="s">
        <v>10294</v>
      </c>
      <c r="LZH1" t="s">
        <v>10295</v>
      </c>
      <c r="LZI1" t="s">
        <v>10296</v>
      </c>
      <c r="LZJ1" t="s">
        <v>10297</v>
      </c>
      <c r="LZK1" t="s">
        <v>10298</v>
      </c>
      <c r="LZL1" t="s">
        <v>10299</v>
      </c>
      <c r="LZM1" t="s">
        <v>10300</v>
      </c>
      <c r="LZN1" t="s">
        <v>10301</v>
      </c>
      <c r="LZO1" t="s">
        <v>10302</v>
      </c>
      <c r="LZP1" t="s">
        <v>10303</v>
      </c>
      <c r="LZQ1" t="s">
        <v>10304</v>
      </c>
      <c r="LZR1" t="s">
        <v>10305</v>
      </c>
      <c r="LZS1" t="s">
        <v>10306</v>
      </c>
      <c r="LZT1" t="s">
        <v>10307</v>
      </c>
      <c r="LZU1" t="s">
        <v>10308</v>
      </c>
      <c r="LZV1" t="s">
        <v>10309</v>
      </c>
      <c r="LZW1" t="s">
        <v>10310</v>
      </c>
      <c r="LZX1" t="s">
        <v>10311</v>
      </c>
      <c r="LZY1" t="s">
        <v>10312</v>
      </c>
      <c r="LZZ1" t="s">
        <v>10313</v>
      </c>
      <c r="MAA1" t="s">
        <v>10314</v>
      </c>
      <c r="MAB1" t="s">
        <v>10315</v>
      </c>
      <c r="MAC1" t="s">
        <v>10316</v>
      </c>
      <c r="MAD1" t="s">
        <v>10317</v>
      </c>
      <c r="MAE1" t="s">
        <v>10318</v>
      </c>
      <c r="MAF1" t="s">
        <v>10319</v>
      </c>
      <c r="MAG1" t="s">
        <v>10320</v>
      </c>
      <c r="MAH1" t="s">
        <v>10321</v>
      </c>
      <c r="MAI1" t="s">
        <v>10322</v>
      </c>
      <c r="MAJ1" t="s">
        <v>10323</v>
      </c>
      <c r="MAK1" t="s">
        <v>10324</v>
      </c>
      <c r="MAL1" t="s">
        <v>10325</v>
      </c>
      <c r="MAM1" t="s">
        <v>10326</v>
      </c>
      <c r="MAN1" t="s">
        <v>10327</v>
      </c>
      <c r="MAO1" t="s">
        <v>10328</v>
      </c>
      <c r="MAP1" t="s">
        <v>10329</v>
      </c>
      <c r="MAQ1" t="s">
        <v>10330</v>
      </c>
      <c r="MAR1" t="s">
        <v>10331</v>
      </c>
      <c r="MAS1" t="s">
        <v>10332</v>
      </c>
      <c r="MAT1" t="s">
        <v>10333</v>
      </c>
      <c r="MAU1" t="s">
        <v>10334</v>
      </c>
      <c r="MAV1" t="s">
        <v>10335</v>
      </c>
      <c r="MAW1" t="s">
        <v>10336</v>
      </c>
      <c r="MAX1" t="s">
        <v>10337</v>
      </c>
      <c r="MAY1" t="s">
        <v>10338</v>
      </c>
      <c r="MAZ1" t="s">
        <v>10339</v>
      </c>
      <c r="MBA1" t="s">
        <v>10340</v>
      </c>
      <c r="MBB1" t="s">
        <v>10341</v>
      </c>
      <c r="MBC1" t="s">
        <v>10342</v>
      </c>
      <c r="MBD1" t="s">
        <v>10343</v>
      </c>
      <c r="MBE1" t="s">
        <v>10344</v>
      </c>
      <c r="MBF1" t="s">
        <v>10345</v>
      </c>
      <c r="MBG1" t="s">
        <v>10346</v>
      </c>
      <c r="MBH1" t="s">
        <v>10347</v>
      </c>
      <c r="MBI1" t="s">
        <v>10348</v>
      </c>
      <c r="MBJ1" t="s">
        <v>10349</v>
      </c>
      <c r="MBK1" t="s">
        <v>10350</v>
      </c>
      <c r="MBL1" t="s">
        <v>10351</v>
      </c>
      <c r="MBM1" t="s">
        <v>10352</v>
      </c>
      <c r="MBN1" t="s">
        <v>10353</v>
      </c>
      <c r="MBO1" t="s">
        <v>10354</v>
      </c>
      <c r="MBP1" t="s">
        <v>10355</v>
      </c>
      <c r="MBQ1" t="s">
        <v>10356</v>
      </c>
      <c r="MBR1" t="s">
        <v>10357</v>
      </c>
      <c r="MBS1" t="s">
        <v>10358</v>
      </c>
      <c r="MBT1" t="s">
        <v>10359</v>
      </c>
      <c r="MBU1" t="s">
        <v>10360</v>
      </c>
      <c r="MBV1" t="s">
        <v>10361</v>
      </c>
      <c r="MBW1" t="s">
        <v>10362</v>
      </c>
      <c r="MBX1" t="s">
        <v>10363</v>
      </c>
      <c r="MBY1" t="s">
        <v>10364</v>
      </c>
      <c r="MBZ1" t="s">
        <v>10365</v>
      </c>
      <c r="MCA1" t="s">
        <v>10366</v>
      </c>
      <c r="MCB1" t="s">
        <v>10367</v>
      </c>
      <c r="MCC1" t="s">
        <v>10368</v>
      </c>
      <c r="MCD1" t="s">
        <v>10369</v>
      </c>
      <c r="MCE1" t="s">
        <v>10370</v>
      </c>
      <c r="MCF1" t="s">
        <v>10371</v>
      </c>
      <c r="MCG1" t="s">
        <v>10372</v>
      </c>
      <c r="MCH1" t="s">
        <v>10373</v>
      </c>
      <c r="MCI1" t="s">
        <v>10374</v>
      </c>
      <c r="MCJ1" t="s">
        <v>10375</v>
      </c>
      <c r="MCK1" t="s">
        <v>10376</v>
      </c>
      <c r="MCL1" t="s">
        <v>10377</v>
      </c>
      <c r="MCM1" t="s">
        <v>10378</v>
      </c>
      <c r="MCN1" t="s">
        <v>10379</v>
      </c>
      <c r="MCO1" t="s">
        <v>10380</v>
      </c>
      <c r="MCP1" t="s">
        <v>10381</v>
      </c>
      <c r="MCQ1" t="s">
        <v>10382</v>
      </c>
      <c r="MCR1" t="s">
        <v>10383</v>
      </c>
      <c r="MCS1" t="s">
        <v>10384</v>
      </c>
      <c r="MCT1" t="s">
        <v>10385</v>
      </c>
      <c r="MCU1" t="s">
        <v>10386</v>
      </c>
      <c r="MCV1" t="s">
        <v>10387</v>
      </c>
      <c r="MCW1" t="s">
        <v>10388</v>
      </c>
      <c r="MCX1" t="s">
        <v>10389</v>
      </c>
      <c r="MCY1" t="s">
        <v>10390</v>
      </c>
      <c r="MCZ1" t="s">
        <v>10391</v>
      </c>
      <c r="MDA1" t="s">
        <v>10392</v>
      </c>
      <c r="MDB1" t="s">
        <v>10393</v>
      </c>
      <c r="MDC1" t="s">
        <v>10394</v>
      </c>
      <c r="MDD1" t="s">
        <v>10395</v>
      </c>
      <c r="MDE1" t="s">
        <v>10396</v>
      </c>
      <c r="MDF1" t="s">
        <v>10397</v>
      </c>
      <c r="MDG1" t="s">
        <v>10398</v>
      </c>
      <c r="MDH1" t="s">
        <v>10399</v>
      </c>
      <c r="MDI1" t="s">
        <v>10400</v>
      </c>
      <c r="MDJ1" t="s">
        <v>10401</v>
      </c>
      <c r="MDK1" t="s">
        <v>10402</v>
      </c>
      <c r="MDL1" t="s">
        <v>10403</v>
      </c>
      <c r="MDM1" t="s">
        <v>10404</v>
      </c>
      <c r="MDN1" t="s">
        <v>10405</v>
      </c>
      <c r="MDO1" t="s">
        <v>10406</v>
      </c>
      <c r="MDP1" t="s">
        <v>10407</v>
      </c>
      <c r="MDQ1" t="s">
        <v>10408</v>
      </c>
      <c r="MDR1" t="s">
        <v>10409</v>
      </c>
      <c r="MDS1" t="s">
        <v>10410</v>
      </c>
      <c r="MDT1" t="s">
        <v>10411</v>
      </c>
      <c r="MDU1" t="s">
        <v>10412</v>
      </c>
      <c r="MDV1" t="s">
        <v>10413</v>
      </c>
      <c r="MDW1" t="s">
        <v>10414</v>
      </c>
      <c r="MDX1" t="s">
        <v>10415</v>
      </c>
      <c r="MDY1" t="s">
        <v>10416</v>
      </c>
      <c r="MDZ1" t="s">
        <v>10417</v>
      </c>
      <c r="MEA1" t="s">
        <v>10418</v>
      </c>
      <c r="MEB1" t="s">
        <v>10419</v>
      </c>
      <c r="MEC1" t="s">
        <v>10420</v>
      </c>
      <c r="MED1" t="s">
        <v>10421</v>
      </c>
      <c r="MEE1" t="s">
        <v>10422</v>
      </c>
      <c r="MEF1" t="s">
        <v>10423</v>
      </c>
      <c r="MEG1" t="s">
        <v>10424</v>
      </c>
      <c r="MEH1" t="s">
        <v>10425</v>
      </c>
      <c r="MEI1" t="s">
        <v>10426</v>
      </c>
      <c r="MEJ1" t="s">
        <v>10427</v>
      </c>
      <c r="MEK1" t="s">
        <v>10428</v>
      </c>
      <c r="MEL1" t="s">
        <v>10429</v>
      </c>
      <c r="MEM1" t="s">
        <v>10430</v>
      </c>
      <c r="MEN1" t="s">
        <v>10431</v>
      </c>
      <c r="MEO1" t="s">
        <v>10432</v>
      </c>
      <c r="MEP1" t="s">
        <v>10433</v>
      </c>
      <c r="MEQ1" t="s">
        <v>10434</v>
      </c>
      <c r="MER1" t="s">
        <v>10435</v>
      </c>
      <c r="MES1" t="s">
        <v>10436</v>
      </c>
      <c r="MET1" t="s">
        <v>10437</v>
      </c>
      <c r="MEU1" t="s">
        <v>10438</v>
      </c>
      <c r="MEV1" t="s">
        <v>10439</v>
      </c>
      <c r="MEW1" t="s">
        <v>10440</v>
      </c>
      <c r="MEX1" t="s">
        <v>10441</v>
      </c>
      <c r="MEY1" t="s">
        <v>10442</v>
      </c>
      <c r="MEZ1" t="s">
        <v>10443</v>
      </c>
      <c r="MFA1" t="s">
        <v>10444</v>
      </c>
      <c r="MFB1" t="s">
        <v>10445</v>
      </c>
      <c r="MFC1" t="s">
        <v>10446</v>
      </c>
      <c r="MFD1" t="s">
        <v>10447</v>
      </c>
      <c r="MFE1" t="s">
        <v>10448</v>
      </c>
      <c r="MFF1" t="s">
        <v>10449</v>
      </c>
      <c r="MFG1" t="s">
        <v>10450</v>
      </c>
      <c r="MFH1" t="s">
        <v>10451</v>
      </c>
      <c r="MFI1" t="s">
        <v>10452</v>
      </c>
      <c r="MFJ1" t="s">
        <v>10453</v>
      </c>
      <c r="MFK1" t="s">
        <v>10454</v>
      </c>
      <c r="MFL1" t="s">
        <v>10455</v>
      </c>
      <c r="MFM1" t="s">
        <v>10456</v>
      </c>
      <c r="MFN1" t="s">
        <v>10457</v>
      </c>
      <c r="MFO1" t="s">
        <v>10458</v>
      </c>
      <c r="MFP1" t="s">
        <v>10459</v>
      </c>
      <c r="MFQ1" t="s">
        <v>10460</v>
      </c>
      <c r="MFR1" t="s">
        <v>10461</v>
      </c>
      <c r="MFS1" t="s">
        <v>10462</v>
      </c>
      <c r="MFT1" t="s">
        <v>10463</v>
      </c>
      <c r="MFU1" t="s">
        <v>10464</v>
      </c>
      <c r="MFV1" t="s">
        <v>10465</v>
      </c>
      <c r="MFW1" t="s">
        <v>10466</v>
      </c>
      <c r="MFX1" t="s">
        <v>10467</v>
      </c>
      <c r="MFY1" t="s">
        <v>10468</v>
      </c>
      <c r="MFZ1" t="s">
        <v>10469</v>
      </c>
      <c r="MGA1" t="s">
        <v>10470</v>
      </c>
      <c r="MGB1" t="s">
        <v>10471</v>
      </c>
      <c r="MGC1" t="s">
        <v>10472</v>
      </c>
      <c r="MGD1" t="s">
        <v>10473</v>
      </c>
      <c r="MGE1" t="s">
        <v>10474</v>
      </c>
      <c r="MGF1" t="s">
        <v>10475</v>
      </c>
      <c r="MGG1" t="s">
        <v>10476</v>
      </c>
      <c r="MGH1" t="s">
        <v>10477</v>
      </c>
      <c r="MGI1" t="s">
        <v>10478</v>
      </c>
      <c r="MGJ1" t="s">
        <v>10479</v>
      </c>
      <c r="MGK1" t="s">
        <v>10480</v>
      </c>
      <c r="MGL1" t="s">
        <v>10481</v>
      </c>
      <c r="MGM1" t="s">
        <v>10482</v>
      </c>
      <c r="MGN1" t="s">
        <v>10483</v>
      </c>
      <c r="MGO1" t="s">
        <v>10484</v>
      </c>
      <c r="MGP1" t="s">
        <v>10485</v>
      </c>
      <c r="MGQ1" t="s">
        <v>10486</v>
      </c>
      <c r="MGR1" t="s">
        <v>10487</v>
      </c>
      <c r="MGS1" t="s">
        <v>10488</v>
      </c>
      <c r="MGT1" t="s">
        <v>10489</v>
      </c>
      <c r="MGU1" t="s">
        <v>10490</v>
      </c>
      <c r="MGV1" t="s">
        <v>10491</v>
      </c>
      <c r="MGW1" t="s">
        <v>10492</v>
      </c>
      <c r="MGX1" t="s">
        <v>10493</v>
      </c>
      <c r="MGY1" t="s">
        <v>10494</v>
      </c>
      <c r="MGZ1" t="s">
        <v>10495</v>
      </c>
      <c r="MHA1" t="s">
        <v>10496</v>
      </c>
      <c r="MHB1" t="s">
        <v>10497</v>
      </c>
      <c r="MHC1" t="s">
        <v>10498</v>
      </c>
      <c r="MHD1" t="s">
        <v>10499</v>
      </c>
      <c r="MHE1" t="s">
        <v>10500</v>
      </c>
      <c r="MHF1" t="s">
        <v>10501</v>
      </c>
      <c r="MHG1" t="s">
        <v>10502</v>
      </c>
      <c r="MHH1" t="s">
        <v>10503</v>
      </c>
      <c r="MHI1" t="s">
        <v>10504</v>
      </c>
      <c r="MHJ1" t="s">
        <v>10505</v>
      </c>
      <c r="MHK1" t="s">
        <v>10506</v>
      </c>
      <c r="MHL1" t="s">
        <v>10507</v>
      </c>
      <c r="MHM1" t="s">
        <v>10508</v>
      </c>
      <c r="MHN1" t="s">
        <v>10509</v>
      </c>
      <c r="MHO1" t="s">
        <v>10510</v>
      </c>
      <c r="MHP1" t="s">
        <v>10511</v>
      </c>
      <c r="MHQ1" t="s">
        <v>10512</v>
      </c>
      <c r="MHR1" t="s">
        <v>10513</v>
      </c>
      <c r="MHS1" t="s">
        <v>10514</v>
      </c>
      <c r="MHT1" t="s">
        <v>10515</v>
      </c>
      <c r="MHU1" t="s">
        <v>10516</v>
      </c>
      <c r="MHV1" t="s">
        <v>10517</v>
      </c>
      <c r="MHW1" t="s">
        <v>10518</v>
      </c>
      <c r="MHX1" t="s">
        <v>10519</v>
      </c>
      <c r="MHY1" t="s">
        <v>10520</v>
      </c>
      <c r="MHZ1" t="s">
        <v>10521</v>
      </c>
      <c r="MIA1" t="s">
        <v>10522</v>
      </c>
      <c r="MIB1" t="s">
        <v>10523</v>
      </c>
      <c r="MIC1" t="s">
        <v>10524</v>
      </c>
      <c r="MID1" t="s">
        <v>10525</v>
      </c>
      <c r="MIE1" t="s">
        <v>10526</v>
      </c>
      <c r="MIF1" t="s">
        <v>10527</v>
      </c>
      <c r="MIG1" t="s">
        <v>10528</v>
      </c>
      <c r="MIH1" t="s">
        <v>10529</v>
      </c>
      <c r="MII1" t="s">
        <v>10530</v>
      </c>
      <c r="MIJ1" t="s">
        <v>10531</v>
      </c>
      <c r="MIK1" t="s">
        <v>10532</v>
      </c>
      <c r="MIL1" t="s">
        <v>10533</v>
      </c>
      <c r="MIM1" t="s">
        <v>10534</v>
      </c>
      <c r="MIN1" t="s">
        <v>10535</v>
      </c>
      <c r="MIO1" t="s">
        <v>10536</v>
      </c>
      <c r="MIP1" t="s">
        <v>10537</v>
      </c>
      <c r="MIQ1" t="s">
        <v>10538</v>
      </c>
      <c r="MIR1" t="s">
        <v>10539</v>
      </c>
      <c r="MIS1" t="s">
        <v>10540</v>
      </c>
      <c r="MIT1" t="s">
        <v>10541</v>
      </c>
      <c r="MIU1" t="s">
        <v>10542</v>
      </c>
      <c r="MIV1" t="s">
        <v>10543</v>
      </c>
      <c r="MIW1" t="s">
        <v>10544</v>
      </c>
      <c r="MIX1" t="s">
        <v>10545</v>
      </c>
      <c r="MIY1" t="s">
        <v>10546</v>
      </c>
      <c r="MIZ1" t="s">
        <v>10547</v>
      </c>
      <c r="MJA1" t="s">
        <v>10548</v>
      </c>
      <c r="MJB1" t="s">
        <v>10549</v>
      </c>
      <c r="MJC1" t="s">
        <v>10550</v>
      </c>
      <c r="MJD1" t="s">
        <v>10551</v>
      </c>
      <c r="MJE1" t="s">
        <v>10552</v>
      </c>
      <c r="MJF1" t="s">
        <v>10553</v>
      </c>
      <c r="MJG1" t="s">
        <v>10554</v>
      </c>
      <c r="MJH1" t="s">
        <v>10555</v>
      </c>
      <c r="MJI1" t="s">
        <v>10556</v>
      </c>
      <c r="MJJ1" t="s">
        <v>10557</v>
      </c>
      <c r="MJK1" t="s">
        <v>10558</v>
      </c>
      <c r="MJL1" t="s">
        <v>10559</v>
      </c>
      <c r="MJM1" t="s">
        <v>10560</v>
      </c>
      <c r="MJN1" t="s">
        <v>10561</v>
      </c>
      <c r="MJO1" t="s">
        <v>10562</v>
      </c>
      <c r="MJP1" t="s">
        <v>10563</v>
      </c>
      <c r="MJQ1" t="s">
        <v>10564</v>
      </c>
      <c r="MJR1" t="s">
        <v>10565</v>
      </c>
      <c r="MJS1" t="s">
        <v>10566</v>
      </c>
      <c r="MJT1" t="s">
        <v>10567</v>
      </c>
      <c r="MJU1" t="s">
        <v>10568</v>
      </c>
      <c r="MJV1" t="s">
        <v>10569</v>
      </c>
      <c r="MJW1" t="s">
        <v>10570</v>
      </c>
      <c r="MJX1" t="s">
        <v>10571</v>
      </c>
      <c r="MJY1" t="s">
        <v>10572</v>
      </c>
      <c r="MJZ1" t="s">
        <v>10573</v>
      </c>
      <c r="MKA1" t="s">
        <v>10574</v>
      </c>
      <c r="MKB1" t="s">
        <v>10575</v>
      </c>
      <c r="MKC1" t="s">
        <v>10576</v>
      </c>
      <c r="MKD1" t="s">
        <v>10577</v>
      </c>
      <c r="MKE1" t="s">
        <v>10578</v>
      </c>
      <c r="MKF1" t="s">
        <v>10579</v>
      </c>
      <c r="MKG1" t="s">
        <v>10580</v>
      </c>
      <c r="MKH1" t="s">
        <v>10581</v>
      </c>
      <c r="MKI1" t="s">
        <v>10582</v>
      </c>
      <c r="MKJ1" t="s">
        <v>10583</v>
      </c>
      <c r="MKK1" t="s">
        <v>10584</v>
      </c>
      <c r="MKL1" t="s">
        <v>10585</v>
      </c>
      <c r="MKM1" t="s">
        <v>10586</v>
      </c>
      <c r="MKN1" t="s">
        <v>10587</v>
      </c>
      <c r="MKO1" t="s">
        <v>10588</v>
      </c>
      <c r="MKP1" t="s">
        <v>10589</v>
      </c>
      <c r="MKQ1" t="s">
        <v>10590</v>
      </c>
      <c r="MKR1" t="s">
        <v>10591</v>
      </c>
      <c r="MKS1" t="s">
        <v>10592</v>
      </c>
      <c r="MKT1" t="s">
        <v>10593</v>
      </c>
      <c r="MKU1" t="s">
        <v>10594</v>
      </c>
      <c r="MKV1" t="s">
        <v>10595</v>
      </c>
      <c r="MKW1" t="s">
        <v>10596</v>
      </c>
      <c r="MKX1" t="s">
        <v>10597</v>
      </c>
      <c r="MKY1" t="s">
        <v>10598</v>
      </c>
      <c r="MKZ1" t="s">
        <v>10599</v>
      </c>
      <c r="MLA1" t="s">
        <v>10600</v>
      </c>
      <c r="MLB1" t="s">
        <v>10601</v>
      </c>
      <c r="MLC1" t="s">
        <v>10602</v>
      </c>
      <c r="MLD1" t="s">
        <v>10603</v>
      </c>
      <c r="MLE1" t="s">
        <v>10604</v>
      </c>
      <c r="MLF1" t="s">
        <v>10605</v>
      </c>
      <c r="MLG1" t="s">
        <v>10606</v>
      </c>
      <c r="MLH1" t="s">
        <v>10607</v>
      </c>
      <c r="MLI1" t="s">
        <v>10608</v>
      </c>
      <c r="MLJ1" t="s">
        <v>10609</v>
      </c>
      <c r="MLK1" t="s">
        <v>10610</v>
      </c>
      <c r="MLL1" t="s">
        <v>10611</v>
      </c>
      <c r="MLM1" t="s">
        <v>10612</v>
      </c>
      <c r="MLN1" t="s">
        <v>10613</v>
      </c>
      <c r="MLO1" t="s">
        <v>10614</v>
      </c>
      <c r="MLP1" t="s">
        <v>10615</v>
      </c>
      <c r="MLQ1" t="s">
        <v>10616</v>
      </c>
      <c r="MLR1" t="s">
        <v>10617</v>
      </c>
      <c r="MLS1" t="s">
        <v>10618</v>
      </c>
      <c r="MLT1" t="s">
        <v>10619</v>
      </c>
      <c r="MLU1" t="s">
        <v>10620</v>
      </c>
      <c r="MLV1" t="s">
        <v>10621</v>
      </c>
      <c r="MLW1" t="s">
        <v>10622</v>
      </c>
      <c r="MLX1" t="s">
        <v>10623</v>
      </c>
      <c r="MLY1" t="s">
        <v>10624</v>
      </c>
      <c r="MLZ1" t="s">
        <v>10625</v>
      </c>
      <c r="MMA1" t="s">
        <v>10626</v>
      </c>
      <c r="MMB1" t="s">
        <v>10627</v>
      </c>
      <c r="MMC1" t="s">
        <v>10628</v>
      </c>
      <c r="MMD1" t="s">
        <v>10629</v>
      </c>
      <c r="MME1" t="s">
        <v>10630</v>
      </c>
      <c r="MMF1" t="s">
        <v>10631</v>
      </c>
      <c r="MMG1" t="s">
        <v>10632</v>
      </c>
      <c r="MMH1" t="s">
        <v>10633</v>
      </c>
      <c r="MMI1" t="s">
        <v>10634</v>
      </c>
      <c r="MMJ1" t="s">
        <v>10635</v>
      </c>
      <c r="MMK1" t="s">
        <v>10636</v>
      </c>
      <c r="MML1" t="s">
        <v>10637</v>
      </c>
      <c r="MMM1" t="s">
        <v>10638</v>
      </c>
      <c r="MMN1" t="s">
        <v>10639</v>
      </c>
      <c r="MMO1" t="s">
        <v>10640</v>
      </c>
      <c r="MMP1" t="s">
        <v>10641</v>
      </c>
      <c r="MMQ1" t="s">
        <v>10642</v>
      </c>
      <c r="MMR1" t="s">
        <v>10643</v>
      </c>
      <c r="MMS1" t="s">
        <v>10644</v>
      </c>
      <c r="MMT1" t="s">
        <v>10645</v>
      </c>
      <c r="MMU1" t="s">
        <v>10646</v>
      </c>
      <c r="MMV1" t="s">
        <v>10647</v>
      </c>
      <c r="MMW1" t="s">
        <v>10648</v>
      </c>
      <c r="MMX1" t="s">
        <v>10649</v>
      </c>
      <c r="MMY1" t="s">
        <v>10650</v>
      </c>
      <c r="MMZ1" t="s">
        <v>10651</v>
      </c>
      <c r="MNA1" t="s">
        <v>10652</v>
      </c>
      <c r="MNB1" t="s">
        <v>10653</v>
      </c>
      <c r="MNC1" t="s">
        <v>10654</v>
      </c>
      <c r="MND1" t="s">
        <v>10655</v>
      </c>
      <c r="MNE1" t="s">
        <v>10656</v>
      </c>
      <c r="MNF1" t="s">
        <v>10657</v>
      </c>
      <c r="MNG1" t="s">
        <v>10658</v>
      </c>
      <c r="MNH1" t="s">
        <v>10659</v>
      </c>
      <c r="MNI1" t="s">
        <v>10660</v>
      </c>
      <c r="MNJ1" t="s">
        <v>10661</v>
      </c>
      <c r="MNK1" t="s">
        <v>10662</v>
      </c>
      <c r="MNL1" t="s">
        <v>10663</v>
      </c>
      <c r="MNM1" t="s">
        <v>10664</v>
      </c>
      <c r="MNN1" t="s">
        <v>10665</v>
      </c>
      <c r="MNO1" t="s">
        <v>10666</v>
      </c>
      <c r="MNP1" t="s">
        <v>10667</v>
      </c>
      <c r="MNQ1" t="s">
        <v>10668</v>
      </c>
      <c r="MNR1" t="s">
        <v>10669</v>
      </c>
      <c r="MNS1" t="s">
        <v>10670</v>
      </c>
      <c r="MNT1" t="s">
        <v>10671</v>
      </c>
      <c r="MNU1" t="s">
        <v>10672</v>
      </c>
      <c r="MNV1" t="s">
        <v>10673</v>
      </c>
      <c r="MNW1" t="s">
        <v>10674</v>
      </c>
      <c r="MNX1" t="s">
        <v>10675</v>
      </c>
      <c r="MNY1" t="s">
        <v>10676</v>
      </c>
      <c r="MNZ1" t="s">
        <v>10677</v>
      </c>
      <c r="MOA1" t="s">
        <v>10678</v>
      </c>
      <c r="MOB1" t="s">
        <v>10679</v>
      </c>
      <c r="MOC1" t="s">
        <v>10680</v>
      </c>
      <c r="MOD1" t="s">
        <v>10681</v>
      </c>
      <c r="MOE1" t="s">
        <v>10682</v>
      </c>
      <c r="MOF1" t="s">
        <v>10683</v>
      </c>
      <c r="MOG1" t="s">
        <v>10684</v>
      </c>
      <c r="MOH1" t="s">
        <v>10685</v>
      </c>
      <c r="MOI1" t="s">
        <v>10686</v>
      </c>
      <c r="MOJ1" t="s">
        <v>10687</v>
      </c>
      <c r="MOK1" t="s">
        <v>10688</v>
      </c>
      <c r="MOL1" t="s">
        <v>10689</v>
      </c>
      <c r="MOM1" t="s">
        <v>10690</v>
      </c>
      <c r="MON1" t="s">
        <v>10691</v>
      </c>
      <c r="MOO1" t="s">
        <v>10692</v>
      </c>
      <c r="MOP1" t="s">
        <v>10693</v>
      </c>
      <c r="MOQ1" t="s">
        <v>10694</v>
      </c>
      <c r="MOR1" t="s">
        <v>10695</v>
      </c>
      <c r="MOS1" t="s">
        <v>10696</v>
      </c>
      <c r="MOT1" t="s">
        <v>10697</v>
      </c>
      <c r="MOU1" t="s">
        <v>10698</v>
      </c>
      <c r="MOV1" t="s">
        <v>10699</v>
      </c>
      <c r="MOW1" t="s">
        <v>10700</v>
      </c>
      <c r="MOX1" t="s">
        <v>10701</v>
      </c>
      <c r="MOY1" t="s">
        <v>10702</v>
      </c>
      <c r="MOZ1" t="s">
        <v>10703</v>
      </c>
      <c r="MPA1" t="s">
        <v>10704</v>
      </c>
      <c r="MPB1" t="s">
        <v>10705</v>
      </c>
      <c r="MPC1" t="s">
        <v>10706</v>
      </c>
      <c r="MPD1" t="s">
        <v>10707</v>
      </c>
      <c r="MPE1" t="s">
        <v>10708</v>
      </c>
      <c r="MPF1" t="s">
        <v>10709</v>
      </c>
      <c r="MPG1" t="s">
        <v>10710</v>
      </c>
      <c r="MPH1" t="s">
        <v>10711</v>
      </c>
      <c r="MPI1" t="s">
        <v>10712</v>
      </c>
      <c r="MPJ1" t="s">
        <v>10713</v>
      </c>
      <c r="MPK1" t="s">
        <v>10714</v>
      </c>
      <c r="MPL1" t="s">
        <v>10715</v>
      </c>
      <c r="MPM1" t="s">
        <v>10716</v>
      </c>
      <c r="MPN1" t="s">
        <v>10717</v>
      </c>
      <c r="MPO1" t="s">
        <v>10718</v>
      </c>
      <c r="MPP1" t="s">
        <v>10719</v>
      </c>
      <c r="MPQ1" t="s">
        <v>10720</v>
      </c>
      <c r="MPR1" t="s">
        <v>10721</v>
      </c>
      <c r="MPS1" t="s">
        <v>10722</v>
      </c>
      <c r="MPT1" t="s">
        <v>10723</v>
      </c>
      <c r="MPU1" t="s">
        <v>10724</v>
      </c>
      <c r="MPV1" t="s">
        <v>10725</v>
      </c>
      <c r="MPW1" t="s">
        <v>10726</v>
      </c>
      <c r="MPX1" t="s">
        <v>10727</v>
      </c>
      <c r="MPY1" t="s">
        <v>10728</v>
      </c>
      <c r="MPZ1" t="s">
        <v>10729</v>
      </c>
      <c r="MQA1" t="s">
        <v>10730</v>
      </c>
      <c r="MQB1" t="s">
        <v>10731</v>
      </c>
      <c r="MQC1" t="s">
        <v>10732</v>
      </c>
      <c r="MQD1" t="s">
        <v>10733</v>
      </c>
      <c r="MQE1" t="s">
        <v>10734</v>
      </c>
      <c r="MQF1" t="s">
        <v>10735</v>
      </c>
      <c r="MQG1" t="s">
        <v>10736</v>
      </c>
      <c r="MQH1" t="s">
        <v>10737</v>
      </c>
      <c r="MQI1" t="s">
        <v>10738</v>
      </c>
      <c r="MQJ1" t="s">
        <v>10739</v>
      </c>
      <c r="MQK1" t="s">
        <v>10740</v>
      </c>
      <c r="MQL1" t="s">
        <v>10741</v>
      </c>
      <c r="MQM1" t="s">
        <v>10742</v>
      </c>
      <c r="MQN1" t="s">
        <v>10743</v>
      </c>
      <c r="MQO1" t="s">
        <v>10744</v>
      </c>
      <c r="MQP1" t="s">
        <v>10745</v>
      </c>
      <c r="MQQ1" t="s">
        <v>10746</v>
      </c>
      <c r="MQR1" t="s">
        <v>10747</v>
      </c>
      <c r="MQS1" t="s">
        <v>10748</v>
      </c>
      <c r="MQT1" t="s">
        <v>10749</v>
      </c>
      <c r="MQU1" t="s">
        <v>10750</v>
      </c>
      <c r="MQV1" t="s">
        <v>10751</v>
      </c>
      <c r="MQW1" t="s">
        <v>10752</v>
      </c>
      <c r="MQX1" t="s">
        <v>10753</v>
      </c>
      <c r="MQY1" t="s">
        <v>10754</v>
      </c>
      <c r="MQZ1" t="s">
        <v>10755</v>
      </c>
      <c r="MRA1" t="s">
        <v>10756</v>
      </c>
      <c r="MRB1" t="s">
        <v>10757</v>
      </c>
      <c r="MRC1" t="s">
        <v>10758</v>
      </c>
      <c r="MRD1" t="s">
        <v>10759</v>
      </c>
      <c r="MRE1" t="s">
        <v>10760</v>
      </c>
      <c r="MRF1" t="s">
        <v>10761</v>
      </c>
      <c r="MRG1" t="s">
        <v>10762</v>
      </c>
      <c r="MRH1" t="s">
        <v>10763</v>
      </c>
      <c r="MRI1" t="s">
        <v>10764</v>
      </c>
      <c r="MRJ1" t="s">
        <v>10765</v>
      </c>
      <c r="MRK1" t="s">
        <v>10766</v>
      </c>
      <c r="MRL1" t="s">
        <v>10767</v>
      </c>
      <c r="MRM1" t="s">
        <v>10768</v>
      </c>
      <c r="MRN1" t="s">
        <v>10769</v>
      </c>
      <c r="MRO1" t="s">
        <v>10770</v>
      </c>
      <c r="MRP1" t="s">
        <v>10771</v>
      </c>
      <c r="MRQ1" t="s">
        <v>10772</v>
      </c>
      <c r="MRR1" t="s">
        <v>10773</v>
      </c>
      <c r="MRS1" t="s">
        <v>10774</v>
      </c>
      <c r="MRT1" t="s">
        <v>10775</v>
      </c>
      <c r="MRU1" t="s">
        <v>10776</v>
      </c>
      <c r="MRV1" t="s">
        <v>10777</v>
      </c>
      <c r="MRW1" t="s">
        <v>10778</v>
      </c>
      <c r="MRX1" t="s">
        <v>10779</v>
      </c>
      <c r="MRY1" t="s">
        <v>10780</v>
      </c>
      <c r="MRZ1" t="s">
        <v>10781</v>
      </c>
      <c r="MSA1" t="s">
        <v>10782</v>
      </c>
      <c r="MSB1" t="s">
        <v>10783</v>
      </c>
      <c r="MSC1" t="s">
        <v>10784</v>
      </c>
      <c r="MSD1" t="s">
        <v>10785</v>
      </c>
      <c r="MSE1" t="s">
        <v>10786</v>
      </c>
      <c r="MSF1" t="s">
        <v>10787</v>
      </c>
      <c r="MSG1" t="s">
        <v>10788</v>
      </c>
      <c r="MSH1" t="s">
        <v>10789</v>
      </c>
      <c r="MSI1" t="s">
        <v>10790</v>
      </c>
      <c r="MSJ1" t="s">
        <v>10791</v>
      </c>
      <c r="MSK1" t="s">
        <v>10792</v>
      </c>
      <c r="MSL1" t="s">
        <v>10793</v>
      </c>
      <c r="MSM1" t="s">
        <v>10794</v>
      </c>
      <c r="MSN1" t="s">
        <v>10795</v>
      </c>
      <c r="MSO1" t="s">
        <v>10796</v>
      </c>
      <c r="MSP1" t="s">
        <v>10797</v>
      </c>
      <c r="MSQ1" t="s">
        <v>10798</v>
      </c>
      <c r="MSR1" t="s">
        <v>10799</v>
      </c>
      <c r="MSS1" t="s">
        <v>10800</v>
      </c>
      <c r="MST1" t="s">
        <v>10801</v>
      </c>
      <c r="MSU1" t="s">
        <v>10802</v>
      </c>
      <c r="MSV1" t="s">
        <v>10803</v>
      </c>
      <c r="MSW1" t="s">
        <v>10804</v>
      </c>
      <c r="MSX1" t="s">
        <v>10805</v>
      </c>
      <c r="MSY1" t="s">
        <v>10806</v>
      </c>
      <c r="MSZ1" t="s">
        <v>10807</v>
      </c>
      <c r="MTA1" t="s">
        <v>10808</v>
      </c>
      <c r="MTB1" t="s">
        <v>10809</v>
      </c>
      <c r="MTC1" t="s">
        <v>10810</v>
      </c>
      <c r="MTD1" t="s">
        <v>10811</v>
      </c>
      <c r="MTE1" t="s">
        <v>10812</v>
      </c>
      <c r="MTF1" t="s">
        <v>10813</v>
      </c>
      <c r="MTG1" t="s">
        <v>10814</v>
      </c>
      <c r="MTH1" t="s">
        <v>10815</v>
      </c>
      <c r="MTI1" t="s">
        <v>10816</v>
      </c>
      <c r="MTJ1" t="s">
        <v>10817</v>
      </c>
      <c r="MTK1" t="s">
        <v>10818</v>
      </c>
      <c r="MTL1" t="s">
        <v>10819</v>
      </c>
      <c r="MTM1" t="s">
        <v>10820</v>
      </c>
      <c r="MTN1" t="s">
        <v>10821</v>
      </c>
      <c r="MTO1" t="s">
        <v>10822</v>
      </c>
      <c r="MTP1" t="s">
        <v>10823</v>
      </c>
      <c r="MTQ1" t="s">
        <v>10824</v>
      </c>
      <c r="MTR1" t="s">
        <v>10825</v>
      </c>
      <c r="MTS1" t="s">
        <v>10826</v>
      </c>
      <c r="MTT1" t="s">
        <v>10827</v>
      </c>
      <c r="MTU1" t="s">
        <v>10828</v>
      </c>
      <c r="MTV1" t="s">
        <v>10829</v>
      </c>
      <c r="MTW1" t="s">
        <v>10830</v>
      </c>
      <c r="MTX1" t="s">
        <v>10831</v>
      </c>
      <c r="MTY1" t="s">
        <v>10832</v>
      </c>
      <c r="MTZ1" t="s">
        <v>10833</v>
      </c>
      <c r="MUA1" t="s">
        <v>10834</v>
      </c>
      <c r="MUB1" t="s">
        <v>10835</v>
      </c>
      <c r="MUC1" t="s">
        <v>10836</v>
      </c>
      <c r="MUD1" t="s">
        <v>10837</v>
      </c>
      <c r="MUE1" t="s">
        <v>10838</v>
      </c>
      <c r="MUF1" t="s">
        <v>10839</v>
      </c>
      <c r="MUG1" t="s">
        <v>10840</v>
      </c>
      <c r="MUH1" t="s">
        <v>10841</v>
      </c>
      <c r="MUI1" t="s">
        <v>10842</v>
      </c>
      <c r="MUJ1" t="s">
        <v>10843</v>
      </c>
      <c r="MUK1" t="s">
        <v>10844</v>
      </c>
      <c r="MUL1" t="s">
        <v>10845</v>
      </c>
      <c r="MUM1" t="s">
        <v>10846</v>
      </c>
      <c r="MUN1" t="s">
        <v>10847</v>
      </c>
      <c r="MUO1" t="s">
        <v>10848</v>
      </c>
      <c r="MUP1" t="s">
        <v>10849</v>
      </c>
      <c r="MUQ1" t="s">
        <v>10850</v>
      </c>
      <c r="MUR1" t="s">
        <v>10851</v>
      </c>
      <c r="MUS1" t="s">
        <v>10852</v>
      </c>
      <c r="MUT1" t="s">
        <v>10853</v>
      </c>
      <c r="MUU1" t="s">
        <v>10854</v>
      </c>
      <c r="MUV1" t="s">
        <v>10855</v>
      </c>
      <c r="MUW1" t="s">
        <v>10856</v>
      </c>
      <c r="MUX1" t="s">
        <v>10857</v>
      </c>
      <c r="MUY1" t="s">
        <v>10858</v>
      </c>
      <c r="MUZ1" t="s">
        <v>10859</v>
      </c>
      <c r="MVA1" t="s">
        <v>10860</v>
      </c>
      <c r="MVB1" t="s">
        <v>10861</v>
      </c>
      <c r="MVC1" t="s">
        <v>10862</v>
      </c>
      <c r="MVD1" t="s">
        <v>10863</v>
      </c>
      <c r="MVE1" t="s">
        <v>10864</v>
      </c>
      <c r="MVF1" t="s">
        <v>10865</v>
      </c>
      <c r="MVG1" t="s">
        <v>10866</v>
      </c>
      <c r="MVH1" t="s">
        <v>10867</v>
      </c>
      <c r="MVI1" t="s">
        <v>10868</v>
      </c>
      <c r="MVJ1" t="s">
        <v>10869</v>
      </c>
      <c r="MVK1" t="s">
        <v>10870</v>
      </c>
      <c r="MVL1" t="s">
        <v>10871</v>
      </c>
      <c r="MVM1" t="s">
        <v>10872</v>
      </c>
      <c r="MVN1" t="s">
        <v>10873</v>
      </c>
      <c r="MVO1" t="s">
        <v>10874</v>
      </c>
      <c r="MVP1" t="s">
        <v>10875</v>
      </c>
      <c r="MVQ1" t="s">
        <v>10876</v>
      </c>
      <c r="MVR1" t="s">
        <v>10877</v>
      </c>
      <c r="MVS1" t="s">
        <v>10878</v>
      </c>
      <c r="MVT1" t="s">
        <v>10879</v>
      </c>
      <c r="MVU1" t="s">
        <v>10880</v>
      </c>
      <c r="MVV1" t="s">
        <v>10881</v>
      </c>
      <c r="MVW1" t="s">
        <v>10882</v>
      </c>
      <c r="MVX1" t="s">
        <v>10883</v>
      </c>
      <c r="MVY1" t="s">
        <v>10884</v>
      </c>
      <c r="MVZ1" t="s">
        <v>10885</v>
      </c>
      <c r="MWA1" t="s">
        <v>10886</v>
      </c>
      <c r="MWB1" t="s">
        <v>10887</v>
      </c>
      <c r="MWC1" t="s">
        <v>10888</v>
      </c>
      <c r="MWD1" t="s">
        <v>10889</v>
      </c>
      <c r="MWE1" t="s">
        <v>10890</v>
      </c>
      <c r="MWF1" t="s">
        <v>10891</v>
      </c>
      <c r="MWG1" t="s">
        <v>10892</v>
      </c>
      <c r="MWH1" t="s">
        <v>10893</v>
      </c>
      <c r="MWI1" t="s">
        <v>10894</v>
      </c>
      <c r="MWJ1" t="s">
        <v>10895</v>
      </c>
      <c r="MWK1" t="s">
        <v>10896</v>
      </c>
      <c r="MWL1" t="s">
        <v>10897</v>
      </c>
      <c r="MWM1" t="s">
        <v>10898</v>
      </c>
      <c r="MWN1" t="s">
        <v>10899</v>
      </c>
      <c r="MWO1" t="s">
        <v>10900</v>
      </c>
      <c r="MWP1" t="s">
        <v>10901</v>
      </c>
      <c r="MWQ1" t="s">
        <v>10902</v>
      </c>
      <c r="MWR1" t="s">
        <v>10903</v>
      </c>
      <c r="MWS1" t="s">
        <v>10904</v>
      </c>
      <c r="MWT1" t="s">
        <v>10905</v>
      </c>
      <c r="MWU1" t="s">
        <v>10906</v>
      </c>
      <c r="MWV1" t="s">
        <v>10907</v>
      </c>
      <c r="MWW1" t="s">
        <v>10908</v>
      </c>
      <c r="MWX1" t="s">
        <v>10909</v>
      </c>
      <c r="MWY1" t="s">
        <v>10910</v>
      </c>
      <c r="MWZ1" t="s">
        <v>10911</v>
      </c>
      <c r="MXA1" t="s">
        <v>10912</v>
      </c>
      <c r="MXB1" t="s">
        <v>10913</v>
      </c>
      <c r="MXC1" t="s">
        <v>10914</v>
      </c>
      <c r="MXD1" t="s">
        <v>10915</v>
      </c>
      <c r="MXE1" t="s">
        <v>10916</v>
      </c>
      <c r="MXF1" t="s">
        <v>10917</v>
      </c>
      <c r="MXG1" t="s">
        <v>10918</v>
      </c>
      <c r="MXH1" t="s">
        <v>10919</v>
      </c>
      <c r="MXI1" t="s">
        <v>10920</v>
      </c>
      <c r="MXJ1" t="s">
        <v>10921</v>
      </c>
      <c r="MXK1" t="s">
        <v>10922</v>
      </c>
      <c r="MXL1" t="s">
        <v>10923</v>
      </c>
      <c r="MXM1" t="s">
        <v>10924</v>
      </c>
      <c r="MXN1" t="s">
        <v>10925</v>
      </c>
      <c r="MXO1" t="s">
        <v>10926</v>
      </c>
      <c r="MXP1" t="s">
        <v>10927</v>
      </c>
      <c r="MXQ1" t="s">
        <v>10928</v>
      </c>
      <c r="MXR1" t="s">
        <v>10929</v>
      </c>
      <c r="MXS1" t="s">
        <v>10930</v>
      </c>
      <c r="MXT1" t="s">
        <v>10931</v>
      </c>
      <c r="MXU1" t="s">
        <v>10932</v>
      </c>
      <c r="MXV1" t="s">
        <v>10933</v>
      </c>
      <c r="MXW1" t="s">
        <v>10934</v>
      </c>
      <c r="MXX1" t="s">
        <v>10935</v>
      </c>
      <c r="MXY1" t="s">
        <v>10936</v>
      </c>
      <c r="MXZ1" t="s">
        <v>10937</v>
      </c>
      <c r="MYA1" t="s">
        <v>10938</v>
      </c>
      <c r="MYB1" t="s">
        <v>10939</v>
      </c>
      <c r="MYC1" t="s">
        <v>10940</v>
      </c>
      <c r="MYD1" t="s">
        <v>10941</v>
      </c>
      <c r="MYE1" t="s">
        <v>10942</v>
      </c>
      <c r="MYF1" t="s">
        <v>10943</v>
      </c>
      <c r="MYG1" t="s">
        <v>10944</v>
      </c>
      <c r="MYH1" t="s">
        <v>10945</v>
      </c>
      <c r="MYI1" t="s">
        <v>10946</v>
      </c>
      <c r="MYJ1" t="s">
        <v>10947</v>
      </c>
      <c r="MYK1" t="s">
        <v>10948</v>
      </c>
      <c r="MYL1" t="s">
        <v>10949</v>
      </c>
      <c r="MYM1" t="s">
        <v>10950</v>
      </c>
      <c r="MYN1" t="s">
        <v>10951</v>
      </c>
      <c r="MYO1" t="s">
        <v>10952</v>
      </c>
      <c r="MYP1" t="s">
        <v>10953</v>
      </c>
      <c r="MYQ1" t="s">
        <v>10954</v>
      </c>
      <c r="MYR1" t="s">
        <v>10955</v>
      </c>
      <c r="MYS1" t="s">
        <v>10956</v>
      </c>
      <c r="MYT1" t="s">
        <v>10957</v>
      </c>
      <c r="MYU1" t="s">
        <v>10958</v>
      </c>
      <c r="MYV1" t="s">
        <v>10959</v>
      </c>
      <c r="MYW1" t="s">
        <v>10960</v>
      </c>
      <c r="MYX1" t="s">
        <v>10961</v>
      </c>
      <c r="MYY1" t="s">
        <v>10962</v>
      </c>
      <c r="MYZ1" t="s">
        <v>10963</v>
      </c>
      <c r="MZA1" t="s">
        <v>10964</v>
      </c>
      <c r="MZB1" t="s">
        <v>10965</v>
      </c>
      <c r="MZC1" t="s">
        <v>10966</v>
      </c>
      <c r="MZD1" t="s">
        <v>10967</v>
      </c>
      <c r="MZE1" t="s">
        <v>10968</v>
      </c>
      <c r="MZF1" t="s">
        <v>10969</v>
      </c>
      <c r="MZG1" t="s">
        <v>10970</v>
      </c>
      <c r="MZH1" t="s">
        <v>10971</v>
      </c>
      <c r="MZI1" t="s">
        <v>10972</v>
      </c>
      <c r="MZJ1" t="s">
        <v>10973</v>
      </c>
      <c r="MZK1" t="s">
        <v>10974</v>
      </c>
      <c r="MZL1" t="s">
        <v>10975</v>
      </c>
      <c r="MZM1" t="s">
        <v>10976</v>
      </c>
      <c r="MZN1" t="s">
        <v>10977</v>
      </c>
      <c r="MZO1" t="s">
        <v>10978</v>
      </c>
      <c r="MZP1" t="s">
        <v>10979</v>
      </c>
      <c r="MZQ1" t="s">
        <v>10980</v>
      </c>
      <c r="MZR1" t="s">
        <v>10981</v>
      </c>
      <c r="MZS1" t="s">
        <v>10982</v>
      </c>
      <c r="MZT1" t="s">
        <v>10983</v>
      </c>
      <c r="MZU1" t="s">
        <v>10984</v>
      </c>
      <c r="MZV1" t="s">
        <v>10985</v>
      </c>
      <c r="MZW1" t="s">
        <v>10986</v>
      </c>
      <c r="MZX1" t="s">
        <v>10987</v>
      </c>
      <c r="MZY1" t="s">
        <v>10988</v>
      </c>
      <c r="MZZ1" t="s">
        <v>10989</v>
      </c>
      <c r="NAA1" t="s">
        <v>10990</v>
      </c>
      <c r="NAB1" t="s">
        <v>10991</v>
      </c>
      <c r="NAC1" t="s">
        <v>10992</v>
      </c>
      <c r="NAD1" t="s">
        <v>10993</v>
      </c>
      <c r="NAE1" t="s">
        <v>10994</v>
      </c>
      <c r="NAF1" t="s">
        <v>10995</v>
      </c>
      <c r="NAG1" t="s">
        <v>10996</v>
      </c>
      <c r="NAH1" t="s">
        <v>10997</v>
      </c>
      <c r="NAI1" t="s">
        <v>10998</v>
      </c>
      <c r="NAJ1" t="s">
        <v>10999</v>
      </c>
      <c r="NAK1" t="s">
        <v>11000</v>
      </c>
      <c r="NAL1" t="s">
        <v>11001</v>
      </c>
      <c r="NAM1" t="s">
        <v>11002</v>
      </c>
      <c r="NAN1" t="s">
        <v>11003</v>
      </c>
      <c r="NAO1" t="s">
        <v>11004</v>
      </c>
      <c r="NAP1" t="s">
        <v>11005</v>
      </c>
      <c r="NAQ1" t="s">
        <v>11006</v>
      </c>
      <c r="NAR1" t="s">
        <v>11007</v>
      </c>
      <c r="NAS1" t="s">
        <v>11008</v>
      </c>
      <c r="NAT1" t="s">
        <v>11009</v>
      </c>
      <c r="NAU1" t="s">
        <v>11010</v>
      </c>
      <c r="NAV1" t="s">
        <v>11011</v>
      </c>
      <c r="NAW1" t="s">
        <v>11012</v>
      </c>
      <c r="NAX1" t="s">
        <v>11013</v>
      </c>
      <c r="NAY1" t="s">
        <v>11014</v>
      </c>
      <c r="NAZ1" t="s">
        <v>11015</v>
      </c>
      <c r="NBA1" t="s">
        <v>11016</v>
      </c>
      <c r="NBB1" t="s">
        <v>11017</v>
      </c>
      <c r="NBC1" t="s">
        <v>11018</v>
      </c>
      <c r="NBD1" t="s">
        <v>11019</v>
      </c>
      <c r="NBE1" t="s">
        <v>11020</v>
      </c>
      <c r="NBF1" t="s">
        <v>11021</v>
      </c>
      <c r="NBG1" t="s">
        <v>11022</v>
      </c>
      <c r="NBH1" t="s">
        <v>11023</v>
      </c>
      <c r="NBI1" t="s">
        <v>11024</v>
      </c>
      <c r="NBJ1" t="s">
        <v>11025</v>
      </c>
      <c r="NBK1" t="s">
        <v>11026</v>
      </c>
      <c r="NBL1" t="s">
        <v>11027</v>
      </c>
      <c r="NBM1" t="s">
        <v>11028</v>
      </c>
      <c r="NBN1" t="s">
        <v>11029</v>
      </c>
      <c r="NBO1" t="s">
        <v>11030</v>
      </c>
      <c r="NBP1" t="s">
        <v>11031</v>
      </c>
      <c r="NBQ1" t="s">
        <v>11032</v>
      </c>
      <c r="NBR1" t="s">
        <v>11033</v>
      </c>
      <c r="NBS1" t="s">
        <v>11034</v>
      </c>
      <c r="NBT1" t="s">
        <v>11035</v>
      </c>
      <c r="NBU1" t="s">
        <v>11036</v>
      </c>
      <c r="NBV1" t="s">
        <v>11037</v>
      </c>
      <c r="NBW1" t="s">
        <v>11038</v>
      </c>
      <c r="NBX1" t="s">
        <v>11039</v>
      </c>
      <c r="NBY1" t="s">
        <v>11040</v>
      </c>
      <c r="NBZ1" t="s">
        <v>11041</v>
      </c>
      <c r="NCA1" t="s">
        <v>11042</v>
      </c>
      <c r="NCB1" t="s">
        <v>11043</v>
      </c>
      <c r="NCC1" t="s">
        <v>11044</v>
      </c>
      <c r="NCD1" t="s">
        <v>11045</v>
      </c>
      <c r="NCE1" t="s">
        <v>11046</v>
      </c>
      <c r="NCF1" t="s">
        <v>11047</v>
      </c>
      <c r="NCG1" t="s">
        <v>11048</v>
      </c>
      <c r="NCH1" t="s">
        <v>11049</v>
      </c>
      <c r="NCI1" t="s">
        <v>11050</v>
      </c>
      <c r="NCJ1" t="s">
        <v>11051</v>
      </c>
      <c r="NCK1" t="s">
        <v>11052</v>
      </c>
      <c r="NCL1" t="s">
        <v>11053</v>
      </c>
      <c r="NCM1" t="s">
        <v>11054</v>
      </c>
      <c r="NCN1" t="s">
        <v>11055</v>
      </c>
      <c r="NCO1" t="s">
        <v>11056</v>
      </c>
      <c r="NCP1" t="s">
        <v>11057</v>
      </c>
      <c r="NCQ1" t="s">
        <v>11058</v>
      </c>
      <c r="NCR1" t="s">
        <v>11059</v>
      </c>
      <c r="NCS1" t="s">
        <v>11060</v>
      </c>
      <c r="NCT1" t="s">
        <v>11061</v>
      </c>
      <c r="NCU1" t="s">
        <v>11062</v>
      </c>
      <c r="NCV1" t="s">
        <v>11063</v>
      </c>
      <c r="NCW1" t="s">
        <v>11064</v>
      </c>
      <c r="NCX1" t="s">
        <v>11065</v>
      </c>
      <c r="NCY1" t="s">
        <v>11066</v>
      </c>
      <c r="NCZ1" t="s">
        <v>11067</v>
      </c>
      <c r="NDA1" t="s">
        <v>11068</v>
      </c>
      <c r="NDB1" t="s">
        <v>11069</v>
      </c>
      <c r="NDC1" t="s">
        <v>11070</v>
      </c>
      <c r="NDD1" t="s">
        <v>11071</v>
      </c>
      <c r="NDE1" t="s">
        <v>11072</v>
      </c>
      <c r="NDF1" t="s">
        <v>11073</v>
      </c>
      <c r="NDG1" t="s">
        <v>11074</v>
      </c>
      <c r="NDH1" t="s">
        <v>11075</v>
      </c>
      <c r="NDI1" t="s">
        <v>11076</v>
      </c>
      <c r="NDJ1" t="s">
        <v>11077</v>
      </c>
      <c r="NDK1" t="s">
        <v>11078</v>
      </c>
      <c r="NDL1" t="s">
        <v>11079</v>
      </c>
      <c r="NDM1" t="s">
        <v>11080</v>
      </c>
      <c r="NDN1" t="s">
        <v>11081</v>
      </c>
      <c r="NDO1" t="s">
        <v>11082</v>
      </c>
      <c r="NDP1" t="s">
        <v>11083</v>
      </c>
      <c r="NDQ1" t="s">
        <v>11084</v>
      </c>
      <c r="NDR1" t="s">
        <v>11085</v>
      </c>
      <c r="NDS1" t="s">
        <v>11086</v>
      </c>
      <c r="NDT1" t="s">
        <v>11087</v>
      </c>
      <c r="NDU1" t="s">
        <v>11088</v>
      </c>
      <c r="NDV1" t="s">
        <v>11089</v>
      </c>
      <c r="NDW1" t="s">
        <v>11090</v>
      </c>
      <c r="NDX1" t="s">
        <v>11091</v>
      </c>
      <c r="NDY1" t="s">
        <v>11092</v>
      </c>
      <c r="NDZ1" t="s">
        <v>11093</v>
      </c>
      <c r="NEA1" t="s">
        <v>11094</v>
      </c>
      <c r="NEB1" t="s">
        <v>11095</v>
      </c>
      <c r="NEC1" t="s">
        <v>11096</v>
      </c>
      <c r="NED1" t="s">
        <v>11097</v>
      </c>
      <c r="NEE1" t="s">
        <v>11098</v>
      </c>
      <c r="NEF1" t="s">
        <v>11099</v>
      </c>
      <c r="NEG1" t="s">
        <v>11100</v>
      </c>
      <c r="NEH1" t="s">
        <v>11101</v>
      </c>
      <c r="NEI1" t="s">
        <v>11102</v>
      </c>
      <c r="NEJ1" t="s">
        <v>11103</v>
      </c>
      <c r="NEK1" t="s">
        <v>11104</v>
      </c>
      <c r="NEL1" t="s">
        <v>11105</v>
      </c>
      <c r="NEM1" t="s">
        <v>11106</v>
      </c>
      <c r="NEN1" t="s">
        <v>11107</v>
      </c>
      <c r="NEO1" t="s">
        <v>11108</v>
      </c>
      <c r="NEP1" t="s">
        <v>11109</v>
      </c>
      <c r="NEQ1" t="s">
        <v>11110</v>
      </c>
      <c r="NER1" t="s">
        <v>11111</v>
      </c>
      <c r="NES1" t="s">
        <v>11112</v>
      </c>
      <c r="NET1" t="s">
        <v>11113</v>
      </c>
      <c r="NEU1" t="s">
        <v>11114</v>
      </c>
      <c r="NEV1" t="s">
        <v>11115</v>
      </c>
      <c r="NEW1" t="s">
        <v>11116</v>
      </c>
      <c r="NEX1" t="s">
        <v>11117</v>
      </c>
      <c r="NEY1" t="s">
        <v>11118</v>
      </c>
      <c r="NEZ1" t="s">
        <v>11119</v>
      </c>
      <c r="NFA1" t="s">
        <v>11120</v>
      </c>
      <c r="NFB1" t="s">
        <v>11121</v>
      </c>
      <c r="NFC1" t="s">
        <v>11122</v>
      </c>
      <c r="NFD1" t="s">
        <v>11123</v>
      </c>
      <c r="NFE1" t="s">
        <v>11124</v>
      </c>
      <c r="NFF1" t="s">
        <v>11125</v>
      </c>
      <c r="NFG1" t="s">
        <v>11126</v>
      </c>
      <c r="NFH1" t="s">
        <v>11127</v>
      </c>
      <c r="NFI1" t="s">
        <v>11128</v>
      </c>
      <c r="NFJ1" t="s">
        <v>11129</v>
      </c>
      <c r="NFK1" t="s">
        <v>11130</v>
      </c>
      <c r="NFL1" t="s">
        <v>11131</v>
      </c>
      <c r="NFM1" t="s">
        <v>11132</v>
      </c>
      <c r="NFN1" t="s">
        <v>11133</v>
      </c>
      <c r="NFO1" t="s">
        <v>11134</v>
      </c>
      <c r="NFP1" t="s">
        <v>11135</v>
      </c>
      <c r="NFQ1" t="s">
        <v>11136</v>
      </c>
      <c r="NFR1" t="s">
        <v>11137</v>
      </c>
      <c r="NFS1" t="s">
        <v>11138</v>
      </c>
      <c r="NFT1" t="s">
        <v>11139</v>
      </c>
      <c r="NFU1" t="s">
        <v>11140</v>
      </c>
      <c r="NFV1" t="s">
        <v>11141</v>
      </c>
      <c r="NFW1" t="s">
        <v>11142</v>
      </c>
      <c r="NFX1" t="s">
        <v>11143</v>
      </c>
      <c r="NFY1" t="s">
        <v>11144</v>
      </c>
      <c r="NFZ1" t="s">
        <v>11145</v>
      </c>
      <c r="NGA1" t="s">
        <v>11146</v>
      </c>
      <c r="NGB1" t="s">
        <v>11147</v>
      </c>
      <c r="NGC1" t="s">
        <v>11148</v>
      </c>
      <c r="NGD1" t="s">
        <v>11149</v>
      </c>
      <c r="NGE1" t="s">
        <v>11150</v>
      </c>
      <c r="NGF1" t="s">
        <v>11151</v>
      </c>
      <c r="NGG1" t="s">
        <v>11152</v>
      </c>
      <c r="NGH1" t="s">
        <v>11153</v>
      </c>
      <c r="NGI1" t="s">
        <v>11154</v>
      </c>
      <c r="NGJ1" t="s">
        <v>11155</v>
      </c>
      <c r="NGK1" t="s">
        <v>11156</v>
      </c>
      <c r="NGL1" t="s">
        <v>11157</v>
      </c>
      <c r="NGM1" t="s">
        <v>11158</v>
      </c>
      <c r="NGN1" t="s">
        <v>11159</v>
      </c>
      <c r="NGO1" t="s">
        <v>11160</v>
      </c>
      <c r="NGP1" t="s">
        <v>11161</v>
      </c>
      <c r="NGQ1" t="s">
        <v>11162</v>
      </c>
      <c r="NGR1" t="s">
        <v>11163</v>
      </c>
      <c r="NGS1" t="s">
        <v>11164</v>
      </c>
      <c r="NGT1" t="s">
        <v>11165</v>
      </c>
      <c r="NGU1" t="s">
        <v>11166</v>
      </c>
      <c r="NGV1" t="s">
        <v>11167</v>
      </c>
      <c r="NGW1" t="s">
        <v>11168</v>
      </c>
      <c r="NGX1" t="s">
        <v>11169</v>
      </c>
      <c r="NGY1" t="s">
        <v>11170</v>
      </c>
      <c r="NGZ1" t="s">
        <v>11171</v>
      </c>
      <c r="NHA1" t="s">
        <v>11172</v>
      </c>
      <c r="NHB1" t="s">
        <v>11173</v>
      </c>
      <c r="NHC1" t="s">
        <v>11174</v>
      </c>
      <c r="NHD1" t="s">
        <v>11175</v>
      </c>
      <c r="NHE1" t="s">
        <v>11176</v>
      </c>
      <c r="NHF1" t="s">
        <v>11177</v>
      </c>
      <c r="NHG1" t="s">
        <v>11178</v>
      </c>
      <c r="NHH1" t="s">
        <v>11179</v>
      </c>
      <c r="NHI1" t="s">
        <v>11180</v>
      </c>
      <c r="NHJ1" t="s">
        <v>11181</v>
      </c>
      <c r="NHK1" t="s">
        <v>11182</v>
      </c>
      <c r="NHL1" t="s">
        <v>11183</v>
      </c>
      <c r="NHM1" t="s">
        <v>11184</v>
      </c>
      <c r="NHN1" t="s">
        <v>11185</v>
      </c>
      <c r="NHO1" t="s">
        <v>11186</v>
      </c>
      <c r="NHP1" t="s">
        <v>11187</v>
      </c>
      <c r="NHQ1" t="s">
        <v>11188</v>
      </c>
      <c r="NHR1" t="s">
        <v>11189</v>
      </c>
      <c r="NHS1" t="s">
        <v>11190</v>
      </c>
      <c r="NHT1" t="s">
        <v>11191</v>
      </c>
      <c r="NHU1" t="s">
        <v>11192</v>
      </c>
      <c r="NHV1" t="s">
        <v>11193</v>
      </c>
      <c r="NHW1" t="s">
        <v>11194</v>
      </c>
      <c r="NHX1" t="s">
        <v>11195</v>
      </c>
      <c r="NHY1" t="s">
        <v>11196</v>
      </c>
      <c r="NHZ1" t="s">
        <v>11197</v>
      </c>
      <c r="NIA1" t="s">
        <v>11198</v>
      </c>
      <c r="NIB1" t="s">
        <v>11199</v>
      </c>
      <c r="NIC1" t="s">
        <v>11200</v>
      </c>
      <c r="NID1" t="s">
        <v>11201</v>
      </c>
      <c r="NIE1" t="s">
        <v>11202</v>
      </c>
      <c r="NIF1" t="s">
        <v>11203</v>
      </c>
      <c r="NIG1" t="s">
        <v>11204</v>
      </c>
      <c r="NIH1" t="s">
        <v>11205</v>
      </c>
      <c r="NII1" t="s">
        <v>11206</v>
      </c>
      <c r="NIJ1" t="s">
        <v>11207</v>
      </c>
      <c r="NIK1" t="s">
        <v>11208</v>
      </c>
      <c r="NIL1" t="s">
        <v>11209</v>
      </c>
      <c r="NIM1" t="s">
        <v>11210</v>
      </c>
      <c r="NIN1" t="s">
        <v>11211</v>
      </c>
      <c r="NIO1" t="s">
        <v>11212</v>
      </c>
      <c r="NIP1" t="s">
        <v>11213</v>
      </c>
      <c r="NIQ1" t="s">
        <v>11214</v>
      </c>
      <c r="NIR1" t="s">
        <v>11215</v>
      </c>
      <c r="NIS1" t="s">
        <v>11216</v>
      </c>
      <c r="NIT1" t="s">
        <v>11217</v>
      </c>
      <c r="NIU1" t="s">
        <v>11218</v>
      </c>
      <c r="NIV1" t="s">
        <v>11219</v>
      </c>
      <c r="NIW1" t="s">
        <v>11220</v>
      </c>
      <c r="NIX1" t="s">
        <v>11221</v>
      </c>
      <c r="NIY1" t="s">
        <v>11222</v>
      </c>
      <c r="NIZ1" t="s">
        <v>11223</v>
      </c>
      <c r="NJA1" t="s">
        <v>11224</v>
      </c>
      <c r="NJB1" t="s">
        <v>11225</v>
      </c>
      <c r="NJC1" t="s">
        <v>11226</v>
      </c>
      <c r="NJD1" t="s">
        <v>11227</v>
      </c>
      <c r="NJE1" t="s">
        <v>11228</v>
      </c>
      <c r="NJF1" t="s">
        <v>11229</v>
      </c>
      <c r="NJG1" t="s">
        <v>11230</v>
      </c>
      <c r="NJH1" t="s">
        <v>11231</v>
      </c>
      <c r="NJI1" t="s">
        <v>11232</v>
      </c>
      <c r="NJJ1" t="s">
        <v>11233</v>
      </c>
      <c r="NJK1" t="s">
        <v>11234</v>
      </c>
      <c r="NJL1" t="s">
        <v>11235</v>
      </c>
      <c r="NJM1" t="s">
        <v>11236</v>
      </c>
      <c r="NJN1" t="s">
        <v>11237</v>
      </c>
      <c r="NJO1" t="s">
        <v>11238</v>
      </c>
      <c r="NJP1" t="s">
        <v>11239</v>
      </c>
      <c r="NJQ1" t="s">
        <v>11240</v>
      </c>
      <c r="NJR1" t="s">
        <v>11241</v>
      </c>
      <c r="NJS1" t="s">
        <v>11242</v>
      </c>
      <c r="NJT1" t="s">
        <v>11243</v>
      </c>
      <c r="NJU1" t="s">
        <v>11244</v>
      </c>
      <c r="NJV1" t="s">
        <v>11245</v>
      </c>
      <c r="NJW1" t="s">
        <v>11246</v>
      </c>
      <c r="NJX1" t="s">
        <v>11247</v>
      </c>
      <c r="NJY1" t="s">
        <v>11248</v>
      </c>
      <c r="NJZ1" t="s">
        <v>11249</v>
      </c>
      <c r="NKA1" t="s">
        <v>11250</v>
      </c>
      <c r="NKB1" t="s">
        <v>11251</v>
      </c>
      <c r="NKC1" t="s">
        <v>11252</v>
      </c>
      <c r="NKD1" t="s">
        <v>11253</v>
      </c>
      <c r="NKE1" t="s">
        <v>11254</v>
      </c>
      <c r="NKF1" t="s">
        <v>11255</v>
      </c>
      <c r="NKG1" t="s">
        <v>11256</v>
      </c>
      <c r="NKH1" t="s">
        <v>11257</v>
      </c>
      <c r="NKI1" t="s">
        <v>11258</v>
      </c>
      <c r="NKJ1" t="s">
        <v>11259</v>
      </c>
      <c r="NKK1" t="s">
        <v>11260</v>
      </c>
      <c r="NKL1" t="s">
        <v>11261</v>
      </c>
      <c r="NKM1" t="s">
        <v>11262</v>
      </c>
      <c r="NKN1" t="s">
        <v>11263</v>
      </c>
      <c r="NKO1" t="s">
        <v>11264</v>
      </c>
      <c r="NKP1" t="s">
        <v>11265</v>
      </c>
      <c r="NKQ1" t="s">
        <v>11266</v>
      </c>
      <c r="NKR1" t="s">
        <v>11267</v>
      </c>
      <c r="NKS1" t="s">
        <v>11268</v>
      </c>
      <c r="NKT1" t="s">
        <v>11269</v>
      </c>
      <c r="NKU1" t="s">
        <v>11270</v>
      </c>
      <c r="NKV1" t="s">
        <v>11271</v>
      </c>
      <c r="NKW1" t="s">
        <v>11272</v>
      </c>
      <c r="NKX1" t="s">
        <v>11273</v>
      </c>
      <c r="NKY1" t="s">
        <v>11274</v>
      </c>
      <c r="NKZ1" t="s">
        <v>11275</v>
      </c>
      <c r="NLA1" t="s">
        <v>11276</v>
      </c>
      <c r="NLB1" t="s">
        <v>11277</v>
      </c>
      <c r="NLC1" t="s">
        <v>11278</v>
      </c>
      <c r="NLD1" t="s">
        <v>11279</v>
      </c>
      <c r="NLE1" t="s">
        <v>11280</v>
      </c>
      <c r="NLF1" t="s">
        <v>11281</v>
      </c>
      <c r="NLG1" t="s">
        <v>11282</v>
      </c>
      <c r="NLH1" t="s">
        <v>11283</v>
      </c>
      <c r="NLI1" t="s">
        <v>11284</v>
      </c>
      <c r="NLJ1" t="s">
        <v>11285</v>
      </c>
      <c r="NLK1" t="s">
        <v>11286</v>
      </c>
      <c r="NLL1" t="s">
        <v>11287</v>
      </c>
      <c r="NLM1" t="s">
        <v>11288</v>
      </c>
      <c r="NLN1" t="s">
        <v>11289</v>
      </c>
      <c r="NLO1" t="s">
        <v>11290</v>
      </c>
      <c r="NLP1" t="s">
        <v>11291</v>
      </c>
      <c r="NLQ1" t="s">
        <v>11292</v>
      </c>
      <c r="NLR1" t="s">
        <v>11293</v>
      </c>
      <c r="NLS1" t="s">
        <v>11294</v>
      </c>
      <c r="NLT1" t="s">
        <v>11295</v>
      </c>
      <c r="NLU1" t="s">
        <v>11296</v>
      </c>
      <c r="NLV1" t="s">
        <v>11297</v>
      </c>
      <c r="NLW1" t="s">
        <v>11298</v>
      </c>
      <c r="NLX1" t="s">
        <v>11299</v>
      </c>
      <c r="NLY1" t="s">
        <v>11300</v>
      </c>
      <c r="NLZ1" t="s">
        <v>11301</v>
      </c>
      <c r="NMA1" t="s">
        <v>11302</v>
      </c>
      <c r="NMB1" t="s">
        <v>11303</v>
      </c>
      <c r="NMC1" t="s">
        <v>11304</v>
      </c>
      <c r="NMD1" t="s">
        <v>11305</v>
      </c>
      <c r="NME1" t="s">
        <v>11306</v>
      </c>
      <c r="NMF1" t="s">
        <v>11307</v>
      </c>
      <c r="NMG1" t="s">
        <v>11308</v>
      </c>
      <c r="NMH1" t="s">
        <v>11309</v>
      </c>
      <c r="NMI1" t="s">
        <v>11310</v>
      </c>
      <c r="NMJ1" t="s">
        <v>11311</v>
      </c>
      <c r="NMK1" t="s">
        <v>11312</v>
      </c>
      <c r="NML1" t="s">
        <v>11313</v>
      </c>
      <c r="NMM1" t="s">
        <v>11314</v>
      </c>
      <c r="NMN1" t="s">
        <v>11315</v>
      </c>
      <c r="NMO1" t="s">
        <v>11316</v>
      </c>
      <c r="NMP1" t="s">
        <v>11317</v>
      </c>
      <c r="NMQ1" t="s">
        <v>11318</v>
      </c>
      <c r="NMR1" t="s">
        <v>11319</v>
      </c>
      <c r="NMS1" t="s">
        <v>11320</v>
      </c>
      <c r="NMT1" t="s">
        <v>11321</v>
      </c>
      <c r="NMU1" t="s">
        <v>11322</v>
      </c>
      <c r="NMV1" t="s">
        <v>11323</v>
      </c>
      <c r="NMW1" t="s">
        <v>11324</v>
      </c>
      <c r="NMX1" t="s">
        <v>11325</v>
      </c>
      <c r="NMY1" t="s">
        <v>11326</v>
      </c>
      <c r="NMZ1" t="s">
        <v>11327</v>
      </c>
      <c r="NNA1" t="s">
        <v>11328</v>
      </c>
      <c r="NNB1" t="s">
        <v>11329</v>
      </c>
      <c r="NNC1" t="s">
        <v>11330</v>
      </c>
      <c r="NND1" t="s">
        <v>11331</v>
      </c>
      <c r="NNE1" t="s">
        <v>11332</v>
      </c>
      <c r="NNF1" t="s">
        <v>11333</v>
      </c>
      <c r="NNG1" t="s">
        <v>11334</v>
      </c>
      <c r="NNH1" t="s">
        <v>11335</v>
      </c>
      <c r="NNI1" t="s">
        <v>11336</v>
      </c>
      <c r="NNJ1" t="s">
        <v>11337</v>
      </c>
      <c r="NNK1" t="s">
        <v>11338</v>
      </c>
      <c r="NNL1" t="s">
        <v>11339</v>
      </c>
      <c r="NNM1" t="s">
        <v>11340</v>
      </c>
      <c r="NNN1" t="s">
        <v>11341</v>
      </c>
      <c r="NNO1" t="s">
        <v>11342</v>
      </c>
      <c r="NNP1" t="s">
        <v>11343</v>
      </c>
      <c r="NNQ1" t="s">
        <v>11344</v>
      </c>
      <c r="NNR1" t="s">
        <v>11345</v>
      </c>
      <c r="NNS1" t="s">
        <v>11346</v>
      </c>
      <c r="NNT1" t="s">
        <v>11347</v>
      </c>
      <c r="NNU1" t="s">
        <v>11348</v>
      </c>
      <c r="NNV1" t="s">
        <v>11349</v>
      </c>
      <c r="NNW1" t="s">
        <v>11350</v>
      </c>
      <c r="NNX1" t="s">
        <v>11351</v>
      </c>
      <c r="NNY1" t="s">
        <v>11352</v>
      </c>
      <c r="NNZ1" t="s">
        <v>11353</v>
      </c>
      <c r="NOA1" t="s">
        <v>11354</v>
      </c>
      <c r="NOB1" t="s">
        <v>11355</v>
      </c>
      <c r="NOC1" t="s">
        <v>11356</v>
      </c>
      <c r="NOD1" t="s">
        <v>11357</v>
      </c>
      <c r="NOE1" t="s">
        <v>11358</v>
      </c>
      <c r="NOF1" t="s">
        <v>11359</v>
      </c>
      <c r="NOG1" t="s">
        <v>11360</v>
      </c>
      <c r="NOH1" t="s">
        <v>11361</v>
      </c>
      <c r="NOI1" t="s">
        <v>11362</v>
      </c>
      <c r="NOJ1" t="s">
        <v>11363</v>
      </c>
      <c r="NOK1" t="s">
        <v>11364</v>
      </c>
      <c r="NOL1" t="s">
        <v>11365</v>
      </c>
      <c r="NOM1" t="s">
        <v>11366</v>
      </c>
      <c r="NON1" t="s">
        <v>11367</v>
      </c>
      <c r="NOO1" t="s">
        <v>11368</v>
      </c>
      <c r="NOP1" t="s">
        <v>11369</v>
      </c>
      <c r="NOQ1" t="s">
        <v>11370</v>
      </c>
      <c r="NOR1" t="s">
        <v>11371</v>
      </c>
      <c r="NOS1" t="s">
        <v>11372</v>
      </c>
      <c r="NOT1" t="s">
        <v>11373</v>
      </c>
      <c r="NOU1" t="s">
        <v>11374</v>
      </c>
      <c r="NOV1" t="s">
        <v>11375</v>
      </c>
      <c r="NOW1" t="s">
        <v>11376</v>
      </c>
      <c r="NOX1" t="s">
        <v>11377</v>
      </c>
      <c r="NOY1" t="s">
        <v>11378</v>
      </c>
      <c r="NOZ1" t="s">
        <v>11379</v>
      </c>
      <c r="NPA1" t="s">
        <v>11380</v>
      </c>
      <c r="NPB1" t="s">
        <v>11381</v>
      </c>
      <c r="NPC1" t="s">
        <v>11382</v>
      </c>
      <c r="NPD1" t="s">
        <v>11383</v>
      </c>
      <c r="NPE1" t="s">
        <v>11384</v>
      </c>
      <c r="NPF1" t="s">
        <v>11385</v>
      </c>
      <c r="NPG1" t="s">
        <v>11386</v>
      </c>
      <c r="NPH1" t="s">
        <v>11387</v>
      </c>
      <c r="NPI1" t="s">
        <v>11388</v>
      </c>
      <c r="NPJ1" t="s">
        <v>11389</v>
      </c>
      <c r="NPK1" t="s">
        <v>11390</v>
      </c>
      <c r="NPL1" t="s">
        <v>11391</v>
      </c>
      <c r="NPM1" t="s">
        <v>11392</v>
      </c>
      <c r="NPN1" t="s">
        <v>11393</v>
      </c>
      <c r="NPO1" t="s">
        <v>11394</v>
      </c>
      <c r="NPP1" t="s">
        <v>11395</v>
      </c>
      <c r="NPQ1" t="s">
        <v>11396</v>
      </c>
      <c r="NPR1" t="s">
        <v>11397</v>
      </c>
      <c r="NPS1" t="s">
        <v>11398</v>
      </c>
      <c r="NPT1" t="s">
        <v>11399</v>
      </c>
      <c r="NPU1" t="s">
        <v>11400</v>
      </c>
      <c r="NPV1" t="s">
        <v>11401</v>
      </c>
      <c r="NPW1" t="s">
        <v>11402</v>
      </c>
      <c r="NPX1" t="s">
        <v>11403</v>
      </c>
      <c r="NPY1" t="s">
        <v>11404</v>
      </c>
      <c r="NPZ1" t="s">
        <v>11405</v>
      </c>
      <c r="NQA1" t="s">
        <v>11406</v>
      </c>
      <c r="NQB1" t="s">
        <v>11407</v>
      </c>
      <c r="NQC1" t="s">
        <v>11408</v>
      </c>
      <c r="NQD1" t="s">
        <v>11409</v>
      </c>
      <c r="NQE1" t="s">
        <v>11410</v>
      </c>
      <c r="NQF1" t="s">
        <v>11411</v>
      </c>
      <c r="NQG1" t="s">
        <v>11412</v>
      </c>
      <c r="NQH1" t="s">
        <v>11413</v>
      </c>
      <c r="NQI1" t="s">
        <v>11414</v>
      </c>
      <c r="NQJ1" t="s">
        <v>11415</v>
      </c>
      <c r="NQK1" t="s">
        <v>11416</v>
      </c>
      <c r="NQL1" t="s">
        <v>11417</v>
      </c>
      <c r="NQM1" t="s">
        <v>11418</v>
      </c>
      <c r="NQN1" t="s">
        <v>11419</v>
      </c>
      <c r="NQO1" t="s">
        <v>11420</v>
      </c>
      <c r="NQP1" t="s">
        <v>11421</v>
      </c>
      <c r="NQQ1" t="s">
        <v>11422</v>
      </c>
      <c r="NQR1" t="s">
        <v>11423</v>
      </c>
      <c r="NQS1" t="s">
        <v>11424</v>
      </c>
      <c r="NQT1" t="s">
        <v>11425</v>
      </c>
      <c r="NQU1" t="s">
        <v>11426</v>
      </c>
      <c r="NQV1" t="s">
        <v>11427</v>
      </c>
      <c r="NQW1" t="s">
        <v>11428</v>
      </c>
      <c r="NQX1" t="s">
        <v>11429</v>
      </c>
      <c r="NQY1" t="s">
        <v>11430</v>
      </c>
      <c r="NQZ1" t="s">
        <v>11431</v>
      </c>
      <c r="NRA1" t="s">
        <v>11432</v>
      </c>
      <c r="NRB1" t="s">
        <v>11433</v>
      </c>
      <c r="NRC1" t="s">
        <v>11434</v>
      </c>
      <c r="NRD1" t="s">
        <v>11435</v>
      </c>
      <c r="NRE1" t="s">
        <v>11436</v>
      </c>
      <c r="NRF1" t="s">
        <v>11437</v>
      </c>
      <c r="NRG1" t="s">
        <v>11438</v>
      </c>
      <c r="NRH1" t="s">
        <v>11439</v>
      </c>
      <c r="NRI1" t="s">
        <v>11440</v>
      </c>
      <c r="NRJ1" t="s">
        <v>11441</v>
      </c>
      <c r="NRK1" t="s">
        <v>11442</v>
      </c>
      <c r="NRL1" t="s">
        <v>11443</v>
      </c>
      <c r="NRM1" t="s">
        <v>11444</v>
      </c>
      <c r="NRN1" t="s">
        <v>11445</v>
      </c>
      <c r="NRO1" t="s">
        <v>11446</v>
      </c>
      <c r="NRP1" t="s">
        <v>11447</v>
      </c>
      <c r="NRQ1" t="s">
        <v>11448</v>
      </c>
      <c r="NRR1" t="s">
        <v>11449</v>
      </c>
      <c r="NRS1" t="s">
        <v>11450</v>
      </c>
      <c r="NRT1" t="s">
        <v>11451</v>
      </c>
      <c r="NRU1" t="s">
        <v>11452</v>
      </c>
      <c r="NRV1" t="s">
        <v>11453</v>
      </c>
      <c r="NRW1" t="s">
        <v>11454</v>
      </c>
      <c r="NRX1" t="s">
        <v>11455</v>
      </c>
      <c r="NRY1" t="s">
        <v>11456</v>
      </c>
      <c r="NRZ1" t="s">
        <v>11457</v>
      </c>
      <c r="NSA1" t="s">
        <v>11458</v>
      </c>
      <c r="NSB1" t="s">
        <v>11459</v>
      </c>
      <c r="NSC1" t="s">
        <v>11460</v>
      </c>
      <c r="NSD1" t="s">
        <v>11461</v>
      </c>
      <c r="NSE1" t="s">
        <v>11462</v>
      </c>
      <c r="NSF1" t="s">
        <v>11463</v>
      </c>
      <c r="NSG1" t="s">
        <v>11464</v>
      </c>
      <c r="NSH1" t="s">
        <v>11465</v>
      </c>
      <c r="NSI1" t="s">
        <v>11466</v>
      </c>
      <c r="NSJ1" t="s">
        <v>11467</v>
      </c>
      <c r="NSK1" t="s">
        <v>11468</v>
      </c>
      <c r="NSL1" t="s">
        <v>11469</v>
      </c>
      <c r="NSM1" t="s">
        <v>11470</v>
      </c>
      <c r="NSN1" t="s">
        <v>11471</v>
      </c>
      <c r="NSO1" t="s">
        <v>11472</v>
      </c>
      <c r="NSP1" t="s">
        <v>11473</v>
      </c>
      <c r="NSQ1" t="s">
        <v>11474</v>
      </c>
      <c r="NSR1" t="s">
        <v>11475</v>
      </c>
      <c r="NSS1" t="s">
        <v>11476</v>
      </c>
      <c r="NST1" t="s">
        <v>11477</v>
      </c>
      <c r="NSU1" t="s">
        <v>11478</v>
      </c>
      <c r="NSV1" t="s">
        <v>11479</v>
      </c>
      <c r="NSW1" t="s">
        <v>11480</v>
      </c>
      <c r="NSX1" t="s">
        <v>11481</v>
      </c>
      <c r="NSY1" t="s">
        <v>11482</v>
      </c>
      <c r="NSZ1" t="s">
        <v>11483</v>
      </c>
      <c r="NTA1" t="s">
        <v>11484</v>
      </c>
      <c r="NTB1" t="s">
        <v>11485</v>
      </c>
      <c r="NTC1" t="s">
        <v>11486</v>
      </c>
      <c r="NTD1" t="s">
        <v>11487</v>
      </c>
      <c r="NTE1" t="s">
        <v>11488</v>
      </c>
      <c r="NTF1" t="s">
        <v>11489</v>
      </c>
      <c r="NTG1" t="s">
        <v>11490</v>
      </c>
      <c r="NTH1" t="s">
        <v>11491</v>
      </c>
      <c r="NTI1" t="s">
        <v>11492</v>
      </c>
      <c r="NTJ1" t="s">
        <v>11493</v>
      </c>
      <c r="NTK1" t="s">
        <v>11494</v>
      </c>
      <c r="NTL1" t="s">
        <v>11495</v>
      </c>
      <c r="NTM1" t="s">
        <v>11496</v>
      </c>
      <c r="NTN1" t="s">
        <v>11497</v>
      </c>
      <c r="NTO1" t="s">
        <v>11498</v>
      </c>
      <c r="NTP1" t="s">
        <v>11499</v>
      </c>
      <c r="NTQ1" t="s">
        <v>11500</v>
      </c>
      <c r="NTR1" t="s">
        <v>11501</v>
      </c>
      <c r="NTS1" t="s">
        <v>11502</v>
      </c>
      <c r="NTT1" t="s">
        <v>11503</v>
      </c>
      <c r="NTU1" t="s">
        <v>11504</v>
      </c>
      <c r="NTV1" t="s">
        <v>11505</v>
      </c>
      <c r="NTW1" t="s">
        <v>11506</v>
      </c>
      <c r="NTX1" t="s">
        <v>11507</v>
      </c>
      <c r="NTY1" t="s">
        <v>11508</v>
      </c>
      <c r="NTZ1" t="s">
        <v>11509</v>
      </c>
      <c r="NUA1" t="s">
        <v>11510</v>
      </c>
      <c r="NUB1" t="s">
        <v>11511</v>
      </c>
      <c r="NUC1" t="s">
        <v>11512</v>
      </c>
      <c r="NUD1" t="s">
        <v>11513</v>
      </c>
      <c r="NUE1" t="s">
        <v>11514</v>
      </c>
      <c r="NUF1" t="s">
        <v>11515</v>
      </c>
      <c r="NUG1" t="s">
        <v>11516</v>
      </c>
      <c r="NUH1" t="s">
        <v>11517</v>
      </c>
      <c r="NUI1" t="s">
        <v>11518</v>
      </c>
      <c r="NUJ1" t="s">
        <v>11519</v>
      </c>
      <c r="NUK1" t="s">
        <v>11520</v>
      </c>
      <c r="NUL1" t="s">
        <v>11521</v>
      </c>
      <c r="NUM1" t="s">
        <v>11522</v>
      </c>
      <c r="NUN1" t="s">
        <v>11523</v>
      </c>
      <c r="NUO1" t="s">
        <v>11524</v>
      </c>
      <c r="NUP1" t="s">
        <v>11525</v>
      </c>
      <c r="NUQ1" t="s">
        <v>11526</v>
      </c>
      <c r="NUR1" t="s">
        <v>11527</v>
      </c>
      <c r="NUS1" t="s">
        <v>11528</v>
      </c>
      <c r="NUT1" t="s">
        <v>11529</v>
      </c>
      <c r="NUU1" t="s">
        <v>11530</v>
      </c>
      <c r="NUV1" t="s">
        <v>11531</v>
      </c>
      <c r="NUW1" t="s">
        <v>11532</v>
      </c>
      <c r="NUX1" t="s">
        <v>11533</v>
      </c>
      <c r="NUY1" t="s">
        <v>11534</v>
      </c>
      <c r="NUZ1" t="s">
        <v>11535</v>
      </c>
      <c r="NVA1" t="s">
        <v>11536</v>
      </c>
      <c r="NVB1" t="s">
        <v>11537</v>
      </c>
      <c r="NVC1" t="s">
        <v>11538</v>
      </c>
      <c r="NVD1" t="s">
        <v>11539</v>
      </c>
      <c r="NVE1" t="s">
        <v>11540</v>
      </c>
      <c r="NVF1" t="s">
        <v>11541</v>
      </c>
      <c r="NVG1" t="s">
        <v>11542</v>
      </c>
      <c r="NVH1" t="s">
        <v>11543</v>
      </c>
      <c r="NVI1" t="s">
        <v>11544</v>
      </c>
      <c r="NVJ1" t="s">
        <v>11545</v>
      </c>
      <c r="NVK1" t="s">
        <v>11546</v>
      </c>
      <c r="NVL1" t="s">
        <v>11547</v>
      </c>
      <c r="NVM1" t="s">
        <v>11548</v>
      </c>
      <c r="NVN1" t="s">
        <v>11549</v>
      </c>
      <c r="NVO1" t="s">
        <v>11550</v>
      </c>
      <c r="NVP1" t="s">
        <v>11551</v>
      </c>
      <c r="NVQ1" t="s">
        <v>11552</v>
      </c>
      <c r="NVR1" t="s">
        <v>11553</v>
      </c>
      <c r="NVS1" t="s">
        <v>11554</v>
      </c>
      <c r="NVT1" t="s">
        <v>11555</v>
      </c>
      <c r="NVU1" t="s">
        <v>11556</v>
      </c>
      <c r="NVV1" t="s">
        <v>11557</v>
      </c>
      <c r="NVW1" t="s">
        <v>11558</v>
      </c>
      <c r="NVX1" t="s">
        <v>11559</v>
      </c>
      <c r="NVY1" t="s">
        <v>11560</v>
      </c>
      <c r="NVZ1" t="s">
        <v>11561</v>
      </c>
      <c r="NWA1" t="s">
        <v>11562</v>
      </c>
      <c r="NWB1" t="s">
        <v>11563</v>
      </c>
      <c r="NWC1" t="s">
        <v>11564</v>
      </c>
      <c r="NWD1" t="s">
        <v>11565</v>
      </c>
      <c r="NWE1" t="s">
        <v>11566</v>
      </c>
      <c r="NWF1" t="s">
        <v>11567</v>
      </c>
      <c r="NWG1" t="s">
        <v>11568</v>
      </c>
      <c r="NWH1" t="s">
        <v>11569</v>
      </c>
      <c r="NWI1" t="s">
        <v>11570</v>
      </c>
      <c r="NWJ1" t="s">
        <v>11571</v>
      </c>
      <c r="NWK1" t="s">
        <v>11572</v>
      </c>
      <c r="NWL1" t="s">
        <v>11573</v>
      </c>
      <c r="NWM1" t="s">
        <v>11574</v>
      </c>
      <c r="NWN1" t="s">
        <v>11575</v>
      </c>
      <c r="NWO1" t="s">
        <v>11576</v>
      </c>
      <c r="NWP1" t="s">
        <v>11577</v>
      </c>
      <c r="NWQ1" t="s">
        <v>11578</v>
      </c>
      <c r="NWR1" t="s">
        <v>11579</v>
      </c>
      <c r="NWS1" t="s">
        <v>11580</v>
      </c>
      <c r="NWT1" t="s">
        <v>11581</v>
      </c>
      <c r="NWU1" t="s">
        <v>11582</v>
      </c>
      <c r="NWV1" t="s">
        <v>11583</v>
      </c>
      <c r="NWW1" t="s">
        <v>11584</v>
      </c>
      <c r="NWX1" t="s">
        <v>11585</v>
      </c>
      <c r="NWY1" t="s">
        <v>11586</v>
      </c>
      <c r="NWZ1" t="s">
        <v>11587</v>
      </c>
      <c r="NXA1" t="s">
        <v>11588</v>
      </c>
      <c r="NXB1" t="s">
        <v>11589</v>
      </c>
      <c r="NXC1" t="s">
        <v>11590</v>
      </c>
      <c r="NXD1" t="s">
        <v>11591</v>
      </c>
      <c r="NXE1" t="s">
        <v>11592</v>
      </c>
      <c r="NXF1" t="s">
        <v>11593</v>
      </c>
      <c r="NXG1" t="s">
        <v>11594</v>
      </c>
      <c r="NXH1" t="s">
        <v>11595</v>
      </c>
      <c r="NXI1" t="s">
        <v>11596</v>
      </c>
      <c r="NXJ1" t="s">
        <v>11597</v>
      </c>
      <c r="NXK1" t="s">
        <v>11598</v>
      </c>
      <c r="NXL1" t="s">
        <v>11599</v>
      </c>
      <c r="NXM1" t="s">
        <v>11600</v>
      </c>
      <c r="NXN1" t="s">
        <v>11601</v>
      </c>
      <c r="NXO1" t="s">
        <v>11602</v>
      </c>
      <c r="NXP1" t="s">
        <v>11603</v>
      </c>
      <c r="NXQ1" t="s">
        <v>11604</v>
      </c>
      <c r="NXR1" t="s">
        <v>11605</v>
      </c>
      <c r="NXS1" t="s">
        <v>11606</v>
      </c>
      <c r="NXT1" t="s">
        <v>11607</v>
      </c>
      <c r="NXU1" t="s">
        <v>11608</v>
      </c>
      <c r="NXV1" t="s">
        <v>11609</v>
      </c>
      <c r="NXW1" t="s">
        <v>11610</v>
      </c>
      <c r="NXX1" t="s">
        <v>11611</v>
      </c>
      <c r="NXY1" t="s">
        <v>11612</v>
      </c>
      <c r="NXZ1" t="s">
        <v>11613</v>
      </c>
      <c r="NYA1" t="s">
        <v>11614</v>
      </c>
      <c r="NYB1" t="s">
        <v>11615</v>
      </c>
      <c r="NYC1" t="s">
        <v>11616</v>
      </c>
      <c r="NYD1" t="s">
        <v>11617</v>
      </c>
      <c r="NYE1" t="s">
        <v>11618</v>
      </c>
      <c r="NYF1" t="s">
        <v>11619</v>
      </c>
      <c r="NYG1" t="s">
        <v>11620</v>
      </c>
      <c r="NYH1" t="s">
        <v>11621</v>
      </c>
      <c r="NYI1" t="s">
        <v>11622</v>
      </c>
      <c r="NYJ1" t="s">
        <v>11623</v>
      </c>
      <c r="NYK1" t="s">
        <v>11624</v>
      </c>
      <c r="NYL1" t="s">
        <v>11625</v>
      </c>
      <c r="NYM1" t="s">
        <v>11626</v>
      </c>
      <c r="NYN1" t="s">
        <v>11627</v>
      </c>
      <c r="NYO1" t="s">
        <v>11628</v>
      </c>
      <c r="NYP1" t="s">
        <v>11629</v>
      </c>
      <c r="NYQ1" t="s">
        <v>11630</v>
      </c>
      <c r="NYR1" t="s">
        <v>11631</v>
      </c>
      <c r="NYS1" t="s">
        <v>11632</v>
      </c>
      <c r="NYT1" t="s">
        <v>11633</v>
      </c>
      <c r="NYU1" t="s">
        <v>11634</v>
      </c>
      <c r="NYV1" t="s">
        <v>11635</v>
      </c>
      <c r="NYW1" t="s">
        <v>11636</v>
      </c>
      <c r="NYX1" t="s">
        <v>11637</v>
      </c>
      <c r="NYY1" t="s">
        <v>11638</v>
      </c>
      <c r="NYZ1" t="s">
        <v>11639</v>
      </c>
      <c r="NZA1" t="s">
        <v>11640</v>
      </c>
      <c r="NZB1" t="s">
        <v>11641</v>
      </c>
      <c r="NZC1" t="s">
        <v>11642</v>
      </c>
      <c r="NZD1" t="s">
        <v>11643</v>
      </c>
      <c r="NZE1" t="s">
        <v>11644</v>
      </c>
      <c r="NZF1" t="s">
        <v>11645</v>
      </c>
      <c r="NZG1" t="s">
        <v>11646</v>
      </c>
      <c r="NZH1" t="s">
        <v>11647</v>
      </c>
      <c r="NZI1" t="s">
        <v>11648</v>
      </c>
      <c r="NZJ1" t="s">
        <v>11649</v>
      </c>
      <c r="NZK1" t="s">
        <v>11650</v>
      </c>
      <c r="NZL1" t="s">
        <v>11651</v>
      </c>
      <c r="NZM1" t="s">
        <v>11652</v>
      </c>
      <c r="NZN1" t="s">
        <v>11653</v>
      </c>
      <c r="NZO1" t="s">
        <v>11654</v>
      </c>
      <c r="NZP1" t="s">
        <v>11655</v>
      </c>
      <c r="NZQ1" t="s">
        <v>11656</v>
      </c>
      <c r="NZR1" t="s">
        <v>11657</v>
      </c>
      <c r="NZS1" t="s">
        <v>11658</v>
      </c>
      <c r="NZT1" t="s">
        <v>11659</v>
      </c>
      <c r="NZU1" t="s">
        <v>11660</v>
      </c>
      <c r="NZV1" t="s">
        <v>11661</v>
      </c>
      <c r="NZW1" t="s">
        <v>11662</v>
      </c>
      <c r="NZX1" t="s">
        <v>11663</v>
      </c>
      <c r="NZY1" t="s">
        <v>11664</v>
      </c>
      <c r="NZZ1" t="s">
        <v>11665</v>
      </c>
      <c r="OAA1" t="s">
        <v>11666</v>
      </c>
      <c r="OAB1" t="s">
        <v>11667</v>
      </c>
      <c r="OAC1" t="s">
        <v>11668</v>
      </c>
      <c r="OAD1" t="s">
        <v>11669</v>
      </c>
      <c r="OAE1" t="s">
        <v>11670</v>
      </c>
      <c r="OAF1" t="s">
        <v>11671</v>
      </c>
      <c r="OAG1" t="s">
        <v>11672</v>
      </c>
      <c r="OAH1" t="s">
        <v>11673</v>
      </c>
      <c r="OAI1" t="s">
        <v>11674</v>
      </c>
      <c r="OAJ1" t="s">
        <v>11675</v>
      </c>
      <c r="OAK1" t="s">
        <v>11676</v>
      </c>
      <c r="OAL1" t="s">
        <v>11677</v>
      </c>
      <c r="OAM1" t="s">
        <v>11678</v>
      </c>
      <c r="OAN1" t="s">
        <v>11679</v>
      </c>
      <c r="OAO1" t="s">
        <v>11680</v>
      </c>
      <c r="OAP1" t="s">
        <v>11681</v>
      </c>
      <c r="OAQ1" t="s">
        <v>11682</v>
      </c>
      <c r="OAR1" t="s">
        <v>11683</v>
      </c>
      <c r="OAS1" t="s">
        <v>11684</v>
      </c>
      <c r="OAT1" t="s">
        <v>11685</v>
      </c>
      <c r="OAU1" t="s">
        <v>11686</v>
      </c>
      <c r="OAV1" t="s">
        <v>11687</v>
      </c>
      <c r="OAW1" t="s">
        <v>11688</v>
      </c>
      <c r="OAX1" t="s">
        <v>11689</v>
      </c>
      <c r="OAY1" t="s">
        <v>11690</v>
      </c>
      <c r="OAZ1" t="s">
        <v>11691</v>
      </c>
      <c r="OBA1" t="s">
        <v>11692</v>
      </c>
      <c r="OBB1" t="s">
        <v>11693</v>
      </c>
      <c r="OBC1" t="s">
        <v>11694</v>
      </c>
      <c r="OBD1" t="s">
        <v>11695</v>
      </c>
      <c r="OBE1" t="s">
        <v>11696</v>
      </c>
      <c r="OBF1" t="s">
        <v>11697</v>
      </c>
      <c r="OBG1" t="s">
        <v>11698</v>
      </c>
      <c r="OBH1" t="s">
        <v>11699</v>
      </c>
      <c r="OBI1" t="s">
        <v>11700</v>
      </c>
      <c r="OBJ1" t="s">
        <v>11701</v>
      </c>
      <c r="OBK1" t="s">
        <v>11702</v>
      </c>
      <c r="OBL1" t="s">
        <v>11703</v>
      </c>
      <c r="OBM1" t="s">
        <v>11704</v>
      </c>
      <c r="OBN1" t="s">
        <v>11705</v>
      </c>
      <c r="OBO1" t="s">
        <v>11706</v>
      </c>
      <c r="OBP1" t="s">
        <v>11707</v>
      </c>
      <c r="OBQ1" t="s">
        <v>11708</v>
      </c>
      <c r="OBR1" t="s">
        <v>11709</v>
      </c>
      <c r="OBS1" t="s">
        <v>11710</v>
      </c>
      <c r="OBT1" t="s">
        <v>11711</v>
      </c>
      <c r="OBU1" t="s">
        <v>11712</v>
      </c>
      <c r="OBV1" t="s">
        <v>11713</v>
      </c>
      <c r="OBW1" t="s">
        <v>11714</v>
      </c>
      <c r="OBX1" t="s">
        <v>11715</v>
      </c>
      <c r="OBY1" t="s">
        <v>11716</v>
      </c>
      <c r="OBZ1" t="s">
        <v>11717</v>
      </c>
      <c r="OCA1" t="s">
        <v>11718</v>
      </c>
      <c r="OCB1" t="s">
        <v>11719</v>
      </c>
      <c r="OCC1" t="s">
        <v>11720</v>
      </c>
      <c r="OCD1" t="s">
        <v>11721</v>
      </c>
      <c r="OCE1" t="s">
        <v>11722</v>
      </c>
      <c r="OCF1" t="s">
        <v>11723</v>
      </c>
      <c r="OCG1" t="s">
        <v>11724</v>
      </c>
      <c r="OCH1" t="s">
        <v>11725</v>
      </c>
      <c r="OCI1" t="s">
        <v>11726</v>
      </c>
      <c r="OCJ1" t="s">
        <v>11727</v>
      </c>
      <c r="OCK1" t="s">
        <v>11728</v>
      </c>
      <c r="OCL1" t="s">
        <v>11729</v>
      </c>
      <c r="OCM1" t="s">
        <v>11730</v>
      </c>
      <c r="OCN1" t="s">
        <v>11731</v>
      </c>
      <c r="OCO1" t="s">
        <v>11732</v>
      </c>
      <c r="OCP1" t="s">
        <v>11733</v>
      </c>
      <c r="OCQ1" t="s">
        <v>11734</v>
      </c>
      <c r="OCR1" t="s">
        <v>11735</v>
      </c>
      <c r="OCS1" t="s">
        <v>11736</v>
      </c>
      <c r="OCT1" t="s">
        <v>11737</v>
      </c>
      <c r="OCU1" t="s">
        <v>11738</v>
      </c>
      <c r="OCV1" t="s">
        <v>11739</v>
      </c>
      <c r="OCW1" t="s">
        <v>11740</v>
      </c>
      <c r="OCX1" t="s">
        <v>11741</v>
      </c>
      <c r="OCY1" t="s">
        <v>11742</v>
      </c>
      <c r="OCZ1" t="s">
        <v>11743</v>
      </c>
      <c r="ODA1" t="s">
        <v>11744</v>
      </c>
      <c r="ODB1" t="s">
        <v>11745</v>
      </c>
      <c r="ODC1" t="s">
        <v>11746</v>
      </c>
      <c r="ODD1" t="s">
        <v>11747</v>
      </c>
      <c r="ODE1" t="s">
        <v>11748</v>
      </c>
      <c r="ODF1" t="s">
        <v>11749</v>
      </c>
      <c r="ODG1" t="s">
        <v>11750</v>
      </c>
      <c r="ODH1" t="s">
        <v>11751</v>
      </c>
      <c r="ODI1" t="s">
        <v>11752</v>
      </c>
      <c r="ODJ1" t="s">
        <v>11753</v>
      </c>
      <c r="ODK1" t="s">
        <v>11754</v>
      </c>
      <c r="ODL1" t="s">
        <v>11755</v>
      </c>
      <c r="ODM1" t="s">
        <v>11756</v>
      </c>
      <c r="ODN1" t="s">
        <v>11757</v>
      </c>
      <c r="ODO1" t="s">
        <v>11758</v>
      </c>
      <c r="ODP1" t="s">
        <v>11759</v>
      </c>
      <c r="ODQ1" t="s">
        <v>11760</v>
      </c>
      <c r="ODR1" t="s">
        <v>11761</v>
      </c>
      <c r="ODS1" t="s">
        <v>11762</v>
      </c>
      <c r="ODT1" t="s">
        <v>11763</v>
      </c>
      <c r="ODU1" t="s">
        <v>11764</v>
      </c>
      <c r="ODV1" t="s">
        <v>11765</v>
      </c>
      <c r="ODW1" t="s">
        <v>11766</v>
      </c>
      <c r="ODX1" t="s">
        <v>11767</v>
      </c>
      <c r="ODY1" t="s">
        <v>11768</v>
      </c>
      <c r="ODZ1" t="s">
        <v>11769</v>
      </c>
      <c r="OEA1" t="s">
        <v>11770</v>
      </c>
      <c r="OEB1" t="s">
        <v>11771</v>
      </c>
      <c r="OEC1" t="s">
        <v>11772</v>
      </c>
      <c r="OED1" t="s">
        <v>11773</v>
      </c>
      <c r="OEE1" t="s">
        <v>11774</v>
      </c>
      <c r="OEF1" t="s">
        <v>11775</v>
      </c>
      <c r="OEG1" t="s">
        <v>11776</v>
      </c>
      <c r="OEH1" t="s">
        <v>11777</v>
      </c>
      <c r="OEI1" t="s">
        <v>11778</v>
      </c>
      <c r="OEJ1" t="s">
        <v>11779</v>
      </c>
      <c r="OEK1" t="s">
        <v>11780</v>
      </c>
      <c r="OEL1" t="s">
        <v>11781</v>
      </c>
      <c r="OEM1" t="s">
        <v>11782</v>
      </c>
      <c r="OEN1" t="s">
        <v>11783</v>
      </c>
      <c r="OEO1" t="s">
        <v>11784</v>
      </c>
      <c r="OEP1" t="s">
        <v>11785</v>
      </c>
      <c r="OEQ1" t="s">
        <v>11786</v>
      </c>
      <c r="OER1" t="s">
        <v>11787</v>
      </c>
      <c r="OES1" t="s">
        <v>11788</v>
      </c>
      <c r="OET1" t="s">
        <v>11789</v>
      </c>
      <c r="OEU1" t="s">
        <v>11790</v>
      </c>
      <c r="OEV1" t="s">
        <v>11791</v>
      </c>
      <c r="OEW1" t="s">
        <v>11792</v>
      </c>
      <c r="OEX1" t="s">
        <v>11793</v>
      </c>
      <c r="OEY1" t="s">
        <v>11794</v>
      </c>
      <c r="OEZ1" t="s">
        <v>11795</v>
      </c>
      <c r="OFA1" t="s">
        <v>11796</v>
      </c>
      <c r="OFB1" t="s">
        <v>11797</v>
      </c>
      <c r="OFC1" t="s">
        <v>11798</v>
      </c>
      <c r="OFD1" t="s">
        <v>11799</v>
      </c>
      <c r="OFE1" t="s">
        <v>11800</v>
      </c>
      <c r="OFF1" t="s">
        <v>11801</v>
      </c>
      <c r="OFG1" t="s">
        <v>11802</v>
      </c>
      <c r="OFH1" t="s">
        <v>11803</v>
      </c>
      <c r="OFI1" t="s">
        <v>11804</v>
      </c>
      <c r="OFJ1" t="s">
        <v>11805</v>
      </c>
      <c r="OFK1" t="s">
        <v>11806</v>
      </c>
      <c r="OFL1" t="s">
        <v>11807</v>
      </c>
      <c r="OFM1" t="s">
        <v>11808</v>
      </c>
      <c r="OFN1" t="s">
        <v>11809</v>
      </c>
      <c r="OFO1" t="s">
        <v>11810</v>
      </c>
      <c r="OFP1" t="s">
        <v>11811</v>
      </c>
      <c r="OFQ1" t="s">
        <v>11812</v>
      </c>
      <c r="OFR1" t="s">
        <v>11813</v>
      </c>
      <c r="OFS1" t="s">
        <v>11814</v>
      </c>
      <c r="OFT1" t="s">
        <v>11815</v>
      </c>
      <c r="OFU1" t="s">
        <v>11816</v>
      </c>
      <c r="OFV1" t="s">
        <v>11817</v>
      </c>
      <c r="OFW1" t="s">
        <v>11818</v>
      </c>
      <c r="OFX1" t="s">
        <v>11819</v>
      </c>
      <c r="OFY1" t="s">
        <v>11820</v>
      </c>
      <c r="OFZ1" t="s">
        <v>11821</v>
      </c>
      <c r="OGA1" t="s">
        <v>11822</v>
      </c>
      <c r="OGB1" t="s">
        <v>11823</v>
      </c>
      <c r="OGC1" t="s">
        <v>11824</v>
      </c>
      <c r="OGD1" t="s">
        <v>11825</v>
      </c>
      <c r="OGE1" t="s">
        <v>11826</v>
      </c>
      <c r="OGF1" t="s">
        <v>11827</v>
      </c>
      <c r="OGG1" t="s">
        <v>11828</v>
      </c>
      <c r="OGH1" t="s">
        <v>11829</v>
      </c>
      <c r="OGI1" t="s">
        <v>11830</v>
      </c>
      <c r="OGJ1" t="s">
        <v>11831</v>
      </c>
      <c r="OGK1" t="s">
        <v>11832</v>
      </c>
      <c r="OGL1" t="s">
        <v>11833</v>
      </c>
      <c r="OGM1" t="s">
        <v>11834</v>
      </c>
      <c r="OGN1" t="s">
        <v>11835</v>
      </c>
      <c r="OGO1" t="s">
        <v>11836</v>
      </c>
      <c r="OGP1" t="s">
        <v>11837</v>
      </c>
      <c r="OGQ1" t="s">
        <v>11838</v>
      </c>
      <c r="OGR1" t="s">
        <v>11839</v>
      </c>
      <c r="OGS1" t="s">
        <v>11840</v>
      </c>
      <c r="OGT1" t="s">
        <v>11841</v>
      </c>
      <c r="OGU1" t="s">
        <v>11842</v>
      </c>
      <c r="OGV1" t="s">
        <v>11843</v>
      </c>
      <c r="OGW1" t="s">
        <v>11844</v>
      </c>
      <c r="OGX1" t="s">
        <v>11845</v>
      </c>
      <c r="OGY1" t="s">
        <v>11846</v>
      </c>
      <c r="OGZ1" t="s">
        <v>11847</v>
      </c>
      <c r="OHA1" t="s">
        <v>11848</v>
      </c>
      <c r="OHB1" t="s">
        <v>11849</v>
      </c>
      <c r="OHC1" t="s">
        <v>11850</v>
      </c>
      <c r="OHD1" t="s">
        <v>11851</v>
      </c>
      <c r="OHE1" t="s">
        <v>11852</v>
      </c>
      <c r="OHF1" t="s">
        <v>11853</v>
      </c>
      <c r="OHG1" t="s">
        <v>11854</v>
      </c>
      <c r="OHH1" t="s">
        <v>11855</v>
      </c>
      <c r="OHI1" t="s">
        <v>11856</v>
      </c>
      <c r="OHJ1" t="s">
        <v>11857</v>
      </c>
      <c r="OHK1" t="s">
        <v>11858</v>
      </c>
      <c r="OHL1" t="s">
        <v>11859</v>
      </c>
      <c r="OHM1" t="s">
        <v>11860</v>
      </c>
      <c r="OHN1" t="s">
        <v>11861</v>
      </c>
      <c r="OHO1" t="s">
        <v>11862</v>
      </c>
      <c r="OHP1" t="s">
        <v>11863</v>
      </c>
      <c r="OHQ1" t="s">
        <v>11864</v>
      </c>
      <c r="OHR1" t="s">
        <v>11865</v>
      </c>
      <c r="OHS1" t="s">
        <v>11866</v>
      </c>
      <c r="OHT1" t="s">
        <v>11867</v>
      </c>
      <c r="OHU1" t="s">
        <v>11868</v>
      </c>
      <c r="OHV1" t="s">
        <v>11869</v>
      </c>
      <c r="OHW1" t="s">
        <v>11870</v>
      </c>
      <c r="OHX1" t="s">
        <v>11871</v>
      </c>
      <c r="OHY1" t="s">
        <v>11872</v>
      </c>
      <c r="OHZ1" t="s">
        <v>11873</v>
      </c>
      <c r="OIA1" t="s">
        <v>11874</v>
      </c>
      <c r="OIB1" t="s">
        <v>11875</v>
      </c>
      <c r="OIC1" t="s">
        <v>11876</v>
      </c>
      <c r="OID1" t="s">
        <v>11877</v>
      </c>
      <c r="OIE1" t="s">
        <v>11878</v>
      </c>
      <c r="OIF1" t="s">
        <v>11879</v>
      </c>
      <c r="OIG1" t="s">
        <v>11880</v>
      </c>
      <c r="OIH1" t="s">
        <v>11881</v>
      </c>
      <c r="OII1" t="s">
        <v>11882</v>
      </c>
      <c r="OIJ1" t="s">
        <v>11883</v>
      </c>
      <c r="OIK1" t="s">
        <v>11884</v>
      </c>
      <c r="OIL1" t="s">
        <v>11885</v>
      </c>
      <c r="OIM1" t="s">
        <v>11886</v>
      </c>
      <c r="OIN1" t="s">
        <v>11887</v>
      </c>
      <c r="OIO1" t="s">
        <v>11888</v>
      </c>
      <c r="OIP1" t="s">
        <v>11889</v>
      </c>
      <c r="OIQ1" t="s">
        <v>11890</v>
      </c>
      <c r="OIR1" t="s">
        <v>11891</v>
      </c>
      <c r="OIS1" t="s">
        <v>11892</v>
      </c>
      <c r="OIT1" t="s">
        <v>11893</v>
      </c>
      <c r="OIU1" t="s">
        <v>11894</v>
      </c>
      <c r="OIV1" t="s">
        <v>11895</v>
      </c>
      <c r="OIW1" t="s">
        <v>11896</v>
      </c>
      <c r="OIX1" t="s">
        <v>11897</v>
      </c>
      <c r="OIY1" t="s">
        <v>11898</v>
      </c>
      <c r="OIZ1" t="s">
        <v>11899</v>
      </c>
      <c r="OJA1" t="s">
        <v>11900</v>
      </c>
      <c r="OJB1" t="s">
        <v>11901</v>
      </c>
      <c r="OJC1" t="s">
        <v>11902</v>
      </c>
      <c r="OJD1" t="s">
        <v>11903</v>
      </c>
      <c r="OJE1" t="s">
        <v>11904</v>
      </c>
      <c r="OJF1" t="s">
        <v>11905</v>
      </c>
      <c r="OJG1" t="s">
        <v>11906</v>
      </c>
      <c r="OJH1" t="s">
        <v>11907</v>
      </c>
      <c r="OJI1" t="s">
        <v>11908</v>
      </c>
      <c r="OJJ1" t="s">
        <v>11909</v>
      </c>
      <c r="OJK1" t="s">
        <v>11910</v>
      </c>
      <c r="OJL1" t="s">
        <v>11911</v>
      </c>
      <c r="OJM1" t="s">
        <v>11912</v>
      </c>
      <c r="OJN1" t="s">
        <v>11913</v>
      </c>
      <c r="OJO1" t="s">
        <v>11914</v>
      </c>
      <c r="OJP1" t="s">
        <v>11915</v>
      </c>
      <c r="OJQ1" t="s">
        <v>11916</v>
      </c>
      <c r="OJR1" t="s">
        <v>11917</v>
      </c>
      <c r="OJS1" t="s">
        <v>11918</v>
      </c>
      <c r="OJT1" t="s">
        <v>11919</v>
      </c>
      <c r="OJU1" t="s">
        <v>11920</v>
      </c>
      <c r="OJV1" t="s">
        <v>11921</v>
      </c>
      <c r="OJW1" t="s">
        <v>11922</v>
      </c>
      <c r="OJX1" t="s">
        <v>11923</v>
      </c>
      <c r="OJY1" t="s">
        <v>11924</v>
      </c>
      <c r="OJZ1" t="s">
        <v>11925</v>
      </c>
      <c r="OKA1" t="s">
        <v>11926</v>
      </c>
      <c r="OKB1" t="s">
        <v>11927</v>
      </c>
      <c r="OKC1" t="s">
        <v>11928</v>
      </c>
      <c r="OKD1" t="s">
        <v>11929</v>
      </c>
      <c r="OKE1" t="s">
        <v>11930</v>
      </c>
      <c r="OKF1" t="s">
        <v>11931</v>
      </c>
      <c r="OKG1" t="s">
        <v>11932</v>
      </c>
      <c r="OKH1" t="s">
        <v>11933</v>
      </c>
      <c r="OKI1" t="s">
        <v>11934</v>
      </c>
      <c r="OKJ1" t="s">
        <v>11935</v>
      </c>
      <c r="OKK1" t="s">
        <v>11936</v>
      </c>
      <c r="OKL1" t="s">
        <v>11937</v>
      </c>
      <c r="OKM1" t="s">
        <v>11938</v>
      </c>
      <c r="OKN1" t="s">
        <v>11939</v>
      </c>
      <c r="OKO1" t="s">
        <v>11940</v>
      </c>
      <c r="OKP1" t="s">
        <v>11941</v>
      </c>
      <c r="OKQ1" t="s">
        <v>11942</v>
      </c>
      <c r="OKR1" t="s">
        <v>11943</v>
      </c>
      <c r="OKS1" t="s">
        <v>11944</v>
      </c>
      <c r="OKT1" t="s">
        <v>11945</v>
      </c>
      <c r="OKU1" t="s">
        <v>11946</v>
      </c>
      <c r="OKV1" t="s">
        <v>11947</v>
      </c>
      <c r="OKW1" t="s">
        <v>11948</v>
      </c>
      <c r="OKX1" t="s">
        <v>11949</v>
      </c>
      <c r="OKY1" t="s">
        <v>11950</v>
      </c>
      <c r="OKZ1" t="s">
        <v>11951</v>
      </c>
      <c r="OLA1" t="s">
        <v>11952</v>
      </c>
      <c r="OLB1" t="s">
        <v>11953</v>
      </c>
      <c r="OLC1" t="s">
        <v>11954</v>
      </c>
      <c r="OLD1" t="s">
        <v>11955</v>
      </c>
      <c r="OLE1" t="s">
        <v>11956</v>
      </c>
      <c r="OLF1" t="s">
        <v>11957</v>
      </c>
      <c r="OLG1" t="s">
        <v>11958</v>
      </c>
      <c r="OLH1" t="s">
        <v>11959</v>
      </c>
      <c r="OLI1" t="s">
        <v>11960</v>
      </c>
      <c r="OLJ1" t="s">
        <v>11961</v>
      </c>
      <c r="OLK1" t="s">
        <v>11962</v>
      </c>
      <c r="OLL1" t="s">
        <v>11963</v>
      </c>
      <c r="OLM1" t="s">
        <v>11964</v>
      </c>
      <c r="OLN1" t="s">
        <v>11965</v>
      </c>
      <c r="OLO1" t="s">
        <v>11966</v>
      </c>
      <c r="OLP1" t="s">
        <v>11967</v>
      </c>
      <c r="OLQ1" t="s">
        <v>11968</v>
      </c>
      <c r="OLR1" t="s">
        <v>11969</v>
      </c>
      <c r="OLS1" t="s">
        <v>11970</v>
      </c>
      <c r="OLT1" t="s">
        <v>11971</v>
      </c>
      <c r="OLU1" t="s">
        <v>11972</v>
      </c>
      <c r="OLV1" t="s">
        <v>11973</v>
      </c>
      <c r="OLW1" t="s">
        <v>11974</v>
      </c>
      <c r="OLX1" t="s">
        <v>11975</v>
      </c>
      <c r="OLY1" t="s">
        <v>11976</v>
      </c>
      <c r="OLZ1" t="s">
        <v>11977</v>
      </c>
      <c r="OMA1" t="s">
        <v>11978</v>
      </c>
      <c r="OMB1" t="s">
        <v>11979</v>
      </c>
      <c r="OMC1" t="s">
        <v>11980</v>
      </c>
      <c r="OMD1" t="s">
        <v>11981</v>
      </c>
      <c r="OME1" t="s">
        <v>11982</v>
      </c>
      <c r="OMF1" t="s">
        <v>11983</v>
      </c>
      <c r="OMG1" t="s">
        <v>11984</v>
      </c>
      <c r="OMH1" t="s">
        <v>11985</v>
      </c>
      <c r="OMI1" t="s">
        <v>11986</v>
      </c>
      <c r="OMJ1" t="s">
        <v>11987</v>
      </c>
      <c r="OMK1" t="s">
        <v>11988</v>
      </c>
      <c r="OML1" t="s">
        <v>11989</v>
      </c>
      <c r="OMM1" t="s">
        <v>11990</v>
      </c>
      <c r="OMN1" t="s">
        <v>11991</v>
      </c>
      <c r="OMO1" t="s">
        <v>11992</v>
      </c>
      <c r="OMP1" t="s">
        <v>11993</v>
      </c>
      <c r="OMQ1" t="s">
        <v>11994</v>
      </c>
      <c r="OMR1" t="s">
        <v>11995</v>
      </c>
      <c r="OMS1" t="s">
        <v>11996</v>
      </c>
      <c r="OMT1" t="s">
        <v>11997</v>
      </c>
      <c r="OMU1" t="s">
        <v>11998</v>
      </c>
      <c r="OMV1" t="s">
        <v>11999</v>
      </c>
      <c r="OMW1" t="s">
        <v>12000</v>
      </c>
      <c r="OMX1" t="s">
        <v>12001</v>
      </c>
      <c r="OMY1" t="s">
        <v>12002</v>
      </c>
      <c r="OMZ1" t="s">
        <v>12003</v>
      </c>
      <c r="ONA1" t="s">
        <v>12004</v>
      </c>
      <c r="ONB1" t="s">
        <v>12005</v>
      </c>
      <c r="ONC1" t="s">
        <v>12006</v>
      </c>
      <c r="OND1" t="s">
        <v>12007</v>
      </c>
      <c r="ONE1" t="s">
        <v>12008</v>
      </c>
      <c r="ONF1" t="s">
        <v>12009</v>
      </c>
      <c r="ONG1" t="s">
        <v>12010</v>
      </c>
      <c r="ONH1" t="s">
        <v>12011</v>
      </c>
      <c r="ONI1" t="s">
        <v>12012</v>
      </c>
      <c r="ONJ1" t="s">
        <v>12013</v>
      </c>
      <c r="ONK1" t="s">
        <v>12014</v>
      </c>
      <c r="ONL1" t="s">
        <v>12015</v>
      </c>
      <c r="ONM1" t="s">
        <v>12016</v>
      </c>
      <c r="ONN1" t="s">
        <v>12017</v>
      </c>
      <c r="ONO1" t="s">
        <v>12018</v>
      </c>
      <c r="ONP1" t="s">
        <v>12019</v>
      </c>
      <c r="ONQ1" t="s">
        <v>12020</v>
      </c>
      <c r="ONR1" t="s">
        <v>12021</v>
      </c>
      <c r="ONS1" t="s">
        <v>12022</v>
      </c>
      <c r="ONT1" t="s">
        <v>12023</v>
      </c>
      <c r="ONU1" t="s">
        <v>12024</v>
      </c>
      <c r="ONV1" t="s">
        <v>12025</v>
      </c>
      <c r="ONW1" t="s">
        <v>12026</v>
      </c>
      <c r="ONX1" t="s">
        <v>12027</v>
      </c>
      <c r="ONY1" t="s">
        <v>12028</v>
      </c>
      <c r="ONZ1" t="s">
        <v>12029</v>
      </c>
      <c r="OOA1" t="s">
        <v>12030</v>
      </c>
      <c r="OOB1" t="s">
        <v>12031</v>
      </c>
      <c r="OOC1" t="s">
        <v>12032</v>
      </c>
      <c r="OOD1" t="s">
        <v>12033</v>
      </c>
      <c r="OOE1" t="s">
        <v>12034</v>
      </c>
      <c r="OOF1" t="s">
        <v>12035</v>
      </c>
      <c r="OOG1" t="s">
        <v>12036</v>
      </c>
      <c r="OOH1" t="s">
        <v>12037</v>
      </c>
      <c r="OOI1" t="s">
        <v>12038</v>
      </c>
      <c r="OOJ1" t="s">
        <v>12039</v>
      </c>
      <c r="OOK1" t="s">
        <v>12040</v>
      </c>
      <c r="OOL1" t="s">
        <v>12041</v>
      </c>
      <c r="OOM1" t="s">
        <v>12042</v>
      </c>
      <c r="OON1" t="s">
        <v>12043</v>
      </c>
      <c r="OOO1" t="s">
        <v>12044</v>
      </c>
      <c r="OOP1" t="s">
        <v>12045</v>
      </c>
      <c r="OOQ1" t="s">
        <v>12046</v>
      </c>
      <c r="OOR1" t="s">
        <v>12047</v>
      </c>
      <c r="OOS1" t="s">
        <v>12048</v>
      </c>
      <c r="OOT1" t="s">
        <v>12049</v>
      </c>
      <c r="OOU1" t="s">
        <v>12050</v>
      </c>
      <c r="OOV1" t="s">
        <v>12051</v>
      </c>
      <c r="OOW1" t="s">
        <v>12052</v>
      </c>
      <c r="OOX1" t="s">
        <v>12053</v>
      </c>
      <c r="OOY1" t="s">
        <v>12054</v>
      </c>
      <c r="OOZ1" t="s">
        <v>12055</v>
      </c>
      <c r="OPA1" t="s">
        <v>12056</v>
      </c>
      <c r="OPB1" t="s">
        <v>12057</v>
      </c>
      <c r="OPC1" t="s">
        <v>12058</v>
      </c>
      <c r="OPD1" t="s">
        <v>12059</v>
      </c>
      <c r="OPE1" t="s">
        <v>12060</v>
      </c>
      <c r="OPF1" t="s">
        <v>12061</v>
      </c>
      <c r="OPG1" t="s">
        <v>12062</v>
      </c>
      <c r="OPH1" t="s">
        <v>12063</v>
      </c>
      <c r="OPI1" t="s">
        <v>12064</v>
      </c>
      <c r="OPJ1" t="s">
        <v>12065</v>
      </c>
      <c r="OPK1" t="s">
        <v>12066</v>
      </c>
      <c r="OPL1" t="s">
        <v>12067</v>
      </c>
      <c r="OPM1" t="s">
        <v>12068</v>
      </c>
      <c r="OPN1" t="s">
        <v>12069</v>
      </c>
      <c r="OPO1" t="s">
        <v>12070</v>
      </c>
      <c r="OPP1" t="s">
        <v>12071</v>
      </c>
      <c r="OPQ1" t="s">
        <v>12072</v>
      </c>
      <c r="OPR1" t="s">
        <v>12073</v>
      </c>
      <c r="OPS1" t="s">
        <v>12074</v>
      </c>
      <c r="OPT1" t="s">
        <v>12075</v>
      </c>
      <c r="OPU1" t="s">
        <v>12076</v>
      </c>
      <c r="OPV1" t="s">
        <v>12077</v>
      </c>
      <c r="OPW1" t="s">
        <v>12078</v>
      </c>
      <c r="OPX1" t="s">
        <v>12079</v>
      </c>
      <c r="OPY1" t="s">
        <v>12080</v>
      </c>
      <c r="OPZ1" t="s">
        <v>12081</v>
      </c>
      <c r="OQA1" t="s">
        <v>12082</v>
      </c>
      <c r="OQB1" t="s">
        <v>12083</v>
      </c>
      <c r="OQC1" t="s">
        <v>12084</v>
      </c>
      <c r="OQD1" t="s">
        <v>12085</v>
      </c>
      <c r="OQE1" t="s">
        <v>12086</v>
      </c>
      <c r="OQF1" t="s">
        <v>12087</v>
      </c>
      <c r="OQG1" t="s">
        <v>12088</v>
      </c>
      <c r="OQH1" t="s">
        <v>12089</v>
      </c>
      <c r="OQI1" t="s">
        <v>12090</v>
      </c>
      <c r="OQJ1" t="s">
        <v>12091</v>
      </c>
      <c r="OQK1" t="s">
        <v>12092</v>
      </c>
      <c r="OQL1" t="s">
        <v>12093</v>
      </c>
      <c r="OQM1" t="s">
        <v>12094</v>
      </c>
      <c r="OQN1" t="s">
        <v>12095</v>
      </c>
      <c r="OQO1" t="s">
        <v>12096</v>
      </c>
      <c r="OQP1" t="s">
        <v>12097</v>
      </c>
      <c r="OQQ1" t="s">
        <v>12098</v>
      </c>
      <c r="OQR1" t="s">
        <v>12099</v>
      </c>
      <c r="OQS1" t="s">
        <v>12100</v>
      </c>
      <c r="OQT1" t="s">
        <v>12101</v>
      </c>
      <c r="OQU1" t="s">
        <v>12102</v>
      </c>
      <c r="OQV1" t="s">
        <v>12103</v>
      </c>
      <c r="OQW1" t="s">
        <v>12104</v>
      </c>
      <c r="OQX1" t="s">
        <v>12105</v>
      </c>
      <c r="OQY1" t="s">
        <v>12106</v>
      </c>
      <c r="OQZ1" t="s">
        <v>12107</v>
      </c>
      <c r="ORA1" t="s">
        <v>12108</v>
      </c>
      <c r="ORB1" t="s">
        <v>12109</v>
      </c>
      <c r="ORC1" t="s">
        <v>12110</v>
      </c>
      <c r="ORD1" t="s">
        <v>12111</v>
      </c>
      <c r="ORE1" t="s">
        <v>12112</v>
      </c>
      <c r="ORF1" t="s">
        <v>12113</v>
      </c>
      <c r="ORG1" t="s">
        <v>12114</v>
      </c>
      <c r="ORH1" t="s">
        <v>12115</v>
      </c>
      <c r="ORI1" t="s">
        <v>12116</v>
      </c>
      <c r="ORJ1" t="s">
        <v>12117</v>
      </c>
      <c r="ORK1" t="s">
        <v>12118</v>
      </c>
      <c r="ORL1" t="s">
        <v>12119</v>
      </c>
      <c r="ORM1" t="s">
        <v>12120</v>
      </c>
      <c r="ORN1" t="s">
        <v>12121</v>
      </c>
      <c r="ORO1" t="s">
        <v>12122</v>
      </c>
      <c r="ORP1" t="s">
        <v>12123</v>
      </c>
      <c r="ORQ1" t="s">
        <v>12124</v>
      </c>
      <c r="ORR1" t="s">
        <v>12125</v>
      </c>
      <c r="ORS1" t="s">
        <v>12126</v>
      </c>
      <c r="ORT1" t="s">
        <v>12127</v>
      </c>
      <c r="ORU1" t="s">
        <v>12128</v>
      </c>
      <c r="ORV1" t="s">
        <v>12129</v>
      </c>
      <c r="ORW1" t="s">
        <v>12130</v>
      </c>
      <c r="ORX1" t="s">
        <v>12131</v>
      </c>
      <c r="ORY1" t="s">
        <v>12132</v>
      </c>
      <c r="ORZ1" t="s">
        <v>12133</v>
      </c>
      <c r="OSA1" t="s">
        <v>12134</v>
      </c>
      <c r="OSB1" t="s">
        <v>12135</v>
      </c>
      <c r="OSC1" t="s">
        <v>12136</v>
      </c>
      <c r="OSD1" t="s">
        <v>12137</v>
      </c>
      <c r="OSE1" t="s">
        <v>12138</v>
      </c>
      <c r="OSF1" t="s">
        <v>12139</v>
      </c>
      <c r="OSG1" t="s">
        <v>12140</v>
      </c>
      <c r="OSH1" t="s">
        <v>12141</v>
      </c>
      <c r="OSI1" t="s">
        <v>12142</v>
      </c>
      <c r="OSJ1" t="s">
        <v>12143</v>
      </c>
      <c r="OSK1" t="s">
        <v>12144</v>
      </c>
      <c r="OSL1" t="s">
        <v>12145</v>
      </c>
      <c r="OSM1" t="s">
        <v>12146</v>
      </c>
      <c r="OSN1" t="s">
        <v>12147</v>
      </c>
      <c r="OSO1" t="s">
        <v>12148</v>
      </c>
      <c r="OSP1" t="s">
        <v>12149</v>
      </c>
      <c r="OSQ1" t="s">
        <v>12150</v>
      </c>
      <c r="OSR1" t="s">
        <v>12151</v>
      </c>
      <c r="OSS1" t="s">
        <v>12152</v>
      </c>
      <c r="OST1" t="s">
        <v>12153</v>
      </c>
      <c r="OSU1" t="s">
        <v>12154</v>
      </c>
      <c r="OSV1" t="s">
        <v>12155</v>
      </c>
      <c r="OSW1" t="s">
        <v>12156</v>
      </c>
      <c r="OSX1" t="s">
        <v>12157</v>
      </c>
      <c r="OSY1" t="s">
        <v>12158</v>
      </c>
      <c r="OSZ1" t="s">
        <v>12159</v>
      </c>
      <c r="OTA1" t="s">
        <v>12160</v>
      </c>
      <c r="OTB1" t="s">
        <v>12161</v>
      </c>
      <c r="OTC1" t="s">
        <v>12162</v>
      </c>
      <c r="OTD1" t="s">
        <v>12163</v>
      </c>
      <c r="OTE1" t="s">
        <v>12164</v>
      </c>
      <c r="OTF1" t="s">
        <v>12165</v>
      </c>
      <c r="OTG1" t="s">
        <v>12166</v>
      </c>
      <c r="OTH1" t="s">
        <v>12167</v>
      </c>
      <c r="OTI1" t="s">
        <v>12168</v>
      </c>
      <c r="OTJ1" t="s">
        <v>12169</v>
      </c>
      <c r="OTK1" t="s">
        <v>12170</v>
      </c>
      <c r="OTL1" t="s">
        <v>12171</v>
      </c>
      <c r="OTM1" t="s">
        <v>12172</v>
      </c>
      <c r="OTN1" t="s">
        <v>12173</v>
      </c>
      <c r="OTO1" t="s">
        <v>12174</v>
      </c>
      <c r="OTP1" t="s">
        <v>12175</v>
      </c>
      <c r="OTQ1" t="s">
        <v>12176</v>
      </c>
      <c r="OTR1" t="s">
        <v>12177</v>
      </c>
      <c r="OTS1" t="s">
        <v>12178</v>
      </c>
      <c r="OTT1" t="s">
        <v>12179</v>
      </c>
      <c r="OTU1" t="s">
        <v>12180</v>
      </c>
      <c r="OTV1" t="s">
        <v>12181</v>
      </c>
      <c r="OTW1" t="s">
        <v>12182</v>
      </c>
      <c r="OTX1" t="s">
        <v>12183</v>
      </c>
      <c r="OTY1" t="s">
        <v>12184</v>
      </c>
      <c r="OTZ1" t="s">
        <v>12185</v>
      </c>
      <c r="OUA1" t="s">
        <v>12186</v>
      </c>
      <c r="OUB1" t="s">
        <v>12187</v>
      </c>
      <c r="OUC1" t="s">
        <v>12188</v>
      </c>
      <c r="OUD1" t="s">
        <v>12189</v>
      </c>
      <c r="OUE1" t="s">
        <v>12190</v>
      </c>
      <c r="OUF1" t="s">
        <v>12191</v>
      </c>
      <c r="OUG1" t="s">
        <v>12192</v>
      </c>
      <c r="OUH1" t="s">
        <v>12193</v>
      </c>
      <c r="OUI1" t="s">
        <v>12194</v>
      </c>
      <c r="OUJ1" t="s">
        <v>12195</v>
      </c>
      <c r="OUK1" t="s">
        <v>12196</v>
      </c>
      <c r="OUL1" t="s">
        <v>12197</v>
      </c>
      <c r="OUM1" t="s">
        <v>12198</v>
      </c>
      <c r="OUN1" t="s">
        <v>12199</v>
      </c>
      <c r="OUO1" t="s">
        <v>12200</v>
      </c>
      <c r="OUP1" t="s">
        <v>12201</v>
      </c>
      <c r="OUQ1" t="s">
        <v>12202</v>
      </c>
      <c r="OUR1" t="s">
        <v>12203</v>
      </c>
      <c r="OUS1" t="s">
        <v>12204</v>
      </c>
      <c r="OUT1" t="s">
        <v>12205</v>
      </c>
      <c r="OUU1" t="s">
        <v>12206</v>
      </c>
      <c r="OUV1" t="s">
        <v>12207</v>
      </c>
      <c r="OUW1" t="s">
        <v>12208</v>
      </c>
      <c r="OUX1" t="s">
        <v>12209</v>
      </c>
      <c r="OUY1" t="s">
        <v>12210</v>
      </c>
      <c r="OUZ1" t="s">
        <v>12211</v>
      </c>
      <c r="OVA1" t="s">
        <v>12212</v>
      </c>
      <c r="OVB1" t="s">
        <v>12213</v>
      </c>
      <c r="OVC1" t="s">
        <v>12214</v>
      </c>
      <c r="OVD1" t="s">
        <v>12215</v>
      </c>
      <c r="OVE1" t="s">
        <v>12216</v>
      </c>
      <c r="OVF1" t="s">
        <v>12217</v>
      </c>
      <c r="OVG1" t="s">
        <v>12218</v>
      </c>
      <c r="OVH1" t="s">
        <v>12219</v>
      </c>
      <c r="OVI1" t="s">
        <v>12220</v>
      </c>
      <c r="OVJ1" t="s">
        <v>12221</v>
      </c>
      <c r="OVK1" t="s">
        <v>12222</v>
      </c>
      <c r="OVL1" t="s">
        <v>12223</v>
      </c>
      <c r="OVM1" t="s">
        <v>12224</v>
      </c>
      <c r="OVN1" t="s">
        <v>12225</v>
      </c>
      <c r="OVO1" t="s">
        <v>12226</v>
      </c>
      <c r="OVP1" t="s">
        <v>12227</v>
      </c>
      <c r="OVQ1" t="s">
        <v>12228</v>
      </c>
      <c r="OVR1" t="s">
        <v>12229</v>
      </c>
      <c r="OVS1" t="s">
        <v>12230</v>
      </c>
      <c r="OVT1" t="s">
        <v>12231</v>
      </c>
      <c r="OVU1" t="s">
        <v>12232</v>
      </c>
      <c r="OVV1" t="s">
        <v>12233</v>
      </c>
      <c r="OVW1" t="s">
        <v>12234</v>
      </c>
      <c r="OVX1" t="s">
        <v>12235</v>
      </c>
      <c r="OVY1" t="s">
        <v>12236</v>
      </c>
      <c r="OVZ1" t="s">
        <v>12237</v>
      </c>
      <c r="OWA1" t="s">
        <v>12238</v>
      </c>
      <c r="OWB1" t="s">
        <v>12239</v>
      </c>
      <c r="OWC1" t="s">
        <v>12240</v>
      </c>
      <c r="OWD1" t="s">
        <v>12241</v>
      </c>
      <c r="OWE1" t="s">
        <v>12242</v>
      </c>
      <c r="OWF1" t="s">
        <v>12243</v>
      </c>
      <c r="OWG1" t="s">
        <v>12244</v>
      </c>
      <c r="OWH1" t="s">
        <v>12245</v>
      </c>
      <c r="OWI1" t="s">
        <v>12246</v>
      </c>
      <c r="OWJ1" t="s">
        <v>12247</v>
      </c>
      <c r="OWK1" t="s">
        <v>12248</v>
      </c>
      <c r="OWL1" t="s">
        <v>12249</v>
      </c>
      <c r="OWM1" t="s">
        <v>12250</v>
      </c>
      <c r="OWN1" t="s">
        <v>12251</v>
      </c>
      <c r="OWO1" t="s">
        <v>12252</v>
      </c>
      <c r="OWP1" t="s">
        <v>12253</v>
      </c>
      <c r="OWQ1" t="s">
        <v>12254</v>
      </c>
      <c r="OWR1" t="s">
        <v>12255</v>
      </c>
      <c r="OWS1" t="s">
        <v>12256</v>
      </c>
      <c r="OWT1" t="s">
        <v>12257</v>
      </c>
      <c r="OWU1" t="s">
        <v>12258</v>
      </c>
      <c r="OWV1" t="s">
        <v>12259</v>
      </c>
      <c r="OWW1" t="s">
        <v>12260</v>
      </c>
      <c r="OWX1" t="s">
        <v>12261</v>
      </c>
      <c r="OWY1" t="s">
        <v>12262</v>
      </c>
      <c r="OWZ1" t="s">
        <v>12263</v>
      </c>
      <c r="OXA1" t="s">
        <v>12264</v>
      </c>
      <c r="OXB1" t="s">
        <v>12265</v>
      </c>
      <c r="OXC1" t="s">
        <v>12266</v>
      </c>
      <c r="OXD1" t="s">
        <v>12267</v>
      </c>
      <c r="OXE1" t="s">
        <v>12268</v>
      </c>
      <c r="OXF1" t="s">
        <v>12269</v>
      </c>
      <c r="OXG1" t="s">
        <v>12270</v>
      </c>
      <c r="OXH1" t="s">
        <v>12271</v>
      </c>
      <c r="OXI1" t="s">
        <v>12272</v>
      </c>
      <c r="OXJ1" t="s">
        <v>12273</v>
      </c>
      <c r="OXK1" t="s">
        <v>12274</v>
      </c>
      <c r="OXL1" t="s">
        <v>12275</v>
      </c>
      <c r="OXM1" t="s">
        <v>12276</v>
      </c>
      <c r="OXN1" t="s">
        <v>12277</v>
      </c>
      <c r="OXO1" t="s">
        <v>12278</v>
      </c>
      <c r="OXP1" t="s">
        <v>12279</v>
      </c>
      <c r="OXQ1" t="s">
        <v>12280</v>
      </c>
      <c r="OXR1" t="s">
        <v>12281</v>
      </c>
      <c r="OXS1" t="s">
        <v>12282</v>
      </c>
      <c r="OXT1" t="s">
        <v>12283</v>
      </c>
      <c r="OXU1" t="s">
        <v>12284</v>
      </c>
      <c r="OXV1" t="s">
        <v>12285</v>
      </c>
      <c r="OXW1" t="s">
        <v>12286</v>
      </c>
      <c r="OXX1" t="s">
        <v>12287</v>
      </c>
      <c r="OXY1" t="s">
        <v>12288</v>
      </c>
      <c r="OXZ1" t="s">
        <v>12289</v>
      </c>
      <c r="OYA1" t="s">
        <v>12290</v>
      </c>
      <c r="OYB1" t="s">
        <v>12291</v>
      </c>
      <c r="OYC1" t="s">
        <v>12292</v>
      </c>
      <c r="OYD1" t="s">
        <v>12293</v>
      </c>
      <c r="OYE1" t="s">
        <v>12294</v>
      </c>
      <c r="OYF1" t="s">
        <v>12295</v>
      </c>
      <c r="OYG1" t="s">
        <v>12296</v>
      </c>
      <c r="OYH1" t="s">
        <v>12297</v>
      </c>
      <c r="OYI1" t="s">
        <v>12298</v>
      </c>
      <c r="OYJ1" t="s">
        <v>12299</v>
      </c>
      <c r="OYK1" t="s">
        <v>12300</v>
      </c>
      <c r="OYL1" t="s">
        <v>12301</v>
      </c>
      <c r="OYM1" t="s">
        <v>12302</v>
      </c>
      <c r="OYN1" t="s">
        <v>12303</v>
      </c>
      <c r="OYO1" t="s">
        <v>12304</v>
      </c>
      <c r="OYP1" t="s">
        <v>12305</v>
      </c>
      <c r="OYQ1" t="s">
        <v>12306</v>
      </c>
      <c r="OYR1" t="s">
        <v>12307</v>
      </c>
      <c r="OYS1" t="s">
        <v>12308</v>
      </c>
      <c r="OYT1" t="s">
        <v>12309</v>
      </c>
      <c r="OYU1" t="s">
        <v>12310</v>
      </c>
      <c r="OYV1" t="s">
        <v>12311</v>
      </c>
      <c r="OYW1" t="s">
        <v>12312</v>
      </c>
      <c r="OYX1" t="s">
        <v>12313</v>
      </c>
      <c r="OYY1" t="s">
        <v>12314</v>
      </c>
      <c r="OYZ1" t="s">
        <v>12315</v>
      </c>
      <c r="OZA1" t="s">
        <v>12316</v>
      </c>
      <c r="OZB1" t="s">
        <v>12317</v>
      </c>
      <c r="OZC1" t="s">
        <v>12318</v>
      </c>
      <c r="OZD1" t="s">
        <v>12319</v>
      </c>
      <c r="OZE1" t="s">
        <v>12320</v>
      </c>
      <c r="OZF1" t="s">
        <v>12321</v>
      </c>
      <c r="OZG1" t="s">
        <v>12322</v>
      </c>
      <c r="OZH1" t="s">
        <v>12323</v>
      </c>
      <c r="OZI1" t="s">
        <v>12324</v>
      </c>
      <c r="OZJ1" t="s">
        <v>12325</v>
      </c>
      <c r="OZK1" t="s">
        <v>12326</v>
      </c>
      <c r="OZL1" t="s">
        <v>12327</v>
      </c>
      <c r="OZM1" t="s">
        <v>12328</v>
      </c>
      <c r="OZN1" t="s">
        <v>12329</v>
      </c>
      <c r="OZO1" t="s">
        <v>12330</v>
      </c>
      <c r="OZP1" t="s">
        <v>12331</v>
      </c>
      <c r="OZQ1" t="s">
        <v>12332</v>
      </c>
      <c r="OZR1" t="s">
        <v>12333</v>
      </c>
      <c r="OZS1" t="s">
        <v>12334</v>
      </c>
      <c r="OZT1" t="s">
        <v>12335</v>
      </c>
      <c r="OZU1" t="s">
        <v>12336</v>
      </c>
      <c r="OZV1" t="s">
        <v>12337</v>
      </c>
      <c r="OZW1" t="s">
        <v>12338</v>
      </c>
      <c r="OZX1" t="s">
        <v>12339</v>
      </c>
      <c r="OZY1" t="s">
        <v>12340</v>
      </c>
      <c r="OZZ1" t="s">
        <v>12341</v>
      </c>
      <c r="PAA1" t="s">
        <v>12342</v>
      </c>
      <c r="PAB1" t="s">
        <v>12343</v>
      </c>
      <c r="PAC1" t="s">
        <v>12344</v>
      </c>
      <c r="PAD1" t="s">
        <v>12345</v>
      </c>
      <c r="PAE1" t="s">
        <v>12346</v>
      </c>
      <c r="PAF1" t="s">
        <v>12347</v>
      </c>
      <c r="PAG1" t="s">
        <v>12348</v>
      </c>
      <c r="PAH1" t="s">
        <v>12349</v>
      </c>
      <c r="PAI1" t="s">
        <v>12350</v>
      </c>
      <c r="PAJ1" t="s">
        <v>12351</v>
      </c>
      <c r="PAK1" t="s">
        <v>12352</v>
      </c>
      <c r="PAL1" t="s">
        <v>12353</v>
      </c>
      <c r="PAM1" t="s">
        <v>12354</v>
      </c>
      <c r="PAN1" t="s">
        <v>12355</v>
      </c>
      <c r="PAO1" t="s">
        <v>12356</v>
      </c>
      <c r="PAP1" t="s">
        <v>12357</v>
      </c>
      <c r="PAQ1" t="s">
        <v>12358</v>
      </c>
      <c r="PAR1" t="s">
        <v>12359</v>
      </c>
      <c r="PAS1" t="s">
        <v>12360</v>
      </c>
      <c r="PAT1" t="s">
        <v>12361</v>
      </c>
      <c r="PAU1" t="s">
        <v>12362</v>
      </c>
      <c r="PAV1" t="s">
        <v>12363</v>
      </c>
      <c r="PAW1" t="s">
        <v>12364</v>
      </c>
      <c r="PAX1" t="s">
        <v>12365</v>
      </c>
      <c r="PAY1" t="s">
        <v>12366</v>
      </c>
      <c r="PAZ1" t="s">
        <v>12367</v>
      </c>
      <c r="PBA1" t="s">
        <v>12368</v>
      </c>
      <c r="PBB1" t="s">
        <v>12369</v>
      </c>
      <c r="PBC1" t="s">
        <v>12370</v>
      </c>
      <c r="PBD1" t="s">
        <v>12371</v>
      </c>
      <c r="PBE1" t="s">
        <v>12372</v>
      </c>
      <c r="PBF1" t="s">
        <v>12373</v>
      </c>
      <c r="PBG1" t="s">
        <v>12374</v>
      </c>
      <c r="PBH1" t="s">
        <v>12375</v>
      </c>
      <c r="PBI1" t="s">
        <v>12376</v>
      </c>
      <c r="PBJ1" t="s">
        <v>12377</v>
      </c>
      <c r="PBK1" t="s">
        <v>12378</v>
      </c>
      <c r="PBL1" t="s">
        <v>12379</v>
      </c>
      <c r="PBM1" t="s">
        <v>12380</v>
      </c>
      <c r="PBN1" t="s">
        <v>12381</v>
      </c>
      <c r="PBO1" t="s">
        <v>12382</v>
      </c>
      <c r="PBP1" t="s">
        <v>12383</v>
      </c>
      <c r="PBQ1" t="s">
        <v>12384</v>
      </c>
      <c r="PBR1" t="s">
        <v>12385</v>
      </c>
      <c r="PBS1" t="s">
        <v>12386</v>
      </c>
      <c r="PBT1" t="s">
        <v>12387</v>
      </c>
      <c r="PBU1" t="s">
        <v>12388</v>
      </c>
      <c r="PBV1" t="s">
        <v>12389</v>
      </c>
      <c r="PBW1" t="s">
        <v>12390</v>
      </c>
      <c r="PBX1" t="s">
        <v>12391</v>
      </c>
      <c r="PBY1" t="s">
        <v>12392</v>
      </c>
      <c r="PBZ1" t="s">
        <v>12393</v>
      </c>
      <c r="PCA1" t="s">
        <v>12394</v>
      </c>
      <c r="PCB1" t="s">
        <v>12395</v>
      </c>
      <c r="PCC1" t="s">
        <v>12396</v>
      </c>
      <c r="PCD1" t="s">
        <v>12397</v>
      </c>
      <c r="PCE1" t="s">
        <v>12398</v>
      </c>
      <c r="PCF1" t="s">
        <v>12399</v>
      </c>
      <c r="PCG1" t="s">
        <v>12400</v>
      </c>
      <c r="PCH1" t="s">
        <v>12401</v>
      </c>
      <c r="PCI1" t="s">
        <v>12402</v>
      </c>
      <c r="PCJ1" t="s">
        <v>12403</v>
      </c>
      <c r="PCK1" t="s">
        <v>12404</v>
      </c>
      <c r="PCL1" t="s">
        <v>12405</v>
      </c>
      <c r="PCM1" t="s">
        <v>12406</v>
      </c>
      <c r="PCN1" t="s">
        <v>12407</v>
      </c>
      <c r="PCO1" t="s">
        <v>12408</v>
      </c>
      <c r="PCP1" t="s">
        <v>12409</v>
      </c>
      <c r="PCQ1" t="s">
        <v>12410</v>
      </c>
      <c r="PCR1" t="s">
        <v>12411</v>
      </c>
      <c r="PCS1" t="s">
        <v>12412</v>
      </c>
      <c r="PCT1" t="s">
        <v>12413</v>
      </c>
      <c r="PCU1" t="s">
        <v>12414</v>
      </c>
      <c r="PCV1" t="s">
        <v>12415</v>
      </c>
      <c r="PCW1" t="s">
        <v>12416</v>
      </c>
      <c r="PCX1" t="s">
        <v>12417</v>
      </c>
      <c r="PCY1" t="s">
        <v>12418</v>
      </c>
      <c r="PCZ1" t="s">
        <v>12419</v>
      </c>
      <c r="PDA1" t="s">
        <v>12420</v>
      </c>
      <c r="PDB1" t="s">
        <v>12421</v>
      </c>
      <c r="PDC1" t="s">
        <v>12422</v>
      </c>
      <c r="PDD1" t="s">
        <v>12423</v>
      </c>
      <c r="PDE1" t="s">
        <v>12424</v>
      </c>
      <c r="PDF1" t="s">
        <v>12425</v>
      </c>
      <c r="PDG1" t="s">
        <v>12426</v>
      </c>
      <c r="PDH1" t="s">
        <v>12427</v>
      </c>
      <c r="PDI1" t="s">
        <v>12428</v>
      </c>
      <c r="PDJ1" t="s">
        <v>12429</v>
      </c>
      <c r="PDK1" t="s">
        <v>12430</v>
      </c>
      <c r="PDL1" t="s">
        <v>12431</v>
      </c>
      <c r="PDM1" t="s">
        <v>12432</v>
      </c>
      <c r="PDN1" t="s">
        <v>12433</v>
      </c>
      <c r="PDO1" t="s">
        <v>12434</v>
      </c>
      <c r="PDP1" t="s">
        <v>12435</v>
      </c>
      <c r="PDQ1" t="s">
        <v>12436</v>
      </c>
      <c r="PDR1" t="s">
        <v>12437</v>
      </c>
      <c r="PDS1" t="s">
        <v>12438</v>
      </c>
      <c r="PDT1" t="s">
        <v>12439</v>
      </c>
      <c r="PDU1" t="s">
        <v>12440</v>
      </c>
      <c r="PDV1" t="s">
        <v>12441</v>
      </c>
      <c r="PDW1" t="s">
        <v>12442</v>
      </c>
      <c r="PDX1" t="s">
        <v>12443</v>
      </c>
      <c r="PDY1" t="s">
        <v>12444</v>
      </c>
      <c r="PDZ1" t="s">
        <v>12445</v>
      </c>
      <c r="PEA1" t="s">
        <v>12446</v>
      </c>
      <c r="PEB1" t="s">
        <v>12447</v>
      </c>
      <c r="PEC1" t="s">
        <v>12448</v>
      </c>
      <c r="PED1" t="s">
        <v>12449</v>
      </c>
      <c r="PEE1" t="s">
        <v>12450</v>
      </c>
      <c r="PEF1" t="s">
        <v>12451</v>
      </c>
      <c r="PEG1" t="s">
        <v>12452</v>
      </c>
      <c r="PEH1" t="s">
        <v>12453</v>
      </c>
      <c r="PEI1" t="s">
        <v>12454</v>
      </c>
      <c r="PEJ1" t="s">
        <v>12455</v>
      </c>
      <c r="PEK1" t="s">
        <v>12456</v>
      </c>
      <c r="PEL1" t="s">
        <v>12457</v>
      </c>
      <c r="PEM1" t="s">
        <v>12458</v>
      </c>
      <c r="PEN1" t="s">
        <v>12459</v>
      </c>
      <c r="PEO1" t="s">
        <v>12460</v>
      </c>
      <c r="PEP1" t="s">
        <v>12461</v>
      </c>
      <c r="PEQ1" t="s">
        <v>12462</v>
      </c>
      <c r="PER1" t="s">
        <v>12463</v>
      </c>
      <c r="PES1" t="s">
        <v>12464</v>
      </c>
      <c r="PET1" t="s">
        <v>12465</v>
      </c>
      <c r="PEU1" t="s">
        <v>12466</v>
      </c>
      <c r="PEV1" t="s">
        <v>12467</v>
      </c>
      <c r="PEW1" t="s">
        <v>12468</v>
      </c>
      <c r="PEX1" t="s">
        <v>12469</v>
      </c>
      <c r="PEY1" t="s">
        <v>12470</v>
      </c>
      <c r="PEZ1" t="s">
        <v>12471</v>
      </c>
      <c r="PFA1" t="s">
        <v>12472</v>
      </c>
      <c r="PFB1" t="s">
        <v>12473</v>
      </c>
      <c r="PFC1" t="s">
        <v>12474</v>
      </c>
      <c r="PFD1" t="s">
        <v>12475</v>
      </c>
      <c r="PFE1" t="s">
        <v>12476</v>
      </c>
      <c r="PFF1" t="s">
        <v>12477</v>
      </c>
      <c r="PFG1" t="s">
        <v>12478</v>
      </c>
      <c r="PFH1" t="s">
        <v>12479</v>
      </c>
      <c r="PFI1" t="s">
        <v>12480</v>
      </c>
      <c r="PFJ1" t="s">
        <v>12481</v>
      </c>
      <c r="PFK1" t="s">
        <v>12482</v>
      </c>
      <c r="PFL1" t="s">
        <v>12483</v>
      </c>
      <c r="PFM1" t="s">
        <v>12484</v>
      </c>
      <c r="PFN1" t="s">
        <v>12485</v>
      </c>
      <c r="PFO1" t="s">
        <v>12486</v>
      </c>
      <c r="PFP1" t="s">
        <v>12487</v>
      </c>
      <c r="PFQ1" t="s">
        <v>12488</v>
      </c>
      <c r="PFR1" t="s">
        <v>12489</v>
      </c>
      <c r="PFS1" t="s">
        <v>12490</v>
      </c>
      <c r="PFT1" t="s">
        <v>12491</v>
      </c>
      <c r="PFU1" t="s">
        <v>12492</v>
      </c>
      <c r="PFV1" t="s">
        <v>12493</v>
      </c>
      <c r="PFW1" t="s">
        <v>12494</v>
      </c>
      <c r="PFX1" t="s">
        <v>12495</v>
      </c>
      <c r="PFY1" t="s">
        <v>12496</v>
      </c>
      <c r="PFZ1" t="s">
        <v>12497</v>
      </c>
      <c r="PGA1" t="s">
        <v>12498</v>
      </c>
      <c r="PGB1" t="s">
        <v>12499</v>
      </c>
      <c r="PGC1" t="s">
        <v>12500</v>
      </c>
      <c r="PGD1" t="s">
        <v>12501</v>
      </c>
      <c r="PGE1" t="s">
        <v>12502</v>
      </c>
      <c r="PGF1" t="s">
        <v>12503</v>
      </c>
      <c r="PGG1" t="s">
        <v>12504</v>
      </c>
      <c r="PGH1" t="s">
        <v>12505</v>
      </c>
      <c r="PGI1" t="s">
        <v>12506</v>
      </c>
      <c r="PGJ1" t="s">
        <v>12507</v>
      </c>
      <c r="PGK1" t="s">
        <v>12508</v>
      </c>
      <c r="PGL1" t="s">
        <v>12509</v>
      </c>
      <c r="PGM1" t="s">
        <v>12510</v>
      </c>
      <c r="PGN1" t="s">
        <v>12511</v>
      </c>
      <c r="PGO1" t="s">
        <v>12512</v>
      </c>
      <c r="PGP1" t="s">
        <v>12513</v>
      </c>
      <c r="PGQ1" t="s">
        <v>12514</v>
      </c>
      <c r="PGR1" t="s">
        <v>12515</v>
      </c>
      <c r="PGS1" t="s">
        <v>12516</v>
      </c>
      <c r="PGT1" t="s">
        <v>12517</v>
      </c>
      <c r="PGU1" t="s">
        <v>12518</v>
      </c>
      <c r="PGV1" t="s">
        <v>12519</v>
      </c>
      <c r="PGW1" t="s">
        <v>12520</v>
      </c>
      <c r="PGX1" t="s">
        <v>12521</v>
      </c>
      <c r="PGY1" t="s">
        <v>12522</v>
      </c>
      <c r="PGZ1" t="s">
        <v>12523</v>
      </c>
      <c r="PHA1" t="s">
        <v>12524</v>
      </c>
      <c r="PHB1" t="s">
        <v>12525</v>
      </c>
      <c r="PHC1" t="s">
        <v>12526</v>
      </c>
      <c r="PHD1" t="s">
        <v>12527</v>
      </c>
      <c r="PHE1" t="s">
        <v>12528</v>
      </c>
      <c r="PHF1" t="s">
        <v>12529</v>
      </c>
      <c r="PHG1" t="s">
        <v>12530</v>
      </c>
      <c r="PHH1" t="s">
        <v>12531</v>
      </c>
      <c r="PHI1" t="s">
        <v>12532</v>
      </c>
      <c r="PHJ1" t="s">
        <v>12533</v>
      </c>
      <c r="PHK1" t="s">
        <v>12534</v>
      </c>
      <c r="PHL1" t="s">
        <v>12535</v>
      </c>
      <c r="PHM1" t="s">
        <v>12536</v>
      </c>
      <c r="PHN1" t="s">
        <v>12537</v>
      </c>
      <c r="PHO1" t="s">
        <v>12538</v>
      </c>
      <c r="PHP1" t="s">
        <v>12539</v>
      </c>
      <c r="PHQ1" t="s">
        <v>12540</v>
      </c>
      <c r="PHR1" t="s">
        <v>12541</v>
      </c>
      <c r="PHS1" t="s">
        <v>12542</v>
      </c>
      <c r="PHT1" t="s">
        <v>12543</v>
      </c>
      <c r="PHU1" t="s">
        <v>12544</v>
      </c>
      <c r="PHV1" t="s">
        <v>12545</v>
      </c>
      <c r="PHW1" t="s">
        <v>12546</v>
      </c>
      <c r="PHX1" t="s">
        <v>12547</v>
      </c>
      <c r="PHY1" t="s">
        <v>12548</v>
      </c>
      <c r="PHZ1" t="s">
        <v>12549</v>
      </c>
      <c r="PIA1" t="s">
        <v>12550</v>
      </c>
      <c r="PIB1" t="s">
        <v>12551</v>
      </c>
      <c r="PIC1" t="s">
        <v>12552</v>
      </c>
      <c r="PID1" t="s">
        <v>12553</v>
      </c>
      <c r="PIE1" t="s">
        <v>12554</v>
      </c>
      <c r="PIF1" t="s">
        <v>12555</v>
      </c>
      <c r="PIG1" t="s">
        <v>12556</v>
      </c>
      <c r="PIH1" t="s">
        <v>12557</v>
      </c>
      <c r="PII1" t="s">
        <v>12558</v>
      </c>
      <c r="PIJ1" t="s">
        <v>12559</v>
      </c>
      <c r="PIK1" t="s">
        <v>12560</v>
      </c>
      <c r="PIL1" t="s">
        <v>12561</v>
      </c>
      <c r="PIM1" t="s">
        <v>12562</v>
      </c>
      <c r="PIN1" t="s">
        <v>12563</v>
      </c>
      <c r="PIO1" t="s">
        <v>12564</v>
      </c>
      <c r="PIP1" t="s">
        <v>12565</v>
      </c>
      <c r="PIQ1" t="s">
        <v>12566</v>
      </c>
      <c r="PIR1" t="s">
        <v>12567</v>
      </c>
      <c r="PIS1" t="s">
        <v>12568</v>
      </c>
      <c r="PIT1" t="s">
        <v>12569</v>
      </c>
      <c r="PIU1" t="s">
        <v>12570</v>
      </c>
      <c r="PIV1" t="s">
        <v>12571</v>
      </c>
      <c r="PIW1" t="s">
        <v>12572</v>
      </c>
      <c r="PIX1" t="s">
        <v>12573</v>
      </c>
      <c r="PIY1" t="s">
        <v>12574</v>
      </c>
      <c r="PIZ1" t="s">
        <v>12575</v>
      </c>
      <c r="PJA1" t="s">
        <v>12576</v>
      </c>
      <c r="PJB1" t="s">
        <v>12577</v>
      </c>
      <c r="PJC1" t="s">
        <v>12578</v>
      </c>
      <c r="PJD1" t="s">
        <v>12579</v>
      </c>
      <c r="PJE1" t="s">
        <v>12580</v>
      </c>
      <c r="PJF1" t="s">
        <v>12581</v>
      </c>
      <c r="PJG1" t="s">
        <v>12582</v>
      </c>
      <c r="PJH1" t="s">
        <v>12583</v>
      </c>
      <c r="PJI1" t="s">
        <v>12584</v>
      </c>
      <c r="PJJ1" t="s">
        <v>12585</v>
      </c>
      <c r="PJK1" t="s">
        <v>12586</v>
      </c>
      <c r="PJL1" t="s">
        <v>12587</v>
      </c>
      <c r="PJM1" t="s">
        <v>12588</v>
      </c>
      <c r="PJN1" t="s">
        <v>12589</v>
      </c>
      <c r="PJO1" t="s">
        <v>12590</v>
      </c>
      <c r="PJP1" t="s">
        <v>12591</v>
      </c>
      <c r="PJQ1" t="s">
        <v>12592</v>
      </c>
      <c r="PJR1" t="s">
        <v>12593</v>
      </c>
      <c r="PJS1" t="s">
        <v>12594</v>
      </c>
      <c r="PJT1" t="s">
        <v>12595</v>
      </c>
      <c r="PJU1" t="s">
        <v>12596</v>
      </c>
      <c r="PJV1" t="s">
        <v>12597</v>
      </c>
      <c r="PJW1" t="s">
        <v>12598</v>
      </c>
      <c r="PJX1" t="s">
        <v>12599</v>
      </c>
      <c r="PJY1" t="s">
        <v>12600</v>
      </c>
      <c r="PJZ1" t="s">
        <v>12601</v>
      </c>
      <c r="PKA1" t="s">
        <v>12602</v>
      </c>
      <c r="PKB1" t="s">
        <v>12603</v>
      </c>
      <c r="PKC1" t="s">
        <v>12604</v>
      </c>
      <c r="PKD1" t="s">
        <v>12605</v>
      </c>
      <c r="PKE1" t="s">
        <v>12606</v>
      </c>
      <c r="PKF1" t="s">
        <v>12607</v>
      </c>
      <c r="PKG1" t="s">
        <v>12608</v>
      </c>
      <c r="PKH1" t="s">
        <v>12609</v>
      </c>
      <c r="PKI1" t="s">
        <v>12610</v>
      </c>
      <c r="PKJ1" t="s">
        <v>12611</v>
      </c>
      <c r="PKK1" t="s">
        <v>12612</v>
      </c>
      <c r="PKL1" t="s">
        <v>12613</v>
      </c>
      <c r="PKM1" t="s">
        <v>12614</v>
      </c>
      <c r="PKN1" t="s">
        <v>12615</v>
      </c>
      <c r="PKO1" t="s">
        <v>12616</v>
      </c>
      <c r="PKP1" t="s">
        <v>12617</v>
      </c>
      <c r="PKQ1" t="s">
        <v>12618</v>
      </c>
      <c r="PKR1" t="s">
        <v>12619</v>
      </c>
      <c r="PKS1" t="s">
        <v>12620</v>
      </c>
      <c r="PKT1" t="s">
        <v>12621</v>
      </c>
      <c r="PKU1" t="s">
        <v>12622</v>
      </c>
      <c r="PKV1" t="s">
        <v>12623</v>
      </c>
      <c r="PKW1" t="s">
        <v>12624</v>
      </c>
      <c r="PKX1" t="s">
        <v>12625</v>
      </c>
      <c r="PKY1" t="s">
        <v>12626</v>
      </c>
      <c r="PKZ1" t="s">
        <v>12627</v>
      </c>
      <c r="PLA1" t="s">
        <v>12628</v>
      </c>
      <c r="PLB1" t="s">
        <v>12629</v>
      </c>
      <c r="PLC1" t="s">
        <v>12630</v>
      </c>
      <c r="PLD1" t="s">
        <v>12631</v>
      </c>
      <c r="PLE1" t="s">
        <v>12632</v>
      </c>
      <c r="PLF1" t="s">
        <v>12633</v>
      </c>
      <c r="PLG1" t="s">
        <v>12634</v>
      </c>
      <c r="PLH1" t="s">
        <v>12635</v>
      </c>
      <c r="PLI1" t="s">
        <v>12636</v>
      </c>
      <c r="PLJ1" t="s">
        <v>12637</v>
      </c>
      <c r="PLK1" t="s">
        <v>12638</v>
      </c>
      <c r="PLL1" t="s">
        <v>12639</v>
      </c>
      <c r="PLM1" t="s">
        <v>12640</v>
      </c>
      <c r="PLN1" t="s">
        <v>12641</v>
      </c>
      <c r="PLO1" t="s">
        <v>12642</v>
      </c>
      <c r="PLP1" t="s">
        <v>12643</v>
      </c>
      <c r="PLQ1" t="s">
        <v>12644</v>
      </c>
      <c r="PLR1" t="s">
        <v>12645</v>
      </c>
      <c r="PLS1" t="s">
        <v>12646</v>
      </c>
      <c r="PLT1" t="s">
        <v>12647</v>
      </c>
      <c r="PLU1" t="s">
        <v>12648</v>
      </c>
      <c r="PLV1" t="s">
        <v>12649</v>
      </c>
      <c r="PLW1" t="s">
        <v>12650</v>
      </c>
      <c r="PLX1" t="s">
        <v>12651</v>
      </c>
      <c r="PLY1" t="s">
        <v>12652</v>
      </c>
      <c r="PLZ1" t="s">
        <v>12653</v>
      </c>
      <c r="PMA1" t="s">
        <v>12654</v>
      </c>
      <c r="PMB1" t="s">
        <v>12655</v>
      </c>
      <c r="PMC1" t="s">
        <v>12656</v>
      </c>
      <c r="PMD1" t="s">
        <v>12657</v>
      </c>
      <c r="PME1" t="s">
        <v>12658</v>
      </c>
      <c r="PMF1" t="s">
        <v>12659</v>
      </c>
      <c r="PMG1" t="s">
        <v>12660</v>
      </c>
      <c r="PMH1" t="s">
        <v>12661</v>
      </c>
      <c r="PMI1" t="s">
        <v>12662</v>
      </c>
      <c r="PMJ1" t="s">
        <v>12663</v>
      </c>
      <c r="PMK1" t="s">
        <v>12664</v>
      </c>
      <c r="PML1" t="s">
        <v>12665</v>
      </c>
      <c r="PMM1" t="s">
        <v>12666</v>
      </c>
      <c r="PMN1" t="s">
        <v>12667</v>
      </c>
      <c r="PMO1" t="s">
        <v>12668</v>
      </c>
      <c r="PMP1" t="s">
        <v>12669</v>
      </c>
      <c r="PMQ1" t="s">
        <v>12670</v>
      </c>
      <c r="PMR1" t="s">
        <v>12671</v>
      </c>
      <c r="PMS1" t="s">
        <v>12672</v>
      </c>
      <c r="PMT1" t="s">
        <v>12673</v>
      </c>
      <c r="PMU1" t="s">
        <v>12674</v>
      </c>
      <c r="PMV1" t="s">
        <v>12675</v>
      </c>
      <c r="PMW1" t="s">
        <v>12676</v>
      </c>
      <c r="PMX1" t="s">
        <v>12677</v>
      </c>
      <c r="PMY1" t="s">
        <v>12678</v>
      </c>
      <c r="PMZ1" t="s">
        <v>12679</v>
      </c>
      <c r="PNA1" t="s">
        <v>12680</v>
      </c>
      <c r="PNB1" t="s">
        <v>12681</v>
      </c>
      <c r="PNC1" t="s">
        <v>12682</v>
      </c>
      <c r="PND1" t="s">
        <v>12683</v>
      </c>
      <c r="PNE1" t="s">
        <v>12684</v>
      </c>
      <c r="PNF1" t="s">
        <v>12685</v>
      </c>
      <c r="PNG1" t="s">
        <v>12686</v>
      </c>
      <c r="PNH1" t="s">
        <v>12687</v>
      </c>
      <c r="PNI1" t="s">
        <v>12688</v>
      </c>
      <c r="PNJ1" t="s">
        <v>12689</v>
      </c>
      <c r="PNK1" t="s">
        <v>12690</v>
      </c>
      <c r="PNL1" t="s">
        <v>12691</v>
      </c>
      <c r="PNM1" t="s">
        <v>12692</v>
      </c>
      <c r="PNN1" t="s">
        <v>12693</v>
      </c>
      <c r="PNO1" t="s">
        <v>12694</v>
      </c>
      <c r="PNP1" t="s">
        <v>12695</v>
      </c>
      <c r="PNQ1" t="s">
        <v>12696</v>
      </c>
      <c r="PNR1" t="s">
        <v>12697</v>
      </c>
      <c r="PNS1" t="s">
        <v>12698</v>
      </c>
      <c r="PNT1" t="s">
        <v>12699</v>
      </c>
      <c r="PNU1" t="s">
        <v>12700</v>
      </c>
      <c r="PNV1" t="s">
        <v>12701</v>
      </c>
      <c r="PNW1" t="s">
        <v>12702</v>
      </c>
      <c r="PNX1" t="s">
        <v>12703</v>
      </c>
      <c r="PNY1" t="s">
        <v>12704</v>
      </c>
      <c r="PNZ1" t="s">
        <v>12705</v>
      </c>
      <c r="POA1" t="s">
        <v>12706</v>
      </c>
      <c r="POB1" t="s">
        <v>12707</v>
      </c>
      <c r="POC1" t="s">
        <v>12708</v>
      </c>
      <c r="POD1" t="s">
        <v>12709</v>
      </c>
      <c r="POE1" t="s">
        <v>12710</v>
      </c>
      <c r="POF1" t="s">
        <v>12711</v>
      </c>
      <c r="POG1" t="s">
        <v>12712</v>
      </c>
      <c r="POH1" t="s">
        <v>12713</v>
      </c>
      <c r="POI1" t="s">
        <v>12714</v>
      </c>
      <c r="POJ1" t="s">
        <v>12715</v>
      </c>
      <c r="POK1" t="s">
        <v>12716</v>
      </c>
      <c r="POL1" t="s">
        <v>12717</v>
      </c>
      <c r="POM1" t="s">
        <v>12718</v>
      </c>
      <c r="PON1" t="s">
        <v>12719</v>
      </c>
      <c r="POO1" t="s">
        <v>12720</v>
      </c>
      <c r="POP1" t="s">
        <v>12721</v>
      </c>
      <c r="POQ1" t="s">
        <v>12722</v>
      </c>
      <c r="POR1" t="s">
        <v>12723</v>
      </c>
      <c r="POS1" t="s">
        <v>12724</v>
      </c>
      <c r="POT1" t="s">
        <v>12725</v>
      </c>
      <c r="POU1" t="s">
        <v>12726</v>
      </c>
      <c r="POV1" t="s">
        <v>12727</v>
      </c>
      <c r="POW1" t="s">
        <v>12728</v>
      </c>
      <c r="POX1" t="s">
        <v>12729</v>
      </c>
      <c r="POY1" t="s">
        <v>12730</v>
      </c>
      <c r="POZ1" t="s">
        <v>12731</v>
      </c>
      <c r="PPA1" t="s">
        <v>12732</v>
      </c>
      <c r="PPB1" t="s">
        <v>12733</v>
      </c>
      <c r="PPC1" t="s">
        <v>12734</v>
      </c>
      <c r="PPD1" t="s">
        <v>12735</v>
      </c>
      <c r="PPE1" t="s">
        <v>12736</v>
      </c>
      <c r="PPF1" t="s">
        <v>12737</v>
      </c>
      <c r="PPG1" t="s">
        <v>12738</v>
      </c>
      <c r="PPH1" t="s">
        <v>12739</v>
      </c>
      <c r="PPI1" t="s">
        <v>12740</v>
      </c>
      <c r="PPJ1" t="s">
        <v>12741</v>
      </c>
      <c r="PPK1" t="s">
        <v>12742</v>
      </c>
      <c r="PPL1" t="s">
        <v>12743</v>
      </c>
      <c r="PPM1" t="s">
        <v>12744</v>
      </c>
      <c r="PPN1" t="s">
        <v>12745</v>
      </c>
      <c r="PPO1" t="s">
        <v>12746</v>
      </c>
      <c r="PPP1" t="s">
        <v>12747</v>
      </c>
      <c r="PPQ1" t="s">
        <v>12748</v>
      </c>
      <c r="PPR1" t="s">
        <v>12749</v>
      </c>
      <c r="PPS1" t="s">
        <v>12750</v>
      </c>
      <c r="PPT1" t="s">
        <v>12751</v>
      </c>
      <c r="PPU1" t="s">
        <v>12752</v>
      </c>
      <c r="PPV1" t="s">
        <v>12753</v>
      </c>
      <c r="PPW1" t="s">
        <v>12754</v>
      </c>
      <c r="PPX1" t="s">
        <v>12755</v>
      </c>
      <c r="PPY1" t="s">
        <v>12756</v>
      </c>
      <c r="PPZ1" t="s">
        <v>12757</v>
      </c>
      <c r="PQA1" t="s">
        <v>12758</v>
      </c>
      <c r="PQB1" t="s">
        <v>12759</v>
      </c>
      <c r="PQC1" t="s">
        <v>12760</v>
      </c>
      <c r="PQD1" t="s">
        <v>12761</v>
      </c>
      <c r="PQE1" t="s">
        <v>12762</v>
      </c>
      <c r="PQF1" t="s">
        <v>12763</v>
      </c>
      <c r="PQG1" t="s">
        <v>12764</v>
      </c>
      <c r="PQH1" t="s">
        <v>12765</v>
      </c>
      <c r="PQI1" t="s">
        <v>12766</v>
      </c>
      <c r="PQJ1" t="s">
        <v>12767</v>
      </c>
      <c r="PQK1" t="s">
        <v>12768</v>
      </c>
      <c r="PQL1" t="s">
        <v>12769</v>
      </c>
      <c r="PQM1" t="s">
        <v>12770</v>
      </c>
      <c r="PQN1" t="s">
        <v>12771</v>
      </c>
      <c r="PQO1" t="s">
        <v>12772</v>
      </c>
      <c r="PQP1" t="s">
        <v>12773</v>
      </c>
      <c r="PQQ1" t="s">
        <v>12774</v>
      </c>
      <c r="PQR1" t="s">
        <v>12775</v>
      </c>
      <c r="PQS1" t="s">
        <v>12776</v>
      </c>
      <c r="PQT1" t="s">
        <v>12777</v>
      </c>
      <c r="PQU1" t="s">
        <v>12778</v>
      </c>
      <c r="PQV1" t="s">
        <v>12779</v>
      </c>
      <c r="PQW1" t="s">
        <v>12780</v>
      </c>
      <c r="PQX1" t="s">
        <v>12781</v>
      </c>
      <c r="PQY1" t="s">
        <v>12782</v>
      </c>
      <c r="PQZ1" t="s">
        <v>12783</v>
      </c>
      <c r="PRA1" t="s">
        <v>12784</v>
      </c>
      <c r="PRB1" t="s">
        <v>12785</v>
      </c>
      <c r="PRC1" t="s">
        <v>12786</v>
      </c>
      <c r="PRD1" t="s">
        <v>12787</v>
      </c>
      <c r="PRE1" t="s">
        <v>12788</v>
      </c>
      <c r="PRF1" t="s">
        <v>12789</v>
      </c>
      <c r="PRG1" t="s">
        <v>12790</v>
      </c>
      <c r="PRH1" t="s">
        <v>12791</v>
      </c>
      <c r="PRI1" t="s">
        <v>12792</v>
      </c>
      <c r="PRJ1" t="s">
        <v>12793</v>
      </c>
      <c r="PRK1" t="s">
        <v>12794</v>
      </c>
      <c r="PRL1" t="s">
        <v>12795</v>
      </c>
      <c r="PRM1" t="s">
        <v>12796</v>
      </c>
      <c r="PRN1" t="s">
        <v>12797</v>
      </c>
      <c r="PRO1" t="s">
        <v>12798</v>
      </c>
      <c r="PRP1" t="s">
        <v>12799</v>
      </c>
      <c r="PRQ1" t="s">
        <v>12800</v>
      </c>
      <c r="PRR1" t="s">
        <v>12801</v>
      </c>
      <c r="PRS1" t="s">
        <v>12802</v>
      </c>
      <c r="PRT1" t="s">
        <v>12803</v>
      </c>
      <c r="PRU1" t="s">
        <v>12804</v>
      </c>
      <c r="PRV1" t="s">
        <v>12805</v>
      </c>
      <c r="PRW1" t="s">
        <v>12806</v>
      </c>
      <c r="PRX1" t="s">
        <v>12807</v>
      </c>
      <c r="PRY1" t="s">
        <v>12808</v>
      </c>
      <c r="PRZ1" t="s">
        <v>12809</v>
      </c>
      <c r="PSA1" t="s">
        <v>12810</v>
      </c>
      <c r="PSB1" t="s">
        <v>12811</v>
      </c>
      <c r="PSC1" t="s">
        <v>12812</v>
      </c>
      <c r="PSD1" t="s">
        <v>12813</v>
      </c>
      <c r="PSE1" t="s">
        <v>12814</v>
      </c>
      <c r="PSF1" t="s">
        <v>12815</v>
      </c>
      <c r="PSG1" t="s">
        <v>12816</v>
      </c>
      <c r="PSH1" t="s">
        <v>12817</v>
      </c>
      <c r="PSI1" t="s">
        <v>12818</v>
      </c>
      <c r="PSJ1" t="s">
        <v>12819</v>
      </c>
      <c r="PSK1" t="s">
        <v>12820</v>
      </c>
      <c r="PSL1" t="s">
        <v>12821</v>
      </c>
      <c r="PSM1" t="s">
        <v>12822</v>
      </c>
      <c r="PSN1" t="s">
        <v>12823</v>
      </c>
      <c r="PSO1" t="s">
        <v>12824</v>
      </c>
      <c r="PSP1" t="s">
        <v>12825</v>
      </c>
      <c r="PSQ1" t="s">
        <v>12826</v>
      </c>
      <c r="PSR1" t="s">
        <v>12827</v>
      </c>
      <c r="PSS1" t="s">
        <v>12828</v>
      </c>
      <c r="PST1" t="s">
        <v>12829</v>
      </c>
      <c r="PSU1" t="s">
        <v>12830</v>
      </c>
      <c r="PSV1" t="s">
        <v>12831</v>
      </c>
      <c r="PSW1" t="s">
        <v>12832</v>
      </c>
      <c r="PSX1" t="s">
        <v>12833</v>
      </c>
      <c r="PSY1" t="s">
        <v>12834</v>
      </c>
      <c r="PSZ1" t="s">
        <v>12835</v>
      </c>
      <c r="PTA1" t="s">
        <v>12836</v>
      </c>
      <c r="PTB1" t="s">
        <v>12837</v>
      </c>
      <c r="PTC1" t="s">
        <v>12838</v>
      </c>
      <c r="PTD1" t="s">
        <v>12839</v>
      </c>
      <c r="PTE1" t="s">
        <v>12840</v>
      </c>
      <c r="PTF1" t="s">
        <v>12841</v>
      </c>
      <c r="PTG1" t="s">
        <v>12842</v>
      </c>
      <c r="PTH1" t="s">
        <v>12843</v>
      </c>
      <c r="PTI1" t="s">
        <v>12844</v>
      </c>
      <c r="PTJ1" t="s">
        <v>12845</v>
      </c>
      <c r="PTK1" t="s">
        <v>12846</v>
      </c>
      <c r="PTL1" t="s">
        <v>12847</v>
      </c>
      <c r="PTM1" t="s">
        <v>12848</v>
      </c>
      <c r="PTN1" t="s">
        <v>12849</v>
      </c>
      <c r="PTO1" t="s">
        <v>12850</v>
      </c>
      <c r="PTP1" t="s">
        <v>12851</v>
      </c>
      <c r="PTQ1" t="s">
        <v>12852</v>
      </c>
      <c r="PTR1" t="s">
        <v>12853</v>
      </c>
      <c r="PTS1" t="s">
        <v>12854</v>
      </c>
      <c r="PTT1" t="s">
        <v>12855</v>
      </c>
      <c r="PTU1" t="s">
        <v>12856</v>
      </c>
      <c r="PTV1" t="s">
        <v>12857</v>
      </c>
      <c r="PTW1" t="s">
        <v>12858</v>
      </c>
      <c r="PTX1" t="s">
        <v>12859</v>
      </c>
      <c r="PTY1" t="s">
        <v>12860</v>
      </c>
      <c r="PTZ1" t="s">
        <v>12861</v>
      </c>
      <c r="PUA1" t="s">
        <v>12862</v>
      </c>
      <c r="PUB1" t="s">
        <v>12863</v>
      </c>
      <c r="PUC1" t="s">
        <v>12864</v>
      </c>
      <c r="PUD1" t="s">
        <v>12865</v>
      </c>
      <c r="PUE1" t="s">
        <v>12866</v>
      </c>
      <c r="PUF1" t="s">
        <v>12867</v>
      </c>
      <c r="PUG1" t="s">
        <v>12868</v>
      </c>
      <c r="PUH1" t="s">
        <v>12869</v>
      </c>
      <c r="PUI1" t="s">
        <v>12870</v>
      </c>
      <c r="PUJ1" t="s">
        <v>12871</v>
      </c>
      <c r="PUK1" t="s">
        <v>12872</v>
      </c>
      <c r="PUL1" t="s">
        <v>12873</v>
      </c>
      <c r="PUM1" t="s">
        <v>12874</v>
      </c>
      <c r="PUN1" t="s">
        <v>12875</v>
      </c>
      <c r="PUO1" t="s">
        <v>12876</v>
      </c>
      <c r="PUP1" t="s">
        <v>12877</v>
      </c>
      <c r="PUQ1" t="s">
        <v>12878</v>
      </c>
      <c r="PUR1" t="s">
        <v>12879</v>
      </c>
      <c r="PUS1" t="s">
        <v>12880</v>
      </c>
      <c r="PUT1" t="s">
        <v>12881</v>
      </c>
      <c r="PUU1" t="s">
        <v>12882</v>
      </c>
      <c r="PUV1" t="s">
        <v>12883</v>
      </c>
      <c r="PUW1" t="s">
        <v>12884</v>
      </c>
      <c r="PUX1" t="s">
        <v>12885</v>
      </c>
      <c r="PUY1" t="s">
        <v>12886</v>
      </c>
      <c r="PUZ1" t="s">
        <v>12887</v>
      </c>
      <c r="PVA1" t="s">
        <v>12888</v>
      </c>
      <c r="PVB1" t="s">
        <v>12889</v>
      </c>
      <c r="PVC1" t="s">
        <v>12890</v>
      </c>
      <c r="PVD1" t="s">
        <v>12891</v>
      </c>
      <c r="PVE1" t="s">
        <v>12892</v>
      </c>
      <c r="PVF1" t="s">
        <v>12893</v>
      </c>
      <c r="PVG1" t="s">
        <v>12894</v>
      </c>
      <c r="PVH1" t="s">
        <v>12895</v>
      </c>
      <c r="PVI1" t="s">
        <v>12896</v>
      </c>
      <c r="PVJ1" t="s">
        <v>12897</v>
      </c>
      <c r="PVK1" t="s">
        <v>12898</v>
      </c>
      <c r="PVL1" t="s">
        <v>12899</v>
      </c>
      <c r="PVM1" t="s">
        <v>12900</v>
      </c>
      <c r="PVN1" t="s">
        <v>12901</v>
      </c>
      <c r="PVO1" t="s">
        <v>12902</v>
      </c>
      <c r="PVP1" t="s">
        <v>12903</v>
      </c>
      <c r="PVQ1" t="s">
        <v>12904</v>
      </c>
      <c r="PVR1" t="s">
        <v>12905</v>
      </c>
      <c r="PVS1" t="s">
        <v>12906</v>
      </c>
      <c r="PVT1" t="s">
        <v>12907</v>
      </c>
      <c r="PVU1" t="s">
        <v>12908</v>
      </c>
      <c r="PVV1" t="s">
        <v>12909</v>
      </c>
      <c r="PVW1" t="s">
        <v>12910</v>
      </c>
      <c r="PVX1" t="s">
        <v>12911</v>
      </c>
      <c r="PVY1" t="s">
        <v>12912</v>
      </c>
      <c r="PVZ1" t="s">
        <v>12913</v>
      </c>
      <c r="PWA1" t="s">
        <v>12914</v>
      </c>
      <c r="PWB1" t="s">
        <v>12915</v>
      </c>
      <c r="PWC1" t="s">
        <v>12916</v>
      </c>
      <c r="PWD1" t="s">
        <v>12917</v>
      </c>
      <c r="PWE1" t="s">
        <v>12918</v>
      </c>
      <c r="PWF1" t="s">
        <v>12919</v>
      </c>
      <c r="PWG1" t="s">
        <v>12920</v>
      </c>
      <c r="PWH1" t="s">
        <v>12921</v>
      </c>
      <c r="PWI1" t="s">
        <v>12922</v>
      </c>
      <c r="PWJ1" t="s">
        <v>12923</v>
      </c>
      <c r="PWK1" t="s">
        <v>12924</v>
      </c>
      <c r="PWL1" t="s">
        <v>12925</v>
      </c>
      <c r="PWM1" t="s">
        <v>12926</v>
      </c>
      <c r="PWN1" t="s">
        <v>12927</v>
      </c>
      <c r="PWO1" t="s">
        <v>12928</v>
      </c>
      <c r="PWP1" t="s">
        <v>12929</v>
      </c>
      <c r="PWQ1" t="s">
        <v>12930</v>
      </c>
      <c r="PWR1" t="s">
        <v>12931</v>
      </c>
      <c r="PWS1" t="s">
        <v>12932</v>
      </c>
      <c r="PWT1" t="s">
        <v>12933</v>
      </c>
      <c r="PWU1" t="s">
        <v>12934</v>
      </c>
      <c r="PWV1" t="s">
        <v>12935</v>
      </c>
      <c r="PWW1" t="s">
        <v>12936</v>
      </c>
      <c r="PWX1" t="s">
        <v>12937</v>
      </c>
      <c r="PWY1" t="s">
        <v>12938</v>
      </c>
      <c r="PWZ1" t="s">
        <v>12939</v>
      </c>
      <c r="PXA1" t="s">
        <v>12940</v>
      </c>
      <c r="PXB1" t="s">
        <v>12941</v>
      </c>
      <c r="PXC1" t="s">
        <v>12942</v>
      </c>
      <c r="PXD1" t="s">
        <v>12943</v>
      </c>
      <c r="PXE1" t="s">
        <v>12944</v>
      </c>
      <c r="PXF1" t="s">
        <v>12945</v>
      </c>
      <c r="PXG1" t="s">
        <v>12946</v>
      </c>
      <c r="PXH1" t="s">
        <v>12947</v>
      </c>
      <c r="PXI1" t="s">
        <v>12948</v>
      </c>
      <c r="PXJ1" t="s">
        <v>12949</v>
      </c>
      <c r="PXK1" t="s">
        <v>12950</v>
      </c>
      <c r="PXL1" t="s">
        <v>12951</v>
      </c>
      <c r="PXM1" t="s">
        <v>12952</v>
      </c>
      <c r="PXN1" t="s">
        <v>12953</v>
      </c>
      <c r="PXO1" t="s">
        <v>12954</v>
      </c>
      <c r="PXP1" t="s">
        <v>12955</v>
      </c>
      <c r="PXQ1" t="s">
        <v>12956</v>
      </c>
      <c r="PXR1" t="s">
        <v>12957</v>
      </c>
      <c r="PXS1" t="s">
        <v>12958</v>
      </c>
      <c r="PXT1" t="s">
        <v>12959</v>
      </c>
      <c r="PXU1" t="s">
        <v>12960</v>
      </c>
      <c r="PXV1" t="s">
        <v>12961</v>
      </c>
      <c r="PXW1" t="s">
        <v>12962</v>
      </c>
      <c r="PXX1" t="s">
        <v>12963</v>
      </c>
      <c r="PXY1" t="s">
        <v>12964</v>
      </c>
      <c r="PXZ1" t="s">
        <v>12965</v>
      </c>
      <c r="PYA1" t="s">
        <v>12966</v>
      </c>
      <c r="PYB1" t="s">
        <v>12967</v>
      </c>
      <c r="PYC1" t="s">
        <v>12968</v>
      </c>
      <c r="PYD1" t="s">
        <v>12969</v>
      </c>
      <c r="PYE1" t="s">
        <v>12970</v>
      </c>
      <c r="PYF1" t="s">
        <v>12971</v>
      </c>
      <c r="PYG1" t="s">
        <v>12972</v>
      </c>
      <c r="PYH1" t="s">
        <v>12973</v>
      </c>
      <c r="PYI1" t="s">
        <v>12974</v>
      </c>
      <c r="PYJ1" t="s">
        <v>12975</v>
      </c>
      <c r="PYK1" t="s">
        <v>12976</v>
      </c>
      <c r="PYL1" t="s">
        <v>12977</v>
      </c>
      <c r="PYM1" t="s">
        <v>12978</v>
      </c>
      <c r="PYN1" t="s">
        <v>12979</v>
      </c>
      <c r="PYO1" t="s">
        <v>12980</v>
      </c>
      <c r="PYP1" t="s">
        <v>12981</v>
      </c>
      <c r="PYQ1" t="s">
        <v>12982</v>
      </c>
      <c r="PYR1" t="s">
        <v>12983</v>
      </c>
      <c r="PYS1" t="s">
        <v>12984</v>
      </c>
      <c r="PYT1" t="s">
        <v>12985</v>
      </c>
      <c r="PYU1" t="s">
        <v>12986</v>
      </c>
      <c r="PYV1" t="s">
        <v>12987</v>
      </c>
      <c r="PYW1" t="s">
        <v>12988</v>
      </c>
      <c r="PYX1" t="s">
        <v>12989</v>
      </c>
      <c r="PYY1" t="s">
        <v>12990</v>
      </c>
      <c r="PYZ1" t="s">
        <v>12991</v>
      </c>
      <c r="PZA1" t="s">
        <v>12992</v>
      </c>
      <c r="PZB1" t="s">
        <v>12993</v>
      </c>
      <c r="PZC1" t="s">
        <v>12994</v>
      </c>
      <c r="PZD1" t="s">
        <v>12995</v>
      </c>
      <c r="PZE1" t="s">
        <v>12996</v>
      </c>
      <c r="PZF1" t="s">
        <v>12997</v>
      </c>
      <c r="PZG1" t="s">
        <v>12998</v>
      </c>
      <c r="PZH1" t="s">
        <v>12999</v>
      </c>
      <c r="PZI1" t="s">
        <v>13000</v>
      </c>
      <c r="PZJ1" t="s">
        <v>13001</v>
      </c>
      <c r="PZK1" t="s">
        <v>13002</v>
      </c>
      <c r="PZL1" t="s">
        <v>13003</v>
      </c>
      <c r="PZM1" t="s">
        <v>13004</v>
      </c>
      <c r="PZN1" t="s">
        <v>13005</v>
      </c>
      <c r="PZO1" t="s">
        <v>13006</v>
      </c>
      <c r="PZP1" t="s">
        <v>13007</v>
      </c>
      <c r="PZQ1" t="s">
        <v>13008</v>
      </c>
      <c r="PZR1" t="s">
        <v>13009</v>
      </c>
      <c r="PZS1" t="s">
        <v>13010</v>
      </c>
      <c r="PZT1" t="s">
        <v>13011</v>
      </c>
      <c r="PZU1" t="s">
        <v>13012</v>
      </c>
      <c r="PZV1" t="s">
        <v>13013</v>
      </c>
      <c r="PZW1" t="s">
        <v>13014</v>
      </c>
      <c r="PZX1" t="s">
        <v>13015</v>
      </c>
      <c r="PZY1" t="s">
        <v>13016</v>
      </c>
      <c r="PZZ1" t="s">
        <v>13017</v>
      </c>
      <c r="QAA1" t="s">
        <v>13018</v>
      </c>
      <c r="QAB1" t="s">
        <v>13019</v>
      </c>
      <c r="QAC1" t="s">
        <v>13020</v>
      </c>
      <c r="QAD1" t="s">
        <v>13021</v>
      </c>
      <c r="QAE1" t="s">
        <v>13022</v>
      </c>
      <c r="QAF1" t="s">
        <v>13023</v>
      </c>
      <c r="QAG1" t="s">
        <v>13024</v>
      </c>
      <c r="QAH1" t="s">
        <v>13025</v>
      </c>
      <c r="QAI1" t="s">
        <v>13026</v>
      </c>
      <c r="QAJ1" t="s">
        <v>13027</v>
      </c>
      <c r="QAK1" t="s">
        <v>13028</v>
      </c>
      <c r="QAL1" t="s">
        <v>13029</v>
      </c>
      <c r="QAM1" t="s">
        <v>13030</v>
      </c>
      <c r="QAN1" t="s">
        <v>13031</v>
      </c>
      <c r="QAO1" t="s">
        <v>13032</v>
      </c>
      <c r="QAP1" t="s">
        <v>13033</v>
      </c>
      <c r="QAQ1" t="s">
        <v>13034</v>
      </c>
      <c r="QAR1" t="s">
        <v>13035</v>
      </c>
      <c r="QAS1" t="s">
        <v>13036</v>
      </c>
      <c r="QAT1" t="s">
        <v>13037</v>
      </c>
      <c r="QAU1" t="s">
        <v>13038</v>
      </c>
      <c r="QAV1" t="s">
        <v>13039</v>
      </c>
      <c r="QAW1" t="s">
        <v>13040</v>
      </c>
      <c r="QAX1" t="s">
        <v>13041</v>
      </c>
      <c r="QAY1" t="s">
        <v>13042</v>
      </c>
      <c r="QAZ1" t="s">
        <v>13043</v>
      </c>
      <c r="QBA1" t="s">
        <v>13044</v>
      </c>
      <c r="QBB1" t="s">
        <v>13045</v>
      </c>
      <c r="QBC1" t="s">
        <v>13046</v>
      </c>
      <c r="QBD1" t="s">
        <v>13047</v>
      </c>
      <c r="QBE1" t="s">
        <v>13048</v>
      </c>
      <c r="QBF1" t="s">
        <v>13049</v>
      </c>
      <c r="QBG1" t="s">
        <v>13050</v>
      </c>
      <c r="QBH1" t="s">
        <v>13051</v>
      </c>
      <c r="QBI1" t="s">
        <v>13052</v>
      </c>
      <c r="QBJ1" t="s">
        <v>13053</v>
      </c>
      <c r="QBK1" t="s">
        <v>13054</v>
      </c>
      <c r="QBL1" t="s">
        <v>13055</v>
      </c>
      <c r="QBM1" t="s">
        <v>13056</v>
      </c>
      <c r="QBN1" t="s">
        <v>13057</v>
      </c>
      <c r="QBO1" t="s">
        <v>13058</v>
      </c>
      <c r="QBP1" t="s">
        <v>13059</v>
      </c>
      <c r="QBQ1" t="s">
        <v>13060</v>
      </c>
      <c r="QBR1" t="s">
        <v>13061</v>
      </c>
      <c r="QBS1" t="s">
        <v>13062</v>
      </c>
      <c r="QBT1" t="s">
        <v>13063</v>
      </c>
      <c r="QBU1" t="s">
        <v>13064</v>
      </c>
      <c r="QBV1" t="s">
        <v>13065</v>
      </c>
      <c r="QBW1" t="s">
        <v>13066</v>
      </c>
      <c r="QBX1" t="s">
        <v>13067</v>
      </c>
      <c r="QBY1" t="s">
        <v>13068</v>
      </c>
      <c r="QBZ1" t="s">
        <v>13069</v>
      </c>
      <c r="QCA1" t="s">
        <v>13070</v>
      </c>
      <c r="QCB1" t="s">
        <v>13071</v>
      </c>
      <c r="QCC1" t="s">
        <v>13072</v>
      </c>
      <c r="QCD1" t="s">
        <v>13073</v>
      </c>
      <c r="QCE1" t="s">
        <v>13074</v>
      </c>
      <c r="QCF1" t="s">
        <v>13075</v>
      </c>
      <c r="QCG1" t="s">
        <v>13076</v>
      </c>
      <c r="QCH1" t="s">
        <v>13077</v>
      </c>
      <c r="QCI1" t="s">
        <v>13078</v>
      </c>
      <c r="QCJ1" t="s">
        <v>13079</v>
      </c>
      <c r="QCK1" t="s">
        <v>13080</v>
      </c>
      <c r="QCL1" t="s">
        <v>13081</v>
      </c>
      <c r="QCM1" t="s">
        <v>13082</v>
      </c>
      <c r="QCN1" t="s">
        <v>13083</v>
      </c>
      <c r="QCO1" t="s">
        <v>13084</v>
      </c>
      <c r="QCP1" t="s">
        <v>13085</v>
      </c>
      <c r="QCQ1" t="s">
        <v>13086</v>
      </c>
      <c r="QCR1" t="s">
        <v>13087</v>
      </c>
      <c r="QCS1" t="s">
        <v>13088</v>
      </c>
      <c r="QCT1" t="s">
        <v>13089</v>
      </c>
      <c r="QCU1" t="s">
        <v>13090</v>
      </c>
      <c r="QCV1" t="s">
        <v>13091</v>
      </c>
      <c r="QCW1" t="s">
        <v>13092</v>
      </c>
      <c r="QCX1" t="s">
        <v>13093</v>
      </c>
      <c r="QCY1" t="s">
        <v>13094</v>
      </c>
      <c r="QCZ1" t="s">
        <v>13095</v>
      </c>
      <c r="QDA1" t="s">
        <v>13096</v>
      </c>
      <c r="QDB1" t="s">
        <v>13097</v>
      </c>
      <c r="QDC1" t="s">
        <v>13098</v>
      </c>
      <c r="QDD1" t="s">
        <v>13099</v>
      </c>
      <c r="QDE1" t="s">
        <v>13100</v>
      </c>
      <c r="QDF1" t="s">
        <v>13101</v>
      </c>
      <c r="QDG1" t="s">
        <v>13102</v>
      </c>
      <c r="QDH1" t="s">
        <v>13103</v>
      </c>
      <c r="QDI1" t="s">
        <v>13104</v>
      </c>
      <c r="QDJ1" t="s">
        <v>13105</v>
      </c>
      <c r="QDK1" t="s">
        <v>13106</v>
      </c>
      <c r="QDL1" t="s">
        <v>13107</v>
      </c>
      <c r="QDM1" t="s">
        <v>13108</v>
      </c>
      <c r="QDN1" t="s">
        <v>13109</v>
      </c>
      <c r="QDO1" t="s">
        <v>13110</v>
      </c>
      <c r="QDP1" t="s">
        <v>13111</v>
      </c>
      <c r="QDQ1" t="s">
        <v>13112</v>
      </c>
      <c r="QDR1" t="s">
        <v>13113</v>
      </c>
      <c r="QDS1" t="s">
        <v>13114</v>
      </c>
      <c r="QDT1" t="s">
        <v>13115</v>
      </c>
      <c r="QDU1" t="s">
        <v>13116</v>
      </c>
      <c r="QDV1" t="s">
        <v>13117</v>
      </c>
      <c r="QDW1" t="s">
        <v>13118</v>
      </c>
      <c r="QDX1" t="s">
        <v>13119</v>
      </c>
      <c r="QDY1" t="s">
        <v>13120</v>
      </c>
      <c r="QDZ1" t="s">
        <v>13121</v>
      </c>
      <c r="QEA1" t="s">
        <v>13122</v>
      </c>
      <c r="QEB1" t="s">
        <v>13123</v>
      </c>
      <c r="QEC1" t="s">
        <v>13124</v>
      </c>
      <c r="QED1" t="s">
        <v>13125</v>
      </c>
      <c r="QEE1" t="s">
        <v>13126</v>
      </c>
      <c r="QEF1" t="s">
        <v>13127</v>
      </c>
      <c r="QEG1" t="s">
        <v>13128</v>
      </c>
      <c r="QEH1" t="s">
        <v>13129</v>
      </c>
      <c r="QEI1" t="s">
        <v>13130</v>
      </c>
      <c r="QEJ1" t="s">
        <v>13131</v>
      </c>
      <c r="QEK1" t="s">
        <v>13132</v>
      </c>
      <c r="QEL1" t="s">
        <v>13133</v>
      </c>
      <c r="QEM1" t="s">
        <v>13134</v>
      </c>
      <c r="QEN1" t="s">
        <v>13135</v>
      </c>
      <c r="QEO1" t="s">
        <v>13136</v>
      </c>
      <c r="QEP1" t="s">
        <v>13137</v>
      </c>
      <c r="QEQ1" t="s">
        <v>13138</v>
      </c>
      <c r="QER1" t="s">
        <v>13139</v>
      </c>
      <c r="QES1" t="s">
        <v>13140</v>
      </c>
      <c r="QET1" t="s">
        <v>13141</v>
      </c>
      <c r="QEU1" t="s">
        <v>13142</v>
      </c>
      <c r="QEV1" t="s">
        <v>13143</v>
      </c>
      <c r="QEW1" t="s">
        <v>13144</v>
      </c>
      <c r="QEX1" t="s">
        <v>13145</v>
      </c>
      <c r="QEY1" t="s">
        <v>13146</v>
      </c>
      <c r="QEZ1" t="s">
        <v>13147</v>
      </c>
      <c r="QFA1" t="s">
        <v>13148</v>
      </c>
      <c r="QFB1" t="s">
        <v>13149</v>
      </c>
      <c r="QFC1" t="s">
        <v>13150</v>
      </c>
      <c r="QFD1" t="s">
        <v>13151</v>
      </c>
      <c r="QFE1" t="s">
        <v>13152</v>
      </c>
      <c r="QFF1" t="s">
        <v>13153</v>
      </c>
      <c r="QFG1" t="s">
        <v>13154</v>
      </c>
      <c r="QFH1" t="s">
        <v>13155</v>
      </c>
      <c r="QFI1" t="s">
        <v>13156</v>
      </c>
      <c r="QFJ1" t="s">
        <v>13157</v>
      </c>
      <c r="QFK1" t="s">
        <v>13158</v>
      </c>
      <c r="QFL1" t="s">
        <v>13159</v>
      </c>
      <c r="QFM1" t="s">
        <v>13160</v>
      </c>
      <c r="QFN1" t="s">
        <v>13161</v>
      </c>
      <c r="QFO1" t="s">
        <v>13162</v>
      </c>
      <c r="QFP1" t="s">
        <v>13163</v>
      </c>
      <c r="QFQ1" t="s">
        <v>13164</v>
      </c>
      <c r="QFR1" t="s">
        <v>13165</v>
      </c>
      <c r="QFS1" t="s">
        <v>13166</v>
      </c>
      <c r="QFT1" t="s">
        <v>13167</v>
      </c>
      <c r="QFU1" t="s">
        <v>13168</v>
      </c>
      <c r="QFV1" t="s">
        <v>13169</v>
      </c>
      <c r="QFW1" t="s">
        <v>13170</v>
      </c>
      <c r="QFX1" t="s">
        <v>13171</v>
      </c>
      <c r="QFY1" t="s">
        <v>13172</v>
      </c>
      <c r="QFZ1" t="s">
        <v>13173</v>
      </c>
      <c r="QGA1" t="s">
        <v>13174</v>
      </c>
      <c r="QGB1" t="s">
        <v>13175</v>
      </c>
      <c r="QGC1" t="s">
        <v>13176</v>
      </c>
      <c r="QGD1" t="s">
        <v>13177</v>
      </c>
      <c r="QGE1" t="s">
        <v>13178</v>
      </c>
      <c r="QGF1" t="s">
        <v>13179</v>
      </c>
      <c r="QGG1" t="s">
        <v>13180</v>
      </c>
      <c r="QGH1" t="s">
        <v>13181</v>
      </c>
      <c r="QGI1" t="s">
        <v>13182</v>
      </c>
      <c r="QGJ1" t="s">
        <v>13183</v>
      </c>
      <c r="QGK1" t="s">
        <v>13184</v>
      </c>
      <c r="QGL1" t="s">
        <v>13185</v>
      </c>
      <c r="QGM1" t="s">
        <v>13186</v>
      </c>
      <c r="QGN1" t="s">
        <v>13187</v>
      </c>
      <c r="QGO1" t="s">
        <v>13188</v>
      </c>
      <c r="QGP1" t="s">
        <v>13189</v>
      </c>
      <c r="QGQ1" t="s">
        <v>13190</v>
      </c>
      <c r="QGR1" t="s">
        <v>13191</v>
      </c>
      <c r="QGS1" t="s">
        <v>13192</v>
      </c>
      <c r="QGT1" t="s">
        <v>13193</v>
      </c>
      <c r="QGU1" t="s">
        <v>13194</v>
      </c>
      <c r="QGV1" t="s">
        <v>13195</v>
      </c>
      <c r="QGW1" t="s">
        <v>13196</v>
      </c>
      <c r="QGX1" t="s">
        <v>13197</v>
      </c>
      <c r="QGY1" t="s">
        <v>13198</v>
      </c>
      <c r="QGZ1" t="s">
        <v>13199</v>
      </c>
      <c r="QHA1" t="s">
        <v>13200</v>
      </c>
      <c r="QHB1" t="s">
        <v>13201</v>
      </c>
      <c r="QHC1" t="s">
        <v>13202</v>
      </c>
      <c r="QHD1" t="s">
        <v>13203</v>
      </c>
      <c r="QHE1" t="s">
        <v>13204</v>
      </c>
      <c r="QHF1" t="s">
        <v>13205</v>
      </c>
      <c r="QHG1" t="s">
        <v>13206</v>
      </c>
      <c r="QHH1" t="s">
        <v>13207</v>
      </c>
      <c r="QHI1" t="s">
        <v>13208</v>
      </c>
      <c r="QHJ1" t="s">
        <v>13209</v>
      </c>
      <c r="QHK1" t="s">
        <v>13210</v>
      </c>
      <c r="QHL1" t="s">
        <v>13211</v>
      </c>
      <c r="QHM1" t="s">
        <v>13212</v>
      </c>
      <c r="QHN1" t="s">
        <v>13213</v>
      </c>
      <c r="QHO1" t="s">
        <v>13214</v>
      </c>
      <c r="QHP1" t="s">
        <v>13215</v>
      </c>
      <c r="QHQ1" t="s">
        <v>13216</v>
      </c>
      <c r="QHR1" t="s">
        <v>13217</v>
      </c>
      <c r="QHS1" t="s">
        <v>13218</v>
      </c>
      <c r="QHT1" t="s">
        <v>13219</v>
      </c>
      <c r="QHU1" t="s">
        <v>13220</v>
      </c>
      <c r="QHV1" t="s">
        <v>13221</v>
      </c>
      <c r="QHW1" t="s">
        <v>13222</v>
      </c>
      <c r="QHX1" t="s">
        <v>13223</v>
      </c>
      <c r="QHY1" t="s">
        <v>13224</v>
      </c>
      <c r="QHZ1" t="s">
        <v>13225</v>
      </c>
      <c r="QIA1" t="s">
        <v>13226</v>
      </c>
      <c r="QIB1" t="s">
        <v>13227</v>
      </c>
      <c r="QIC1" t="s">
        <v>13228</v>
      </c>
      <c r="QID1" t="s">
        <v>13229</v>
      </c>
      <c r="QIE1" t="s">
        <v>13230</v>
      </c>
      <c r="QIF1" t="s">
        <v>13231</v>
      </c>
      <c r="QIG1" t="s">
        <v>13232</v>
      </c>
      <c r="QIH1" t="s">
        <v>13233</v>
      </c>
      <c r="QII1" t="s">
        <v>13234</v>
      </c>
      <c r="QIJ1" t="s">
        <v>13235</v>
      </c>
      <c r="QIK1" t="s">
        <v>13236</v>
      </c>
      <c r="QIL1" t="s">
        <v>13237</v>
      </c>
      <c r="QIM1" t="s">
        <v>13238</v>
      </c>
      <c r="QIN1" t="s">
        <v>13239</v>
      </c>
      <c r="QIO1" t="s">
        <v>13240</v>
      </c>
      <c r="QIP1" t="s">
        <v>13241</v>
      </c>
      <c r="QIQ1" t="s">
        <v>13242</v>
      </c>
      <c r="QIR1" t="s">
        <v>13243</v>
      </c>
      <c r="QIS1" t="s">
        <v>13244</v>
      </c>
      <c r="QIT1" t="s">
        <v>13245</v>
      </c>
      <c r="QIU1" t="s">
        <v>13246</v>
      </c>
      <c r="QIV1" t="s">
        <v>13247</v>
      </c>
      <c r="QIW1" t="s">
        <v>13248</v>
      </c>
      <c r="QIX1" t="s">
        <v>13249</v>
      </c>
      <c r="QIY1" t="s">
        <v>13250</v>
      </c>
      <c r="QIZ1" t="s">
        <v>13251</v>
      </c>
      <c r="QJA1" t="s">
        <v>13252</v>
      </c>
      <c r="QJB1" t="s">
        <v>13253</v>
      </c>
      <c r="QJC1" t="s">
        <v>13254</v>
      </c>
      <c r="QJD1" t="s">
        <v>13255</v>
      </c>
      <c r="QJE1" t="s">
        <v>13256</v>
      </c>
      <c r="QJF1" t="s">
        <v>13257</v>
      </c>
      <c r="QJG1" t="s">
        <v>13258</v>
      </c>
      <c r="QJH1" t="s">
        <v>13259</v>
      </c>
      <c r="QJI1" t="s">
        <v>13260</v>
      </c>
      <c r="QJJ1" t="s">
        <v>13261</v>
      </c>
      <c r="QJK1" t="s">
        <v>13262</v>
      </c>
      <c r="QJL1" t="s">
        <v>13263</v>
      </c>
      <c r="QJM1" t="s">
        <v>13264</v>
      </c>
      <c r="QJN1" t="s">
        <v>13265</v>
      </c>
      <c r="QJO1" t="s">
        <v>13266</v>
      </c>
      <c r="QJP1" t="s">
        <v>13267</v>
      </c>
      <c r="QJQ1" t="s">
        <v>13268</v>
      </c>
      <c r="QJR1" t="s">
        <v>13269</v>
      </c>
      <c r="QJS1" t="s">
        <v>13270</v>
      </c>
      <c r="QJT1" t="s">
        <v>13271</v>
      </c>
      <c r="QJU1" t="s">
        <v>13272</v>
      </c>
      <c r="QJV1" t="s">
        <v>13273</v>
      </c>
      <c r="QJW1" t="s">
        <v>13274</v>
      </c>
      <c r="QJX1" t="s">
        <v>13275</v>
      </c>
      <c r="QJY1" t="s">
        <v>13276</v>
      </c>
      <c r="QJZ1" t="s">
        <v>13277</v>
      </c>
      <c r="QKA1" t="s">
        <v>13278</v>
      </c>
      <c r="QKB1" t="s">
        <v>13279</v>
      </c>
      <c r="QKC1" t="s">
        <v>13280</v>
      </c>
      <c r="QKD1" t="s">
        <v>13281</v>
      </c>
      <c r="QKE1" t="s">
        <v>13282</v>
      </c>
      <c r="QKF1" t="s">
        <v>13283</v>
      </c>
      <c r="QKG1" t="s">
        <v>13284</v>
      </c>
      <c r="QKH1" t="s">
        <v>13285</v>
      </c>
      <c r="QKI1" t="s">
        <v>13286</v>
      </c>
      <c r="QKJ1" t="s">
        <v>13287</v>
      </c>
      <c r="QKK1" t="s">
        <v>13288</v>
      </c>
      <c r="QKL1" t="s">
        <v>13289</v>
      </c>
      <c r="QKM1" t="s">
        <v>13290</v>
      </c>
      <c r="QKN1" t="s">
        <v>13291</v>
      </c>
      <c r="QKO1" t="s">
        <v>13292</v>
      </c>
      <c r="QKP1" t="s">
        <v>13293</v>
      </c>
      <c r="QKQ1" t="s">
        <v>13294</v>
      </c>
      <c r="QKR1" t="s">
        <v>13295</v>
      </c>
      <c r="QKS1" t="s">
        <v>13296</v>
      </c>
      <c r="QKT1" t="s">
        <v>13297</v>
      </c>
      <c r="QKU1" t="s">
        <v>13298</v>
      </c>
      <c r="QKV1" t="s">
        <v>13299</v>
      </c>
      <c r="QKW1" t="s">
        <v>13300</v>
      </c>
      <c r="QKX1" t="s">
        <v>13301</v>
      </c>
      <c r="QKY1" t="s">
        <v>13302</v>
      </c>
      <c r="QKZ1" t="s">
        <v>13303</v>
      </c>
      <c r="QLA1" t="s">
        <v>13304</v>
      </c>
      <c r="QLB1" t="s">
        <v>13305</v>
      </c>
      <c r="QLC1" t="s">
        <v>13306</v>
      </c>
      <c r="QLD1" t="s">
        <v>13307</v>
      </c>
      <c r="QLE1" t="s">
        <v>13308</v>
      </c>
      <c r="QLF1" t="s">
        <v>13309</v>
      </c>
      <c r="QLG1" t="s">
        <v>13310</v>
      </c>
      <c r="QLH1" t="s">
        <v>13311</v>
      </c>
      <c r="QLI1" t="s">
        <v>13312</v>
      </c>
      <c r="QLJ1" t="s">
        <v>13313</v>
      </c>
      <c r="QLK1" t="s">
        <v>13314</v>
      </c>
      <c r="QLL1" t="s">
        <v>13315</v>
      </c>
      <c r="QLM1" t="s">
        <v>13316</v>
      </c>
      <c r="QLN1" t="s">
        <v>13317</v>
      </c>
      <c r="QLO1" t="s">
        <v>13318</v>
      </c>
      <c r="QLP1" t="s">
        <v>13319</v>
      </c>
      <c r="QLQ1" t="s">
        <v>13320</v>
      </c>
      <c r="QLR1" t="s">
        <v>13321</v>
      </c>
      <c r="QLS1" t="s">
        <v>13322</v>
      </c>
      <c r="QLT1" t="s">
        <v>13323</v>
      </c>
      <c r="QLU1" t="s">
        <v>13324</v>
      </c>
      <c r="QLV1" t="s">
        <v>13325</v>
      </c>
      <c r="QLW1" t="s">
        <v>13326</v>
      </c>
      <c r="QLX1" t="s">
        <v>13327</v>
      </c>
      <c r="QLY1" t="s">
        <v>13328</v>
      </c>
      <c r="QLZ1" t="s">
        <v>13329</v>
      </c>
      <c r="QMA1" t="s">
        <v>13330</v>
      </c>
      <c r="QMB1" t="s">
        <v>13331</v>
      </c>
      <c r="QMC1" t="s">
        <v>13332</v>
      </c>
      <c r="QMD1" t="s">
        <v>13333</v>
      </c>
      <c r="QME1" t="s">
        <v>13334</v>
      </c>
      <c r="QMF1" t="s">
        <v>13335</v>
      </c>
      <c r="QMG1" t="s">
        <v>13336</v>
      </c>
      <c r="QMH1" t="s">
        <v>13337</v>
      </c>
      <c r="QMI1" t="s">
        <v>13338</v>
      </c>
      <c r="QMJ1" t="s">
        <v>13339</v>
      </c>
      <c r="QMK1" t="s">
        <v>13340</v>
      </c>
      <c r="QML1" t="s">
        <v>13341</v>
      </c>
      <c r="QMM1" t="s">
        <v>13342</v>
      </c>
      <c r="QMN1" t="s">
        <v>13343</v>
      </c>
      <c r="QMO1" t="s">
        <v>13344</v>
      </c>
      <c r="QMP1" t="s">
        <v>13345</v>
      </c>
      <c r="QMQ1" t="s">
        <v>13346</v>
      </c>
      <c r="QMR1" t="s">
        <v>13347</v>
      </c>
      <c r="QMS1" t="s">
        <v>13348</v>
      </c>
      <c r="QMT1" t="s">
        <v>13349</v>
      </c>
      <c r="QMU1" t="s">
        <v>13350</v>
      </c>
      <c r="QMV1" t="s">
        <v>13351</v>
      </c>
      <c r="QMW1" t="s">
        <v>13352</v>
      </c>
      <c r="QMX1" t="s">
        <v>13353</v>
      </c>
      <c r="QMY1" t="s">
        <v>13354</v>
      </c>
      <c r="QMZ1" t="s">
        <v>13355</v>
      </c>
      <c r="QNA1" t="s">
        <v>13356</v>
      </c>
      <c r="QNB1" t="s">
        <v>13357</v>
      </c>
      <c r="QNC1" t="s">
        <v>13358</v>
      </c>
      <c r="QND1" t="s">
        <v>13359</v>
      </c>
      <c r="QNE1" t="s">
        <v>13360</v>
      </c>
      <c r="QNF1" t="s">
        <v>13361</v>
      </c>
      <c r="QNG1" t="s">
        <v>13362</v>
      </c>
      <c r="QNH1" t="s">
        <v>13363</v>
      </c>
      <c r="QNI1" t="s">
        <v>13364</v>
      </c>
      <c r="QNJ1" t="s">
        <v>13365</v>
      </c>
      <c r="QNK1" t="s">
        <v>13366</v>
      </c>
      <c r="QNL1" t="s">
        <v>13367</v>
      </c>
      <c r="QNM1" t="s">
        <v>13368</v>
      </c>
      <c r="QNN1" t="s">
        <v>13369</v>
      </c>
      <c r="QNO1" t="s">
        <v>13370</v>
      </c>
      <c r="QNP1" t="s">
        <v>13371</v>
      </c>
      <c r="QNQ1" t="s">
        <v>13372</v>
      </c>
      <c r="QNR1" t="s">
        <v>13373</v>
      </c>
      <c r="QNS1" t="s">
        <v>13374</v>
      </c>
      <c r="QNT1" t="s">
        <v>13375</v>
      </c>
      <c r="QNU1" t="s">
        <v>13376</v>
      </c>
      <c r="QNV1" t="s">
        <v>13377</v>
      </c>
      <c r="QNW1" t="s">
        <v>13378</v>
      </c>
      <c r="QNX1" t="s">
        <v>13379</v>
      </c>
      <c r="QNY1" t="s">
        <v>13380</v>
      </c>
      <c r="QNZ1" t="s">
        <v>13381</v>
      </c>
      <c r="QOA1" t="s">
        <v>13382</v>
      </c>
      <c r="QOB1" t="s">
        <v>13383</v>
      </c>
      <c r="QOC1" t="s">
        <v>13384</v>
      </c>
      <c r="QOD1" t="s">
        <v>13385</v>
      </c>
      <c r="QOE1" t="s">
        <v>13386</v>
      </c>
      <c r="QOF1" t="s">
        <v>13387</v>
      </c>
      <c r="QOG1" t="s">
        <v>13388</v>
      </c>
      <c r="QOH1" t="s">
        <v>13389</v>
      </c>
      <c r="QOI1" t="s">
        <v>13390</v>
      </c>
      <c r="QOJ1" t="s">
        <v>13391</v>
      </c>
      <c r="QOK1" t="s">
        <v>13392</v>
      </c>
      <c r="QOL1" t="s">
        <v>13393</v>
      </c>
      <c r="QOM1" t="s">
        <v>13394</v>
      </c>
      <c r="QON1" t="s">
        <v>13395</v>
      </c>
      <c r="QOO1" t="s">
        <v>13396</v>
      </c>
      <c r="QOP1" t="s">
        <v>13397</v>
      </c>
      <c r="QOQ1" t="s">
        <v>13398</v>
      </c>
      <c r="QOR1" t="s">
        <v>13399</v>
      </c>
      <c r="QOS1" t="s">
        <v>13400</v>
      </c>
      <c r="QOT1" t="s">
        <v>13401</v>
      </c>
      <c r="QOU1" t="s">
        <v>13402</v>
      </c>
      <c r="QOV1" t="s">
        <v>13403</v>
      </c>
      <c r="QOW1" t="s">
        <v>13404</v>
      </c>
      <c r="QOX1" t="s">
        <v>13405</v>
      </c>
      <c r="QOY1" t="s">
        <v>13406</v>
      </c>
      <c r="QOZ1" t="s">
        <v>13407</v>
      </c>
      <c r="QPA1" t="s">
        <v>13408</v>
      </c>
      <c r="QPB1" t="s">
        <v>13409</v>
      </c>
      <c r="QPC1" t="s">
        <v>13410</v>
      </c>
      <c r="QPD1" t="s">
        <v>13411</v>
      </c>
      <c r="QPE1" t="s">
        <v>13412</v>
      </c>
      <c r="QPF1" t="s">
        <v>13413</v>
      </c>
      <c r="QPG1" t="s">
        <v>13414</v>
      </c>
      <c r="QPH1" t="s">
        <v>13415</v>
      </c>
      <c r="QPI1" t="s">
        <v>13416</v>
      </c>
      <c r="QPJ1" t="s">
        <v>13417</v>
      </c>
      <c r="QPK1" t="s">
        <v>13418</v>
      </c>
      <c r="QPL1" t="s">
        <v>13419</v>
      </c>
      <c r="QPM1" t="s">
        <v>13420</v>
      </c>
      <c r="QPN1" t="s">
        <v>13421</v>
      </c>
      <c r="QPO1" t="s">
        <v>13422</v>
      </c>
      <c r="QPP1" t="s">
        <v>13423</v>
      </c>
      <c r="QPQ1" t="s">
        <v>13424</v>
      </c>
      <c r="QPR1" t="s">
        <v>13425</v>
      </c>
      <c r="QPS1" t="s">
        <v>13426</v>
      </c>
      <c r="QPT1" t="s">
        <v>13427</v>
      </c>
      <c r="QPU1" t="s">
        <v>13428</v>
      </c>
      <c r="QPV1" t="s">
        <v>13429</v>
      </c>
      <c r="QPW1" t="s">
        <v>13430</v>
      </c>
      <c r="QPX1" t="s">
        <v>13431</v>
      </c>
      <c r="QPY1" t="s">
        <v>13432</v>
      </c>
      <c r="QPZ1" t="s">
        <v>13433</v>
      </c>
      <c r="QQA1" t="s">
        <v>13434</v>
      </c>
      <c r="QQB1" t="s">
        <v>13435</v>
      </c>
      <c r="QQC1" t="s">
        <v>13436</v>
      </c>
      <c r="QQD1" t="s">
        <v>13437</v>
      </c>
      <c r="QQE1" t="s">
        <v>13438</v>
      </c>
      <c r="QQF1" t="s">
        <v>13439</v>
      </c>
      <c r="QQG1" t="s">
        <v>13440</v>
      </c>
      <c r="QQH1" t="s">
        <v>13441</v>
      </c>
      <c r="QQI1" t="s">
        <v>13442</v>
      </c>
      <c r="QQJ1" t="s">
        <v>13443</v>
      </c>
      <c r="QQK1" t="s">
        <v>13444</v>
      </c>
      <c r="QQL1" t="s">
        <v>13445</v>
      </c>
      <c r="QQM1" t="s">
        <v>13446</v>
      </c>
      <c r="QQN1" t="s">
        <v>13447</v>
      </c>
      <c r="QQO1" t="s">
        <v>13448</v>
      </c>
      <c r="QQP1" t="s">
        <v>13449</v>
      </c>
      <c r="QQQ1" t="s">
        <v>13450</v>
      </c>
      <c r="QQR1" t="s">
        <v>13451</v>
      </c>
      <c r="QQS1" t="s">
        <v>13452</v>
      </c>
      <c r="QQT1" t="s">
        <v>13453</v>
      </c>
      <c r="QQU1" t="s">
        <v>13454</v>
      </c>
      <c r="QQV1" t="s">
        <v>13455</v>
      </c>
      <c r="QQW1" t="s">
        <v>13456</v>
      </c>
      <c r="QQX1" t="s">
        <v>13457</v>
      </c>
      <c r="QQY1" t="s">
        <v>13458</v>
      </c>
      <c r="QQZ1" t="s">
        <v>13459</v>
      </c>
      <c r="QRA1" t="s">
        <v>13460</v>
      </c>
      <c r="QRB1" t="s">
        <v>13461</v>
      </c>
      <c r="QRC1" t="s">
        <v>13462</v>
      </c>
      <c r="QRD1" t="s">
        <v>13463</v>
      </c>
      <c r="QRE1" t="s">
        <v>13464</v>
      </c>
      <c r="QRF1" t="s">
        <v>13465</v>
      </c>
      <c r="QRG1" t="s">
        <v>13466</v>
      </c>
      <c r="QRH1" t="s">
        <v>13467</v>
      </c>
      <c r="QRI1" t="s">
        <v>13468</v>
      </c>
      <c r="QRJ1" t="s">
        <v>13469</v>
      </c>
      <c r="QRK1" t="s">
        <v>13470</v>
      </c>
      <c r="QRL1" t="s">
        <v>13471</v>
      </c>
      <c r="QRM1" t="s">
        <v>13472</v>
      </c>
      <c r="QRN1" t="s">
        <v>13473</v>
      </c>
      <c r="QRO1" t="s">
        <v>13474</v>
      </c>
      <c r="QRP1" t="s">
        <v>13475</v>
      </c>
      <c r="QRQ1" t="s">
        <v>13476</v>
      </c>
      <c r="QRR1" t="s">
        <v>13477</v>
      </c>
      <c r="QRS1" t="s">
        <v>13478</v>
      </c>
      <c r="QRT1" t="s">
        <v>13479</v>
      </c>
      <c r="QRU1" t="s">
        <v>13480</v>
      </c>
      <c r="QRV1" t="s">
        <v>13481</v>
      </c>
      <c r="QRW1" t="s">
        <v>13482</v>
      </c>
      <c r="QRX1" t="s">
        <v>13483</v>
      </c>
      <c r="QRY1" t="s">
        <v>13484</v>
      </c>
      <c r="QRZ1" t="s">
        <v>13485</v>
      </c>
      <c r="QSA1" t="s">
        <v>13486</v>
      </c>
      <c r="QSB1" t="s">
        <v>13487</v>
      </c>
      <c r="QSC1" t="s">
        <v>13488</v>
      </c>
      <c r="QSD1" t="s">
        <v>13489</v>
      </c>
      <c r="QSE1" t="s">
        <v>13490</v>
      </c>
      <c r="QSF1" t="s">
        <v>13491</v>
      </c>
      <c r="QSG1" t="s">
        <v>13492</v>
      </c>
      <c r="QSH1" t="s">
        <v>13493</v>
      </c>
      <c r="QSI1" t="s">
        <v>13494</v>
      </c>
      <c r="QSJ1" t="s">
        <v>13495</v>
      </c>
      <c r="QSK1" t="s">
        <v>13496</v>
      </c>
      <c r="QSL1" t="s">
        <v>13497</v>
      </c>
      <c r="QSM1" t="s">
        <v>13498</v>
      </c>
      <c r="QSN1" t="s">
        <v>13499</v>
      </c>
      <c r="QSO1" t="s">
        <v>13500</v>
      </c>
      <c r="QSP1" t="s">
        <v>13501</v>
      </c>
      <c r="QSQ1" t="s">
        <v>13502</v>
      </c>
      <c r="QSR1" t="s">
        <v>13503</v>
      </c>
      <c r="QSS1" t="s">
        <v>13504</v>
      </c>
      <c r="QST1" t="s">
        <v>13505</v>
      </c>
      <c r="QSU1" t="s">
        <v>13506</v>
      </c>
      <c r="QSV1" t="s">
        <v>13507</v>
      </c>
      <c r="QSW1" t="s">
        <v>13508</v>
      </c>
      <c r="QSX1" t="s">
        <v>13509</v>
      </c>
      <c r="QSY1" t="s">
        <v>13510</v>
      </c>
      <c r="QSZ1" t="s">
        <v>13511</v>
      </c>
      <c r="QTA1" t="s">
        <v>13512</v>
      </c>
      <c r="QTB1" t="s">
        <v>13513</v>
      </c>
      <c r="QTC1" t="s">
        <v>13514</v>
      </c>
      <c r="QTD1" t="s">
        <v>13515</v>
      </c>
      <c r="QTE1" t="s">
        <v>13516</v>
      </c>
      <c r="QTF1" t="s">
        <v>13517</v>
      </c>
      <c r="QTG1" t="s">
        <v>13518</v>
      </c>
      <c r="QTH1" t="s">
        <v>13519</v>
      </c>
      <c r="QTI1" t="s">
        <v>13520</v>
      </c>
      <c r="QTJ1" t="s">
        <v>13521</v>
      </c>
      <c r="QTK1" t="s">
        <v>13522</v>
      </c>
      <c r="QTL1" t="s">
        <v>13523</v>
      </c>
      <c r="QTM1" t="s">
        <v>13524</v>
      </c>
      <c r="QTN1" t="s">
        <v>13525</v>
      </c>
      <c r="QTO1" t="s">
        <v>13526</v>
      </c>
      <c r="QTP1" t="s">
        <v>13527</v>
      </c>
      <c r="QTQ1" t="s">
        <v>13528</v>
      </c>
      <c r="QTR1" t="s">
        <v>13529</v>
      </c>
      <c r="QTS1" t="s">
        <v>13530</v>
      </c>
      <c r="QTT1" t="s">
        <v>13531</v>
      </c>
      <c r="QTU1" t="s">
        <v>13532</v>
      </c>
      <c r="QTV1" t="s">
        <v>13533</v>
      </c>
      <c r="QTW1" t="s">
        <v>13534</v>
      </c>
      <c r="QTX1" t="s">
        <v>13535</v>
      </c>
      <c r="QTY1" t="s">
        <v>13536</v>
      </c>
      <c r="QTZ1" t="s">
        <v>13537</v>
      </c>
      <c r="QUA1" t="s">
        <v>13538</v>
      </c>
      <c r="QUB1" t="s">
        <v>13539</v>
      </c>
      <c r="QUC1" t="s">
        <v>13540</v>
      </c>
      <c r="QUD1" t="s">
        <v>13541</v>
      </c>
      <c r="QUE1" t="s">
        <v>13542</v>
      </c>
      <c r="QUF1" t="s">
        <v>13543</v>
      </c>
      <c r="QUG1" t="s">
        <v>13544</v>
      </c>
      <c r="QUH1" t="s">
        <v>13545</v>
      </c>
      <c r="QUI1" t="s">
        <v>13546</v>
      </c>
      <c r="QUJ1" t="s">
        <v>13547</v>
      </c>
      <c r="QUK1" t="s">
        <v>13548</v>
      </c>
      <c r="QUL1" t="s">
        <v>13549</v>
      </c>
      <c r="QUM1" t="s">
        <v>13550</v>
      </c>
      <c r="QUN1" t="s">
        <v>13551</v>
      </c>
      <c r="QUO1" t="s">
        <v>13552</v>
      </c>
      <c r="QUP1" t="s">
        <v>13553</v>
      </c>
      <c r="QUQ1" t="s">
        <v>13554</v>
      </c>
      <c r="QUR1" t="s">
        <v>13555</v>
      </c>
      <c r="QUS1" t="s">
        <v>13556</v>
      </c>
      <c r="QUT1" t="s">
        <v>13557</v>
      </c>
      <c r="QUU1" t="s">
        <v>13558</v>
      </c>
      <c r="QUV1" t="s">
        <v>13559</v>
      </c>
      <c r="QUW1" t="s">
        <v>13560</v>
      </c>
      <c r="QUX1" t="s">
        <v>13561</v>
      </c>
      <c r="QUY1" t="s">
        <v>13562</v>
      </c>
      <c r="QUZ1" t="s">
        <v>13563</v>
      </c>
      <c r="QVA1" t="s">
        <v>13564</v>
      </c>
      <c r="QVB1" t="s">
        <v>13565</v>
      </c>
      <c r="QVC1" t="s">
        <v>13566</v>
      </c>
      <c r="QVD1" t="s">
        <v>13567</v>
      </c>
      <c r="QVE1" t="s">
        <v>13568</v>
      </c>
      <c r="QVF1" t="s">
        <v>13569</v>
      </c>
      <c r="QVG1" t="s">
        <v>13570</v>
      </c>
      <c r="QVH1" t="s">
        <v>13571</v>
      </c>
      <c r="QVI1" t="s">
        <v>13572</v>
      </c>
      <c r="QVJ1" t="s">
        <v>13573</v>
      </c>
      <c r="QVK1" t="s">
        <v>13574</v>
      </c>
      <c r="QVL1" t="s">
        <v>13575</v>
      </c>
      <c r="QVM1" t="s">
        <v>13576</v>
      </c>
      <c r="QVN1" t="s">
        <v>13577</v>
      </c>
      <c r="QVO1" t="s">
        <v>13578</v>
      </c>
      <c r="QVP1" t="s">
        <v>13579</v>
      </c>
      <c r="QVQ1" t="s">
        <v>13580</v>
      </c>
      <c r="QVR1" t="s">
        <v>13581</v>
      </c>
      <c r="QVS1" t="s">
        <v>13582</v>
      </c>
      <c r="QVT1" t="s">
        <v>13583</v>
      </c>
      <c r="QVU1" t="s">
        <v>13584</v>
      </c>
      <c r="QVV1" t="s">
        <v>13585</v>
      </c>
      <c r="QVW1" t="s">
        <v>13586</v>
      </c>
      <c r="QVX1" t="s">
        <v>13587</v>
      </c>
      <c r="QVY1" t="s">
        <v>13588</v>
      </c>
      <c r="QVZ1" t="s">
        <v>13589</v>
      </c>
      <c r="QWA1" t="s">
        <v>13590</v>
      </c>
      <c r="QWB1" t="s">
        <v>13591</v>
      </c>
      <c r="QWC1" t="s">
        <v>13592</v>
      </c>
      <c r="QWD1" t="s">
        <v>13593</v>
      </c>
      <c r="QWE1" t="s">
        <v>13594</v>
      </c>
      <c r="QWF1" t="s">
        <v>13595</v>
      </c>
      <c r="QWG1" t="s">
        <v>13596</v>
      </c>
      <c r="QWH1" t="s">
        <v>13597</v>
      </c>
      <c r="QWI1" t="s">
        <v>13598</v>
      </c>
      <c r="QWJ1" t="s">
        <v>13599</v>
      </c>
      <c r="QWK1" t="s">
        <v>13600</v>
      </c>
      <c r="QWL1" t="s">
        <v>13601</v>
      </c>
      <c r="QWM1" t="s">
        <v>13602</v>
      </c>
      <c r="QWN1" t="s">
        <v>13603</v>
      </c>
      <c r="QWO1" t="s">
        <v>13604</v>
      </c>
      <c r="QWP1" t="s">
        <v>13605</v>
      </c>
      <c r="QWQ1" t="s">
        <v>13606</v>
      </c>
      <c r="QWR1" t="s">
        <v>13607</v>
      </c>
      <c r="QWS1" t="s">
        <v>13608</v>
      </c>
      <c r="QWT1" t="s">
        <v>13609</v>
      </c>
      <c r="QWU1" t="s">
        <v>13610</v>
      </c>
      <c r="QWV1" t="s">
        <v>13611</v>
      </c>
      <c r="QWW1" t="s">
        <v>13612</v>
      </c>
      <c r="QWX1" t="s">
        <v>13613</v>
      </c>
      <c r="QWY1" t="s">
        <v>13614</v>
      </c>
      <c r="QWZ1" t="s">
        <v>13615</v>
      </c>
      <c r="QXA1" t="s">
        <v>13616</v>
      </c>
      <c r="QXB1" t="s">
        <v>13617</v>
      </c>
      <c r="QXC1" t="s">
        <v>13618</v>
      </c>
      <c r="QXD1" t="s">
        <v>13619</v>
      </c>
      <c r="QXE1" t="s">
        <v>13620</v>
      </c>
      <c r="QXF1" t="s">
        <v>13621</v>
      </c>
      <c r="QXG1" t="s">
        <v>13622</v>
      </c>
      <c r="QXH1" t="s">
        <v>13623</v>
      </c>
      <c r="QXI1" t="s">
        <v>13624</v>
      </c>
      <c r="QXJ1" t="s">
        <v>13625</v>
      </c>
      <c r="QXK1" t="s">
        <v>13626</v>
      </c>
      <c r="QXL1" t="s">
        <v>13627</v>
      </c>
      <c r="QXM1" t="s">
        <v>13628</v>
      </c>
      <c r="QXN1" t="s">
        <v>13629</v>
      </c>
      <c r="QXO1" t="s">
        <v>13630</v>
      </c>
      <c r="QXP1" t="s">
        <v>13631</v>
      </c>
      <c r="QXQ1" t="s">
        <v>13632</v>
      </c>
      <c r="QXR1" t="s">
        <v>13633</v>
      </c>
      <c r="QXS1" t="s">
        <v>13634</v>
      </c>
      <c r="QXT1" t="s">
        <v>13635</v>
      </c>
      <c r="QXU1" t="s">
        <v>13636</v>
      </c>
      <c r="QXV1" t="s">
        <v>13637</v>
      </c>
      <c r="QXW1" t="s">
        <v>13638</v>
      </c>
      <c r="QXX1" t="s">
        <v>13639</v>
      </c>
      <c r="QXY1" t="s">
        <v>13640</v>
      </c>
      <c r="QXZ1" t="s">
        <v>13641</v>
      </c>
      <c r="QYA1" t="s">
        <v>13642</v>
      </c>
      <c r="QYB1" t="s">
        <v>13643</v>
      </c>
      <c r="QYC1" t="s">
        <v>13644</v>
      </c>
      <c r="QYD1" t="s">
        <v>13645</v>
      </c>
      <c r="QYE1" t="s">
        <v>13646</v>
      </c>
      <c r="QYF1" t="s">
        <v>13647</v>
      </c>
      <c r="QYG1" t="s">
        <v>13648</v>
      </c>
      <c r="QYH1" t="s">
        <v>13649</v>
      </c>
      <c r="QYI1" t="s">
        <v>13650</v>
      </c>
      <c r="QYJ1" t="s">
        <v>13651</v>
      </c>
      <c r="QYK1" t="s">
        <v>13652</v>
      </c>
      <c r="QYL1" t="s">
        <v>13653</v>
      </c>
      <c r="QYM1" t="s">
        <v>13654</v>
      </c>
      <c r="QYN1" t="s">
        <v>13655</v>
      </c>
      <c r="QYO1" t="s">
        <v>13656</v>
      </c>
      <c r="QYP1" t="s">
        <v>13657</v>
      </c>
      <c r="QYQ1" t="s">
        <v>13658</v>
      </c>
      <c r="QYR1" t="s">
        <v>13659</v>
      </c>
      <c r="QYS1" t="s">
        <v>13660</v>
      </c>
      <c r="QYT1" t="s">
        <v>13661</v>
      </c>
      <c r="QYU1" t="s">
        <v>13662</v>
      </c>
      <c r="QYV1" t="s">
        <v>13663</v>
      </c>
      <c r="QYW1" t="s">
        <v>13664</v>
      </c>
      <c r="QYX1" t="s">
        <v>13665</v>
      </c>
      <c r="QYY1" t="s">
        <v>13666</v>
      </c>
      <c r="QYZ1" t="s">
        <v>13667</v>
      </c>
      <c r="QZA1" t="s">
        <v>13668</v>
      </c>
      <c r="QZB1" t="s">
        <v>13669</v>
      </c>
      <c r="QZC1" t="s">
        <v>13670</v>
      </c>
      <c r="QZD1" t="s">
        <v>13671</v>
      </c>
      <c r="QZE1" t="s">
        <v>13672</v>
      </c>
      <c r="QZF1" t="s">
        <v>13673</v>
      </c>
      <c r="QZG1" t="s">
        <v>13674</v>
      </c>
      <c r="QZH1" t="s">
        <v>13675</v>
      </c>
      <c r="QZI1" t="s">
        <v>13676</v>
      </c>
      <c r="QZJ1" t="s">
        <v>13677</v>
      </c>
      <c r="QZK1" t="s">
        <v>13678</v>
      </c>
      <c r="QZL1" t="s">
        <v>13679</v>
      </c>
      <c r="QZM1" t="s">
        <v>13680</v>
      </c>
      <c r="QZN1" t="s">
        <v>13681</v>
      </c>
      <c r="QZO1" t="s">
        <v>13682</v>
      </c>
      <c r="QZP1" t="s">
        <v>13683</v>
      </c>
      <c r="QZQ1" t="s">
        <v>13684</v>
      </c>
      <c r="QZR1" t="s">
        <v>13685</v>
      </c>
      <c r="QZS1" t="s">
        <v>13686</v>
      </c>
      <c r="QZT1" t="s">
        <v>13687</v>
      </c>
      <c r="QZU1" t="s">
        <v>13688</v>
      </c>
      <c r="QZV1" t="s">
        <v>13689</v>
      </c>
      <c r="QZW1" t="s">
        <v>13690</v>
      </c>
      <c r="QZX1" t="s">
        <v>13691</v>
      </c>
      <c r="QZY1" t="s">
        <v>13692</v>
      </c>
      <c r="QZZ1" t="s">
        <v>13693</v>
      </c>
      <c r="RAA1" t="s">
        <v>13694</v>
      </c>
      <c r="RAB1" t="s">
        <v>13695</v>
      </c>
      <c r="RAC1" t="s">
        <v>13696</v>
      </c>
      <c r="RAD1" t="s">
        <v>13697</v>
      </c>
      <c r="RAE1" t="s">
        <v>13698</v>
      </c>
      <c r="RAF1" t="s">
        <v>13699</v>
      </c>
      <c r="RAG1" t="s">
        <v>13700</v>
      </c>
      <c r="RAH1" t="s">
        <v>13701</v>
      </c>
      <c r="RAI1" t="s">
        <v>13702</v>
      </c>
      <c r="RAJ1" t="s">
        <v>13703</v>
      </c>
      <c r="RAK1" t="s">
        <v>13704</v>
      </c>
      <c r="RAL1" t="s">
        <v>13705</v>
      </c>
      <c r="RAM1" t="s">
        <v>13706</v>
      </c>
      <c r="RAN1" t="s">
        <v>13707</v>
      </c>
      <c r="RAO1" t="s">
        <v>13708</v>
      </c>
      <c r="RAP1" t="s">
        <v>13709</v>
      </c>
      <c r="RAQ1" t="s">
        <v>13710</v>
      </c>
      <c r="RAR1" t="s">
        <v>13711</v>
      </c>
      <c r="RAS1" t="s">
        <v>13712</v>
      </c>
      <c r="RAT1" t="s">
        <v>13713</v>
      </c>
      <c r="RAU1" t="s">
        <v>13714</v>
      </c>
      <c r="RAV1" t="s">
        <v>13715</v>
      </c>
      <c r="RAW1" t="s">
        <v>13716</v>
      </c>
      <c r="RAX1" t="s">
        <v>13717</v>
      </c>
      <c r="RAY1" t="s">
        <v>13718</v>
      </c>
      <c r="RAZ1" t="s">
        <v>13719</v>
      </c>
      <c r="RBA1" t="s">
        <v>13720</v>
      </c>
      <c r="RBB1" t="s">
        <v>13721</v>
      </c>
      <c r="RBC1" t="s">
        <v>13722</v>
      </c>
      <c r="RBD1" t="s">
        <v>13723</v>
      </c>
      <c r="RBE1" t="s">
        <v>13724</v>
      </c>
      <c r="RBF1" t="s">
        <v>13725</v>
      </c>
      <c r="RBG1" t="s">
        <v>13726</v>
      </c>
      <c r="RBH1" t="s">
        <v>13727</v>
      </c>
      <c r="RBI1" t="s">
        <v>13728</v>
      </c>
      <c r="RBJ1" t="s">
        <v>13729</v>
      </c>
      <c r="RBK1" t="s">
        <v>13730</v>
      </c>
      <c r="RBL1" t="s">
        <v>13731</v>
      </c>
      <c r="RBM1" t="s">
        <v>13732</v>
      </c>
      <c r="RBN1" t="s">
        <v>13733</v>
      </c>
      <c r="RBO1" t="s">
        <v>13734</v>
      </c>
      <c r="RBP1" t="s">
        <v>13735</v>
      </c>
      <c r="RBQ1" t="s">
        <v>13736</v>
      </c>
      <c r="RBR1" t="s">
        <v>13737</v>
      </c>
      <c r="RBS1" t="s">
        <v>13738</v>
      </c>
      <c r="RBT1" t="s">
        <v>13739</v>
      </c>
      <c r="RBU1" t="s">
        <v>13740</v>
      </c>
      <c r="RBV1" t="s">
        <v>13741</v>
      </c>
      <c r="RBW1" t="s">
        <v>13742</v>
      </c>
      <c r="RBX1" t="s">
        <v>13743</v>
      </c>
      <c r="RBY1" t="s">
        <v>13744</v>
      </c>
      <c r="RBZ1" t="s">
        <v>13745</v>
      </c>
      <c r="RCA1" t="s">
        <v>13746</v>
      </c>
      <c r="RCB1" t="s">
        <v>13747</v>
      </c>
      <c r="RCC1" t="s">
        <v>13748</v>
      </c>
      <c r="RCD1" t="s">
        <v>13749</v>
      </c>
      <c r="RCE1" t="s">
        <v>13750</v>
      </c>
      <c r="RCF1" t="s">
        <v>13751</v>
      </c>
      <c r="RCG1" t="s">
        <v>13752</v>
      </c>
      <c r="RCH1" t="s">
        <v>13753</v>
      </c>
      <c r="RCI1" t="s">
        <v>13754</v>
      </c>
      <c r="RCJ1" t="s">
        <v>13755</v>
      </c>
      <c r="RCK1" t="s">
        <v>13756</v>
      </c>
      <c r="RCL1" t="s">
        <v>13757</v>
      </c>
      <c r="RCM1" t="s">
        <v>13758</v>
      </c>
      <c r="RCN1" t="s">
        <v>13759</v>
      </c>
      <c r="RCO1" t="s">
        <v>13760</v>
      </c>
      <c r="RCP1" t="s">
        <v>13761</v>
      </c>
      <c r="RCQ1" t="s">
        <v>13762</v>
      </c>
      <c r="RCR1" t="s">
        <v>13763</v>
      </c>
      <c r="RCS1" t="s">
        <v>13764</v>
      </c>
      <c r="RCT1" t="s">
        <v>13765</v>
      </c>
      <c r="RCU1" t="s">
        <v>13766</v>
      </c>
      <c r="RCV1" t="s">
        <v>13767</v>
      </c>
      <c r="RCW1" t="s">
        <v>13768</v>
      </c>
      <c r="RCX1" t="s">
        <v>13769</v>
      </c>
      <c r="RCY1" t="s">
        <v>13770</v>
      </c>
      <c r="RCZ1" t="s">
        <v>13771</v>
      </c>
      <c r="RDA1" t="s">
        <v>13772</v>
      </c>
      <c r="RDB1" t="s">
        <v>13773</v>
      </c>
      <c r="RDC1" t="s">
        <v>13774</v>
      </c>
      <c r="RDD1" t="s">
        <v>13775</v>
      </c>
      <c r="RDE1" t="s">
        <v>13776</v>
      </c>
      <c r="RDF1" t="s">
        <v>13777</v>
      </c>
      <c r="RDG1" t="s">
        <v>13778</v>
      </c>
      <c r="RDH1" t="s">
        <v>13779</v>
      </c>
      <c r="RDI1" t="s">
        <v>13780</v>
      </c>
      <c r="RDJ1" t="s">
        <v>13781</v>
      </c>
      <c r="RDK1" t="s">
        <v>13782</v>
      </c>
      <c r="RDL1" t="s">
        <v>13783</v>
      </c>
      <c r="RDM1" t="s">
        <v>13784</v>
      </c>
      <c r="RDN1" t="s">
        <v>13785</v>
      </c>
      <c r="RDO1" t="s">
        <v>13786</v>
      </c>
      <c r="RDP1" t="s">
        <v>13787</v>
      </c>
      <c r="RDQ1" t="s">
        <v>13788</v>
      </c>
      <c r="RDR1" t="s">
        <v>13789</v>
      </c>
      <c r="RDS1" t="s">
        <v>13790</v>
      </c>
      <c r="RDT1" t="s">
        <v>13791</v>
      </c>
      <c r="RDU1" t="s">
        <v>13792</v>
      </c>
      <c r="RDV1" t="s">
        <v>13793</v>
      </c>
      <c r="RDW1" t="s">
        <v>13794</v>
      </c>
      <c r="RDX1" t="s">
        <v>13795</v>
      </c>
      <c r="RDY1" t="s">
        <v>13796</v>
      </c>
      <c r="RDZ1" t="s">
        <v>13797</v>
      </c>
      <c r="REA1" t="s">
        <v>13798</v>
      </c>
      <c r="REB1" t="s">
        <v>13799</v>
      </c>
      <c r="REC1" t="s">
        <v>13800</v>
      </c>
      <c r="RED1" t="s">
        <v>13801</v>
      </c>
      <c r="REE1" t="s">
        <v>13802</v>
      </c>
      <c r="REF1" t="s">
        <v>13803</v>
      </c>
      <c r="REG1" t="s">
        <v>13804</v>
      </c>
      <c r="REH1" t="s">
        <v>13805</v>
      </c>
      <c r="REI1" t="s">
        <v>13806</v>
      </c>
      <c r="REJ1" t="s">
        <v>13807</v>
      </c>
      <c r="REK1" t="s">
        <v>13808</v>
      </c>
      <c r="REL1" t="s">
        <v>13809</v>
      </c>
      <c r="REM1" t="s">
        <v>13810</v>
      </c>
      <c r="REN1" t="s">
        <v>13811</v>
      </c>
      <c r="REO1" t="s">
        <v>13812</v>
      </c>
      <c r="REP1" t="s">
        <v>13813</v>
      </c>
      <c r="REQ1" t="s">
        <v>13814</v>
      </c>
      <c r="RER1" t="s">
        <v>13815</v>
      </c>
      <c r="RES1" t="s">
        <v>13816</v>
      </c>
      <c r="RET1" t="s">
        <v>13817</v>
      </c>
      <c r="REU1" t="s">
        <v>13818</v>
      </c>
      <c r="REV1" t="s">
        <v>13819</v>
      </c>
      <c r="REW1" t="s">
        <v>13820</v>
      </c>
      <c r="REX1" t="s">
        <v>13821</v>
      </c>
      <c r="REY1" t="s">
        <v>13822</v>
      </c>
      <c r="REZ1" t="s">
        <v>13823</v>
      </c>
      <c r="RFA1" t="s">
        <v>13824</v>
      </c>
      <c r="RFB1" t="s">
        <v>13825</v>
      </c>
      <c r="RFC1" t="s">
        <v>13826</v>
      </c>
      <c r="RFD1" t="s">
        <v>13827</v>
      </c>
      <c r="RFE1" t="s">
        <v>13828</v>
      </c>
      <c r="RFF1" t="s">
        <v>13829</v>
      </c>
      <c r="RFG1" t="s">
        <v>13830</v>
      </c>
      <c r="RFH1" t="s">
        <v>13831</v>
      </c>
      <c r="RFI1" t="s">
        <v>13832</v>
      </c>
      <c r="RFJ1" t="s">
        <v>13833</v>
      </c>
      <c r="RFK1" t="s">
        <v>13834</v>
      </c>
      <c r="RFL1" t="s">
        <v>13835</v>
      </c>
      <c r="RFM1" t="s">
        <v>13836</v>
      </c>
      <c r="RFN1" t="s">
        <v>13837</v>
      </c>
      <c r="RFO1" t="s">
        <v>13838</v>
      </c>
      <c r="RFP1" t="s">
        <v>13839</v>
      </c>
      <c r="RFQ1" t="s">
        <v>13840</v>
      </c>
      <c r="RFR1" t="s">
        <v>13841</v>
      </c>
      <c r="RFS1" t="s">
        <v>13842</v>
      </c>
      <c r="RFT1" t="s">
        <v>13843</v>
      </c>
      <c r="RFU1" t="s">
        <v>13844</v>
      </c>
      <c r="RFV1" t="s">
        <v>13845</v>
      </c>
      <c r="RFW1" t="s">
        <v>13846</v>
      </c>
      <c r="RFX1" t="s">
        <v>13847</v>
      </c>
      <c r="RFY1" t="s">
        <v>13848</v>
      </c>
      <c r="RFZ1" t="s">
        <v>13849</v>
      </c>
      <c r="RGA1" t="s">
        <v>13850</v>
      </c>
      <c r="RGB1" t="s">
        <v>13851</v>
      </c>
      <c r="RGC1" t="s">
        <v>13852</v>
      </c>
      <c r="RGD1" t="s">
        <v>13853</v>
      </c>
      <c r="RGE1" t="s">
        <v>13854</v>
      </c>
      <c r="RGF1" t="s">
        <v>13855</v>
      </c>
      <c r="RGG1" t="s">
        <v>13856</v>
      </c>
      <c r="RGH1" t="s">
        <v>13857</v>
      </c>
      <c r="RGI1" t="s">
        <v>13858</v>
      </c>
      <c r="RGJ1" t="s">
        <v>13859</v>
      </c>
      <c r="RGK1" t="s">
        <v>13860</v>
      </c>
      <c r="RGL1" t="s">
        <v>13861</v>
      </c>
      <c r="RGM1" t="s">
        <v>13862</v>
      </c>
      <c r="RGN1" t="s">
        <v>13863</v>
      </c>
      <c r="RGO1" t="s">
        <v>13864</v>
      </c>
      <c r="RGP1" t="s">
        <v>13865</v>
      </c>
      <c r="RGQ1" t="s">
        <v>13866</v>
      </c>
      <c r="RGR1" t="s">
        <v>13867</v>
      </c>
      <c r="RGS1" t="s">
        <v>13868</v>
      </c>
      <c r="RGT1" t="s">
        <v>13869</v>
      </c>
      <c r="RGU1" t="s">
        <v>13870</v>
      </c>
      <c r="RGV1" t="s">
        <v>13871</v>
      </c>
      <c r="RGW1" t="s">
        <v>13872</v>
      </c>
      <c r="RGX1" t="s">
        <v>13873</v>
      </c>
      <c r="RGY1" t="s">
        <v>13874</v>
      </c>
      <c r="RGZ1" t="s">
        <v>13875</v>
      </c>
      <c r="RHA1" t="s">
        <v>13876</v>
      </c>
      <c r="RHB1" t="s">
        <v>13877</v>
      </c>
      <c r="RHC1" t="s">
        <v>13878</v>
      </c>
      <c r="RHD1" t="s">
        <v>13879</v>
      </c>
      <c r="RHE1" t="s">
        <v>13880</v>
      </c>
      <c r="RHF1" t="s">
        <v>13881</v>
      </c>
      <c r="RHG1" t="s">
        <v>13882</v>
      </c>
      <c r="RHH1" t="s">
        <v>13883</v>
      </c>
      <c r="RHI1" t="s">
        <v>13884</v>
      </c>
      <c r="RHJ1" t="s">
        <v>13885</v>
      </c>
      <c r="RHK1" t="s">
        <v>13886</v>
      </c>
      <c r="RHL1" t="s">
        <v>13887</v>
      </c>
      <c r="RHM1" t="s">
        <v>13888</v>
      </c>
      <c r="RHN1" t="s">
        <v>13889</v>
      </c>
      <c r="RHO1" t="s">
        <v>13890</v>
      </c>
      <c r="RHP1" t="s">
        <v>13891</v>
      </c>
      <c r="RHQ1" t="s">
        <v>13892</v>
      </c>
      <c r="RHR1" t="s">
        <v>13893</v>
      </c>
      <c r="RHS1" t="s">
        <v>13894</v>
      </c>
      <c r="RHT1" t="s">
        <v>13895</v>
      </c>
      <c r="RHU1" t="s">
        <v>13896</v>
      </c>
      <c r="RHV1" t="s">
        <v>13897</v>
      </c>
      <c r="RHW1" t="s">
        <v>13898</v>
      </c>
      <c r="RHX1" t="s">
        <v>13899</v>
      </c>
      <c r="RHY1" t="s">
        <v>13900</v>
      </c>
      <c r="RHZ1" t="s">
        <v>13901</v>
      </c>
      <c r="RIA1" t="s">
        <v>13902</v>
      </c>
      <c r="RIB1" t="s">
        <v>13903</v>
      </c>
      <c r="RIC1" t="s">
        <v>13904</v>
      </c>
      <c r="RID1" t="s">
        <v>13905</v>
      </c>
      <c r="RIE1" t="s">
        <v>13906</v>
      </c>
      <c r="RIF1" t="s">
        <v>13907</v>
      </c>
      <c r="RIG1" t="s">
        <v>13908</v>
      </c>
      <c r="RIH1" t="s">
        <v>13909</v>
      </c>
      <c r="RII1" t="s">
        <v>13910</v>
      </c>
      <c r="RIJ1" t="s">
        <v>13911</v>
      </c>
      <c r="RIK1" t="s">
        <v>13912</v>
      </c>
      <c r="RIL1" t="s">
        <v>13913</v>
      </c>
      <c r="RIM1" t="s">
        <v>13914</v>
      </c>
      <c r="RIN1" t="s">
        <v>13915</v>
      </c>
      <c r="RIO1" t="s">
        <v>13916</v>
      </c>
      <c r="RIP1" t="s">
        <v>13917</v>
      </c>
      <c r="RIQ1" t="s">
        <v>13918</v>
      </c>
      <c r="RIR1" t="s">
        <v>13919</v>
      </c>
      <c r="RIS1" t="s">
        <v>13920</v>
      </c>
      <c r="RIT1" t="s">
        <v>13921</v>
      </c>
      <c r="RIU1" t="s">
        <v>13922</v>
      </c>
      <c r="RIV1" t="s">
        <v>13923</v>
      </c>
      <c r="RIW1" t="s">
        <v>13924</v>
      </c>
      <c r="RIX1" t="s">
        <v>13925</v>
      </c>
      <c r="RIY1" t="s">
        <v>13926</v>
      </c>
      <c r="RIZ1" t="s">
        <v>13927</v>
      </c>
      <c r="RJA1" t="s">
        <v>13928</v>
      </c>
      <c r="RJB1" t="s">
        <v>13929</v>
      </c>
      <c r="RJC1" t="s">
        <v>13930</v>
      </c>
      <c r="RJD1" t="s">
        <v>13931</v>
      </c>
      <c r="RJE1" t="s">
        <v>13932</v>
      </c>
      <c r="RJF1" t="s">
        <v>13933</v>
      </c>
      <c r="RJG1" t="s">
        <v>13934</v>
      </c>
      <c r="RJH1" t="s">
        <v>13935</v>
      </c>
      <c r="RJI1" t="s">
        <v>13936</v>
      </c>
      <c r="RJJ1" t="s">
        <v>13937</v>
      </c>
      <c r="RJK1" t="s">
        <v>13938</v>
      </c>
      <c r="RJL1" t="s">
        <v>13939</v>
      </c>
      <c r="RJM1" t="s">
        <v>13940</v>
      </c>
      <c r="RJN1" t="s">
        <v>13941</v>
      </c>
      <c r="RJO1" t="s">
        <v>13942</v>
      </c>
      <c r="RJP1" t="s">
        <v>13943</v>
      </c>
      <c r="RJQ1" t="s">
        <v>13944</v>
      </c>
      <c r="RJR1" t="s">
        <v>13945</v>
      </c>
      <c r="RJS1" t="s">
        <v>13946</v>
      </c>
      <c r="RJT1" t="s">
        <v>13947</v>
      </c>
      <c r="RJU1" t="s">
        <v>13948</v>
      </c>
      <c r="RJV1" t="s">
        <v>13949</v>
      </c>
      <c r="RJW1" t="s">
        <v>13950</v>
      </c>
      <c r="RJX1" t="s">
        <v>13951</v>
      </c>
      <c r="RJY1" t="s">
        <v>13952</v>
      </c>
      <c r="RJZ1" t="s">
        <v>13953</v>
      </c>
      <c r="RKA1" t="s">
        <v>13954</v>
      </c>
      <c r="RKB1" t="s">
        <v>13955</v>
      </c>
      <c r="RKC1" t="s">
        <v>13956</v>
      </c>
      <c r="RKD1" t="s">
        <v>13957</v>
      </c>
      <c r="RKE1" t="s">
        <v>13958</v>
      </c>
      <c r="RKF1" t="s">
        <v>13959</v>
      </c>
      <c r="RKG1" t="s">
        <v>13960</v>
      </c>
      <c r="RKH1" t="s">
        <v>13961</v>
      </c>
      <c r="RKI1" t="s">
        <v>13962</v>
      </c>
      <c r="RKJ1" t="s">
        <v>13963</v>
      </c>
      <c r="RKK1" t="s">
        <v>13964</v>
      </c>
      <c r="RKL1" t="s">
        <v>13965</v>
      </c>
      <c r="RKM1" t="s">
        <v>13966</v>
      </c>
      <c r="RKN1" t="s">
        <v>13967</v>
      </c>
      <c r="RKO1" t="s">
        <v>13968</v>
      </c>
      <c r="RKP1" t="s">
        <v>13969</v>
      </c>
      <c r="RKQ1" t="s">
        <v>13970</v>
      </c>
      <c r="RKR1" t="s">
        <v>13971</v>
      </c>
      <c r="RKS1" t="s">
        <v>13972</v>
      </c>
      <c r="RKT1" t="s">
        <v>13973</v>
      </c>
      <c r="RKU1" t="s">
        <v>13974</v>
      </c>
      <c r="RKV1" t="s">
        <v>13975</v>
      </c>
      <c r="RKW1" t="s">
        <v>13976</v>
      </c>
      <c r="RKX1" t="s">
        <v>13977</v>
      </c>
      <c r="RKY1" t="s">
        <v>13978</v>
      </c>
      <c r="RKZ1" t="s">
        <v>13979</v>
      </c>
      <c r="RLA1" t="s">
        <v>13980</v>
      </c>
      <c r="RLB1" t="s">
        <v>13981</v>
      </c>
      <c r="RLC1" t="s">
        <v>13982</v>
      </c>
      <c r="RLD1" t="s">
        <v>13983</v>
      </c>
      <c r="RLE1" t="s">
        <v>13984</v>
      </c>
      <c r="RLF1" t="s">
        <v>13985</v>
      </c>
      <c r="RLG1" t="s">
        <v>13986</v>
      </c>
      <c r="RLH1" t="s">
        <v>13987</v>
      </c>
      <c r="RLI1" t="s">
        <v>13988</v>
      </c>
      <c r="RLJ1" t="s">
        <v>13989</v>
      </c>
      <c r="RLK1" t="s">
        <v>13990</v>
      </c>
      <c r="RLL1" t="s">
        <v>13991</v>
      </c>
      <c r="RLM1" t="s">
        <v>13992</v>
      </c>
      <c r="RLN1" t="s">
        <v>13993</v>
      </c>
      <c r="RLO1" t="s">
        <v>13994</v>
      </c>
      <c r="RLP1" t="s">
        <v>13995</v>
      </c>
      <c r="RLQ1" t="s">
        <v>13996</v>
      </c>
      <c r="RLR1" t="s">
        <v>13997</v>
      </c>
      <c r="RLS1" t="s">
        <v>13998</v>
      </c>
      <c r="RLT1" t="s">
        <v>13999</v>
      </c>
      <c r="RLU1" t="s">
        <v>14000</v>
      </c>
      <c r="RLV1" t="s">
        <v>14001</v>
      </c>
      <c r="RLW1" t="s">
        <v>14002</v>
      </c>
      <c r="RLX1" t="s">
        <v>14003</v>
      </c>
      <c r="RLY1" t="s">
        <v>14004</v>
      </c>
      <c r="RLZ1" t="s">
        <v>14005</v>
      </c>
      <c r="RMA1" t="s">
        <v>14006</v>
      </c>
      <c r="RMB1" t="s">
        <v>14007</v>
      </c>
      <c r="RMC1" t="s">
        <v>14008</v>
      </c>
      <c r="RMD1" t="s">
        <v>14009</v>
      </c>
      <c r="RME1" t="s">
        <v>14010</v>
      </c>
      <c r="RMF1" t="s">
        <v>14011</v>
      </c>
      <c r="RMG1" t="s">
        <v>14012</v>
      </c>
      <c r="RMH1" t="s">
        <v>14013</v>
      </c>
      <c r="RMI1" t="s">
        <v>14014</v>
      </c>
      <c r="RMJ1" t="s">
        <v>14015</v>
      </c>
      <c r="RMK1" t="s">
        <v>14016</v>
      </c>
      <c r="RML1" t="s">
        <v>14017</v>
      </c>
      <c r="RMM1" t="s">
        <v>14018</v>
      </c>
      <c r="RMN1" t="s">
        <v>14019</v>
      </c>
      <c r="RMO1" t="s">
        <v>14020</v>
      </c>
      <c r="RMP1" t="s">
        <v>14021</v>
      </c>
      <c r="RMQ1" t="s">
        <v>14022</v>
      </c>
      <c r="RMR1" t="s">
        <v>14023</v>
      </c>
      <c r="RMS1" t="s">
        <v>14024</v>
      </c>
      <c r="RMT1" t="s">
        <v>14025</v>
      </c>
      <c r="RMU1" t="s">
        <v>14026</v>
      </c>
      <c r="RMV1" t="s">
        <v>14027</v>
      </c>
      <c r="RMW1" t="s">
        <v>14028</v>
      </c>
      <c r="RMX1" t="s">
        <v>14029</v>
      </c>
      <c r="RMY1" t="s">
        <v>14030</v>
      </c>
      <c r="RMZ1" t="s">
        <v>14031</v>
      </c>
      <c r="RNA1" t="s">
        <v>14032</v>
      </c>
      <c r="RNB1" t="s">
        <v>14033</v>
      </c>
      <c r="RNC1" t="s">
        <v>14034</v>
      </c>
      <c r="RND1" t="s">
        <v>14035</v>
      </c>
      <c r="RNE1" t="s">
        <v>14036</v>
      </c>
      <c r="RNF1" t="s">
        <v>14037</v>
      </c>
      <c r="RNG1" t="s">
        <v>14038</v>
      </c>
      <c r="RNH1" t="s">
        <v>14039</v>
      </c>
      <c r="RNI1" t="s">
        <v>14040</v>
      </c>
      <c r="RNJ1" t="s">
        <v>14041</v>
      </c>
      <c r="RNK1" t="s">
        <v>14042</v>
      </c>
      <c r="RNL1" t="s">
        <v>14043</v>
      </c>
      <c r="RNM1" t="s">
        <v>14044</v>
      </c>
      <c r="RNN1" t="s">
        <v>14045</v>
      </c>
      <c r="RNO1" t="s">
        <v>14046</v>
      </c>
      <c r="RNP1" t="s">
        <v>14047</v>
      </c>
      <c r="RNQ1" t="s">
        <v>14048</v>
      </c>
      <c r="RNR1" t="s">
        <v>14049</v>
      </c>
      <c r="RNS1" t="s">
        <v>14050</v>
      </c>
      <c r="RNT1" t="s">
        <v>14051</v>
      </c>
      <c r="RNU1" t="s">
        <v>14052</v>
      </c>
      <c r="RNV1" t="s">
        <v>14053</v>
      </c>
      <c r="RNW1" t="s">
        <v>14054</v>
      </c>
      <c r="RNX1" t="s">
        <v>14055</v>
      </c>
      <c r="RNY1" t="s">
        <v>14056</v>
      </c>
      <c r="RNZ1" t="s">
        <v>14057</v>
      </c>
      <c r="ROA1" t="s">
        <v>14058</v>
      </c>
      <c r="ROB1" t="s">
        <v>14059</v>
      </c>
      <c r="ROC1" t="s">
        <v>14060</v>
      </c>
      <c r="ROD1" t="s">
        <v>14061</v>
      </c>
      <c r="ROE1" t="s">
        <v>14062</v>
      </c>
      <c r="ROF1" t="s">
        <v>14063</v>
      </c>
      <c r="ROG1" t="s">
        <v>14064</v>
      </c>
      <c r="ROH1" t="s">
        <v>14065</v>
      </c>
      <c r="ROI1" t="s">
        <v>14066</v>
      </c>
      <c r="ROJ1" t="s">
        <v>14067</v>
      </c>
      <c r="ROK1" t="s">
        <v>14068</v>
      </c>
      <c r="ROL1" t="s">
        <v>14069</v>
      </c>
      <c r="ROM1" t="s">
        <v>14070</v>
      </c>
      <c r="RON1" t="s">
        <v>14071</v>
      </c>
      <c r="ROO1" t="s">
        <v>14072</v>
      </c>
      <c r="ROP1" t="s">
        <v>14073</v>
      </c>
      <c r="ROQ1" t="s">
        <v>14074</v>
      </c>
      <c r="ROR1" t="s">
        <v>14075</v>
      </c>
      <c r="ROS1" t="s">
        <v>14076</v>
      </c>
      <c r="ROT1" t="s">
        <v>14077</v>
      </c>
      <c r="ROU1" t="s">
        <v>14078</v>
      </c>
      <c r="ROV1" t="s">
        <v>14079</v>
      </c>
      <c r="ROW1" t="s">
        <v>14080</v>
      </c>
      <c r="ROX1" t="s">
        <v>14081</v>
      </c>
      <c r="ROY1" t="s">
        <v>14082</v>
      </c>
      <c r="ROZ1" t="s">
        <v>14083</v>
      </c>
      <c r="RPA1" t="s">
        <v>14084</v>
      </c>
      <c r="RPB1" t="s">
        <v>14085</v>
      </c>
      <c r="RPC1" t="s">
        <v>14086</v>
      </c>
      <c r="RPD1" t="s">
        <v>14087</v>
      </c>
      <c r="RPE1" t="s">
        <v>14088</v>
      </c>
      <c r="RPF1" t="s">
        <v>14089</v>
      </c>
      <c r="RPG1" t="s">
        <v>14090</v>
      </c>
      <c r="RPH1" t="s">
        <v>14091</v>
      </c>
      <c r="RPI1" t="s">
        <v>14092</v>
      </c>
      <c r="RPJ1" t="s">
        <v>14093</v>
      </c>
      <c r="RPK1" t="s">
        <v>14094</v>
      </c>
      <c r="RPL1" t="s">
        <v>14095</v>
      </c>
      <c r="RPM1" t="s">
        <v>14096</v>
      </c>
      <c r="RPN1" t="s">
        <v>14097</v>
      </c>
      <c r="RPO1" t="s">
        <v>14098</v>
      </c>
      <c r="RPP1" t="s">
        <v>14099</v>
      </c>
      <c r="RPQ1" t="s">
        <v>14100</v>
      </c>
      <c r="RPR1" t="s">
        <v>14101</v>
      </c>
      <c r="RPS1" t="s">
        <v>14102</v>
      </c>
      <c r="RPT1" t="s">
        <v>14103</v>
      </c>
      <c r="RPU1" t="s">
        <v>14104</v>
      </c>
      <c r="RPV1" t="s">
        <v>14105</v>
      </c>
      <c r="RPW1" t="s">
        <v>14106</v>
      </c>
      <c r="RPX1" t="s">
        <v>14107</v>
      </c>
      <c r="RPY1" t="s">
        <v>14108</v>
      </c>
      <c r="RPZ1" t="s">
        <v>14109</v>
      </c>
      <c r="RQA1" t="s">
        <v>14110</v>
      </c>
      <c r="RQB1" t="s">
        <v>14111</v>
      </c>
      <c r="RQC1" t="s">
        <v>14112</v>
      </c>
      <c r="RQD1" t="s">
        <v>14113</v>
      </c>
      <c r="RQE1" t="s">
        <v>14114</v>
      </c>
      <c r="RQF1" t="s">
        <v>14115</v>
      </c>
      <c r="RQG1" t="s">
        <v>14116</v>
      </c>
      <c r="RQH1" t="s">
        <v>14117</v>
      </c>
      <c r="RQI1" t="s">
        <v>14118</v>
      </c>
      <c r="RQJ1" t="s">
        <v>14119</v>
      </c>
      <c r="RQK1" t="s">
        <v>14120</v>
      </c>
      <c r="RQL1" t="s">
        <v>14121</v>
      </c>
      <c r="RQM1" t="s">
        <v>14122</v>
      </c>
      <c r="RQN1" t="s">
        <v>14123</v>
      </c>
      <c r="RQO1" t="s">
        <v>14124</v>
      </c>
      <c r="RQP1" t="s">
        <v>14125</v>
      </c>
      <c r="RQQ1" t="s">
        <v>14126</v>
      </c>
      <c r="RQR1" t="s">
        <v>14127</v>
      </c>
      <c r="RQS1" t="s">
        <v>14128</v>
      </c>
      <c r="RQT1" t="s">
        <v>14129</v>
      </c>
      <c r="RQU1" t="s">
        <v>14130</v>
      </c>
      <c r="RQV1" t="s">
        <v>14131</v>
      </c>
      <c r="RQW1" t="s">
        <v>14132</v>
      </c>
      <c r="RQX1" t="s">
        <v>14133</v>
      </c>
      <c r="RQY1" t="s">
        <v>14134</v>
      </c>
      <c r="RQZ1" t="s">
        <v>14135</v>
      </c>
      <c r="RRA1" t="s">
        <v>14136</v>
      </c>
      <c r="RRB1" t="s">
        <v>14137</v>
      </c>
      <c r="RRC1" t="s">
        <v>14138</v>
      </c>
      <c r="RRD1" t="s">
        <v>14139</v>
      </c>
      <c r="RRE1" t="s">
        <v>14140</v>
      </c>
      <c r="RRF1" t="s">
        <v>14141</v>
      </c>
      <c r="RRG1" t="s">
        <v>14142</v>
      </c>
      <c r="RRH1" t="s">
        <v>14143</v>
      </c>
      <c r="RRI1" t="s">
        <v>14144</v>
      </c>
      <c r="RRJ1" t="s">
        <v>14145</v>
      </c>
      <c r="RRK1" t="s">
        <v>14146</v>
      </c>
      <c r="RRL1" t="s">
        <v>14147</v>
      </c>
      <c r="RRM1" t="s">
        <v>14148</v>
      </c>
      <c r="RRN1" t="s">
        <v>14149</v>
      </c>
      <c r="RRO1" t="s">
        <v>14150</v>
      </c>
      <c r="RRP1" t="s">
        <v>14151</v>
      </c>
      <c r="RRQ1" t="s">
        <v>14152</v>
      </c>
      <c r="RRR1" t="s">
        <v>14153</v>
      </c>
      <c r="RRS1" t="s">
        <v>14154</v>
      </c>
      <c r="RRT1" t="s">
        <v>14155</v>
      </c>
      <c r="RRU1" t="s">
        <v>14156</v>
      </c>
      <c r="RRV1" t="s">
        <v>14157</v>
      </c>
      <c r="RRW1" t="s">
        <v>14158</v>
      </c>
      <c r="RRX1" t="s">
        <v>14159</v>
      </c>
      <c r="RRY1" t="s">
        <v>14160</v>
      </c>
      <c r="RRZ1" t="s">
        <v>14161</v>
      </c>
      <c r="RSA1" t="s">
        <v>14162</v>
      </c>
      <c r="RSB1" t="s">
        <v>14163</v>
      </c>
      <c r="RSC1" t="s">
        <v>14164</v>
      </c>
      <c r="RSD1" t="s">
        <v>14165</v>
      </c>
      <c r="RSE1" t="s">
        <v>14166</v>
      </c>
      <c r="RSF1" t="s">
        <v>14167</v>
      </c>
      <c r="RSG1" t="s">
        <v>14168</v>
      </c>
      <c r="RSH1" t="s">
        <v>14169</v>
      </c>
      <c r="RSI1" t="s">
        <v>14170</v>
      </c>
      <c r="RSJ1" t="s">
        <v>14171</v>
      </c>
      <c r="RSK1" t="s">
        <v>14172</v>
      </c>
      <c r="RSL1" t="s">
        <v>14173</v>
      </c>
      <c r="RSM1" t="s">
        <v>14174</v>
      </c>
      <c r="RSN1" t="s">
        <v>14175</v>
      </c>
      <c r="RSO1" t="s">
        <v>14176</v>
      </c>
      <c r="RSP1" t="s">
        <v>14177</v>
      </c>
      <c r="RSQ1" t="s">
        <v>14178</v>
      </c>
      <c r="RSR1" t="s">
        <v>14179</v>
      </c>
      <c r="RSS1" t="s">
        <v>14180</v>
      </c>
      <c r="RST1" t="s">
        <v>14181</v>
      </c>
      <c r="RSU1" t="s">
        <v>14182</v>
      </c>
      <c r="RSV1" t="s">
        <v>14183</v>
      </c>
      <c r="RSW1" t="s">
        <v>14184</v>
      </c>
      <c r="RSX1" t="s">
        <v>14185</v>
      </c>
      <c r="RSY1" t="s">
        <v>14186</v>
      </c>
      <c r="RSZ1" t="s">
        <v>14187</v>
      </c>
      <c r="RTA1" t="s">
        <v>14188</v>
      </c>
      <c r="RTB1" t="s">
        <v>14189</v>
      </c>
      <c r="RTC1" t="s">
        <v>14190</v>
      </c>
      <c r="RTD1" t="s">
        <v>14191</v>
      </c>
      <c r="RTE1" t="s">
        <v>14192</v>
      </c>
      <c r="RTF1" t="s">
        <v>14193</v>
      </c>
      <c r="RTG1" t="s">
        <v>14194</v>
      </c>
      <c r="RTH1" t="s">
        <v>14195</v>
      </c>
      <c r="RTI1" t="s">
        <v>14196</v>
      </c>
      <c r="RTJ1" t="s">
        <v>14197</v>
      </c>
      <c r="RTK1" t="s">
        <v>14198</v>
      </c>
      <c r="RTL1" t="s">
        <v>14199</v>
      </c>
      <c r="RTM1" t="s">
        <v>14200</v>
      </c>
      <c r="RTN1" t="s">
        <v>14201</v>
      </c>
      <c r="RTO1" t="s">
        <v>14202</v>
      </c>
      <c r="RTP1" t="s">
        <v>14203</v>
      </c>
      <c r="RTQ1" t="s">
        <v>14204</v>
      </c>
      <c r="RTR1" t="s">
        <v>14205</v>
      </c>
      <c r="RTS1" t="s">
        <v>14206</v>
      </c>
      <c r="RTT1" t="s">
        <v>14207</v>
      </c>
      <c r="RTU1" t="s">
        <v>14208</v>
      </c>
      <c r="RTV1" t="s">
        <v>14209</v>
      </c>
      <c r="RTW1" t="s">
        <v>14210</v>
      </c>
      <c r="RTX1" t="s">
        <v>14211</v>
      </c>
      <c r="RTY1" t="s">
        <v>14212</v>
      </c>
      <c r="RTZ1" t="s">
        <v>14213</v>
      </c>
      <c r="RUA1" t="s">
        <v>14214</v>
      </c>
      <c r="RUB1" t="s">
        <v>14215</v>
      </c>
      <c r="RUC1" t="s">
        <v>14216</v>
      </c>
      <c r="RUD1" t="s">
        <v>14217</v>
      </c>
      <c r="RUE1" t="s">
        <v>14218</v>
      </c>
      <c r="RUF1" t="s">
        <v>14219</v>
      </c>
      <c r="RUG1" t="s">
        <v>14220</v>
      </c>
      <c r="RUH1" t="s">
        <v>14221</v>
      </c>
      <c r="RUI1" t="s">
        <v>14222</v>
      </c>
      <c r="RUJ1" t="s">
        <v>14223</v>
      </c>
      <c r="RUK1" t="s">
        <v>14224</v>
      </c>
      <c r="RUL1" t="s">
        <v>14225</v>
      </c>
      <c r="RUM1" t="s">
        <v>14226</v>
      </c>
      <c r="RUN1" t="s">
        <v>14227</v>
      </c>
      <c r="RUO1" t="s">
        <v>14228</v>
      </c>
      <c r="RUP1" t="s">
        <v>14229</v>
      </c>
      <c r="RUQ1" t="s">
        <v>14230</v>
      </c>
      <c r="RUR1" t="s">
        <v>14231</v>
      </c>
      <c r="RUS1" t="s">
        <v>14232</v>
      </c>
      <c r="RUT1" t="s">
        <v>14233</v>
      </c>
      <c r="RUU1" t="s">
        <v>14234</v>
      </c>
      <c r="RUV1" t="s">
        <v>14235</v>
      </c>
      <c r="RUW1" t="s">
        <v>14236</v>
      </c>
      <c r="RUX1" t="s">
        <v>14237</v>
      </c>
      <c r="RUY1" t="s">
        <v>14238</v>
      </c>
      <c r="RUZ1" t="s">
        <v>14239</v>
      </c>
      <c r="RVA1" t="s">
        <v>14240</v>
      </c>
      <c r="RVB1" t="s">
        <v>14241</v>
      </c>
      <c r="RVC1" t="s">
        <v>14242</v>
      </c>
      <c r="RVD1" t="s">
        <v>14243</v>
      </c>
      <c r="RVE1" t="s">
        <v>14244</v>
      </c>
      <c r="RVF1" t="s">
        <v>14245</v>
      </c>
      <c r="RVG1" t="s">
        <v>14246</v>
      </c>
      <c r="RVH1" t="s">
        <v>14247</v>
      </c>
      <c r="RVI1" t="s">
        <v>14248</v>
      </c>
      <c r="RVJ1" t="s">
        <v>14249</v>
      </c>
      <c r="RVK1" t="s">
        <v>14250</v>
      </c>
      <c r="RVL1" t="s">
        <v>14251</v>
      </c>
      <c r="RVM1" t="s">
        <v>14252</v>
      </c>
      <c r="RVN1" t="s">
        <v>14253</v>
      </c>
      <c r="RVO1" t="s">
        <v>14254</v>
      </c>
      <c r="RVP1" t="s">
        <v>14255</v>
      </c>
      <c r="RVQ1" t="s">
        <v>14256</v>
      </c>
      <c r="RVR1" t="s">
        <v>14257</v>
      </c>
      <c r="RVS1" t="s">
        <v>14258</v>
      </c>
      <c r="RVT1" t="s">
        <v>14259</v>
      </c>
      <c r="RVU1" t="s">
        <v>14260</v>
      </c>
      <c r="RVV1" t="s">
        <v>14261</v>
      </c>
      <c r="RVW1" t="s">
        <v>14262</v>
      </c>
      <c r="RVX1" t="s">
        <v>14263</v>
      </c>
      <c r="RVY1" t="s">
        <v>14264</v>
      </c>
      <c r="RVZ1" t="s">
        <v>14265</v>
      </c>
      <c r="RWA1" t="s">
        <v>14266</v>
      </c>
      <c r="RWB1" t="s">
        <v>14267</v>
      </c>
      <c r="RWC1" t="s">
        <v>14268</v>
      </c>
      <c r="RWD1" t="s">
        <v>14269</v>
      </c>
      <c r="RWE1" t="s">
        <v>14270</v>
      </c>
      <c r="RWF1" t="s">
        <v>14271</v>
      </c>
      <c r="RWG1" t="s">
        <v>14272</v>
      </c>
      <c r="RWH1" t="s">
        <v>14273</v>
      </c>
      <c r="RWI1" t="s">
        <v>14274</v>
      </c>
      <c r="RWJ1" t="s">
        <v>14275</v>
      </c>
      <c r="RWK1" t="s">
        <v>14276</v>
      </c>
      <c r="RWL1" t="s">
        <v>14277</v>
      </c>
      <c r="RWM1" t="s">
        <v>14278</v>
      </c>
      <c r="RWN1" t="s">
        <v>14279</v>
      </c>
      <c r="RWO1" t="s">
        <v>14280</v>
      </c>
      <c r="RWP1" t="s">
        <v>14281</v>
      </c>
      <c r="RWQ1" t="s">
        <v>14282</v>
      </c>
      <c r="RWR1" t="s">
        <v>14283</v>
      </c>
      <c r="RWS1" t="s">
        <v>14284</v>
      </c>
      <c r="RWT1" t="s">
        <v>14285</v>
      </c>
      <c r="RWU1" t="s">
        <v>14286</v>
      </c>
      <c r="RWV1" t="s">
        <v>14287</v>
      </c>
      <c r="RWW1" t="s">
        <v>14288</v>
      </c>
      <c r="RWX1" t="s">
        <v>14289</v>
      </c>
      <c r="RWY1" t="s">
        <v>14290</v>
      </c>
      <c r="RWZ1" t="s">
        <v>14291</v>
      </c>
      <c r="RXA1" t="s">
        <v>14292</v>
      </c>
      <c r="RXB1" t="s">
        <v>14293</v>
      </c>
      <c r="RXC1" t="s">
        <v>14294</v>
      </c>
      <c r="RXD1" t="s">
        <v>14295</v>
      </c>
      <c r="RXE1" t="s">
        <v>14296</v>
      </c>
      <c r="RXF1" t="s">
        <v>14297</v>
      </c>
      <c r="RXG1" t="s">
        <v>14298</v>
      </c>
      <c r="RXH1" t="s">
        <v>14299</v>
      </c>
      <c r="RXI1" t="s">
        <v>14300</v>
      </c>
      <c r="RXJ1" t="s">
        <v>14301</v>
      </c>
      <c r="RXK1" t="s">
        <v>14302</v>
      </c>
      <c r="RXL1" t="s">
        <v>14303</v>
      </c>
      <c r="RXM1" t="s">
        <v>14304</v>
      </c>
      <c r="RXN1" t="s">
        <v>14305</v>
      </c>
      <c r="RXO1" t="s">
        <v>14306</v>
      </c>
      <c r="RXP1" t="s">
        <v>14307</v>
      </c>
      <c r="RXQ1" t="s">
        <v>14308</v>
      </c>
      <c r="RXR1" t="s">
        <v>14309</v>
      </c>
      <c r="RXS1" t="s">
        <v>14310</v>
      </c>
      <c r="RXT1" t="s">
        <v>14311</v>
      </c>
      <c r="RXU1" t="s">
        <v>14312</v>
      </c>
      <c r="RXV1" t="s">
        <v>14313</v>
      </c>
      <c r="RXW1" t="s">
        <v>14314</v>
      </c>
      <c r="RXX1" t="s">
        <v>14315</v>
      </c>
      <c r="RXY1" t="s">
        <v>14316</v>
      </c>
      <c r="RXZ1" t="s">
        <v>14317</v>
      </c>
      <c r="RYA1" t="s">
        <v>14318</v>
      </c>
      <c r="RYB1" t="s">
        <v>14319</v>
      </c>
      <c r="RYC1" t="s">
        <v>14320</v>
      </c>
      <c r="RYD1" t="s">
        <v>14321</v>
      </c>
      <c r="RYE1" t="s">
        <v>14322</v>
      </c>
      <c r="RYF1" t="s">
        <v>14323</v>
      </c>
      <c r="RYG1" t="s">
        <v>14324</v>
      </c>
      <c r="RYH1" t="s">
        <v>14325</v>
      </c>
      <c r="RYI1" t="s">
        <v>14326</v>
      </c>
      <c r="RYJ1" t="s">
        <v>14327</v>
      </c>
      <c r="RYK1" t="s">
        <v>14328</v>
      </c>
      <c r="RYL1" t="s">
        <v>14329</v>
      </c>
      <c r="RYM1" t="s">
        <v>14330</v>
      </c>
      <c r="RYN1" t="s">
        <v>14331</v>
      </c>
      <c r="RYO1" t="s">
        <v>14332</v>
      </c>
      <c r="RYP1" t="s">
        <v>14333</v>
      </c>
      <c r="RYQ1" t="s">
        <v>14334</v>
      </c>
      <c r="RYR1" t="s">
        <v>14335</v>
      </c>
      <c r="RYS1" t="s">
        <v>14336</v>
      </c>
      <c r="RYT1" t="s">
        <v>14337</v>
      </c>
      <c r="RYU1" t="s">
        <v>14338</v>
      </c>
      <c r="RYV1" t="s">
        <v>14339</v>
      </c>
      <c r="RYW1" t="s">
        <v>14340</v>
      </c>
      <c r="RYX1" t="s">
        <v>14341</v>
      </c>
      <c r="RYY1" t="s">
        <v>14342</v>
      </c>
      <c r="RYZ1" t="s">
        <v>14343</v>
      </c>
      <c r="RZA1" t="s">
        <v>14344</v>
      </c>
      <c r="RZB1" t="s">
        <v>14345</v>
      </c>
      <c r="RZC1" t="s">
        <v>14346</v>
      </c>
      <c r="RZD1" t="s">
        <v>14347</v>
      </c>
      <c r="RZE1" t="s">
        <v>14348</v>
      </c>
      <c r="RZF1" t="s">
        <v>14349</v>
      </c>
      <c r="RZG1" t="s">
        <v>14350</v>
      </c>
      <c r="RZH1" t="s">
        <v>14351</v>
      </c>
      <c r="RZI1" t="s">
        <v>14352</v>
      </c>
      <c r="RZJ1" t="s">
        <v>14353</v>
      </c>
      <c r="RZK1" t="s">
        <v>14354</v>
      </c>
      <c r="RZL1" t="s">
        <v>14355</v>
      </c>
      <c r="RZM1" t="s">
        <v>14356</v>
      </c>
      <c r="RZN1" t="s">
        <v>14357</v>
      </c>
      <c r="RZO1" t="s">
        <v>14358</v>
      </c>
      <c r="RZP1" t="s">
        <v>14359</v>
      </c>
      <c r="RZQ1" t="s">
        <v>14360</v>
      </c>
      <c r="RZR1" t="s">
        <v>14361</v>
      </c>
      <c r="RZS1" t="s">
        <v>14362</v>
      </c>
      <c r="RZT1" t="s">
        <v>14363</v>
      </c>
      <c r="RZU1" t="s">
        <v>14364</v>
      </c>
      <c r="RZV1" t="s">
        <v>14365</v>
      </c>
      <c r="RZW1" t="s">
        <v>14366</v>
      </c>
      <c r="RZX1" t="s">
        <v>14367</v>
      </c>
      <c r="RZY1" t="s">
        <v>14368</v>
      </c>
      <c r="RZZ1" t="s">
        <v>14369</v>
      </c>
      <c r="SAA1" t="s">
        <v>14370</v>
      </c>
      <c r="SAB1" t="s">
        <v>14371</v>
      </c>
      <c r="SAC1" t="s">
        <v>14372</v>
      </c>
      <c r="SAD1" t="s">
        <v>14373</v>
      </c>
      <c r="SAE1" t="s">
        <v>14374</v>
      </c>
      <c r="SAF1" t="s">
        <v>14375</v>
      </c>
      <c r="SAG1" t="s">
        <v>14376</v>
      </c>
      <c r="SAH1" t="s">
        <v>14377</v>
      </c>
      <c r="SAI1" t="s">
        <v>14378</v>
      </c>
      <c r="SAJ1" t="s">
        <v>14379</v>
      </c>
      <c r="SAK1" t="s">
        <v>14380</v>
      </c>
      <c r="SAL1" t="s">
        <v>14381</v>
      </c>
      <c r="SAM1" t="s">
        <v>14382</v>
      </c>
      <c r="SAN1" t="s">
        <v>14383</v>
      </c>
      <c r="SAO1" t="s">
        <v>14384</v>
      </c>
      <c r="SAP1" t="s">
        <v>14385</v>
      </c>
      <c r="SAQ1" t="s">
        <v>14386</v>
      </c>
      <c r="SAR1" t="s">
        <v>14387</v>
      </c>
      <c r="SAS1" t="s">
        <v>14388</v>
      </c>
      <c r="SAT1" t="s">
        <v>14389</v>
      </c>
      <c r="SAU1" t="s">
        <v>14390</v>
      </c>
      <c r="SAV1" t="s">
        <v>14391</v>
      </c>
      <c r="SAW1" t="s">
        <v>14392</v>
      </c>
      <c r="SAX1" t="s">
        <v>14393</v>
      </c>
      <c r="SAY1" t="s">
        <v>14394</v>
      </c>
      <c r="SAZ1" t="s">
        <v>14395</v>
      </c>
      <c r="SBA1" t="s">
        <v>14396</v>
      </c>
      <c r="SBB1" t="s">
        <v>14397</v>
      </c>
      <c r="SBC1" t="s">
        <v>14398</v>
      </c>
      <c r="SBD1" t="s">
        <v>14399</v>
      </c>
      <c r="SBE1" t="s">
        <v>14400</v>
      </c>
      <c r="SBF1" t="s">
        <v>14401</v>
      </c>
      <c r="SBG1" t="s">
        <v>14402</v>
      </c>
      <c r="SBH1" t="s">
        <v>14403</v>
      </c>
      <c r="SBI1" t="s">
        <v>14404</v>
      </c>
      <c r="SBJ1" t="s">
        <v>14405</v>
      </c>
      <c r="SBK1" t="s">
        <v>14406</v>
      </c>
      <c r="SBL1" t="s">
        <v>14407</v>
      </c>
      <c r="SBM1" t="s">
        <v>14408</v>
      </c>
      <c r="SBN1" t="s">
        <v>14409</v>
      </c>
      <c r="SBO1" t="s">
        <v>14410</v>
      </c>
      <c r="SBP1" t="s">
        <v>14411</v>
      </c>
      <c r="SBQ1" t="s">
        <v>14412</v>
      </c>
      <c r="SBR1" t="s">
        <v>14413</v>
      </c>
      <c r="SBS1" t="s">
        <v>14414</v>
      </c>
      <c r="SBT1" t="s">
        <v>14415</v>
      </c>
      <c r="SBU1" t="s">
        <v>14416</v>
      </c>
      <c r="SBV1" t="s">
        <v>14417</v>
      </c>
      <c r="SBW1" t="s">
        <v>14418</v>
      </c>
      <c r="SBX1" t="s">
        <v>14419</v>
      </c>
      <c r="SBY1" t="s">
        <v>14420</v>
      </c>
      <c r="SBZ1" t="s">
        <v>14421</v>
      </c>
      <c r="SCA1" t="s">
        <v>14422</v>
      </c>
      <c r="SCB1" t="s">
        <v>14423</v>
      </c>
      <c r="SCC1" t="s">
        <v>14424</v>
      </c>
      <c r="SCD1" t="s">
        <v>14425</v>
      </c>
      <c r="SCE1" t="s">
        <v>14426</v>
      </c>
      <c r="SCF1" t="s">
        <v>14427</v>
      </c>
      <c r="SCG1" t="s">
        <v>14428</v>
      </c>
      <c r="SCH1" t="s">
        <v>14429</v>
      </c>
      <c r="SCI1" t="s">
        <v>14430</v>
      </c>
      <c r="SCJ1" t="s">
        <v>14431</v>
      </c>
      <c r="SCK1" t="s">
        <v>14432</v>
      </c>
      <c r="SCL1" t="s">
        <v>14433</v>
      </c>
      <c r="SCM1" t="s">
        <v>14434</v>
      </c>
      <c r="SCN1" t="s">
        <v>14435</v>
      </c>
      <c r="SCO1" t="s">
        <v>14436</v>
      </c>
      <c r="SCP1" t="s">
        <v>14437</v>
      </c>
      <c r="SCQ1" t="s">
        <v>14438</v>
      </c>
      <c r="SCR1" t="s">
        <v>14439</v>
      </c>
      <c r="SCS1" t="s">
        <v>14440</v>
      </c>
      <c r="SCT1" t="s">
        <v>14441</v>
      </c>
      <c r="SCU1" t="s">
        <v>14442</v>
      </c>
      <c r="SCV1" t="s">
        <v>14443</v>
      </c>
      <c r="SCW1" t="s">
        <v>14444</v>
      </c>
      <c r="SCX1" t="s">
        <v>14445</v>
      </c>
      <c r="SCY1" t="s">
        <v>14446</v>
      </c>
      <c r="SCZ1" t="s">
        <v>14447</v>
      </c>
      <c r="SDA1" t="s">
        <v>14448</v>
      </c>
      <c r="SDB1" t="s">
        <v>14449</v>
      </c>
      <c r="SDC1" t="s">
        <v>14450</v>
      </c>
      <c r="SDD1" t="s">
        <v>14451</v>
      </c>
      <c r="SDE1" t="s">
        <v>14452</v>
      </c>
      <c r="SDF1" t="s">
        <v>14453</v>
      </c>
      <c r="SDG1" t="s">
        <v>14454</v>
      </c>
      <c r="SDH1" t="s">
        <v>14455</v>
      </c>
      <c r="SDI1" t="s">
        <v>14456</v>
      </c>
      <c r="SDJ1" t="s">
        <v>14457</v>
      </c>
      <c r="SDK1" t="s">
        <v>14458</v>
      </c>
      <c r="SDL1" t="s">
        <v>14459</v>
      </c>
      <c r="SDM1" t="s">
        <v>14460</v>
      </c>
      <c r="SDN1" t="s">
        <v>14461</v>
      </c>
      <c r="SDO1" t="s">
        <v>14462</v>
      </c>
      <c r="SDP1" t="s">
        <v>14463</v>
      </c>
      <c r="SDQ1" t="s">
        <v>14464</v>
      </c>
      <c r="SDR1" t="s">
        <v>14465</v>
      </c>
      <c r="SDS1" t="s">
        <v>14466</v>
      </c>
      <c r="SDT1" t="s">
        <v>14467</v>
      </c>
      <c r="SDU1" t="s">
        <v>14468</v>
      </c>
      <c r="SDV1" t="s">
        <v>14469</v>
      </c>
      <c r="SDW1" t="s">
        <v>14470</v>
      </c>
      <c r="SDX1" t="s">
        <v>14471</v>
      </c>
      <c r="SDY1" t="s">
        <v>14472</v>
      </c>
      <c r="SDZ1" t="s">
        <v>14473</v>
      </c>
      <c r="SEA1" t="s">
        <v>14474</v>
      </c>
      <c r="SEB1" t="s">
        <v>14475</v>
      </c>
      <c r="SEC1" t="s">
        <v>14476</v>
      </c>
      <c r="SED1" t="s">
        <v>14477</v>
      </c>
      <c r="SEE1" t="s">
        <v>14478</v>
      </c>
      <c r="SEF1" t="s">
        <v>14479</v>
      </c>
      <c r="SEG1" t="s">
        <v>14480</v>
      </c>
      <c r="SEH1" t="s">
        <v>14481</v>
      </c>
      <c r="SEI1" t="s">
        <v>14482</v>
      </c>
      <c r="SEJ1" t="s">
        <v>14483</v>
      </c>
      <c r="SEK1" t="s">
        <v>14484</v>
      </c>
      <c r="SEL1" t="s">
        <v>14485</v>
      </c>
      <c r="SEM1" t="s">
        <v>14486</v>
      </c>
      <c r="SEN1" t="s">
        <v>14487</v>
      </c>
      <c r="SEO1" t="s">
        <v>14488</v>
      </c>
      <c r="SEP1" t="s">
        <v>14489</v>
      </c>
      <c r="SEQ1" t="s">
        <v>14490</v>
      </c>
      <c r="SER1" t="s">
        <v>14491</v>
      </c>
      <c r="SES1" t="s">
        <v>14492</v>
      </c>
      <c r="SET1" t="s">
        <v>14493</v>
      </c>
      <c r="SEU1" t="s">
        <v>14494</v>
      </c>
      <c r="SEV1" t="s">
        <v>14495</v>
      </c>
      <c r="SEW1" t="s">
        <v>14496</v>
      </c>
      <c r="SEX1" t="s">
        <v>14497</v>
      </c>
      <c r="SEY1" t="s">
        <v>14498</v>
      </c>
      <c r="SEZ1" t="s">
        <v>14499</v>
      </c>
      <c r="SFA1" t="s">
        <v>14500</v>
      </c>
      <c r="SFB1" t="s">
        <v>14501</v>
      </c>
      <c r="SFC1" t="s">
        <v>14502</v>
      </c>
      <c r="SFD1" t="s">
        <v>14503</v>
      </c>
      <c r="SFE1" t="s">
        <v>14504</v>
      </c>
      <c r="SFF1" t="s">
        <v>14505</v>
      </c>
      <c r="SFG1" t="s">
        <v>14506</v>
      </c>
      <c r="SFH1" t="s">
        <v>14507</v>
      </c>
      <c r="SFI1" t="s">
        <v>14508</v>
      </c>
      <c r="SFJ1" t="s">
        <v>14509</v>
      </c>
      <c r="SFK1" t="s">
        <v>14510</v>
      </c>
      <c r="SFL1" t="s">
        <v>14511</v>
      </c>
      <c r="SFM1" t="s">
        <v>14512</v>
      </c>
      <c r="SFN1" t="s">
        <v>14513</v>
      </c>
      <c r="SFO1" t="s">
        <v>14514</v>
      </c>
      <c r="SFP1" t="s">
        <v>14515</v>
      </c>
      <c r="SFQ1" t="s">
        <v>14516</v>
      </c>
      <c r="SFR1" t="s">
        <v>14517</v>
      </c>
      <c r="SFS1" t="s">
        <v>14518</v>
      </c>
      <c r="SFT1" t="s">
        <v>14519</v>
      </c>
      <c r="SFU1" t="s">
        <v>14520</v>
      </c>
      <c r="SFV1" t="s">
        <v>14521</v>
      </c>
      <c r="SFW1" t="s">
        <v>14522</v>
      </c>
      <c r="SFX1" t="s">
        <v>14523</v>
      </c>
      <c r="SFY1" t="s">
        <v>14524</v>
      </c>
      <c r="SFZ1" t="s">
        <v>14525</v>
      </c>
      <c r="SGA1" t="s">
        <v>14526</v>
      </c>
      <c r="SGB1" t="s">
        <v>14527</v>
      </c>
      <c r="SGC1" t="s">
        <v>14528</v>
      </c>
      <c r="SGD1" t="s">
        <v>14529</v>
      </c>
      <c r="SGE1" t="s">
        <v>14530</v>
      </c>
      <c r="SGF1" t="s">
        <v>14531</v>
      </c>
      <c r="SGG1" t="s">
        <v>14532</v>
      </c>
      <c r="SGH1" t="s">
        <v>14533</v>
      </c>
      <c r="SGI1" t="s">
        <v>14534</v>
      </c>
      <c r="SGJ1" t="s">
        <v>14535</v>
      </c>
      <c r="SGK1" t="s">
        <v>14536</v>
      </c>
      <c r="SGL1" t="s">
        <v>14537</v>
      </c>
      <c r="SGM1" t="s">
        <v>14538</v>
      </c>
      <c r="SGN1" t="s">
        <v>14539</v>
      </c>
      <c r="SGO1" t="s">
        <v>14540</v>
      </c>
      <c r="SGP1" t="s">
        <v>14541</v>
      </c>
      <c r="SGQ1" t="s">
        <v>14542</v>
      </c>
      <c r="SGR1" t="s">
        <v>14543</v>
      </c>
      <c r="SGS1" t="s">
        <v>14544</v>
      </c>
      <c r="SGT1" t="s">
        <v>14545</v>
      </c>
      <c r="SGU1" t="s">
        <v>14546</v>
      </c>
      <c r="SGV1" t="s">
        <v>14547</v>
      </c>
      <c r="SGW1" t="s">
        <v>14548</v>
      </c>
      <c r="SGX1" t="s">
        <v>14549</v>
      </c>
      <c r="SGY1" t="s">
        <v>14550</v>
      </c>
      <c r="SGZ1" t="s">
        <v>14551</v>
      </c>
      <c r="SHA1" t="s">
        <v>14552</v>
      </c>
      <c r="SHB1" t="s">
        <v>14553</v>
      </c>
      <c r="SHC1" t="s">
        <v>14554</v>
      </c>
      <c r="SHD1" t="s">
        <v>14555</v>
      </c>
      <c r="SHE1" t="s">
        <v>14556</v>
      </c>
      <c r="SHF1" t="s">
        <v>14557</v>
      </c>
      <c r="SHG1" t="s">
        <v>14558</v>
      </c>
      <c r="SHH1" t="s">
        <v>14559</v>
      </c>
      <c r="SHI1" t="s">
        <v>14560</v>
      </c>
      <c r="SHJ1" t="s">
        <v>14561</v>
      </c>
      <c r="SHK1" t="s">
        <v>14562</v>
      </c>
      <c r="SHL1" t="s">
        <v>14563</v>
      </c>
      <c r="SHM1" t="s">
        <v>14564</v>
      </c>
      <c r="SHN1" t="s">
        <v>14565</v>
      </c>
      <c r="SHO1" t="s">
        <v>14566</v>
      </c>
      <c r="SHP1" t="s">
        <v>14567</v>
      </c>
      <c r="SHQ1" t="s">
        <v>14568</v>
      </c>
      <c r="SHR1" t="s">
        <v>14569</v>
      </c>
      <c r="SHS1" t="s">
        <v>14570</v>
      </c>
      <c r="SHT1" t="s">
        <v>14571</v>
      </c>
      <c r="SHU1" t="s">
        <v>14572</v>
      </c>
      <c r="SHV1" t="s">
        <v>14573</v>
      </c>
      <c r="SHW1" t="s">
        <v>14574</v>
      </c>
      <c r="SHX1" t="s">
        <v>14575</v>
      </c>
      <c r="SHY1" t="s">
        <v>14576</v>
      </c>
      <c r="SHZ1" t="s">
        <v>14577</v>
      </c>
      <c r="SIA1" t="s">
        <v>14578</v>
      </c>
      <c r="SIB1" t="s">
        <v>14579</v>
      </c>
      <c r="SIC1" t="s">
        <v>14580</v>
      </c>
      <c r="SID1" t="s">
        <v>14581</v>
      </c>
      <c r="SIE1" t="s">
        <v>14582</v>
      </c>
      <c r="SIF1" t="s">
        <v>14583</v>
      </c>
      <c r="SIG1" t="s">
        <v>14584</v>
      </c>
      <c r="SIH1" t="s">
        <v>14585</v>
      </c>
      <c r="SII1" t="s">
        <v>14586</v>
      </c>
      <c r="SIJ1" t="s">
        <v>14587</v>
      </c>
      <c r="SIK1" t="s">
        <v>14588</v>
      </c>
      <c r="SIL1" t="s">
        <v>14589</v>
      </c>
      <c r="SIM1" t="s">
        <v>14590</v>
      </c>
      <c r="SIN1" t="s">
        <v>14591</v>
      </c>
      <c r="SIO1" t="s">
        <v>14592</v>
      </c>
      <c r="SIP1" t="s">
        <v>14593</v>
      </c>
      <c r="SIQ1" t="s">
        <v>14594</v>
      </c>
      <c r="SIR1" t="s">
        <v>14595</v>
      </c>
      <c r="SIS1" t="s">
        <v>14596</v>
      </c>
      <c r="SIT1" t="s">
        <v>14597</v>
      </c>
      <c r="SIU1" t="s">
        <v>14598</v>
      </c>
      <c r="SIV1" t="s">
        <v>14599</v>
      </c>
      <c r="SIW1" t="s">
        <v>14600</v>
      </c>
      <c r="SIX1" t="s">
        <v>14601</v>
      </c>
      <c r="SIY1" t="s">
        <v>14602</v>
      </c>
      <c r="SIZ1" t="s">
        <v>14603</v>
      </c>
      <c r="SJA1" t="s">
        <v>14604</v>
      </c>
      <c r="SJB1" t="s">
        <v>14605</v>
      </c>
      <c r="SJC1" t="s">
        <v>14606</v>
      </c>
      <c r="SJD1" t="s">
        <v>14607</v>
      </c>
      <c r="SJE1" t="s">
        <v>14608</v>
      </c>
      <c r="SJF1" t="s">
        <v>14609</v>
      </c>
      <c r="SJG1" t="s">
        <v>14610</v>
      </c>
      <c r="SJH1" t="s">
        <v>14611</v>
      </c>
      <c r="SJI1" t="s">
        <v>14612</v>
      </c>
      <c r="SJJ1" t="s">
        <v>14613</v>
      </c>
      <c r="SJK1" t="s">
        <v>14614</v>
      </c>
      <c r="SJL1" t="s">
        <v>14615</v>
      </c>
      <c r="SJM1" t="s">
        <v>14616</v>
      </c>
      <c r="SJN1" t="s">
        <v>14617</v>
      </c>
      <c r="SJO1" t="s">
        <v>14618</v>
      </c>
      <c r="SJP1" t="s">
        <v>14619</v>
      </c>
      <c r="SJQ1" t="s">
        <v>14620</v>
      </c>
      <c r="SJR1" t="s">
        <v>14621</v>
      </c>
      <c r="SJS1" t="s">
        <v>14622</v>
      </c>
      <c r="SJT1" t="s">
        <v>14623</v>
      </c>
      <c r="SJU1" t="s">
        <v>14624</v>
      </c>
      <c r="SJV1" t="s">
        <v>14625</v>
      </c>
      <c r="SJW1" t="s">
        <v>14626</v>
      </c>
      <c r="SJX1" t="s">
        <v>14627</v>
      </c>
      <c r="SJY1" t="s">
        <v>14628</v>
      </c>
      <c r="SJZ1" t="s">
        <v>14629</v>
      </c>
      <c r="SKA1" t="s">
        <v>14630</v>
      </c>
      <c r="SKB1" t="s">
        <v>14631</v>
      </c>
      <c r="SKC1" t="s">
        <v>14632</v>
      </c>
      <c r="SKD1" t="s">
        <v>14633</v>
      </c>
      <c r="SKE1" t="s">
        <v>14634</v>
      </c>
      <c r="SKF1" t="s">
        <v>14635</v>
      </c>
      <c r="SKG1" t="s">
        <v>14636</v>
      </c>
      <c r="SKH1" t="s">
        <v>14637</v>
      </c>
      <c r="SKI1" t="s">
        <v>14638</v>
      </c>
      <c r="SKJ1" t="s">
        <v>14639</v>
      </c>
      <c r="SKK1" t="s">
        <v>14640</v>
      </c>
      <c r="SKL1" t="s">
        <v>14641</v>
      </c>
      <c r="SKM1" t="s">
        <v>14642</v>
      </c>
      <c r="SKN1" t="s">
        <v>14643</v>
      </c>
      <c r="SKO1" t="s">
        <v>14644</v>
      </c>
      <c r="SKP1" t="s">
        <v>14645</v>
      </c>
      <c r="SKQ1" t="s">
        <v>14646</v>
      </c>
      <c r="SKR1" t="s">
        <v>14647</v>
      </c>
      <c r="SKS1" t="s">
        <v>14648</v>
      </c>
      <c r="SKT1" t="s">
        <v>14649</v>
      </c>
      <c r="SKU1" t="s">
        <v>14650</v>
      </c>
      <c r="SKV1" t="s">
        <v>14651</v>
      </c>
      <c r="SKW1" t="s">
        <v>14652</v>
      </c>
      <c r="SKX1" t="s">
        <v>14653</v>
      </c>
      <c r="SKY1" t="s">
        <v>14654</v>
      </c>
      <c r="SKZ1" t="s">
        <v>14655</v>
      </c>
      <c r="SLA1" t="s">
        <v>14656</v>
      </c>
      <c r="SLB1" t="s">
        <v>14657</v>
      </c>
      <c r="SLC1" t="s">
        <v>14658</v>
      </c>
      <c r="SLD1" t="s">
        <v>14659</v>
      </c>
      <c r="SLE1" t="s">
        <v>14660</v>
      </c>
      <c r="SLF1" t="s">
        <v>14661</v>
      </c>
      <c r="SLG1" t="s">
        <v>14662</v>
      </c>
      <c r="SLH1" t="s">
        <v>14663</v>
      </c>
      <c r="SLI1" t="s">
        <v>14664</v>
      </c>
      <c r="SLJ1" t="s">
        <v>14665</v>
      </c>
      <c r="SLK1" t="s">
        <v>14666</v>
      </c>
      <c r="SLL1" t="s">
        <v>14667</v>
      </c>
      <c r="SLM1" t="s">
        <v>14668</v>
      </c>
      <c r="SLN1" t="s">
        <v>14669</v>
      </c>
      <c r="SLO1" t="s">
        <v>14670</v>
      </c>
      <c r="SLP1" t="s">
        <v>14671</v>
      </c>
      <c r="SLQ1" t="s">
        <v>14672</v>
      </c>
      <c r="SLR1" t="s">
        <v>14673</v>
      </c>
      <c r="SLS1" t="s">
        <v>14674</v>
      </c>
      <c r="SLT1" t="s">
        <v>14675</v>
      </c>
      <c r="SLU1" t="s">
        <v>14676</v>
      </c>
      <c r="SLV1" t="s">
        <v>14677</v>
      </c>
      <c r="SLW1" t="s">
        <v>14678</v>
      </c>
      <c r="SLX1" t="s">
        <v>14679</v>
      </c>
      <c r="SLY1" t="s">
        <v>14680</v>
      </c>
      <c r="SLZ1" t="s">
        <v>14681</v>
      </c>
      <c r="SMA1" t="s">
        <v>14682</v>
      </c>
      <c r="SMB1" t="s">
        <v>14683</v>
      </c>
      <c r="SMC1" t="s">
        <v>14684</v>
      </c>
      <c r="SMD1" t="s">
        <v>14685</v>
      </c>
      <c r="SME1" t="s">
        <v>14686</v>
      </c>
      <c r="SMF1" t="s">
        <v>14687</v>
      </c>
      <c r="SMG1" t="s">
        <v>14688</v>
      </c>
      <c r="SMH1" t="s">
        <v>14689</v>
      </c>
      <c r="SMI1" t="s">
        <v>14690</v>
      </c>
      <c r="SMJ1" t="s">
        <v>14691</v>
      </c>
      <c r="SMK1" t="s">
        <v>14692</v>
      </c>
      <c r="SML1" t="s">
        <v>14693</v>
      </c>
      <c r="SMM1" t="s">
        <v>14694</v>
      </c>
      <c r="SMN1" t="s">
        <v>14695</v>
      </c>
      <c r="SMO1" t="s">
        <v>14696</v>
      </c>
      <c r="SMP1" t="s">
        <v>14697</v>
      </c>
      <c r="SMQ1" t="s">
        <v>14698</v>
      </c>
      <c r="SMR1" t="s">
        <v>14699</v>
      </c>
      <c r="SMS1" t="s">
        <v>14700</v>
      </c>
      <c r="SMT1" t="s">
        <v>14701</v>
      </c>
      <c r="SMU1" t="s">
        <v>14702</v>
      </c>
      <c r="SMV1" t="s">
        <v>14703</v>
      </c>
      <c r="SMW1" t="s">
        <v>14704</v>
      </c>
      <c r="SMX1" t="s">
        <v>14705</v>
      </c>
      <c r="SMY1" t="s">
        <v>14706</v>
      </c>
      <c r="SMZ1" t="s">
        <v>14707</v>
      </c>
      <c r="SNA1" t="s">
        <v>14708</v>
      </c>
      <c r="SNB1" t="s">
        <v>14709</v>
      </c>
      <c r="SNC1" t="s">
        <v>14710</v>
      </c>
      <c r="SND1" t="s">
        <v>14711</v>
      </c>
      <c r="SNE1" t="s">
        <v>14712</v>
      </c>
      <c r="SNF1" t="s">
        <v>14713</v>
      </c>
      <c r="SNG1" t="s">
        <v>14714</v>
      </c>
      <c r="SNH1" t="s">
        <v>14715</v>
      </c>
      <c r="SNI1" t="s">
        <v>14716</v>
      </c>
      <c r="SNJ1" t="s">
        <v>14717</v>
      </c>
      <c r="SNK1" t="s">
        <v>14718</v>
      </c>
      <c r="SNL1" t="s">
        <v>14719</v>
      </c>
      <c r="SNM1" t="s">
        <v>14720</v>
      </c>
      <c r="SNN1" t="s">
        <v>14721</v>
      </c>
      <c r="SNO1" t="s">
        <v>14722</v>
      </c>
      <c r="SNP1" t="s">
        <v>14723</v>
      </c>
      <c r="SNQ1" t="s">
        <v>14724</v>
      </c>
      <c r="SNR1" t="s">
        <v>14725</v>
      </c>
      <c r="SNS1" t="s">
        <v>14726</v>
      </c>
      <c r="SNT1" t="s">
        <v>14727</v>
      </c>
      <c r="SNU1" t="s">
        <v>14728</v>
      </c>
      <c r="SNV1" t="s">
        <v>14729</v>
      </c>
      <c r="SNW1" t="s">
        <v>14730</v>
      </c>
      <c r="SNX1" t="s">
        <v>14731</v>
      </c>
      <c r="SNY1" t="s">
        <v>14732</v>
      </c>
      <c r="SNZ1" t="s">
        <v>14733</v>
      </c>
      <c r="SOA1" t="s">
        <v>14734</v>
      </c>
      <c r="SOB1" t="s">
        <v>14735</v>
      </c>
      <c r="SOC1" t="s">
        <v>14736</v>
      </c>
      <c r="SOD1" t="s">
        <v>14737</v>
      </c>
      <c r="SOE1" t="s">
        <v>14738</v>
      </c>
      <c r="SOF1" t="s">
        <v>14739</v>
      </c>
      <c r="SOG1" t="s">
        <v>14740</v>
      </c>
      <c r="SOH1" t="s">
        <v>14741</v>
      </c>
      <c r="SOI1" t="s">
        <v>14742</v>
      </c>
      <c r="SOJ1" t="s">
        <v>14743</v>
      </c>
      <c r="SOK1" t="s">
        <v>14744</v>
      </c>
      <c r="SOL1" t="s">
        <v>14745</v>
      </c>
      <c r="SOM1" t="s">
        <v>14746</v>
      </c>
      <c r="SON1" t="s">
        <v>14747</v>
      </c>
      <c r="SOO1" t="s">
        <v>14748</v>
      </c>
      <c r="SOP1" t="s">
        <v>14749</v>
      </c>
      <c r="SOQ1" t="s">
        <v>14750</v>
      </c>
      <c r="SOR1" t="s">
        <v>14751</v>
      </c>
      <c r="SOS1" t="s">
        <v>14752</v>
      </c>
      <c r="SOT1" t="s">
        <v>14753</v>
      </c>
      <c r="SOU1" t="s">
        <v>14754</v>
      </c>
      <c r="SOV1" t="s">
        <v>14755</v>
      </c>
      <c r="SOW1" t="s">
        <v>14756</v>
      </c>
      <c r="SOX1" t="s">
        <v>14757</v>
      </c>
      <c r="SOY1" t="s">
        <v>14758</v>
      </c>
      <c r="SOZ1" t="s">
        <v>14759</v>
      </c>
      <c r="SPA1" t="s">
        <v>14760</v>
      </c>
      <c r="SPB1" t="s">
        <v>14761</v>
      </c>
      <c r="SPC1" t="s">
        <v>14762</v>
      </c>
      <c r="SPD1" t="s">
        <v>14763</v>
      </c>
      <c r="SPE1" t="s">
        <v>14764</v>
      </c>
      <c r="SPF1" t="s">
        <v>14765</v>
      </c>
      <c r="SPG1" t="s">
        <v>14766</v>
      </c>
      <c r="SPH1" t="s">
        <v>14767</v>
      </c>
      <c r="SPI1" t="s">
        <v>14768</v>
      </c>
      <c r="SPJ1" t="s">
        <v>14769</v>
      </c>
      <c r="SPK1" t="s">
        <v>14770</v>
      </c>
      <c r="SPL1" t="s">
        <v>14771</v>
      </c>
      <c r="SPM1" t="s">
        <v>14772</v>
      </c>
      <c r="SPN1" t="s">
        <v>14773</v>
      </c>
      <c r="SPO1" t="s">
        <v>14774</v>
      </c>
      <c r="SPP1" t="s">
        <v>14775</v>
      </c>
      <c r="SPQ1" t="s">
        <v>14776</v>
      </c>
      <c r="SPR1" t="s">
        <v>14777</v>
      </c>
      <c r="SPS1" t="s">
        <v>14778</v>
      </c>
      <c r="SPT1" t="s">
        <v>14779</v>
      </c>
      <c r="SPU1" t="s">
        <v>14780</v>
      </c>
      <c r="SPV1" t="s">
        <v>14781</v>
      </c>
      <c r="SPW1" t="s">
        <v>14782</v>
      </c>
      <c r="SPX1" t="s">
        <v>14783</v>
      </c>
      <c r="SPY1" t="s">
        <v>14784</v>
      </c>
      <c r="SPZ1" t="s">
        <v>14785</v>
      </c>
      <c r="SQA1" t="s">
        <v>14786</v>
      </c>
      <c r="SQB1" t="s">
        <v>14787</v>
      </c>
      <c r="SQC1" t="s">
        <v>14788</v>
      </c>
      <c r="SQD1" t="s">
        <v>14789</v>
      </c>
      <c r="SQE1" t="s">
        <v>14790</v>
      </c>
      <c r="SQF1" t="s">
        <v>14791</v>
      </c>
      <c r="SQG1" t="s">
        <v>14792</v>
      </c>
      <c r="SQH1" t="s">
        <v>14793</v>
      </c>
      <c r="SQI1" t="s">
        <v>14794</v>
      </c>
      <c r="SQJ1" t="s">
        <v>14795</v>
      </c>
      <c r="SQK1" t="s">
        <v>14796</v>
      </c>
      <c r="SQL1" t="s">
        <v>14797</v>
      </c>
      <c r="SQM1" t="s">
        <v>14798</v>
      </c>
      <c r="SQN1" t="s">
        <v>14799</v>
      </c>
      <c r="SQO1" t="s">
        <v>14800</v>
      </c>
      <c r="SQP1" t="s">
        <v>14801</v>
      </c>
      <c r="SQQ1" t="s">
        <v>14802</v>
      </c>
      <c r="SQR1" t="s">
        <v>14803</v>
      </c>
      <c r="SQS1" t="s">
        <v>14804</v>
      </c>
      <c r="SQT1" t="s">
        <v>14805</v>
      </c>
      <c r="SQU1" t="s">
        <v>14806</v>
      </c>
      <c r="SQV1" t="s">
        <v>14807</v>
      </c>
      <c r="SQW1" t="s">
        <v>14808</v>
      </c>
      <c r="SQX1" t="s">
        <v>14809</v>
      </c>
      <c r="SQY1" t="s">
        <v>14810</v>
      </c>
      <c r="SQZ1" t="s">
        <v>14811</v>
      </c>
      <c r="SRA1" t="s">
        <v>14812</v>
      </c>
      <c r="SRB1" t="s">
        <v>14813</v>
      </c>
      <c r="SRC1" t="s">
        <v>14814</v>
      </c>
      <c r="SRD1" t="s">
        <v>14815</v>
      </c>
      <c r="SRE1" t="s">
        <v>14816</v>
      </c>
      <c r="SRF1" t="s">
        <v>14817</v>
      </c>
      <c r="SRG1" t="s">
        <v>14818</v>
      </c>
      <c r="SRH1" t="s">
        <v>14819</v>
      </c>
      <c r="SRI1" t="s">
        <v>14820</v>
      </c>
      <c r="SRJ1" t="s">
        <v>14821</v>
      </c>
      <c r="SRK1" t="s">
        <v>14822</v>
      </c>
      <c r="SRL1" t="s">
        <v>14823</v>
      </c>
      <c r="SRM1" t="s">
        <v>14824</v>
      </c>
      <c r="SRN1" t="s">
        <v>14825</v>
      </c>
      <c r="SRO1" t="s">
        <v>14826</v>
      </c>
      <c r="SRP1" t="s">
        <v>14827</v>
      </c>
      <c r="SRQ1" t="s">
        <v>14828</v>
      </c>
      <c r="SRR1" t="s">
        <v>14829</v>
      </c>
      <c r="SRS1" t="s">
        <v>14830</v>
      </c>
      <c r="SRT1" t="s">
        <v>14831</v>
      </c>
      <c r="SRU1" t="s">
        <v>14832</v>
      </c>
      <c r="SRV1" t="s">
        <v>14833</v>
      </c>
      <c r="SRW1" t="s">
        <v>14834</v>
      </c>
      <c r="SRX1" t="s">
        <v>14835</v>
      </c>
      <c r="SRY1" t="s">
        <v>14836</v>
      </c>
      <c r="SRZ1" t="s">
        <v>14837</v>
      </c>
      <c r="SSA1" t="s">
        <v>14838</v>
      </c>
      <c r="SSB1" t="s">
        <v>14839</v>
      </c>
      <c r="SSC1" t="s">
        <v>14840</v>
      </c>
      <c r="SSD1" t="s">
        <v>14841</v>
      </c>
      <c r="SSE1" t="s">
        <v>14842</v>
      </c>
      <c r="SSF1" t="s">
        <v>14843</v>
      </c>
      <c r="SSG1" t="s">
        <v>14844</v>
      </c>
      <c r="SSH1" t="s">
        <v>14845</v>
      </c>
      <c r="SSI1" t="s">
        <v>14846</v>
      </c>
      <c r="SSJ1" t="s">
        <v>14847</v>
      </c>
      <c r="SSK1" t="s">
        <v>14848</v>
      </c>
      <c r="SSL1" t="s">
        <v>14849</v>
      </c>
      <c r="SSM1" t="s">
        <v>14850</v>
      </c>
      <c r="SSN1" t="s">
        <v>14851</v>
      </c>
      <c r="SSO1" t="s">
        <v>14852</v>
      </c>
      <c r="SSP1" t="s">
        <v>14853</v>
      </c>
      <c r="SSQ1" t="s">
        <v>14854</v>
      </c>
      <c r="SSR1" t="s">
        <v>14855</v>
      </c>
      <c r="SSS1" t="s">
        <v>14856</v>
      </c>
      <c r="SST1" t="s">
        <v>14857</v>
      </c>
      <c r="SSU1" t="s">
        <v>14858</v>
      </c>
      <c r="SSV1" t="s">
        <v>14859</v>
      </c>
      <c r="SSW1" t="s">
        <v>14860</v>
      </c>
      <c r="SSX1" t="s">
        <v>14861</v>
      </c>
      <c r="SSY1" t="s">
        <v>14862</v>
      </c>
      <c r="SSZ1" t="s">
        <v>14863</v>
      </c>
      <c r="STA1" t="s">
        <v>14864</v>
      </c>
      <c r="STB1" t="s">
        <v>14865</v>
      </c>
      <c r="STC1" t="s">
        <v>14866</v>
      </c>
      <c r="STD1" t="s">
        <v>14867</v>
      </c>
      <c r="STE1" t="s">
        <v>14868</v>
      </c>
      <c r="STF1" t="s">
        <v>14869</v>
      </c>
      <c r="STG1" t="s">
        <v>14870</v>
      </c>
      <c r="STH1" t="s">
        <v>14871</v>
      </c>
      <c r="STI1" t="s">
        <v>14872</v>
      </c>
      <c r="STJ1" t="s">
        <v>14873</v>
      </c>
      <c r="STK1" t="s">
        <v>14874</v>
      </c>
      <c r="STL1" t="s">
        <v>14875</v>
      </c>
      <c r="STM1" t="s">
        <v>14876</v>
      </c>
      <c r="STN1" t="s">
        <v>14877</v>
      </c>
      <c r="STO1" t="s">
        <v>14878</v>
      </c>
      <c r="STP1" t="s">
        <v>14879</v>
      </c>
      <c r="STQ1" t="s">
        <v>14880</v>
      </c>
      <c r="STR1" t="s">
        <v>14881</v>
      </c>
      <c r="STS1" t="s">
        <v>14882</v>
      </c>
      <c r="STT1" t="s">
        <v>14883</v>
      </c>
      <c r="STU1" t="s">
        <v>14884</v>
      </c>
      <c r="STV1" t="s">
        <v>14885</v>
      </c>
      <c r="STW1" t="s">
        <v>14886</v>
      </c>
      <c r="STX1" t="s">
        <v>14887</v>
      </c>
      <c r="STY1" t="s">
        <v>14888</v>
      </c>
      <c r="STZ1" t="s">
        <v>14889</v>
      </c>
      <c r="SUA1" t="s">
        <v>14890</v>
      </c>
      <c r="SUB1" t="s">
        <v>14891</v>
      </c>
      <c r="SUC1" t="s">
        <v>14892</v>
      </c>
      <c r="SUD1" t="s">
        <v>14893</v>
      </c>
      <c r="SUE1" t="s">
        <v>14894</v>
      </c>
      <c r="SUF1" t="s">
        <v>14895</v>
      </c>
      <c r="SUG1" t="s">
        <v>14896</v>
      </c>
      <c r="SUH1" t="s">
        <v>14897</v>
      </c>
      <c r="SUI1" t="s">
        <v>14898</v>
      </c>
      <c r="SUJ1" t="s">
        <v>14899</v>
      </c>
      <c r="SUK1" t="s">
        <v>14900</v>
      </c>
      <c r="SUL1" t="s">
        <v>14901</v>
      </c>
      <c r="SUM1" t="s">
        <v>14902</v>
      </c>
      <c r="SUN1" t="s">
        <v>14903</v>
      </c>
      <c r="SUO1" t="s">
        <v>14904</v>
      </c>
      <c r="SUP1" t="s">
        <v>14905</v>
      </c>
      <c r="SUQ1" t="s">
        <v>14906</v>
      </c>
      <c r="SUR1" t="s">
        <v>14907</v>
      </c>
      <c r="SUS1" t="s">
        <v>14908</v>
      </c>
      <c r="SUT1" t="s">
        <v>14909</v>
      </c>
      <c r="SUU1" t="s">
        <v>14910</v>
      </c>
      <c r="SUV1" t="s">
        <v>14911</v>
      </c>
      <c r="SUW1" t="s">
        <v>14912</v>
      </c>
      <c r="SUX1" t="s">
        <v>14913</v>
      </c>
      <c r="SUY1" t="s">
        <v>14914</v>
      </c>
      <c r="SUZ1" t="s">
        <v>14915</v>
      </c>
      <c r="SVA1" t="s">
        <v>14916</v>
      </c>
      <c r="SVB1" t="s">
        <v>14917</v>
      </c>
      <c r="SVC1" t="s">
        <v>14918</v>
      </c>
      <c r="SVD1" t="s">
        <v>14919</v>
      </c>
      <c r="SVE1" t="s">
        <v>14920</v>
      </c>
      <c r="SVF1" t="s">
        <v>14921</v>
      </c>
      <c r="SVG1" t="s">
        <v>14922</v>
      </c>
      <c r="SVH1" t="s">
        <v>14923</v>
      </c>
      <c r="SVI1" t="s">
        <v>14924</v>
      </c>
      <c r="SVJ1" t="s">
        <v>14925</v>
      </c>
      <c r="SVK1" t="s">
        <v>14926</v>
      </c>
      <c r="SVL1" t="s">
        <v>14927</v>
      </c>
      <c r="SVM1" t="s">
        <v>14928</v>
      </c>
      <c r="SVN1" t="s">
        <v>14929</v>
      </c>
      <c r="SVO1" t="s">
        <v>14930</v>
      </c>
      <c r="SVP1" t="s">
        <v>14931</v>
      </c>
      <c r="SVQ1" t="s">
        <v>14932</v>
      </c>
      <c r="SVR1" t="s">
        <v>14933</v>
      </c>
      <c r="SVS1" t="s">
        <v>14934</v>
      </c>
      <c r="SVT1" t="s">
        <v>14935</v>
      </c>
      <c r="SVU1" t="s">
        <v>14936</v>
      </c>
      <c r="SVV1" t="s">
        <v>14937</v>
      </c>
      <c r="SVW1" t="s">
        <v>14938</v>
      </c>
      <c r="SVX1" t="s">
        <v>14939</v>
      </c>
      <c r="SVY1" t="s">
        <v>14940</v>
      </c>
      <c r="SVZ1" t="s">
        <v>14941</v>
      </c>
      <c r="SWA1" t="s">
        <v>14942</v>
      </c>
      <c r="SWB1" t="s">
        <v>14943</v>
      </c>
      <c r="SWC1" t="s">
        <v>14944</v>
      </c>
      <c r="SWD1" t="s">
        <v>14945</v>
      </c>
      <c r="SWE1" t="s">
        <v>14946</v>
      </c>
      <c r="SWF1" t="s">
        <v>14947</v>
      </c>
      <c r="SWG1" t="s">
        <v>14948</v>
      </c>
      <c r="SWH1" t="s">
        <v>14949</v>
      </c>
      <c r="SWI1" t="s">
        <v>14950</v>
      </c>
      <c r="SWJ1" t="s">
        <v>14951</v>
      </c>
      <c r="SWK1" t="s">
        <v>14952</v>
      </c>
      <c r="SWL1" t="s">
        <v>14953</v>
      </c>
      <c r="SWM1" t="s">
        <v>14954</v>
      </c>
      <c r="SWN1" t="s">
        <v>14955</v>
      </c>
      <c r="SWO1" t="s">
        <v>14956</v>
      </c>
      <c r="SWP1" t="s">
        <v>14957</v>
      </c>
      <c r="SWQ1" t="s">
        <v>14958</v>
      </c>
      <c r="SWR1" t="s">
        <v>14959</v>
      </c>
      <c r="SWS1" t="s">
        <v>14960</v>
      </c>
      <c r="SWT1" t="s">
        <v>14961</v>
      </c>
      <c r="SWU1" t="s">
        <v>14962</v>
      </c>
      <c r="SWV1" t="s">
        <v>14963</v>
      </c>
      <c r="SWW1" t="s">
        <v>14964</v>
      </c>
      <c r="SWX1" t="s">
        <v>14965</v>
      </c>
      <c r="SWY1" t="s">
        <v>14966</v>
      </c>
      <c r="SWZ1" t="s">
        <v>14967</v>
      </c>
      <c r="SXA1" t="s">
        <v>14968</v>
      </c>
      <c r="SXB1" t="s">
        <v>14969</v>
      </c>
      <c r="SXC1" t="s">
        <v>14970</v>
      </c>
      <c r="SXD1" t="s">
        <v>14971</v>
      </c>
      <c r="SXE1" t="s">
        <v>14972</v>
      </c>
      <c r="SXF1" t="s">
        <v>14973</v>
      </c>
      <c r="SXG1" t="s">
        <v>14974</v>
      </c>
      <c r="SXH1" t="s">
        <v>14975</v>
      </c>
      <c r="SXI1" t="s">
        <v>14976</v>
      </c>
      <c r="SXJ1" t="s">
        <v>14977</v>
      </c>
      <c r="SXK1" t="s">
        <v>14978</v>
      </c>
      <c r="SXL1" t="s">
        <v>14979</v>
      </c>
      <c r="SXM1" t="s">
        <v>14980</v>
      </c>
      <c r="SXN1" t="s">
        <v>14981</v>
      </c>
      <c r="SXO1" t="s">
        <v>14982</v>
      </c>
      <c r="SXP1" t="s">
        <v>14983</v>
      </c>
      <c r="SXQ1" t="s">
        <v>14984</v>
      </c>
      <c r="SXR1" t="s">
        <v>14985</v>
      </c>
      <c r="SXS1" t="s">
        <v>14986</v>
      </c>
      <c r="SXT1" t="s">
        <v>14987</v>
      </c>
      <c r="SXU1" t="s">
        <v>14988</v>
      </c>
      <c r="SXV1" t="s">
        <v>14989</v>
      </c>
      <c r="SXW1" t="s">
        <v>14990</v>
      </c>
      <c r="SXX1" t="s">
        <v>14991</v>
      </c>
      <c r="SXY1" t="s">
        <v>14992</v>
      </c>
      <c r="SXZ1" t="s">
        <v>14993</v>
      </c>
      <c r="SYA1" t="s">
        <v>14994</v>
      </c>
      <c r="SYB1" t="s">
        <v>14995</v>
      </c>
      <c r="SYC1" t="s">
        <v>14996</v>
      </c>
      <c r="SYD1" t="s">
        <v>14997</v>
      </c>
      <c r="SYE1" t="s">
        <v>14998</v>
      </c>
      <c r="SYF1" t="s">
        <v>14999</v>
      </c>
      <c r="SYG1" t="s">
        <v>15000</v>
      </c>
      <c r="SYH1" t="s">
        <v>15001</v>
      </c>
      <c r="SYI1" t="s">
        <v>15002</v>
      </c>
      <c r="SYJ1" t="s">
        <v>15003</v>
      </c>
      <c r="SYK1" t="s">
        <v>15004</v>
      </c>
      <c r="SYL1" t="s">
        <v>15005</v>
      </c>
      <c r="SYM1" t="s">
        <v>15006</v>
      </c>
      <c r="SYN1" t="s">
        <v>15007</v>
      </c>
      <c r="SYO1" t="s">
        <v>15008</v>
      </c>
      <c r="SYP1" t="s">
        <v>15009</v>
      </c>
      <c r="SYQ1" t="s">
        <v>15010</v>
      </c>
      <c r="SYR1" t="s">
        <v>15011</v>
      </c>
      <c r="SYS1" t="s">
        <v>15012</v>
      </c>
      <c r="SYT1" t="s">
        <v>15013</v>
      </c>
      <c r="SYU1" t="s">
        <v>15014</v>
      </c>
      <c r="SYV1" t="s">
        <v>15015</v>
      </c>
      <c r="SYW1" t="s">
        <v>15016</v>
      </c>
      <c r="SYX1" t="s">
        <v>15017</v>
      </c>
      <c r="SYY1" t="s">
        <v>15018</v>
      </c>
      <c r="SYZ1" t="s">
        <v>15019</v>
      </c>
      <c r="SZA1" t="s">
        <v>15020</v>
      </c>
      <c r="SZB1" t="s">
        <v>15021</v>
      </c>
      <c r="SZC1" t="s">
        <v>15022</v>
      </c>
      <c r="SZD1" t="s">
        <v>15023</v>
      </c>
      <c r="SZE1" t="s">
        <v>15024</v>
      </c>
      <c r="SZF1" t="s">
        <v>15025</v>
      </c>
      <c r="SZG1" t="s">
        <v>15026</v>
      </c>
      <c r="SZH1" t="s">
        <v>15027</v>
      </c>
      <c r="SZI1" t="s">
        <v>15028</v>
      </c>
      <c r="SZJ1" t="s">
        <v>15029</v>
      </c>
      <c r="SZK1" t="s">
        <v>15030</v>
      </c>
      <c r="SZL1" t="s">
        <v>15031</v>
      </c>
      <c r="SZM1" t="s">
        <v>15032</v>
      </c>
      <c r="SZN1" t="s">
        <v>15033</v>
      </c>
      <c r="SZO1" t="s">
        <v>15034</v>
      </c>
      <c r="SZP1" t="s">
        <v>15035</v>
      </c>
      <c r="SZQ1" t="s">
        <v>15036</v>
      </c>
      <c r="SZR1" t="s">
        <v>15037</v>
      </c>
      <c r="SZS1" t="s">
        <v>15038</v>
      </c>
      <c r="SZT1" t="s">
        <v>15039</v>
      </c>
      <c r="SZU1" t="s">
        <v>15040</v>
      </c>
      <c r="SZV1" t="s">
        <v>15041</v>
      </c>
      <c r="SZW1" t="s">
        <v>15042</v>
      </c>
      <c r="SZX1" t="s">
        <v>15043</v>
      </c>
      <c r="SZY1" t="s">
        <v>15044</v>
      </c>
      <c r="SZZ1" t="s">
        <v>15045</v>
      </c>
      <c r="TAA1" t="s">
        <v>15046</v>
      </c>
      <c r="TAB1" t="s">
        <v>15047</v>
      </c>
      <c r="TAC1" t="s">
        <v>15048</v>
      </c>
      <c r="TAD1" t="s">
        <v>15049</v>
      </c>
      <c r="TAE1" t="s">
        <v>15050</v>
      </c>
      <c r="TAF1" t="s">
        <v>15051</v>
      </c>
      <c r="TAG1" t="s">
        <v>15052</v>
      </c>
      <c r="TAH1" t="s">
        <v>15053</v>
      </c>
      <c r="TAI1" t="s">
        <v>15054</v>
      </c>
      <c r="TAJ1" t="s">
        <v>15055</v>
      </c>
      <c r="TAK1" t="s">
        <v>15056</v>
      </c>
      <c r="TAL1" t="s">
        <v>15057</v>
      </c>
      <c r="TAM1" t="s">
        <v>15058</v>
      </c>
      <c r="TAN1" t="s">
        <v>15059</v>
      </c>
      <c r="TAO1" t="s">
        <v>15060</v>
      </c>
      <c r="TAP1" t="s">
        <v>15061</v>
      </c>
      <c r="TAQ1" t="s">
        <v>15062</v>
      </c>
      <c r="TAR1" t="s">
        <v>15063</v>
      </c>
      <c r="TAS1" t="s">
        <v>15064</v>
      </c>
      <c r="TAT1" t="s">
        <v>15065</v>
      </c>
      <c r="TAU1" t="s">
        <v>15066</v>
      </c>
      <c r="TAV1" t="s">
        <v>15067</v>
      </c>
      <c r="TAW1" t="s">
        <v>15068</v>
      </c>
      <c r="TAX1" t="s">
        <v>15069</v>
      </c>
      <c r="TAY1" t="s">
        <v>15070</v>
      </c>
      <c r="TAZ1" t="s">
        <v>15071</v>
      </c>
      <c r="TBA1" t="s">
        <v>15072</v>
      </c>
      <c r="TBB1" t="s">
        <v>15073</v>
      </c>
      <c r="TBC1" t="s">
        <v>15074</v>
      </c>
      <c r="TBD1" t="s">
        <v>15075</v>
      </c>
      <c r="TBE1" t="s">
        <v>15076</v>
      </c>
      <c r="TBF1" t="s">
        <v>15077</v>
      </c>
      <c r="TBG1" t="s">
        <v>15078</v>
      </c>
      <c r="TBH1" t="s">
        <v>15079</v>
      </c>
      <c r="TBI1" t="s">
        <v>15080</v>
      </c>
      <c r="TBJ1" t="s">
        <v>15081</v>
      </c>
      <c r="TBK1" t="s">
        <v>15082</v>
      </c>
      <c r="TBL1" t="s">
        <v>15083</v>
      </c>
      <c r="TBM1" t="s">
        <v>15084</v>
      </c>
      <c r="TBN1" t="s">
        <v>15085</v>
      </c>
      <c r="TBO1" t="s">
        <v>15086</v>
      </c>
      <c r="TBP1" t="s">
        <v>15087</v>
      </c>
      <c r="TBQ1" t="s">
        <v>15088</v>
      </c>
      <c r="TBR1" t="s">
        <v>15089</v>
      </c>
      <c r="TBS1" t="s">
        <v>15090</v>
      </c>
      <c r="TBT1" t="s">
        <v>15091</v>
      </c>
      <c r="TBU1" t="s">
        <v>15092</v>
      </c>
      <c r="TBV1" t="s">
        <v>15093</v>
      </c>
      <c r="TBW1" t="s">
        <v>15094</v>
      </c>
      <c r="TBX1" t="s">
        <v>15095</v>
      </c>
      <c r="TBY1" t="s">
        <v>15096</v>
      </c>
      <c r="TBZ1" t="s">
        <v>15097</v>
      </c>
      <c r="TCA1" t="s">
        <v>15098</v>
      </c>
      <c r="TCB1" t="s">
        <v>15099</v>
      </c>
      <c r="TCC1" t="s">
        <v>15100</v>
      </c>
      <c r="TCD1" t="s">
        <v>15101</v>
      </c>
      <c r="TCE1" t="s">
        <v>15102</v>
      </c>
      <c r="TCF1" t="s">
        <v>15103</v>
      </c>
      <c r="TCG1" t="s">
        <v>15104</v>
      </c>
      <c r="TCH1" t="s">
        <v>15105</v>
      </c>
      <c r="TCI1" t="s">
        <v>15106</v>
      </c>
      <c r="TCJ1" t="s">
        <v>15107</v>
      </c>
      <c r="TCK1" t="s">
        <v>15108</v>
      </c>
      <c r="TCL1" t="s">
        <v>15109</v>
      </c>
      <c r="TCM1" t="s">
        <v>15110</v>
      </c>
      <c r="TCN1" t="s">
        <v>15111</v>
      </c>
      <c r="TCO1" t="s">
        <v>15112</v>
      </c>
      <c r="TCP1" t="s">
        <v>15113</v>
      </c>
      <c r="TCQ1" t="s">
        <v>15114</v>
      </c>
      <c r="TCR1" t="s">
        <v>15115</v>
      </c>
      <c r="TCS1" t="s">
        <v>15116</v>
      </c>
      <c r="TCT1" t="s">
        <v>15117</v>
      </c>
      <c r="TCU1" t="s">
        <v>15118</v>
      </c>
      <c r="TCV1" t="s">
        <v>15119</v>
      </c>
      <c r="TCW1" t="s">
        <v>15120</v>
      </c>
      <c r="TCX1" t="s">
        <v>15121</v>
      </c>
      <c r="TCY1" t="s">
        <v>15122</v>
      </c>
      <c r="TCZ1" t="s">
        <v>15123</v>
      </c>
      <c r="TDA1" t="s">
        <v>15124</v>
      </c>
      <c r="TDB1" t="s">
        <v>15125</v>
      </c>
      <c r="TDC1" t="s">
        <v>15126</v>
      </c>
      <c r="TDD1" t="s">
        <v>15127</v>
      </c>
      <c r="TDE1" t="s">
        <v>15128</v>
      </c>
      <c r="TDF1" t="s">
        <v>15129</v>
      </c>
      <c r="TDG1" t="s">
        <v>15130</v>
      </c>
      <c r="TDH1" t="s">
        <v>15131</v>
      </c>
      <c r="TDI1" t="s">
        <v>15132</v>
      </c>
      <c r="TDJ1" t="s">
        <v>15133</v>
      </c>
      <c r="TDK1" t="s">
        <v>15134</v>
      </c>
      <c r="TDL1" t="s">
        <v>15135</v>
      </c>
      <c r="TDM1" t="s">
        <v>15136</v>
      </c>
      <c r="TDN1" t="s">
        <v>15137</v>
      </c>
      <c r="TDO1" t="s">
        <v>15138</v>
      </c>
      <c r="TDP1" t="s">
        <v>15139</v>
      </c>
      <c r="TDQ1" t="s">
        <v>15140</v>
      </c>
      <c r="TDR1" t="s">
        <v>15141</v>
      </c>
      <c r="TDS1" t="s">
        <v>15142</v>
      </c>
      <c r="TDT1" t="s">
        <v>15143</v>
      </c>
      <c r="TDU1" t="s">
        <v>15144</v>
      </c>
      <c r="TDV1" t="s">
        <v>15145</v>
      </c>
      <c r="TDW1" t="s">
        <v>15146</v>
      </c>
      <c r="TDX1" t="s">
        <v>15147</v>
      </c>
      <c r="TDY1" t="s">
        <v>15148</v>
      </c>
      <c r="TDZ1" t="s">
        <v>15149</v>
      </c>
      <c r="TEA1" t="s">
        <v>15150</v>
      </c>
      <c r="TEB1" t="s">
        <v>15151</v>
      </c>
      <c r="TEC1" t="s">
        <v>15152</v>
      </c>
      <c r="TED1" t="s">
        <v>15153</v>
      </c>
      <c r="TEE1" t="s">
        <v>15154</v>
      </c>
      <c r="TEF1" t="s">
        <v>15155</v>
      </c>
      <c r="TEG1" t="s">
        <v>15156</v>
      </c>
      <c r="TEH1" t="s">
        <v>15157</v>
      </c>
      <c r="TEI1" t="s">
        <v>15158</v>
      </c>
      <c r="TEJ1" t="s">
        <v>15159</v>
      </c>
      <c r="TEK1" t="s">
        <v>15160</v>
      </c>
      <c r="TEL1" t="s">
        <v>15161</v>
      </c>
      <c r="TEM1" t="s">
        <v>15162</v>
      </c>
      <c r="TEN1" t="s">
        <v>15163</v>
      </c>
      <c r="TEO1" t="s">
        <v>15164</v>
      </c>
      <c r="TEP1" t="s">
        <v>15165</v>
      </c>
      <c r="TEQ1" t="s">
        <v>15166</v>
      </c>
      <c r="TER1" t="s">
        <v>15167</v>
      </c>
      <c r="TES1" t="s">
        <v>15168</v>
      </c>
      <c r="TET1" t="s">
        <v>15169</v>
      </c>
      <c r="TEU1" t="s">
        <v>15170</v>
      </c>
      <c r="TEV1" t="s">
        <v>15171</v>
      </c>
      <c r="TEW1" t="s">
        <v>15172</v>
      </c>
      <c r="TEX1" t="s">
        <v>15173</v>
      </c>
      <c r="TEY1" t="s">
        <v>15174</v>
      </c>
      <c r="TEZ1" t="s">
        <v>15175</v>
      </c>
      <c r="TFA1" t="s">
        <v>15176</v>
      </c>
      <c r="TFB1" t="s">
        <v>15177</v>
      </c>
      <c r="TFC1" t="s">
        <v>15178</v>
      </c>
      <c r="TFD1" t="s">
        <v>15179</v>
      </c>
      <c r="TFE1" t="s">
        <v>15180</v>
      </c>
      <c r="TFF1" t="s">
        <v>15181</v>
      </c>
      <c r="TFG1" t="s">
        <v>15182</v>
      </c>
      <c r="TFH1" t="s">
        <v>15183</v>
      </c>
      <c r="TFI1" t="s">
        <v>15184</v>
      </c>
      <c r="TFJ1" t="s">
        <v>15185</v>
      </c>
      <c r="TFK1" t="s">
        <v>15186</v>
      </c>
      <c r="TFL1" t="s">
        <v>15187</v>
      </c>
      <c r="TFM1" t="s">
        <v>15188</v>
      </c>
      <c r="TFN1" t="s">
        <v>15189</v>
      </c>
      <c r="TFO1" t="s">
        <v>15190</v>
      </c>
      <c r="TFP1" t="s">
        <v>15191</v>
      </c>
      <c r="TFQ1" t="s">
        <v>15192</v>
      </c>
      <c r="TFR1" t="s">
        <v>15193</v>
      </c>
      <c r="TFS1" t="s">
        <v>15194</v>
      </c>
      <c r="TFT1" t="s">
        <v>15195</v>
      </c>
      <c r="TFU1" t="s">
        <v>15196</v>
      </c>
      <c r="TFV1" t="s">
        <v>15197</v>
      </c>
      <c r="TFW1" t="s">
        <v>15198</v>
      </c>
      <c r="TFX1" t="s">
        <v>15199</v>
      </c>
      <c r="TFY1" t="s">
        <v>15200</v>
      </c>
      <c r="TFZ1" t="s">
        <v>15201</v>
      </c>
      <c r="TGA1" t="s">
        <v>15202</v>
      </c>
      <c r="TGB1" t="s">
        <v>15203</v>
      </c>
      <c r="TGC1" t="s">
        <v>15204</v>
      </c>
      <c r="TGD1" t="s">
        <v>15205</v>
      </c>
      <c r="TGE1" t="s">
        <v>15206</v>
      </c>
      <c r="TGF1" t="s">
        <v>15207</v>
      </c>
      <c r="TGG1" t="s">
        <v>15208</v>
      </c>
      <c r="TGH1" t="s">
        <v>15209</v>
      </c>
      <c r="TGI1" t="s">
        <v>15210</v>
      </c>
      <c r="TGJ1" t="s">
        <v>15211</v>
      </c>
      <c r="TGK1" t="s">
        <v>15212</v>
      </c>
      <c r="TGL1" t="s">
        <v>15213</v>
      </c>
      <c r="TGM1" t="s">
        <v>15214</v>
      </c>
      <c r="TGN1" t="s">
        <v>15215</v>
      </c>
      <c r="TGO1" t="s">
        <v>15216</v>
      </c>
      <c r="TGP1" t="s">
        <v>15217</v>
      </c>
      <c r="TGQ1" t="s">
        <v>15218</v>
      </c>
      <c r="TGR1" t="s">
        <v>15219</v>
      </c>
      <c r="TGS1" t="s">
        <v>15220</v>
      </c>
      <c r="TGT1" t="s">
        <v>15221</v>
      </c>
      <c r="TGU1" t="s">
        <v>15222</v>
      </c>
      <c r="TGV1" t="s">
        <v>15223</v>
      </c>
      <c r="TGW1" t="s">
        <v>15224</v>
      </c>
      <c r="TGX1" t="s">
        <v>15225</v>
      </c>
      <c r="TGY1" t="s">
        <v>15226</v>
      </c>
      <c r="TGZ1" t="s">
        <v>15227</v>
      </c>
      <c r="THA1" t="s">
        <v>15228</v>
      </c>
      <c r="THB1" t="s">
        <v>15229</v>
      </c>
      <c r="THC1" t="s">
        <v>15230</v>
      </c>
      <c r="THD1" t="s">
        <v>15231</v>
      </c>
      <c r="THE1" t="s">
        <v>15232</v>
      </c>
      <c r="THF1" t="s">
        <v>15233</v>
      </c>
      <c r="THG1" t="s">
        <v>15234</v>
      </c>
      <c r="THH1" t="s">
        <v>15235</v>
      </c>
      <c r="THI1" t="s">
        <v>15236</v>
      </c>
      <c r="THJ1" t="s">
        <v>15237</v>
      </c>
      <c r="THK1" t="s">
        <v>15238</v>
      </c>
      <c r="THL1" t="s">
        <v>15239</v>
      </c>
      <c r="THM1" t="s">
        <v>15240</v>
      </c>
      <c r="THN1" t="s">
        <v>15241</v>
      </c>
      <c r="THO1" t="s">
        <v>15242</v>
      </c>
      <c r="THP1" t="s">
        <v>15243</v>
      </c>
      <c r="THQ1" t="s">
        <v>15244</v>
      </c>
      <c r="THR1" t="s">
        <v>15245</v>
      </c>
      <c r="THS1" t="s">
        <v>15246</v>
      </c>
      <c r="THT1" t="s">
        <v>15247</v>
      </c>
      <c r="THU1" t="s">
        <v>15248</v>
      </c>
      <c r="THV1" t="s">
        <v>15249</v>
      </c>
      <c r="THW1" t="s">
        <v>15250</v>
      </c>
      <c r="THX1" t="s">
        <v>15251</v>
      </c>
      <c r="THY1" t="s">
        <v>15252</v>
      </c>
      <c r="THZ1" t="s">
        <v>15253</v>
      </c>
      <c r="TIA1" t="s">
        <v>15254</v>
      </c>
      <c r="TIB1" t="s">
        <v>15255</v>
      </c>
      <c r="TIC1" t="s">
        <v>15256</v>
      </c>
      <c r="TID1" t="s">
        <v>15257</v>
      </c>
      <c r="TIE1" t="s">
        <v>15258</v>
      </c>
      <c r="TIF1" t="s">
        <v>15259</v>
      </c>
      <c r="TIG1" t="s">
        <v>15260</v>
      </c>
      <c r="TIH1" t="s">
        <v>15261</v>
      </c>
      <c r="TII1" t="s">
        <v>15262</v>
      </c>
      <c r="TIJ1" t="s">
        <v>15263</v>
      </c>
      <c r="TIK1" t="s">
        <v>15264</v>
      </c>
      <c r="TIL1" t="s">
        <v>15265</v>
      </c>
      <c r="TIM1" t="s">
        <v>15266</v>
      </c>
      <c r="TIN1" t="s">
        <v>15267</v>
      </c>
      <c r="TIO1" t="s">
        <v>15268</v>
      </c>
      <c r="TIP1" t="s">
        <v>15269</v>
      </c>
      <c r="TIQ1" t="s">
        <v>15270</v>
      </c>
      <c r="TIR1" t="s">
        <v>15271</v>
      </c>
      <c r="TIS1" t="s">
        <v>15272</v>
      </c>
      <c r="TIT1" t="s">
        <v>15273</v>
      </c>
      <c r="TIU1" t="s">
        <v>15274</v>
      </c>
      <c r="TIV1" t="s">
        <v>15275</v>
      </c>
      <c r="TIW1" t="s">
        <v>15276</v>
      </c>
      <c r="TIX1" t="s">
        <v>15277</v>
      </c>
      <c r="TIY1" t="s">
        <v>15278</v>
      </c>
      <c r="TIZ1" t="s">
        <v>15279</v>
      </c>
      <c r="TJA1" t="s">
        <v>15280</v>
      </c>
      <c r="TJB1" t="s">
        <v>15281</v>
      </c>
      <c r="TJC1" t="s">
        <v>15282</v>
      </c>
      <c r="TJD1" t="s">
        <v>15283</v>
      </c>
      <c r="TJE1" t="s">
        <v>15284</v>
      </c>
      <c r="TJF1" t="s">
        <v>15285</v>
      </c>
      <c r="TJG1" t="s">
        <v>15286</v>
      </c>
      <c r="TJH1" t="s">
        <v>15287</v>
      </c>
      <c r="TJI1" t="s">
        <v>15288</v>
      </c>
      <c r="TJJ1" t="s">
        <v>15289</v>
      </c>
      <c r="TJK1" t="s">
        <v>15290</v>
      </c>
      <c r="TJL1" t="s">
        <v>15291</v>
      </c>
      <c r="TJM1" t="s">
        <v>15292</v>
      </c>
      <c r="TJN1" t="s">
        <v>15293</v>
      </c>
      <c r="TJO1" t="s">
        <v>15294</v>
      </c>
      <c r="TJP1" t="s">
        <v>15295</v>
      </c>
      <c r="TJQ1" t="s">
        <v>15296</v>
      </c>
      <c r="TJR1" t="s">
        <v>15297</v>
      </c>
      <c r="TJS1" t="s">
        <v>15298</v>
      </c>
      <c r="TJT1" t="s">
        <v>15299</v>
      </c>
      <c r="TJU1" t="s">
        <v>15300</v>
      </c>
      <c r="TJV1" t="s">
        <v>15301</v>
      </c>
      <c r="TJW1" t="s">
        <v>15302</v>
      </c>
      <c r="TJX1" t="s">
        <v>15303</v>
      </c>
      <c r="TJY1" t="s">
        <v>15304</v>
      </c>
      <c r="TJZ1" t="s">
        <v>15305</v>
      </c>
      <c r="TKA1" t="s">
        <v>15306</v>
      </c>
      <c r="TKB1" t="s">
        <v>15307</v>
      </c>
      <c r="TKC1" t="s">
        <v>15308</v>
      </c>
      <c r="TKD1" t="s">
        <v>15309</v>
      </c>
      <c r="TKE1" t="s">
        <v>15310</v>
      </c>
      <c r="TKF1" t="s">
        <v>15311</v>
      </c>
      <c r="TKG1" t="s">
        <v>15312</v>
      </c>
      <c r="TKH1" t="s">
        <v>15313</v>
      </c>
      <c r="TKI1" t="s">
        <v>15314</v>
      </c>
      <c r="TKJ1" t="s">
        <v>15315</v>
      </c>
      <c r="TKK1" t="s">
        <v>15316</v>
      </c>
      <c r="TKL1" t="s">
        <v>15317</v>
      </c>
      <c r="TKM1" t="s">
        <v>15318</v>
      </c>
      <c r="TKN1" t="s">
        <v>15319</v>
      </c>
      <c r="TKO1" t="s">
        <v>15320</v>
      </c>
      <c r="TKP1" t="s">
        <v>15321</v>
      </c>
      <c r="TKQ1" t="s">
        <v>15322</v>
      </c>
      <c r="TKR1" t="s">
        <v>15323</v>
      </c>
      <c r="TKS1" t="s">
        <v>15324</v>
      </c>
      <c r="TKT1" t="s">
        <v>15325</v>
      </c>
      <c r="TKU1" t="s">
        <v>15326</v>
      </c>
      <c r="TKV1" t="s">
        <v>15327</v>
      </c>
      <c r="TKW1" t="s">
        <v>15328</v>
      </c>
      <c r="TKX1" t="s">
        <v>15329</v>
      </c>
      <c r="TKY1" t="s">
        <v>15330</v>
      </c>
      <c r="TKZ1" t="s">
        <v>15331</v>
      </c>
      <c r="TLA1" t="s">
        <v>15332</v>
      </c>
      <c r="TLB1" t="s">
        <v>15333</v>
      </c>
      <c r="TLC1" t="s">
        <v>15334</v>
      </c>
      <c r="TLD1" t="s">
        <v>15335</v>
      </c>
      <c r="TLE1" t="s">
        <v>15336</v>
      </c>
      <c r="TLF1" t="s">
        <v>15337</v>
      </c>
      <c r="TLG1" t="s">
        <v>15338</v>
      </c>
      <c r="TLH1" t="s">
        <v>15339</v>
      </c>
      <c r="TLI1" t="s">
        <v>15340</v>
      </c>
      <c r="TLJ1" t="s">
        <v>15341</v>
      </c>
      <c r="TLK1" t="s">
        <v>15342</v>
      </c>
      <c r="TLL1" t="s">
        <v>15343</v>
      </c>
      <c r="TLM1" t="s">
        <v>15344</v>
      </c>
      <c r="TLN1" t="s">
        <v>15345</v>
      </c>
      <c r="TLO1" t="s">
        <v>15346</v>
      </c>
      <c r="TLP1" t="s">
        <v>15347</v>
      </c>
      <c r="TLQ1" t="s">
        <v>15348</v>
      </c>
      <c r="TLR1" t="s">
        <v>15349</v>
      </c>
      <c r="TLS1" t="s">
        <v>15350</v>
      </c>
      <c r="TLT1" t="s">
        <v>15351</v>
      </c>
      <c r="TLU1" t="s">
        <v>15352</v>
      </c>
      <c r="TLV1" t="s">
        <v>15353</v>
      </c>
      <c r="TLW1" t="s">
        <v>15354</v>
      </c>
      <c r="TLX1" t="s">
        <v>15355</v>
      </c>
      <c r="TLY1" t="s">
        <v>15356</v>
      </c>
      <c r="TLZ1" t="s">
        <v>15357</v>
      </c>
      <c r="TMA1" t="s">
        <v>15358</v>
      </c>
      <c r="TMB1" t="s">
        <v>15359</v>
      </c>
      <c r="TMC1" t="s">
        <v>15360</v>
      </c>
      <c r="TMD1" t="s">
        <v>15361</v>
      </c>
      <c r="TME1" t="s">
        <v>15362</v>
      </c>
      <c r="TMF1" t="s">
        <v>15363</v>
      </c>
      <c r="TMG1" t="s">
        <v>15364</v>
      </c>
      <c r="TMH1" t="s">
        <v>15365</v>
      </c>
      <c r="TMI1" t="s">
        <v>15366</v>
      </c>
      <c r="TMJ1" t="s">
        <v>15367</v>
      </c>
      <c r="TMK1" t="s">
        <v>15368</v>
      </c>
      <c r="TML1" t="s">
        <v>15369</v>
      </c>
      <c r="TMM1" t="s">
        <v>15370</v>
      </c>
      <c r="TMN1" t="s">
        <v>15371</v>
      </c>
      <c r="TMO1" t="s">
        <v>15372</v>
      </c>
      <c r="TMP1" t="s">
        <v>15373</v>
      </c>
      <c r="TMQ1" t="s">
        <v>15374</v>
      </c>
      <c r="TMR1" t="s">
        <v>15375</v>
      </c>
      <c r="TMS1" t="s">
        <v>15376</v>
      </c>
      <c r="TMT1" t="s">
        <v>15377</v>
      </c>
      <c r="TMU1" t="s">
        <v>15378</v>
      </c>
      <c r="TMV1" t="s">
        <v>15379</v>
      </c>
      <c r="TMW1" t="s">
        <v>15380</v>
      </c>
      <c r="TMX1" t="s">
        <v>15381</v>
      </c>
      <c r="TMY1" t="s">
        <v>15382</v>
      </c>
      <c r="TMZ1" t="s">
        <v>15383</v>
      </c>
      <c r="TNA1" t="s">
        <v>15384</v>
      </c>
      <c r="TNB1" t="s">
        <v>15385</v>
      </c>
      <c r="TNC1" t="s">
        <v>15386</v>
      </c>
      <c r="TND1" t="s">
        <v>15387</v>
      </c>
      <c r="TNE1" t="s">
        <v>15388</v>
      </c>
      <c r="TNF1" t="s">
        <v>15389</v>
      </c>
      <c r="TNG1" t="s">
        <v>15390</v>
      </c>
      <c r="TNH1" t="s">
        <v>15391</v>
      </c>
      <c r="TNI1" t="s">
        <v>15392</v>
      </c>
      <c r="TNJ1" t="s">
        <v>15393</v>
      </c>
      <c r="TNK1" t="s">
        <v>15394</v>
      </c>
      <c r="TNL1" t="s">
        <v>15395</v>
      </c>
      <c r="TNM1" t="s">
        <v>15396</v>
      </c>
      <c r="TNN1" t="s">
        <v>15397</v>
      </c>
      <c r="TNO1" t="s">
        <v>15398</v>
      </c>
      <c r="TNP1" t="s">
        <v>15399</v>
      </c>
      <c r="TNQ1" t="s">
        <v>15400</v>
      </c>
      <c r="TNR1" t="s">
        <v>15401</v>
      </c>
      <c r="TNS1" t="s">
        <v>15402</v>
      </c>
      <c r="TNT1" t="s">
        <v>15403</v>
      </c>
      <c r="TNU1" t="s">
        <v>15404</v>
      </c>
      <c r="TNV1" t="s">
        <v>15405</v>
      </c>
      <c r="TNW1" t="s">
        <v>15406</v>
      </c>
      <c r="TNX1" t="s">
        <v>15407</v>
      </c>
      <c r="TNY1" t="s">
        <v>15408</v>
      </c>
      <c r="TNZ1" t="s">
        <v>15409</v>
      </c>
      <c r="TOA1" t="s">
        <v>15410</v>
      </c>
      <c r="TOB1" t="s">
        <v>15411</v>
      </c>
      <c r="TOC1" t="s">
        <v>15412</v>
      </c>
      <c r="TOD1" t="s">
        <v>15413</v>
      </c>
      <c r="TOE1" t="s">
        <v>15414</v>
      </c>
      <c r="TOF1" t="s">
        <v>15415</v>
      </c>
      <c r="TOG1" t="s">
        <v>15416</v>
      </c>
      <c r="TOH1" t="s">
        <v>15417</v>
      </c>
      <c r="TOI1" t="s">
        <v>15418</v>
      </c>
      <c r="TOJ1" t="s">
        <v>15419</v>
      </c>
      <c r="TOK1" t="s">
        <v>15420</v>
      </c>
      <c r="TOL1" t="s">
        <v>15421</v>
      </c>
      <c r="TOM1" t="s">
        <v>15422</v>
      </c>
      <c r="TON1" t="s">
        <v>15423</v>
      </c>
      <c r="TOO1" t="s">
        <v>15424</v>
      </c>
      <c r="TOP1" t="s">
        <v>15425</v>
      </c>
      <c r="TOQ1" t="s">
        <v>15426</v>
      </c>
      <c r="TOR1" t="s">
        <v>15427</v>
      </c>
      <c r="TOS1" t="s">
        <v>15428</v>
      </c>
      <c r="TOT1" t="s">
        <v>15429</v>
      </c>
      <c r="TOU1" t="s">
        <v>15430</v>
      </c>
      <c r="TOV1" t="s">
        <v>15431</v>
      </c>
      <c r="TOW1" t="s">
        <v>15432</v>
      </c>
      <c r="TOX1" t="s">
        <v>15433</v>
      </c>
      <c r="TOY1" t="s">
        <v>15434</v>
      </c>
      <c r="TOZ1" t="s">
        <v>15435</v>
      </c>
      <c r="TPA1" t="s">
        <v>15436</v>
      </c>
      <c r="TPB1" t="s">
        <v>15437</v>
      </c>
      <c r="TPC1" t="s">
        <v>15438</v>
      </c>
      <c r="TPD1" t="s">
        <v>15439</v>
      </c>
      <c r="TPE1" t="s">
        <v>15440</v>
      </c>
      <c r="TPF1" t="s">
        <v>15441</v>
      </c>
      <c r="TPG1" t="s">
        <v>15442</v>
      </c>
      <c r="TPH1" t="s">
        <v>15443</v>
      </c>
      <c r="TPI1" t="s">
        <v>15444</v>
      </c>
      <c r="TPJ1" t="s">
        <v>15445</v>
      </c>
      <c r="TPK1" t="s">
        <v>15446</v>
      </c>
      <c r="TPL1" t="s">
        <v>15447</v>
      </c>
      <c r="TPM1" t="s">
        <v>15448</v>
      </c>
      <c r="TPN1" t="s">
        <v>15449</v>
      </c>
      <c r="TPO1" t="s">
        <v>15450</v>
      </c>
      <c r="TPP1" t="s">
        <v>15451</v>
      </c>
      <c r="TPQ1" t="s">
        <v>15452</v>
      </c>
      <c r="TPR1" t="s">
        <v>15453</v>
      </c>
      <c r="TPS1" t="s">
        <v>15454</v>
      </c>
      <c r="TPT1" t="s">
        <v>15455</v>
      </c>
      <c r="TPU1" t="s">
        <v>15456</v>
      </c>
      <c r="TPV1" t="s">
        <v>15457</v>
      </c>
      <c r="TPW1" t="s">
        <v>15458</v>
      </c>
      <c r="TPX1" t="s">
        <v>15459</v>
      </c>
      <c r="TPY1" t="s">
        <v>15460</v>
      </c>
      <c r="TPZ1" t="s">
        <v>15461</v>
      </c>
      <c r="TQA1" t="s">
        <v>15462</v>
      </c>
      <c r="TQB1" t="s">
        <v>15463</v>
      </c>
      <c r="TQC1" t="s">
        <v>15464</v>
      </c>
      <c r="TQD1" t="s">
        <v>15465</v>
      </c>
      <c r="TQE1" t="s">
        <v>15466</v>
      </c>
      <c r="TQF1" t="s">
        <v>15467</v>
      </c>
      <c r="TQG1" t="s">
        <v>15468</v>
      </c>
      <c r="TQH1" t="s">
        <v>15469</v>
      </c>
      <c r="TQI1" t="s">
        <v>15470</v>
      </c>
      <c r="TQJ1" t="s">
        <v>15471</v>
      </c>
      <c r="TQK1" t="s">
        <v>15472</v>
      </c>
      <c r="TQL1" t="s">
        <v>15473</v>
      </c>
      <c r="TQM1" t="s">
        <v>15474</v>
      </c>
      <c r="TQN1" t="s">
        <v>15475</v>
      </c>
      <c r="TQO1" t="s">
        <v>15476</v>
      </c>
      <c r="TQP1" t="s">
        <v>15477</v>
      </c>
      <c r="TQQ1" t="s">
        <v>15478</v>
      </c>
      <c r="TQR1" t="s">
        <v>15479</v>
      </c>
      <c r="TQS1" t="s">
        <v>15480</v>
      </c>
      <c r="TQT1" t="s">
        <v>15481</v>
      </c>
      <c r="TQU1" t="s">
        <v>15482</v>
      </c>
      <c r="TQV1" t="s">
        <v>15483</v>
      </c>
      <c r="TQW1" t="s">
        <v>15484</v>
      </c>
      <c r="TQX1" t="s">
        <v>15485</v>
      </c>
      <c r="TQY1" t="s">
        <v>15486</v>
      </c>
      <c r="TQZ1" t="s">
        <v>15487</v>
      </c>
      <c r="TRA1" t="s">
        <v>15488</v>
      </c>
      <c r="TRB1" t="s">
        <v>15489</v>
      </c>
      <c r="TRC1" t="s">
        <v>15490</v>
      </c>
      <c r="TRD1" t="s">
        <v>15491</v>
      </c>
      <c r="TRE1" t="s">
        <v>15492</v>
      </c>
      <c r="TRF1" t="s">
        <v>15493</v>
      </c>
      <c r="TRG1" t="s">
        <v>15494</v>
      </c>
      <c r="TRH1" t="s">
        <v>15495</v>
      </c>
      <c r="TRI1" t="s">
        <v>15496</v>
      </c>
      <c r="TRJ1" t="s">
        <v>15497</v>
      </c>
      <c r="TRK1" t="s">
        <v>15498</v>
      </c>
      <c r="TRL1" t="s">
        <v>15499</v>
      </c>
      <c r="TRM1" t="s">
        <v>15500</v>
      </c>
      <c r="TRN1" t="s">
        <v>15501</v>
      </c>
      <c r="TRO1" t="s">
        <v>15502</v>
      </c>
      <c r="TRP1" t="s">
        <v>15503</v>
      </c>
      <c r="TRQ1" t="s">
        <v>15504</v>
      </c>
      <c r="TRR1" t="s">
        <v>15505</v>
      </c>
      <c r="TRS1" t="s">
        <v>15506</v>
      </c>
      <c r="TRT1" t="s">
        <v>15507</v>
      </c>
      <c r="TRU1" t="s">
        <v>15508</v>
      </c>
      <c r="TRV1" t="s">
        <v>15509</v>
      </c>
      <c r="TRW1" t="s">
        <v>15510</v>
      </c>
      <c r="TRX1" t="s">
        <v>15511</v>
      </c>
      <c r="TRY1" t="s">
        <v>15512</v>
      </c>
      <c r="TRZ1" t="s">
        <v>15513</v>
      </c>
      <c r="TSA1" t="s">
        <v>15514</v>
      </c>
      <c r="TSB1" t="s">
        <v>15515</v>
      </c>
      <c r="TSC1" t="s">
        <v>15516</v>
      </c>
      <c r="TSD1" t="s">
        <v>15517</v>
      </c>
      <c r="TSE1" t="s">
        <v>15518</v>
      </c>
      <c r="TSF1" t="s">
        <v>15519</v>
      </c>
      <c r="TSG1" t="s">
        <v>15520</v>
      </c>
      <c r="TSH1" t="s">
        <v>15521</v>
      </c>
      <c r="TSI1" t="s">
        <v>15522</v>
      </c>
      <c r="TSJ1" t="s">
        <v>15523</v>
      </c>
      <c r="TSK1" t="s">
        <v>15524</v>
      </c>
      <c r="TSL1" t="s">
        <v>15525</v>
      </c>
      <c r="TSM1" t="s">
        <v>15526</v>
      </c>
      <c r="TSN1" t="s">
        <v>15527</v>
      </c>
      <c r="TSO1" t="s">
        <v>15528</v>
      </c>
      <c r="TSP1" t="s">
        <v>15529</v>
      </c>
      <c r="TSQ1" t="s">
        <v>15530</v>
      </c>
      <c r="TSR1" t="s">
        <v>15531</v>
      </c>
      <c r="TSS1" t="s">
        <v>15532</v>
      </c>
      <c r="TST1" t="s">
        <v>15533</v>
      </c>
      <c r="TSU1" t="s">
        <v>15534</v>
      </c>
      <c r="TSV1" t="s">
        <v>15535</v>
      </c>
      <c r="TSW1" t="s">
        <v>15536</v>
      </c>
      <c r="TSX1" t="s">
        <v>15537</v>
      </c>
      <c r="TSY1" t="s">
        <v>15538</v>
      </c>
      <c r="TSZ1" t="s">
        <v>15539</v>
      </c>
      <c r="TTA1" t="s">
        <v>15540</v>
      </c>
      <c r="TTB1" t="s">
        <v>15541</v>
      </c>
      <c r="TTC1" t="s">
        <v>15542</v>
      </c>
      <c r="TTD1" t="s">
        <v>15543</v>
      </c>
      <c r="TTE1" t="s">
        <v>15544</v>
      </c>
      <c r="TTF1" t="s">
        <v>15545</v>
      </c>
      <c r="TTG1" t="s">
        <v>15546</v>
      </c>
      <c r="TTH1" t="s">
        <v>15547</v>
      </c>
      <c r="TTI1" t="s">
        <v>15548</v>
      </c>
      <c r="TTJ1" t="s">
        <v>15549</v>
      </c>
      <c r="TTK1" t="s">
        <v>15550</v>
      </c>
      <c r="TTL1" t="s">
        <v>15551</v>
      </c>
      <c r="TTM1" t="s">
        <v>15552</v>
      </c>
      <c r="TTN1" t="s">
        <v>15553</v>
      </c>
      <c r="TTO1" t="s">
        <v>15554</v>
      </c>
      <c r="TTP1" t="s">
        <v>15555</v>
      </c>
      <c r="TTQ1" t="s">
        <v>15556</v>
      </c>
      <c r="TTR1" t="s">
        <v>15557</v>
      </c>
      <c r="TTS1" t="s">
        <v>15558</v>
      </c>
      <c r="TTT1" t="s">
        <v>15559</v>
      </c>
      <c r="TTU1" t="s">
        <v>15560</v>
      </c>
      <c r="TTV1" t="s">
        <v>15561</v>
      </c>
      <c r="TTW1" t="s">
        <v>15562</v>
      </c>
      <c r="TTX1" t="s">
        <v>15563</v>
      </c>
      <c r="TTY1" t="s">
        <v>15564</v>
      </c>
      <c r="TTZ1" t="s">
        <v>15565</v>
      </c>
      <c r="TUA1" t="s">
        <v>15566</v>
      </c>
      <c r="TUB1" t="s">
        <v>15567</v>
      </c>
      <c r="TUC1" t="s">
        <v>15568</v>
      </c>
      <c r="TUD1" t="s">
        <v>15569</v>
      </c>
      <c r="TUE1" t="s">
        <v>15570</v>
      </c>
      <c r="TUF1" t="s">
        <v>15571</v>
      </c>
      <c r="TUG1" t="s">
        <v>15572</v>
      </c>
      <c r="TUH1" t="s">
        <v>15573</v>
      </c>
      <c r="TUI1" t="s">
        <v>15574</v>
      </c>
      <c r="TUJ1" t="s">
        <v>15575</v>
      </c>
      <c r="TUK1" t="s">
        <v>15576</v>
      </c>
      <c r="TUL1" t="s">
        <v>15577</v>
      </c>
      <c r="TUM1" t="s">
        <v>15578</v>
      </c>
      <c r="TUN1" t="s">
        <v>15579</v>
      </c>
      <c r="TUO1" t="s">
        <v>15580</v>
      </c>
      <c r="TUP1" t="s">
        <v>15581</v>
      </c>
      <c r="TUQ1" t="s">
        <v>15582</v>
      </c>
      <c r="TUR1" t="s">
        <v>15583</v>
      </c>
      <c r="TUS1" t="s">
        <v>15584</v>
      </c>
      <c r="TUT1" t="s">
        <v>15585</v>
      </c>
      <c r="TUU1" t="s">
        <v>15586</v>
      </c>
      <c r="TUV1" t="s">
        <v>15587</v>
      </c>
      <c r="TUW1" t="s">
        <v>15588</v>
      </c>
      <c r="TUX1" t="s">
        <v>15589</v>
      </c>
      <c r="TUY1" t="s">
        <v>15590</v>
      </c>
      <c r="TUZ1" t="s">
        <v>15591</v>
      </c>
      <c r="TVA1" t="s">
        <v>15592</v>
      </c>
      <c r="TVB1" t="s">
        <v>15593</v>
      </c>
      <c r="TVC1" t="s">
        <v>15594</v>
      </c>
      <c r="TVD1" t="s">
        <v>15595</v>
      </c>
      <c r="TVE1" t="s">
        <v>15596</v>
      </c>
      <c r="TVF1" t="s">
        <v>15597</v>
      </c>
      <c r="TVG1" t="s">
        <v>15598</v>
      </c>
      <c r="TVH1" t="s">
        <v>15599</v>
      </c>
      <c r="TVI1" t="s">
        <v>15600</v>
      </c>
      <c r="TVJ1" t="s">
        <v>15601</v>
      </c>
      <c r="TVK1" t="s">
        <v>15602</v>
      </c>
      <c r="TVL1" t="s">
        <v>15603</v>
      </c>
      <c r="TVM1" t="s">
        <v>15604</v>
      </c>
      <c r="TVN1" t="s">
        <v>15605</v>
      </c>
      <c r="TVO1" t="s">
        <v>15606</v>
      </c>
      <c r="TVP1" t="s">
        <v>15607</v>
      </c>
      <c r="TVQ1" t="s">
        <v>15608</v>
      </c>
      <c r="TVR1" t="s">
        <v>15609</v>
      </c>
      <c r="TVS1" t="s">
        <v>15610</v>
      </c>
      <c r="TVT1" t="s">
        <v>15611</v>
      </c>
      <c r="TVU1" t="s">
        <v>15612</v>
      </c>
      <c r="TVV1" t="s">
        <v>15613</v>
      </c>
      <c r="TVW1" t="s">
        <v>15614</v>
      </c>
      <c r="TVX1" t="s">
        <v>15615</v>
      </c>
      <c r="TVY1" t="s">
        <v>15616</v>
      </c>
      <c r="TVZ1" t="s">
        <v>15617</v>
      </c>
      <c r="TWA1" t="s">
        <v>15618</v>
      </c>
      <c r="TWB1" t="s">
        <v>15619</v>
      </c>
      <c r="TWC1" t="s">
        <v>15620</v>
      </c>
      <c r="TWD1" t="s">
        <v>15621</v>
      </c>
      <c r="TWE1" t="s">
        <v>15622</v>
      </c>
      <c r="TWF1" t="s">
        <v>15623</v>
      </c>
      <c r="TWG1" t="s">
        <v>15624</v>
      </c>
      <c r="TWH1" t="s">
        <v>15625</v>
      </c>
      <c r="TWI1" t="s">
        <v>15626</v>
      </c>
      <c r="TWJ1" t="s">
        <v>15627</v>
      </c>
      <c r="TWK1" t="s">
        <v>15628</v>
      </c>
      <c r="TWL1" t="s">
        <v>15629</v>
      </c>
      <c r="TWM1" t="s">
        <v>15630</v>
      </c>
      <c r="TWN1" t="s">
        <v>15631</v>
      </c>
      <c r="TWO1" t="s">
        <v>15632</v>
      </c>
      <c r="TWP1" t="s">
        <v>15633</v>
      </c>
      <c r="TWQ1" t="s">
        <v>15634</v>
      </c>
      <c r="TWR1" t="s">
        <v>15635</v>
      </c>
      <c r="TWS1" t="s">
        <v>15636</v>
      </c>
      <c r="TWT1" t="s">
        <v>15637</v>
      </c>
      <c r="TWU1" t="s">
        <v>15638</v>
      </c>
      <c r="TWV1" t="s">
        <v>15639</v>
      </c>
      <c r="TWW1" t="s">
        <v>15640</v>
      </c>
      <c r="TWX1" t="s">
        <v>15641</v>
      </c>
      <c r="TWY1" t="s">
        <v>15642</v>
      </c>
      <c r="TWZ1" t="s">
        <v>15643</v>
      </c>
      <c r="TXA1" t="s">
        <v>15644</v>
      </c>
      <c r="TXB1" t="s">
        <v>15645</v>
      </c>
      <c r="TXC1" t="s">
        <v>15646</v>
      </c>
      <c r="TXD1" t="s">
        <v>15647</v>
      </c>
      <c r="TXE1" t="s">
        <v>15648</v>
      </c>
      <c r="TXF1" t="s">
        <v>15649</v>
      </c>
      <c r="TXG1" t="s">
        <v>15650</v>
      </c>
      <c r="TXH1" t="s">
        <v>15651</v>
      </c>
      <c r="TXI1" t="s">
        <v>15652</v>
      </c>
      <c r="TXJ1" t="s">
        <v>15653</v>
      </c>
      <c r="TXK1" t="s">
        <v>15654</v>
      </c>
      <c r="TXL1" t="s">
        <v>15655</v>
      </c>
      <c r="TXM1" t="s">
        <v>15656</v>
      </c>
      <c r="TXN1" t="s">
        <v>15657</v>
      </c>
      <c r="TXO1" t="s">
        <v>15658</v>
      </c>
      <c r="TXP1" t="s">
        <v>15659</v>
      </c>
      <c r="TXQ1" t="s">
        <v>15660</v>
      </c>
      <c r="TXR1" t="s">
        <v>15661</v>
      </c>
      <c r="TXS1" t="s">
        <v>15662</v>
      </c>
      <c r="TXT1" t="s">
        <v>15663</v>
      </c>
      <c r="TXU1" t="s">
        <v>15664</v>
      </c>
      <c r="TXV1" t="s">
        <v>15665</v>
      </c>
      <c r="TXW1" t="s">
        <v>15666</v>
      </c>
      <c r="TXX1" t="s">
        <v>15667</v>
      </c>
      <c r="TXY1" t="s">
        <v>15668</v>
      </c>
      <c r="TXZ1" t="s">
        <v>15669</v>
      </c>
      <c r="TYA1" t="s">
        <v>15670</v>
      </c>
      <c r="TYB1" t="s">
        <v>15671</v>
      </c>
      <c r="TYC1" t="s">
        <v>15672</v>
      </c>
      <c r="TYD1" t="s">
        <v>15673</v>
      </c>
      <c r="TYE1" t="s">
        <v>15674</v>
      </c>
      <c r="TYF1" t="s">
        <v>15675</v>
      </c>
      <c r="TYG1" t="s">
        <v>15676</v>
      </c>
      <c r="TYH1" t="s">
        <v>15677</v>
      </c>
      <c r="TYI1" t="s">
        <v>15678</v>
      </c>
      <c r="TYJ1" t="s">
        <v>15679</v>
      </c>
      <c r="TYK1" t="s">
        <v>15680</v>
      </c>
      <c r="TYL1" t="s">
        <v>15681</v>
      </c>
      <c r="TYM1" t="s">
        <v>15682</v>
      </c>
      <c r="TYN1" t="s">
        <v>15683</v>
      </c>
      <c r="TYO1" t="s">
        <v>15684</v>
      </c>
      <c r="TYP1" t="s">
        <v>15685</v>
      </c>
      <c r="TYQ1" t="s">
        <v>15686</v>
      </c>
      <c r="TYR1" t="s">
        <v>15687</v>
      </c>
      <c r="TYS1" t="s">
        <v>15688</v>
      </c>
      <c r="TYT1" t="s">
        <v>15689</v>
      </c>
      <c r="TYU1" t="s">
        <v>15690</v>
      </c>
      <c r="TYV1" t="s">
        <v>15691</v>
      </c>
      <c r="TYW1" t="s">
        <v>15692</v>
      </c>
      <c r="TYX1" t="s">
        <v>15693</v>
      </c>
      <c r="TYY1" t="s">
        <v>15694</v>
      </c>
      <c r="TYZ1" t="s">
        <v>15695</v>
      </c>
      <c r="TZA1" t="s">
        <v>15696</v>
      </c>
      <c r="TZB1" t="s">
        <v>15697</v>
      </c>
      <c r="TZC1" t="s">
        <v>15698</v>
      </c>
      <c r="TZD1" t="s">
        <v>15699</v>
      </c>
      <c r="TZE1" t="s">
        <v>15700</v>
      </c>
      <c r="TZF1" t="s">
        <v>15701</v>
      </c>
      <c r="TZG1" t="s">
        <v>15702</v>
      </c>
      <c r="TZH1" t="s">
        <v>15703</v>
      </c>
      <c r="TZI1" t="s">
        <v>15704</v>
      </c>
      <c r="TZJ1" t="s">
        <v>15705</v>
      </c>
      <c r="TZK1" t="s">
        <v>15706</v>
      </c>
      <c r="TZL1" t="s">
        <v>15707</v>
      </c>
      <c r="TZM1" t="s">
        <v>15708</v>
      </c>
      <c r="TZN1" t="s">
        <v>15709</v>
      </c>
      <c r="TZO1" t="s">
        <v>15710</v>
      </c>
      <c r="TZP1" t="s">
        <v>15711</v>
      </c>
      <c r="TZQ1" t="s">
        <v>15712</v>
      </c>
      <c r="TZR1" t="s">
        <v>15713</v>
      </c>
      <c r="TZS1" t="s">
        <v>15714</v>
      </c>
      <c r="TZT1" t="s">
        <v>15715</v>
      </c>
      <c r="TZU1" t="s">
        <v>15716</v>
      </c>
      <c r="TZV1" t="s">
        <v>15717</v>
      </c>
      <c r="TZW1" t="s">
        <v>15718</v>
      </c>
      <c r="TZX1" t="s">
        <v>15719</v>
      </c>
      <c r="TZY1" t="s">
        <v>15720</v>
      </c>
      <c r="TZZ1" t="s">
        <v>15721</v>
      </c>
      <c r="UAA1" t="s">
        <v>15722</v>
      </c>
      <c r="UAB1" t="s">
        <v>15723</v>
      </c>
      <c r="UAC1" t="s">
        <v>15724</v>
      </c>
      <c r="UAD1" t="s">
        <v>15725</v>
      </c>
      <c r="UAE1" t="s">
        <v>15726</v>
      </c>
      <c r="UAF1" t="s">
        <v>15727</v>
      </c>
      <c r="UAG1" t="s">
        <v>15728</v>
      </c>
      <c r="UAH1" t="s">
        <v>15729</v>
      </c>
      <c r="UAI1" t="s">
        <v>15730</v>
      </c>
      <c r="UAJ1" t="s">
        <v>15731</v>
      </c>
      <c r="UAK1" t="s">
        <v>15732</v>
      </c>
      <c r="UAL1" t="s">
        <v>15733</v>
      </c>
      <c r="UAM1" t="s">
        <v>15734</v>
      </c>
      <c r="UAN1" t="s">
        <v>15735</v>
      </c>
      <c r="UAO1" t="s">
        <v>15736</v>
      </c>
      <c r="UAP1" t="s">
        <v>15737</v>
      </c>
      <c r="UAQ1" t="s">
        <v>15738</v>
      </c>
      <c r="UAR1" t="s">
        <v>15739</v>
      </c>
      <c r="UAS1" t="s">
        <v>15740</v>
      </c>
      <c r="UAT1" t="s">
        <v>15741</v>
      </c>
      <c r="UAU1" t="s">
        <v>15742</v>
      </c>
      <c r="UAV1" t="s">
        <v>15743</v>
      </c>
      <c r="UAW1" t="s">
        <v>15744</v>
      </c>
      <c r="UAX1" t="s">
        <v>15745</v>
      </c>
      <c r="UAY1" t="s">
        <v>15746</v>
      </c>
      <c r="UAZ1" t="s">
        <v>15747</v>
      </c>
      <c r="UBA1" t="s">
        <v>15748</v>
      </c>
      <c r="UBB1" t="s">
        <v>15749</v>
      </c>
      <c r="UBC1" t="s">
        <v>15750</v>
      </c>
      <c r="UBD1" t="s">
        <v>15751</v>
      </c>
      <c r="UBE1" t="s">
        <v>15752</v>
      </c>
      <c r="UBF1" t="s">
        <v>15753</v>
      </c>
      <c r="UBG1" t="s">
        <v>15754</v>
      </c>
      <c r="UBH1" t="s">
        <v>15755</v>
      </c>
      <c r="UBI1" t="s">
        <v>15756</v>
      </c>
      <c r="UBJ1" t="s">
        <v>15757</v>
      </c>
      <c r="UBK1" t="s">
        <v>15758</v>
      </c>
      <c r="UBL1" t="s">
        <v>15759</v>
      </c>
      <c r="UBM1" t="s">
        <v>15760</v>
      </c>
      <c r="UBN1" t="s">
        <v>15761</v>
      </c>
      <c r="UBO1" t="s">
        <v>15762</v>
      </c>
      <c r="UBP1" t="s">
        <v>15763</v>
      </c>
      <c r="UBQ1" t="s">
        <v>15764</v>
      </c>
      <c r="UBR1" t="s">
        <v>15765</v>
      </c>
      <c r="UBS1" t="s">
        <v>15766</v>
      </c>
      <c r="UBT1" t="s">
        <v>15767</v>
      </c>
      <c r="UBU1" t="s">
        <v>15768</v>
      </c>
      <c r="UBV1" t="s">
        <v>15769</v>
      </c>
      <c r="UBW1" t="s">
        <v>15770</v>
      </c>
      <c r="UBX1" t="s">
        <v>15771</v>
      </c>
      <c r="UBY1" t="s">
        <v>15772</v>
      </c>
      <c r="UBZ1" t="s">
        <v>15773</v>
      </c>
      <c r="UCA1" t="s">
        <v>15774</v>
      </c>
      <c r="UCB1" t="s">
        <v>15775</v>
      </c>
      <c r="UCC1" t="s">
        <v>15776</v>
      </c>
      <c r="UCD1" t="s">
        <v>15777</v>
      </c>
      <c r="UCE1" t="s">
        <v>15778</v>
      </c>
      <c r="UCF1" t="s">
        <v>15779</v>
      </c>
      <c r="UCG1" t="s">
        <v>15780</v>
      </c>
      <c r="UCH1" t="s">
        <v>15781</v>
      </c>
      <c r="UCI1" t="s">
        <v>15782</v>
      </c>
      <c r="UCJ1" t="s">
        <v>15783</v>
      </c>
      <c r="UCK1" t="s">
        <v>15784</v>
      </c>
      <c r="UCL1" t="s">
        <v>15785</v>
      </c>
      <c r="UCM1" t="s">
        <v>15786</v>
      </c>
      <c r="UCN1" t="s">
        <v>15787</v>
      </c>
      <c r="UCO1" t="s">
        <v>15788</v>
      </c>
      <c r="UCP1" t="s">
        <v>15789</v>
      </c>
      <c r="UCQ1" t="s">
        <v>15790</v>
      </c>
      <c r="UCR1" t="s">
        <v>15791</v>
      </c>
      <c r="UCS1" t="s">
        <v>15792</v>
      </c>
      <c r="UCT1" t="s">
        <v>15793</v>
      </c>
      <c r="UCU1" t="s">
        <v>15794</v>
      </c>
      <c r="UCV1" t="s">
        <v>15795</v>
      </c>
      <c r="UCW1" t="s">
        <v>15796</v>
      </c>
      <c r="UCX1" t="s">
        <v>15797</v>
      </c>
      <c r="UCY1" t="s">
        <v>15798</v>
      </c>
      <c r="UCZ1" t="s">
        <v>15799</v>
      </c>
      <c r="UDA1" t="s">
        <v>15800</v>
      </c>
      <c r="UDB1" t="s">
        <v>15801</v>
      </c>
      <c r="UDC1" t="s">
        <v>15802</v>
      </c>
      <c r="UDD1" t="s">
        <v>15803</v>
      </c>
      <c r="UDE1" t="s">
        <v>15804</v>
      </c>
      <c r="UDF1" t="s">
        <v>15805</v>
      </c>
      <c r="UDG1" t="s">
        <v>15806</v>
      </c>
      <c r="UDH1" t="s">
        <v>15807</v>
      </c>
      <c r="UDI1" t="s">
        <v>15808</v>
      </c>
      <c r="UDJ1" t="s">
        <v>15809</v>
      </c>
      <c r="UDK1" t="s">
        <v>15810</v>
      </c>
      <c r="UDL1" t="s">
        <v>15811</v>
      </c>
      <c r="UDM1" t="s">
        <v>15812</v>
      </c>
      <c r="UDN1" t="s">
        <v>15813</v>
      </c>
      <c r="UDO1" t="s">
        <v>15814</v>
      </c>
      <c r="UDP1" t="s">
        <v>15815</v>
      </c>
      <c r="UDQ1" t="s">
        <v>15816</v>
      </c>
      <c r="UDR1" t="s">
        <v>15817</v>
      </c>
      <c r="UDS1" t="s">
        <v>15818</v>
      </c>
      <c r="UDT1" t="s">
        <v>15819</v>
      </c>
      <c r="UDU1" t="s">
        <v>15820</v>
      </c>
      <c r="UDV1" t="s">
        <v>15821</v>
      </c>
      <c r="UDW1" t="s">
        <v>15822</v>
      </c>
      <c r="UDX1" t="s">
        <v>15823</v>
      </c>
      <c r="UDY1" t="s">
        <v>15824</v>
      </c>
      <c r="UDZ1" t="s">
        <v>15825</v>
      </c>
      <c r="UEA1" t="s">
        <v>15826</v>
      </c>
      <c r="UEB1" t="s">
        <v>15827</v>
      </c>
      <c r="UEC1" t="s">
        <v>15828</v>
      </c>
      <c r="UED1" t="s">
        <v>15829</v>
      </c>
      <c r="UEE1" t="s">
        <v>15830</v>
      </c>
      <c r="UEF1" t="s">
        <v>15831</v>
      </c>
      <c r="UEG1" t="s">
        <v>15832</v>
      </c>
      <c r="UEH1" t="s">
        <v>15833</v>
      </c>
      <c r="UEI1" t="s">
        <v>15834</v>
      </c>
      <c r="UEJ1" t="s">
        <v>15835</v>
      </c>
      <c r="UEK1" t="s">
        <v>15836</v>
      </c>
      <c r="UEL1" t="s">
        <v>15837</v>
      </c>
      <c r="UEM1" t="s">
        <v>15838</v>
      </c>
      <c r="UEN1" t="s">
        <v>15839</v>
      </c>
      <c r="UEO1" t="s">
        <v>15840</v>
      </c>
      <c r="UEP1" t="s">
        <v>15841</v>
      </c>
      <c r="UEQ1" t="s">
        <v>15842</v>
      </c>
      <c r="UER1" t="s">
        <v>15843</v>
      </c>
      <c r="UES1" t="s">
        <v>15844</v>
      </c>
      <c r="UET1" t="s">
        <v>15845</v>
      </c>
      <c r="UEU1" t="s">
        <v>15846</v>
      </c>
      <c r="UEV1" t="s">
        <v>15847</v>
      </c>
      <c r="UEW1" t="s">
        <v>15848</v>
      </c>
      <c r="UEX1" t="s">
        <v>15849</v>
      </c>
      <c r="UEY1" t="s">
        <v>15850</v>
      </c>
      <c r="UEZ1" t="s">
        <v>15851</v>
      </c>
      <c r="UFA1" t="s">
        <v>15852</v>
      </c>
      <c r="UFB1" t="s">
        <v>15853</v>
      </c>
      <c r="UFC1" t="s">
        <v>15854</v>
      </c>
      <c r="UFD1" t="s">
        <v>15855</v>
      </c>
      <c r="UFE1" t="s">
        <v>15856</v>
      </c>
      <c r="UFF1" t="s">
        <v>15857</v>
      </c>
      <c r="UFG1" t="s">
        <v>15858</v>
      </c>
      <c r="UFH1" t="s">
        <v>15859</v>
      </c>
      <c r="UFI1" t="s">
        <v>15860</v>
      </c>
      <c r="UFJ1" t="s">
        <v>15861</v>
      </c>
      <c r="UFK1" t="s">
        <v>15862</v>
      </c>
      <c r="UFL1" t="s">
        <v>15863</v>
      </c>
      <c r="UFM1" t="s">
        <v>15864</v>
      </c>
      <c r="UFN1" t="s">
        <v>15865</v>
      </c>
      <c r="UFO1" t="s">
        <v>15866</v>
      </c>
      <c r="UFP1" t="s">
        <v>15867</v>
      </c>
      <c r="UFQ1" t="s">
        <v>15868</v>
      </c>
      <c r="UFR1" t="s">
        <v>15869</v>
      </c>
      <c r="UFS1" t="s">
        <v>15870</v>
      </c>
      <c r="UFT1" t="s">
        <v>15871</v>
      </c>
      <c r="UFU1" t="s">
        <v>15872</v>
      </c>
      <c r="UFV1" t="s">
        <v>15873</v>
      </c>
      <c r="UFW1" t="s">
        <v>15874</v>
      </c>
      <c r="UFX1" t="s">
        <v>15875</v>
      </c>
      <c r="UFY1" t="s">
        <v>15876</v>
      </c>
      <c r="UFZ1" t="s">
        <v>15877</v>
      </c>
      <c r="UGA1" t="s">
        <v>15878</v>
      </c>
      <c r="UGB1" t="s">
        <v>15879</v>
      </c>
      <c r="UGC1" t="s">
        <v>15880</v>
      </c>
      <c r="UGD1" t="s">
        <v>15881</v>
      </c>
      <c r="UGE1" t="s">
        <v>15882</v>
      </c>
      <c r="UGF1" t="s">
        <v>15883</v>
      </c>
      <c r="UGG1" t="s">
        <v>15884</v>
      </c>
      <c r="UGH1" t="s">
        <v>15885</v>
      </c>
      <c r="UGI1" t="s">
        <v>15886</v>
      </c>
      <c r="UGJ1" t="s">
        <v>15887</v>
      </c>
      <c r="UGK1" t="s">
        <v>15888</v>
      </c>
      <c r="UGL1" t="s">
        <v>15889</v>
      </c>
      <c r="UGM1" t="s">
        <v>15890</v>
      </c>
      <c r="UGN1" t="s">
        <v>15891</v>
      </c>
      <c r="UGO1" t="s">
        <v>15892</v>
      </c>
      <c r="UGP1" t="s">
        <v>15893</v>
      </c>
      <c r="UGQ1" t="s">
        <v>15894</v>
      </c>
      <c r="UGR1" t="s">
        <v>15895</v>
      </c>
      <c r="UGS1" t="s">
        <v>15896</v>
      </c>
      <c r="UGT1" t="s">
        <v>15897</v>
      </c>
      <c r="UGU1" t="s">
        <v>15898</v>
      </c>
      <c r="UGV1" t="s">
        <v>15899</v>
      </c>
      <c r="UGW1" t="s">
        <v>15900</v>
      </c>
      <c r="UGX1" t="s">
        <v>15901</v>
      </c>
      <c r="UGY1" t="s">
        <v>15902</v>
      </c>
      <c r="UGZ1" t="s">
        <v>15903</v>
      </c>
      <c r="UHA1" t="s">
        <v>15904</v>
      </c>
      <c r="UHB1" t="s">
        <v>15905</v>
      </c>
      <c r="UHC1" t="s">
        <v>15906</v>
      </c>
      <c r="UHD1" t="s">
        <v>15907</v>
      </c>
      <c r="UHE1" t="s">
        <v>15908</v>
      </c>
      <c r="UHF1" t="s">
        <v>15909</v>
      </c>
      <c r="UHG1" t="s">
        <v>15910</v>
      </c>
      <c r="UHH1" t="s">
        <v>15911</v>
      </c>
      <c r="UHI1" t="s">
        <v>15912</v>
      </c>
      <c r="UHJ1" t="s">
        <v>15913</v>
      </c>
      <c r="UHK1" t="s">
        <v>15914</v>
      </c>
      <c r="UHL1" t="s">
        <v>15915</v>
      </c>
      <c r="UHM1" t="s">
        <v>15916</v>
      </c>
      <c r="UHN1" t="s">
        <v>15917</v>
      </c>
      <c r="UHO1" t="s">
        <v>15918</v>
      </c>
      <c r="UHP1" t="s">
        <v>15919</v>
      </c>
      <c r="UHQ1" t="s">
        <v>15920</v>
      </c>
      <c r="UHR1" t="s">
        <v>15921</v>
      </c>
      <c r="UHS1" t="s">
        <v>15922</v>
      </c>
      <c r="UHT1" t="s">
        <v>15923</v>
      </c>
      <c r="UHU1" t="s">
        <v>15924</v>
      </c>
      <c r="UHV1" t="s">
        <v>15925</v>
      </c>
      <c r="UHW1" t="s">
        <v>15926</v>
      </c>
      <c r="UHX1" t="s">
        <v>15927</v>
      </c>
      <c r="UHY1" t="s">
        <v>15928</v>
      </c>
      <c r="UHZ1" t="s">
        <v>15929</v>
      </c>
      <c r="UIA1" t="s">
        <v>15930</v>
      </c>
      <c r="UIB1" t="s">
        <v>15931</v>
      </c>
      <c r="UIC1" t="s">
        <v>15932</v>
      </c>
      <c r="UID1" t="s">
        <v>15933</v>
      </c>
      <c r="UIE1" t="s">
        <v>15934</v>
      </c>
      <c r="UIF1" t="s">
        <v>15935</v>
      </c>
      <c r="UIG1" t="s">
        <v>15936</v>
      </c>
      <c r="UIH1" t="s">
        <v>15937</v>
      </c>
      <c r="UII1" t="s">
        <v>15938</v>
      </c>
      <c r="UIJ1" t="s">
        <v>15939</v>
      </c>
      <c r="UIK1" t="s">
        <v>15940</v>
      </c>
      <c r="UIL1" t="s">
        <v>15941</v>
      </c>
      <c r="UIM1" t="s">
        <v>15942</v>
      </c>
      <c r="UIN1" t="s">
        <v>15943</v>
      </c>
      <c r="UIO1" t="s">
        <v>15944</v>
      </c>
      <c r="UIP1" t="s">
        <v>15945</v>
      </c>
      <c r="UIQ1" t="s">
        <v>15946</v>
      </c>
      <c r="UIR1" t="s">
        <v>15947</v>
      </c>
      <c r="UIS1" t="s">
        <v>15948</v>
      </c>
      <c r="UIT1" t="s">
        <v>15949</v>
      </c>
      <c r="UIU1" t="s">
        <v>15950</v>
      </c>
      <c r="UIV1" t="s">
        <v>15951</v>
      </c>
      <c r="UIW1" t="s">
        <v>15952</v>
      </c>
      <c r="UIX1" t="s">
        <v>15953</v>
      </c>
      <c r="UIY1" t="s">
        <v>15954</v>
      </c>
      <c r="UIZ1" t="s">
        <v>15955</v>
      </c>
      <c r="UJA1" t="s">
        <v>15956</v>
      </c>
      <c r="UJB1" t="s">
        <v>15957</v>
      </c>
      <c r="UJC1" t="s">
        <v>15958</v>
      </c>
      <c r="UJD1" t="s">
        <v>15959</v>
      </c>
      <c r="UJE1" t="s">
        <v>15960</v>
      </c>
      <c r="UJF1" t="s">
        <v>15961</v>
      </c>
      <c r="UJG1" t="s">
        <v>15962</v>
      </c>
      <c r="UJH1" t="s">
        <v>15963</v>
      </c>
      <c r="UJI1" t="s">
        <v>15964</v>
      </c>
      <c r="UJJ1" t="s">
        <v>15965</v>
      </c>
      <c r="UJK1" t="s">
        <v>15966</v>
      </c>
      <c r="UJL1" t="s">
        <v>15967</v>
      </c>
      <c r="UJM1" t="s">
        <v>15968</v>
      </c>
      <c r="UJN1" t="s">
        <v>15969</v>
      </c>
      <c r="UJO1" t="s">
        <v>15970</v>
      </c>
      <c r="UJP1" t="s">
        <v>15971</v>
      </c>
      <c r="UJQ1" t="s">
        <v>15972</v>
      </c>
      <c r="UJR1" t="s">
        <v>15973</v>
      </c>
      <c r="UJS1" t="s">
        <v>15974</v>
      </c>
      <c r="UJT1" t="s">
        <v>15975</v>
      </c>
      <c r="UJU1" t="s">
        <v>15976</v>
      </c>
      <c r="UJV1" t="s">
        <v>15977</v>
      </c>
      <c r="UJW1" t="s">
        <v>15978</v>
      </c>
      <c r="UJX1" t="s">
        <v>15979</v>
      </c>
      <c r="UJY1" t="s">
        <v>15980</v>
      </c>
      <c r="UJZ1" t="s">
        <v>15981</v>
      </c>
      <c r="UKA1" t="s">
        <v>15982</v>
      </c>
      <c r="UKB1" t="s">
        <v>15983</v>
      </c>
      <c r="UKC1" t="s">
        <v>15984</v>
      </c>
      <c r="UKD1" t="s">
        <v>15985</v>
      </c>
      <c r="UKE1" t="s">
        <v>15986</v>
      </c>
      <c r="UKF1" t="s">
        <v>15987</v>
      </c>
      <c r="UKG1" t="s">
        <v>15988</v>
      </c>
      <c r="UKH1" t="s">
        <v>15989</v>
      </c>
      <c r="UKI1" t="s">
        <v>15990</v>
      </c>
      <c r="UKJ1" t="s">
        <v>15991</v>
      </c>
      <c r="UKK1" t="s">
        <v>15992</v>
      </c>
      <c r="UKL1" t="s">
        <v>15993</v>
      </c>
      <c r="UKM1" t="s">
        <v>15994</v>
      </c>
      <c r="UKN1" t="s">
        <v>15995</v>
      </c>
      <c r="UKO1" t="s">
        <v>15996</v>
      </c>
      <c r="UKP1" t="s">
        <v>15997</v>
      </c>
      <c r="UKQ1" t="s">
        <v>15998</v>
      </c>
      <c r="UKR1" t="s">
        <v>15999</v>
      </c>
      <c r="UKS1" t="s">
        <v>16000</v>
      </c>
      <c r="UKT1" t="s">
        <v>16001</v>
      </c>
      <c r="UKU1" t="s">
        <v>16002</v>
      </c>
      <c r="UKV1" t="s">
        <v>16003</v>
      </c>
      <c r="UKW1" t="s">
        <v>16004</v>
      </c>
      <c r="UKX1" t="s">
        <v>16005</v>
      </c>
      <c r="UKY1" t="s">
        <v>16006</v>
      </c>
      <c r="UKZ1" t="s">
        <v>16007</v>
      </c>
      <c r="ULA1" t="s">
        <v>16008</v>
      </c>
      <c r="ULB1" t="s">
        <v>16009</v>
      </c>
      <c r="ULC1" t="s">
        <v>16010</v>
      </c>
      <c r="ULD1" t="s">
        <v>16011</v>
      </c>
      <c r="ULE1" t="s">
        <v>16012</v>
      </c>
      <c r="ULF1" t="s">
        <v>16013</v>
      </c>
      <c r="ULG1" t="s">
        <v>16014</v>
      </c>
      <c r="ULH1" t="s">
        <v>16015</v>
      </c>
      <c r="ULI1" t="s">
        <v>16016</v>
      </c>
      <c r="ULJ1" t="s">
        <v>16017</v>
      </c>
      <c r="ULK1" t="s">
        <v>16018</v>
      </c>
      <c r="ULL1" t="s">
        <v>16019</v>
      </c>
      <c r="ULM1" t="s">
        <v>16020</v>
      </c>
      <c r="ULN1" t="s">
        <v>16021</v>
      </c>
      <c r="ULO1" t="s">
        <v>16022</v>
      </c>
      <c r="ULP1" t="s">
        <v>16023</v>
      </c>
      <c r="ULQ1" t="s">
        <v>16024</v>
      </c>
      <c r="ULR1" t="s">
        <v>16025</v>
      </c>
      <c r="ULS1" t="s">
        <v>16026</v>
      </c>
      <c r="ULT1" t="s">
        <v>16027</v>
      </c>
      <c r="ULU1" t="s">
        <v>16028</v>
      </c>
      <c r="ULV1" t="s">
        <v>16029</v>
      </c>
      <c r="ULW1" t="s">
        <v>16030</v>
      </c>
      <c r="ULX1" t="s">
        <v>16031</v>
      </c>
      <c r="ULY1" t="s">
        <v>16032</v>
      </c>
      <c r="ULZ1" t="s">
        <v>16033</v>
      </c>
      <c r="UMA1" t="s">
        <v>16034</v>
      </c>
      <c r="UMB1" t="s">
        <v>16035</v>
      </c>
      <c r="UMC1" t="s">
        <v>16036</v>
      </c>
      <c r="UMD1" t="s">
        <v>16037</v>
      </c>
      <c r="UME1" t="s">
        <v>16038</v>
      </c>
      <c r="UMF1" t="s">
        <v>16039</v>
      </c>
      <c r="UMG1" t="s">
        <v>16040</v>
      </c>
      <c r="UMH1" t="s">
        <v>16041</v>
      </c>
      <c r="UMI1" t="s">
        <v>16042</v>
      </c>
      <c r="UMJ1" t="s">
        <v>16043</v>
      </c>
      <c r="UMK1" t="s">
        <v>16044</v>
      </c>
      <c r="UML1" t="s">
        <v>16045</v>
      </c>
      <c r="UMM1" t="s">
        <v>16046</v>
      </c>
      <c r="UMN1" t="s">
        <v>16047</v>
      </c>
      <c r="UMO1" t="s">
        <v>16048</v>
      </c>
      <c r="UMP1" t="s">
        <v>16049</v>
      </c>
      <c r="UMQ1" t="s">
        <v>16050</v>
      </c>
      <c r="UMR1" t="s">
        <v>16051</v>
      </c>
      <c r="UMS1" t="s">
        <v>16052</v>
      </c>
      <c r="UMT1" t="s">
        <v>16053</v>
      </c>
      <c r="UMU1" t="s">
        <v>16054</v>
      </c>
      <c r="UMV1" t="s">
        <v>16055</v>
      </c>
      <c r="UMW1" t="s">
        <v>16056</v>
      </c>
      <c r="UMX1" t="s">
        <v>16057</v>
      </c>
      <c r="UMY1" t="s">
        <v>16058</v>
      </c>
      <c r="UMZ1" t="s">
        <v>16059</v>
      </c>
      <c r="UNA1" t="s">
        <v>16060</v>
      </c>
      <c r="UNB1" t="s">
        <v>16061</v>
      </c>
      <c r="UNC1" t="s">
        <v>16062</v>
      </c>
      <c r="UND1" t="s">
        <v>16063</v>
      </c>
      <c r="UNE1" t="s">
        <v>16064</v>
      </c>
      <c r="UNF1" t="s">
        <v>16065</v>
      </c>
      <c r="UNG1" t="s">
        <v>16066</v>
      </c>
      <c r="UNH1" t="s">
        <v>16067</v>
      </c>
      <c r="UNI1" t="s">
        <v>16068</v>
      </c>
      <c r="UNJ1" t="s">
        <v>16069</v>
      </c>
      <c r="UNK1" t="s">
        <v>16070</v>
      </c>
      <c r="UNL1" t="s">
        <v>16071</v>
      </c>
      <c r="UNM1" t="s">
        <v>16072</v>
      </c>
      <c r="UNN1" t="s">
        <v>16073</v>
      </c>
      <c r="UNO1" t="s">
        <v>16074</v>
      </c>
      <c r="UNP1" t="s">
        <v>16075</v>
      </c>
      <c r="UNQ1" t="s">
        <v>16076</v>
      </c>
      <c r="UNR1" t="s">
        <v>16077</v>
      </c>
      <c r="UNS1" t="s">
        <v>16078</v>
      </c>
      <c r="UNT1" t="s">
        <v>16079</v>
      </c>
      <c r="UNU1" t="s">
        <v>16080</v>
      </c>
      <c r="UNV1" t="s">
        <v>16081</v>
      </c>
      <c r="UNW1" t="s">
        <v>16082</v>
      </c>
      <c r="UNX1" t="s">
        <v>16083</v>
      </c>
      <c r="UNY1" t="s">
        <v>16084</v>
      </c>
      <c r="UNZ1" t="s">
        <v>16085</v>
      </c>
      <c r="UOA1" t="s">
        <v>16086</v>
      </c>
      <c r="UOB1" t="s">
        <v>16087</v>
      </c>
      <c r="UOC1" t="s">
        <v>16088</v>
      </c>
      <c r="UOD1" t="s">
        <v>16089</v>
      </c>
      <c r="UOE1" t="s">
        <v>16090</v>
      </c>
      <c r="UOF1" t="s">
        <v>16091</v>
      </c>
      <c r="UOG1" t="s">
        <v>16092</v>
      </c>
      <c r="UOH1" t="s">
        <v>16093</v>
      </c>
      <c r="UOI1" t="s">
        <v>16094</v>
      </c>
      <c r="UOJ1" t="s">
        <v>16095</v>
      </c>
      <c r="UOK1" t="s">
        <v>16096</v>
      </c>
      <c r="UOL1" t="s">
        <v>16097</v>
      </c>
      <c r="UOM1" t="s">
        <v>16098</v>
      </c>
      <c r="UON1" t="s">
        <v>16099</v>
      </c>
      <c r="UOO1" t="s">
        <v>16100</v>
      </c>
      <c r="UOP1" t="s">
        <v>16101</v>
      </c>
      <c r="UOQ1" t="s">
        <v>16102</v>
      </c>
      <c r="UOR1" t="s">
        <v>16103</v>
      </c>
      <c r="UOS1" t="s">
        <v>16104</v>
      </c>
      <c r="UOT1" t="s">
        <v>16105</v>
      </c>
      <c r="UOU1" t="s">
        <v>16106</v>
      </c>
      <c r="UOV1" t="s">
        <v>16107</v>
      </c>
      <c r="UOW1" t="s">
        <v>16108</v>
      </c>
      <c r="UOX1" t="s">
        <v>16109</v>
      </c>
      <c r="UOY1" t="s">
        <v>16110</v>
      </c>
      <c r="UOZ1" t="s">
        <v>16111</v>
      </c>
      <c r="UPA1" t="s">
        <v>16112</v>
      </c>
      <c r="UPB1" t="s">
        <v>16113</v>
      </c>
      <c r="UPC1" t="s">
        <v>16114</v>
      </c>
      <c r="UPD1" t="s">
        <v>16115</v>
      </c>
      <c r="UPE1" t="s">
        <v>16116</v>
      </c>
      <c r="UPF1" t="s">
        <v>16117</v>
      </c>
      <c r="UPG1" t="s">
        <v>16118</v>
      </c>
      <c r="UPH1" t="s">
        <v>16119</v>
      </c>
      <c r="UPI1" t="s">
        <v>16120</v>
      </c>
      <c r="UPJ1" t="s">
        <v>16121</v>
      </c>
      <c r="UPK1" t="s">
        <v>16122</v>
      </c>
      <c r="UPL1" t="s">
        <v>16123</v>
      </c>
      <c r="UPM1" t="s">
        <v>16124</v>
      </c>
      <c r="UPN1" t="s">
        <v>16125</v>
      </c>
      <c r="UPO1" t="s">
        <v>16126</v>
      </c>
      <c r="UPP1" t="s">
        <v>16127</v>
      </c>
      <c r="UPQ1" t="s">
        <v>16128</v>
      </c>
      <c r="UPR1" t="s">
        <v>16129</v>
      </c>
      <c r="UPS1" t="s">
        <v>16130</v>
      </c>
      <c r="UPT1" t="s">
        <v>16131</v>
      </c>
      <c r="UPU1" t="s">
        <v>16132</v>
      </c>
      <c r="UPV1" t="s">
        <v>16133</v>
      </c>
      <c r="UPW1" t="s">
        <v>16134</v>
      </c>
      <c r="UPX1" t="s">
        <v>16135</v>
      </c>
      <c r="UPY1" t="s">
        <v>16136</v>
      </c>
      <c r="UPZ1" t="s">
        <v>16137</v>
      </c>
      <c r="UQA1" t="s">
        <v>16138</v>
      </c>
      <c r="UQB1" t="s">
        <v>16139</v>
      </c>
      <c r="UQC1" t="s">
        <v>16140</v>
      </c>
      <c r="UQD1" t="s">
        <v>16141</v>
      </c>
      <c r="UQE1" t="s">
        <v>16142</v>
      </c>
      <c r="UQF1" t="s">
        <v>16143</v>
      </c>
      <c r="UQG1" t="s">
        <v>16144</v>
      </c>
      <c r="UQH1" t="s">
        <v>16145</v>
      </c>
      <c r="UQI1" t="s">
        <v>16146</v>
      </c>
      <c r="UQJ1" t="s">
        <v>16147</v>
      </c>
      <c r="UQK1" t="s">
        <v>16148</v>
      </c>
      <c r="UQL1" t="s">
        <v>16149</v>
      </c>
      <c r="UQM1" t="s">
        <v>16150</v>
      </c>
      <c r="UQN1" t="s">
        <v>16151</v>
      </c>
      <c r="UQO1" t="s">
        <v>16152</v>
      </c>
      <c r="UQP1" t="s">
        <v>16153</v>
      </c>
      <c r="UQQ1" t="s">
        <v>16154</v>
      </c>
      <c r="UQR1" t="s">
        <v>16155</v>
      </c>
      <c r="UQS1" t="s">
        <v>16156</v>
      </c>
      <c r="UQT1" t="s">
        <v>16157</v>
      </c>
      <c r="UQU1" t="s">
        <v>16158</v>
      </c>
      <c r="UQV1" t="s">
        <v>16159</v>
      </c>
      <c r="UQW1" t="s">
        <v>16160</v>
      </c>
      <c r="UQX1" t="s">
        <v>16161</v>
      </c>
      <c r="UQY1" t="s">
        <v>16162</v>
      </c>
      <c r="UQZ1" t="s">
        <v>16163</v>
      </c>
      <c r="URA1" t="s">
        <v>16164</v>
      </c>
      <c r="URB1" t="s">
        <v>16165</v>
      </c>
      <c r="URC1" t="s">
        <v>16166</v>
      </c>
      <c r="URD1" t="s">
        <v>16167</v>
      </c>
      <c r="URE1" t="s">
        <v>16168</v>
      </c>
      <c r="URF1" t="s">
        <v>16169</v>
      </c>
      <c r="URG1" t="s">
        <v>16170</v>
      </c>
      <c r="URH1" t="s">
        <v>16171</v>
      </c>
      <c r="URI1" t="s">
        <v>16172</v>
      </c>
      <c r="URJ1" t="s">
        <v>16173</v>
      </c>
      <c r="URK1" t="s">
        <v>16174</v>
      </c>
      <c r="URL1" t="s">
        <v>16175</v>
      </c>
      <c r="URM1" t="s">
        <v>16176</v>
      </c>
      <c r="URN1" t="s">
        <v>16177</v>
      </c>
      <c r="URO1" t="s">
        <v>16178</v>
      </c>
      <c r="URP1" t="s">
        <v>16179</v>
      </c>
      <c r="URQ1" t="s">
        <v>16180</v>
      </c>
      <c r="URR1" t="s">
        <v>16181</v>
      </c>
      <c r="URS1" t="s">
        <v>16182</v>
      </c>
      <c r="URT1" t="s">
        <v>16183</v>
      </c>
      <c r="URU1" t="s">
        <v>16184</v>
      </c>
      <c r="URV1" t="s">
        <v>16185</v>
      </c>
      <c r="URW1" t="s">
        <v>16186</v>
      </c>
      <c r="URX1" t="s">
        <v>16187</v>
      </c>
      <c r="URY1" t="s">
        <v>16188</v>
      </c>
      <c r="URZ1" t="s">
        <v>16189</v>
      </c>
      <c r="USA1" t="s">
        <v>16190</v>
      </c>
      <c r="USB1" t="s">
        <v>16191</v>
      </c>
      <c r="USC1" t="s">
        <v>16192</v>
      </c>
      <c r="USD1" t="s">
        <v>16193</v>
      </c>
      <c r="USE1" t="s">
        <v>16194</v>
      </c>
      <c r="USF1" t="s">
        <v>16195</v>
      </c>
      <c r="USG1" t="s">
        <v>16196</v>
      </c>
      <c r="USH1" t="s">
        <v>16197</v>
      </c>
      <c r="USI1" t="s">
        <v>16198</v>
      </c>
      <c r="USJ1" t="s">
        <v>16199</v>
      </c>
      <c r="USK1" t="s">
        <v>16200</v>
      </c>
      <c r="USL1" t="s">
        <v>16201</v>
      </c>
      <c r="USM1" t="s">
        <v>16202</v>
      </c>
      <c r="USN1" t="s">
        <v>16203</v>
      </c>
      <c r="USO1" t="s">
        <v>16204</v>
      </c>
      <c r="USP1" t="s">
        <v>16205</v>
      </c>
      <c r="USQ1" t="s">
        <v>16206</v>
      </c>
      <c r="USR1" t="s">
        <v>16207</v>
      </c>
      <c r="USS1" t="s">
        <v>16208</v>
      </c>
      <c r="UST1" t="s">
        <v>16209</v>
      </c>
      <c r="USU1" t="s">
        <v>16210</v>
      </c>
      <c r="USV1" t="s">
        <v>16211</v>
      </c>
      <c r="USW1" t="s">
        <v>16212</v>
      </c>
      <c r="USX1" t="s">
        <v>16213</v>
      </c>
      <c r="USY1" t="s">
        <v>16214</v>
      </c>
      <c r="USZ1" t="s">
        <v>16215</v>
      </c>
      <c r="UTA1" t="s">
        <v>16216</v>
      </c>
      <c r="UTB1" t="s">
        <v>16217</v>
      </c>
      <c r="UTC1" t="s">
        <v>16218</v>
      </c>
      <c r="UTD1" t="s">
        <v>16219</v>
      </c>
      <c r="UTE1" t="s">
        <v>16220</v>
      </c>
      <c r="UTF1" t="s">
        <v>16221</v>
      </c>
      <c r="UTG1" t="s">
        <v>16222</v>
      </c>
      <c r="UTH1" t="s">
        <v>16223</v>
      </c>
      <c r="UTI1" t="s">
        <v>16224</v>
      </c>
      <c r="UTJ1" t="s">
        <v>16225</v>
      </c>
      <c r="UTK1" t="s">
        <v>16226</v>
      </c>
      <c r="UTL1" t="s">
        <v>16227</v>
      </c>
      <c r="UTM1" t="s">
        <v>16228</v>
      </c>
      <c r="UTN1" t="s">
        <v>16229</v>
      </c>
      <c r="UTO1" t="s">
        <v>16230</v>
      </c>
      <c r="UTP1" t="s">
        <v>16231</v>
      </c>
      <c r="UTQ1" t="s">
        <v>16232</v>
      </c>
      <c r="UTR1" t="s">
        <v>16233</v>
      </c>
      <c r="UTS1" t="s">
        <v>16234</v>
      </c>
      <c r="UTT1" t="s">
        <v>16235</v>
      </c>
      <c r="UTU1" t="s">
        <v>16236</v>
      </c>
      <c r="UTV1" t="s">
        <v>16237</v>
      </c>
      <c r="UTW1" t="s">
        <v>16238</v>
      </c>
      <c r="UTX1" t="s">
        <v>16239</v>
      </c>
      <c r="UTY1" t="s">
        <v>16240</v>
      </c>
      <c r="UTZ1" t="s">
        <v>16241</v>
      </c>
      <c r="UUA1" t="s">
        <v>16242</v>
      </c>
      <c r="UUB1" t="s">
        <v>16243</v>
      </c>
      <c r="UUC1" t="s">
        <v>16244</v>
      </c>
      <c r="UUD1" t="s">
        <v>16245</v>
      </c>
      <c r="UUE1" t="s">
        <v>16246</v>
      </c>
      <c r="UUF1" t="s">
        <v>16247</v>
      </c>
      <c r="UUG1" t="s">
        <v>16248</v>
      </c>
      <c r="UUH1" t="s">
        <v>16249</v>
      </c>
      <c r="UUI1" t="s">
        <v>16250</v>
      </c>
      <c r="UUJ1" t="s">
        <v>16251</v>
      </c>
      <c r="UUK1" t="s">
        <v>16252</v>
      </c>
      <c r="UUL1" t="s">
        <v>16253</v>
      </c>
      <c r="UUM1" t="s">
        <v>16254</v>
      </c>
      <c r="UUN1" t="s">
        <v>16255</v>
      </c>
      <c r="UUO1" t="s">
        <v>16256</v>
      </c>
      <c r="UUP1" t="s">
        <v>16257</v>
      </c>
      <c r="UUQ1" t="s">
        <v>16258</v>
      </c>
      <c r="UUR1" t="s">
        <v>16259</v>
      </c>
      <c r="UUS1" t="s">
        <v>16260</v>
      </c>
      <c r="UUT1" t="s">
        <v>16261</v>
      </c>
      <c r="UUU1" t="s">
        <v>16262</v>
      </c>
      <c r="UUV1" t="s">
        <v>16263</v>
      </c>
      <c r="UUW1" t="s">
        <v>16264</v>
      </c>
      <c r="UUX1" t="s">
        <v>16265</v>
      </c>
      <c r="UUY1" t="s">
        <v>16266</v>
      </c>
      <c r="UUZ1" t="s">
        <v>16267</v>
      </c>
      <c r="UVA1" t="s">
        <v>16268</v>
      </c>
      <c r="UVB1" t="s">
        <v>16269</v>
      </c>
      <c r="UVC1" t="s">
        <v>16270</v>
      </c>
      <c r="UVD1" t="s">
        <v>16271</v>
      </c>
      <c r="UVE1" t="s">
        <v>16272</v>
      </c>
      <c r="UVF1" t="s">
        <v>16273</v>
      </c>
      <c r="UVG1" t="s">
        <v>16274</v>
      </c>
      <c r="UVH1" t="s">
        <v>16275</v>
      </c>
      <c r="UVI1" t="s">
        <v>16276</v>
      </c>
      <c r="UVJ1" t="s">
        <v>16277</v>
      </c>
      <c r="UVK1" t="s">
        <v>16278</v>
      </c>
      <c r="UVL1" t="s">
        <v>16279</v>
      </c>
      <c r="UVM1" t="s">
        <v>16280</v>
      </c>
      <c r="UVN1" t="s">
        <v>16281</v>
      </c>
      <c r="UVO1" t="s">
        <v>16282</v>
      </c>
      <c r="UVP1" t="s">
        <v>16283</v>
      </c>
      <c r="UVQ1" t="s">
        <v>16284</v>
      </c>
      <c r="UVR1" t="s">
        <v>16285</v>
      </c>
      <c r="UVS1" t="s">
        <v>16286</v>
      </c>
      <c r="UVT1" t="s">
        <v>16287</v>
      </c>
      <c r="UVU1" t="s">
        <v>16288</v>
      </c>
      <c r="UVV1" t="s">
        <v>16289</v>
      </c>
      <c r="UVW1" t="s">
        <v>16290</v>
      </c>
      <c r="UVX1" t="s">
        <v>16291</v>
      </c>
      <c r="UVY1" t="s">
        <v>16292</v>
      </c>
      <c r="UVZ1" t="s">
        <v>16293</v>
      </c>
      <c r="UWA1" t="s">
        <v>16294</v>
      </c>
      <c r="UWB1" t="s">
        <v>16295</v>
      </c>
      <c r="UWC1" t="s">
        <v>16296</v>
      </c>
      <c r="UWD1" t="s">
        <v>16297</v>
      </c>
      <c r="UWE1" t="s">
        <v>16298</v>
      </c>
      <c r="UWF1" t="s">
        <v>16299</v>
      </c>
      <c r="UWG1" t="s">
        <v>16300</v>
      </c>
      <c r="UWH1" t="s">
        <v>16301</v>
      </c>
      <c r="UWI1" t="s">
        <v>16302</v>
      </c>
      <c r="UWJ1" t="s">
        <v>16303</v>
      </c>
      <c r="UWK1" t="s">
        <v>16304</v>
      </c>
      <c r="UWL1" t="s">
        <v>16305</v>
      </c>
      <c r="UWM1" t="s">
        <v>16306</v>
      </c>
      <c r="UWN1" t="s">
        <v>16307</v>
      </c>
      <c r="UWO1" t="s">
        <v>16308</v>
      </c>
      <c r="UWP1" t="s">
        <v>16309</v>
      </c>
      <c r="UWQ1" t="s">
        <v>16310</v>
      </c>
      <c r="UWR1" t="s">
        <v>16311</v>
      </c>
      <c r="UWS1" t="s">
        <v>16312</v>
      </c>
      <c r="UWT1" t="s">
        <v>16313</v>
      </c>
      <c r="UWU1" t="s">
        <v>16314</v>
      </c>
      <c r="UWV1" t="s">
        <v>16315</v>
      </c>
      <c r="UWW1" t="s">
        <v>16316</v>
      </c>
      <c r="UWX1" t="s">
        <v>16317</v>
      </c>
      <c r="UWY1" t="s">
        <v>16318</v>
      </c>
      <c r="UWZ1" t="s">
        <v>16319</v>
      </c>
      <c r="UXA1" t="s">
        <v>16320</v>
      </c>
      <c r="UXB1" t="s">
        <v>16321</v>
      </c>
      <c r="UXC1" t="s">
        <v>16322</v>
      </c>
      <c r="UXD1" t="s">
        <v>16323</v>
      </c>
      <c r="UXE1" t="s">
        <v>16324</v>
      </c>
      <c r="UXF1" t="s">
        <v>16325</v>
      </c>
      <c r="UXG1" t="s">
        <v>16326</v>
      </c>
      <c r="UXH1" t="s">
        <v>16327</v>
      </c>
      <c r="UXI1" t="s">
        <v>16328</v>
      </c>
      <c r="UXJ1" t="s">
        <v>16329</v>
      </c>
      <c r="UXK1" t="s">
        <v>16330</v>
      </c>
      <c r="UXL1" t="s">
        <v>16331</v>
      </c>
      <c r="UXM1" t="s">
        <v>16332</v>
      </c>
      <c r="UXN1" t="s">
        <v>16333</v>
      </c>
      <c r="UXO1" t="s">
        <v>16334</v>
      </c>
      <c r="UXP1" t="s">
        <v>16335</v>
      </c>
      <c r="UXQ1" t="s">
        <v>16336</v>
      </c>
      <c r="UXR1" t="s">
        <v>16337</v>
      </c>
      <c r="UXS1" t="s">
        <v>16338</v>
      </c>
      <c r="UXT1" t="s">
        <v>16339</v>
      </c>
      <c r="UXU1" t="s">
        <v>16340</v>
      </c>
      <c r="UXV1" t="s">
        <v>16341</v>
      </c>
      <c r="UXW1" t="s">
        <v>16342</v>
      </c>
      <c r="UXX1" t="s">
        <v>16343</v>
      </c>
      <c r="UXY1" t="s">
        <v>16344</v>
      </c>
      <c r="UXZ1" t="s">
        <v>16345</v>
      </c>
      <c r="UYA1" t="s">
        <v>16346</v>
      </c>
      <c r="UYB1" t="s">
        <v>16347</v>
      </c>
      <c r="UYC1" t="s">
        <v>16348</v>
      </c>
      <c r="UYD1" t="s">
        <v>16349</v>
      </c>
      <c r="UYE1" t="s">
        <v>16350</v>
      </c>
      <c r="UYF1" t="s">
        <v>16351</v>
      </c>
      <c r="UYG1" t="s">
        <v>16352</v>
      </c>
      <c r="UYH1" t="s">
        <v>16353</v>
      </c>
      <c r="UYI1" t="s">
        <v>16354</v>
      </c>
      <c r="UYJ1" t="s">
        <v>16355</v>
      </c>
      <c r="UYK1" t="s">
        <v>16356</v>
      </c>
      <c r="UYL1" t="s">
        <v>16357</v>
      </c>
      <c r="UYM1" t="s">
        <v>16358</v>
      </c>
      <c r="UYN1" t="s">
        <v>16359</v>
      </c>
      <c r="UYO1" t="s">
        <v>16360</v>
      </c>
      <c r="UYP1" t="s">
        <v>16361</v>
      </c>
      <c r="UYQ1" t="s">
        <v>16362</v>
      </c>
      <c r="UYR1" t="s">
        <v>16363</v>
      </c>
      <c r="UYS1" t="s">
        <v>16364</v>
      </c>
      <c r="UYT1" t="s">
        <v>16365</v>
      </c>
      <c r="UYU1" t="s">
        <v>16366</v>
      </c>
      <c r="UYV1" t="s">
        <v>16367</v>
      </c>
      <c r="UYW1" t="s">
        <v>16368</v>
      </c>
      <c r="UYX1" t="s">
        <v>16369</v>
      </c>
      <c r="UYY1" t="s">
        <v>16370</v>
      </c>
      <c r="UYZ1" t="s">
        <v>16371</v>
      </c>
      <c r="UZA1" t="s">
        <v>16372</v>
      </c>
      <c r="UZB1" t="s">
        <v>16373</v>
      </c>
      <c r="UZC1" t="s">
        <v>16374</v>
      </c>
      <c r="UZD1" t="s">
        <v>16375</v>
      </c>
      <c r="UZE1" t="s">
        <v>16376</v>
      </c>
      <c r="UZF1" t="s">
        <v>16377</v>
      </c>
      <c r="UZG1" t="s">
        <v>16378</v>
      </c>
      <c r="UZH1" t="s">
        <v>16379</v>
      </c>
      <c r="UZI1" t="s">
        <v>16380</v>
      </c>
      <c r="UZJ1" t="s">
        <v>16381</v>
      </c>
      <c r="UZK1" t="s">
        <v>16382</v>
      </c>
      <c r="UZL1" t="s">
        <v>16383</v>
      </c>
      <c r="UZM1" t="s">
        <v>16384</v>
      </c>
      <c r="UZN1" t="s">
        <v>16385</v>
      </c>
      <c r="UZO1" t="s">
        <v>16386</v>
      </c>
      <c r="UZP1" t="s">
        <v>16387</v>
      </c>
      <c r="UZQ1" t="s">
        <v>16388</v>
      </c>
      <c r="UZR1" t="s">
        <v>16389</v>
      </c>
      <c r="UZS1" t="s">
        <v>16390</v>
      </c>
      <c r="UZT1" t="s">
        <v>16391</v>
      </c>
      <c r="UZU1" t="s">
        <v>16392</v>
      </c>
      <c r="UZV1" t="s">
        <v>16393</v>
      </c>
      <c r="UZW1" t="s">
        <v>16394</v>
      </c>
      <c r="UZX1" t="s">
        <v>16395</v>
      </c>
      <c r="UZY1" t="s">
        <v>16396</v>
      </c>
      <c r="UZZ1" t="s">
        <v>16397</v>
      </c>
      <c r="VAA1" t="s">
        <v>16398</v>
      </c>
      <c r="VAB1" t="s">
        <v>16399</v>
      </c>
      <c r="VAC1" t="s">
        <v>16400</v>
      </c>
      <c r="VAD1" t="s">
        <v>16401</v>
      </c>
      <c r="VAE1" t="s">
        <v>16402</v>
      </c>
      <c r="VAF1" t="s">
        <v>16403</v>
      </c>
      <c r="VAG1" t="s">
        <v>16404</v>
      </c>
      <c r="VAH1" t="s">
        <v>16405</v>
      </c>
      <c r="VAI1" t="s">
        <v>16406</v>
      </c>
      <c r="VAJ1" t="s">
        <v>16407</v>
      </c>
      <c r="VAK1" t="s">
        <v>16408</v>
      </c>
      <c r="VAL1" t="s">
        <v>16409</v>
      </c>
      <c r="VAM1" t="s">
        <v>16410</v>
      </c>
      <c r="VAN1" t="s">
        <v>16411</v>
      </c>
      <c r="VAO1" t="s">
        <v>16412</v>
      </c>
      <c r="VAP1" t="s">
        <v>16413</v>
      </c>
      <c r="VAQ1" t="s">
        <v>16414</v>
      </c>
      <c r="VAR1" t="s">
        <v>16415</v>
      </c>
      <c r="VAS1" t="s">
        <v>16416</v>
      </c>
      <c r="VAT1" t="s">
        <v>16417</v>
      </c>
      <c r="VAU1" t="s">
        <v>16418</v>
      </c>
      <c r="VAV1" t="s">
        <v>16419</v>
      </c>
      <c r="VAW1" t="s">
        <v>16420</v>
      </c>
      <c r="VAX1" t="s">
        <v>16421</v>
      </c>
      <c r="VAY1" t="s">
        <v>16422</v>
      </c>
      <c r="VAZ1" t="s">
        <v>16423</v>
      </c>
      <c r="VBA1" t="s">
        <v>16424</v>
      </c>
      <c r="VBB1" t="s">
        <v>16425</v>
      </c>
      <c r="VBC1" t="s">
        <v>16426</v>
      </c>
      <c r="VBD1" t="s">
        <v>16427</v>
      </c>
      <c r="VBE1" t="s">
        <v>16428</v>
      </c>
      <c r="VBF1" t="s">
        <v>16429</v>
      </c>
      <c r="VBG1" t="s">
        <v>16430</v>
      </c>
      <c r="VBH1" t="s">
        <v>16431</v>
      </c>
      <c r="VBI1" t="s">
        <v>16432</v>
      </c>
      <c r="VBJ1" t="s">
        <v>16433</v>
      </c>
      <c r="VBK1" t="s">
        <v>16434</v>
      </c>
      <c r="VBL1" t="s">
        <v>16435</v>
      </c>
      <c r="VBM1" t="s">
        <v>16436</v>
      </c>
      <c r="VBN1" t="s">
        <v>16437</v>
      </c>
      <c r="VBO1" t="s">
        <v>16438</v>
      </c>
      <c r="VBP1" t="s">
        <v>16439</v>
      </c>
      <c r="VBQ1" t="s">
        <v>16440</v>
      </c>
      <c r="VBR1" t="s">
        <v>16441</v>
      </c>
      <c r="VBS1" t="s">
        <v>16442</v>
      </c>
      <c r="VBT1" t="s">
        <v>16443</v>
      </c>
      <c r="VBU1" t="s">
        <v>16444</v>
      </c>
      <c r="VBV1" t="s">
        <v>16445</v>
      </c>
      <c r="VBW1" t="s">
        <v>16446</v>
      </c>
      <c r="VBX1" t="s">
        <v>16447</v>
      </c>
      <c r="VBY1" t="s">
        <v>16448</v>
      </c>
      <c r="VBZ1" t="s">
        <v>16449</v>
      </c>
      <c r="VCA1" t="s">
        <v>16450</v>
      </c>
      <c r="VCB1" t="s">
        <v>16451</v>
      </c>
      <c r="VCC1" t="s">
        <v>16452</v>
      </c>
      <c r="VCD1" t="s">
        <v>16453</v>
      </c>
      <c r="VCE1" t="s">
        <v>16454</v>
      </c>
      <c r="VCF1" t="s">
        <v>16455</v>
      </c>
      <c r="VCG1" t="s">
        <v>16456</v>
      </c>
      <c r="VCH1" t="s">
        <v>16457</v>
      </c>
      <c r="VCI1" t="s">
        <v>16458</v>
      </c>
      <c r="VCJ1" t="s">
        <v>16459</v>
      </c>
      <c r="VCK1" t="s">
        <v>16460</v>
      </c>
      <c r="VCL1" t="s">
        <v>16461</v>
      </c>
      <c r="VCM1" t="s">
        <v>16462</v>
      </c>
      <c r="VCN1" t="s">
        <v>16463</v>
      </c>
      <c r="VCO1" t="s">
        <v>16464</v>
      </c>
      <c r="VCP1" t="s">
        <v>16465</v>
      </c>
      <c r="VCQ1" t="s">
        <v>16466</v>
      </c>
      <c r="VCR1" t="s">
        <v>16467</v>
      </c>
      <c r="VCS1" t="s">
        <v>16468</v>
      </c>
      <c r="VCT1" t="s">
        <v>16469</v>
      </c>
      <c r="VCU1" t="s">
        <v>16470</v>
      </c>
      <c r="VCV1" t="s">
        <v>16471</v>
      </c>
      <c r="VCW1" t="s">
        <v>16472</v>
      </c>
      <c r="VCX1" t="s">
        <v>16473</v>
      </c>
      <c r="VCY1" t="s">
        <v>16474</v>
      </c>
      <c r="VCZ1" t="s">
        <v>16475</v>
      </c>
      <c r="VDA1" t="s">
        <v>16476</v>
      </c>
      <c r="VDB1" t="s">
        <v>16477</v>
      </c>
      <c r="VDC1" t="s">
        <v>16478</v>
      </c>
      <c r="VDD1" t="s">
        <v>16479</v>
      </c>
      <c r="VDE1" t="s">
        <v>16480</v>
      </c>
      <c r="VDF1" t="s">
        <v>16481</v>
      </c>
      <c r="VDG1" t="s">
        <v>16482</v>
      </c>
      <c r="VDH1" t="s">
        <v>16483</v>
      </c>
      <c r="VDI1" t="s">
        <v>16484</v>
      </c>
      <c r="VDJ1" t="s">
        <v>16485</v>
      </c>
      <c r="VDK1" t="s">
        <v>16486</v>
      </c>
      <c r="VDL1" t="s">
        <v>16487</v>
      </c>
      <c r="VDM1" t="s">
        <v>16488</v>
      </c>
      <c r="VDN1" t="s">
        <v>16489</v>
      </c>
      <c r="VDO1" t="s">
        <v>16490</v>
      </c>
      <c r="VDP1" t="s">
        <v>16491</v>
      </c>
      <c r="VDQ1" t="s">
        <v>16492</v>
      </c>
      <c r="VDR1" t="s">
        <v>16493</v>
      </c>
      <c r="VDS1" t="s">
        <v>16494</v>
      </c>
      <c r="VDT1" t="s">
        <v>16495</v>
      </c>
      <c r="VDU1" t="s">
        <v>16496</v>
      </c>
      <c r="VDV1" t="s">
        <v>16497</v>
      </c>
      <c r="VDW1" t="s">
        <v>16498</v>
      </c>
      <c r="VDX1" t="s">
        <v>16499</v>
      </c>
      <c r="VDY1" t="s">
        <v>16500</v>
      </c>
      <c r="VDZ1" t="s">
        <v>16501</v>
      </c>
      <c r="VEA1" t="s">
        <v>16502</v>
      </c>
      <c r="VEB1" t="s">
        <v>16503</v>
      </c>
      <c r="VEC1" t="s">
        <v>16504</v>
      </c>
      <c r="VED1" t="s">
        <v>16505</v>
      </c>
      <c r="VEE1" t="s">
        <v>16506</v>
      </c>
      <c r="VEF1" t="s">
        <v>16507</v>
      </c>
      <c r="VEG1" t="s">
        <v>16508</v>
      </c>
      <c r="VEH1" t="s">
        <v>16509</v>
      </c>
      <c r="VEI1" t="s">
        <v>16510</v>
      </c>
      <c r="VEJ1" t="s">
        <v>16511</v>
      </c>
      <c r="VEK1" t="s">
        <v>16512</v>
      </c>
      <c r="VEL1" t="s">
        <v>16513</v>
      </c>
      <c r="VEM1" t="s">
        <v>16514</v>
      </c>
      <c r="VEN1" t="s">
        <v>16515</v>
      </c>
      <c r="VEO1" t="s">
        <v>16516</v>
      </c>
      <c r="VEP1" t="s">
        <v>16517</v>
      </c>
      <c r="VEQ1" t="s">
        <v>16518</v>
      </c>
      <c r="VER1" t="s">
        <v>16519</v>
      </c>
      <c r="VES1" t="s">
        <v>16520</v>
      </c>
      <c r="VET1" t="s">
        <v>16521</v>
      </c>
      <c r="VEU1" t="s">
        <v>16522</v>
      </c>
      <c r="VEV1" t="s">
        <v>16523</v>
      </c>
      <c r="VEW1" t="s">
        <v>16524</v>
      </c>
      <c r="VEX1" t="s">
        <v>16525</v>
      </c>
      <c r="VEY1" t="s">
        <v>16526</v>
      </c>
      <c r="VEZ1" t="s">
        <v>16527</v>
      </c>
      <c r="VFA1" t="s">
        <v>16528</v>
      </c>
      <c r="VFB1" t="s">
        <v>16529</v>
      </c>
      <c r="VFC1" t="s">
        <v>16530</v>
      </c>
      <c r="VFD1" t="s">
        <v>16531</v>
      </c>
      <c r="VFE1" t="s">
        <v>16532</v>
      </c>
      <c r="VFF1" t="s">
        <v>16533</v>
      </c>
      <c r="VFG1" t="s">
        <v>16534</v>
      </c>
      <c r="VFH1" t="s">
        <v>16535</v>
      </c>
      <c r="VFI1" t="s">
        <v>16536</v>
      </c>
      <c r="VFJ1" t="s">
        <v>16537</v>
      </c>
      <c r="VFK1" t="s">
        <v>16538</v>
      </c>
      <c r="VFL1" t="s">
        <v>16539</v>
      </c>
      <c r="VFM1" t="s">
        <v>16540</v>
      </c>
      <c r="VFN1" t="s">
        <v>16541</v>
      </c>
      <c r="VFO1" t="s">
        <v>16542</v>
      </c>
      <c r="VFP1" t="s">
        <v>16543</v>
      </c>
      <c r="VFQ1" t="s">
        <v>16544</v>
      </c>
      <c r="VFR1" t="s">
        <v>16545</v>
      </c>
      <c r="VFS1" t="s">
        <v>16546</v>
      </c>
      <c r="VFT1" t="s">
        <v>16547</v>
      </c>
      <c r="VFU1" t="s">
        <v>16548</v>
      </c>
      <c r="VFV1" t="s">
        <v>16549</v>
      </c>
      <c r="VFW1" t="s">
        <v>16550</v>
      </c>
      <c r="VFX1" t="s">
        <v>16551</v>
      </c>
      <c r="VFY1" t="s">
        <v>16552</v>
      </c>
      <c r="VFZ1" t="s">
        <v>16553</v>
      </c>
      <c r="VGA1" t="s">
        <v>16554</v>
      </c>
      <c r="VGB1" t="s">
        <v>16555</v>
      </c>
      <c r="VGC1" t="s">
        <v>16556</v>
      </c>
      <c r="VGD1" t="s">
        <v>16557</v>
      </c>
      <c r="VGE1" t="s">
        <v>16558</v>
      </c>
      <c r="VGF1" t="s">
        <v>16559</v>
      </c>
      <c r="VGG1" t="s">
        <v>16560</v>
      </c>
      <c r="VGH1" t="s">
        <v>16561</v>
      </c>
      <c r="VGI1" t="s">
        <v>16562</v>
      </c>
      <c r="VGJ1" t="s">
        <v>16563</v>
      </c>
      <c r="VGK1" t="s">
        <v>16564</v>
      </c>
      <c r="VGL1" t="s">
        <v>16565</v>
      </c>
      <c r="VGM1" t="s">
        <v>16566</v>
      </c>
      <c r="VGN1" t="s">
        <v>16567</v>
      </c>
      <c r="VGO1" t="s">
        <v>16568</v>
      </c>
      <c r="VGP1" t="s">
        <v>16569</v>
      </c>
      <c r="VGQ1" t="s">
        <v>16570</v>
      </c>
      <c r="VGR1" t="s">
        <v>16571</v>
      </c>
      <c r="VGS1" t="s">
        <v>16572</v>
      </c>
      <c r="VGT1" t="s">
        <v>16573</v>
      </c>
      <c r="VGU1" t="s">
        <v>16574</v>
      </c>
      <c r="VGV1" t="s">
        <v>16575</v>
      </c>
      <c r="VGW1" t="s">
        <v>16576</v>
      </c>
      <c r="VGX1" t="s">
        <v>16577</v>
      </c>
      <c r="VGY1" t="s">
        <v>16578</v>
      </c>
      <c r="VGZ1" t="s">
        <v>16579</v>
      </c>
      <c r="VHA1" t="s">
        <v>16580</v>
      </c>
      <c r="VHB1" t="s">
        <v>16581</v>
      </c>
      <c r="VHC1" t="s">
        <v>16582</v>
      </c>
      <c r="VHD1" t="s">
        <v>16583</v>
      </c>
      <c r="VHE1" t="s">
        <v>16584</v>
      </c>
      <c r="VHF1" t="s">
        <v>16585</v>
      </c>
      <c r="VHG1" t="s">
        <v>16586</v>
      </c>
      <c r="VHH1" t="s">
        <v>16587</v>
      </c>
      <c r="VHI1" t="s">
        <v>16588</v>
      </c>
      <c r="VHJ1" t="s">
        <v>16589</v>
      </c>
      <c r="VHK1" t="s">
        <v>16590</v>
      </c>
      <c r="VHL1" t="s">
        <v>16591</v>
      </c>
      <c r="VHM1" t="s">
        <v>16592</v>
      </c>
      <c r="VHN1" t="s">
        <v>16593</v>
      </c>
      <c r="VHO1" t="s">
        <v>16594</v>
      </c>
      <c r="VHP1" t="s">
        <v>16595</v>
      </c>
      <c r="VHQ1" t="s">
        <v>16596</v>
      </c>
      <c r="VHR1" t="s">
        <v>16597</v>
      </c>
      <c r="VHS1" t="s">
        <v>16598</v>
      </c>
      <c r="VHT1" t="s">
        <v>16599</v>
      </c>
      <c r="VHU1" t="s">
        <v>16600</v>
      </c>
      <c r="VHV1" t="s">
        <v>16601</v>
      </c>
      <c r="VHW1" t="s">
        <v>16602</v>
      </c>
      <c r="VHX1" t="s">
        <v>16603</v>
      </c>
      <c r="VHY1" t="s">
        <v>16604</v>
      </c>
      <c r="VHZ1" t="s">
        <v>16605</v>
      </c>
      <c r="VIA1" t="s">
        <v>16606</v>
      </c>
      <c r="VIB1" t="s">
        <v>16607</v>
      </c>
      <c r="VIC1" t="s">
        <v>16608</v>
      </c>
      <c r="VID1" t="s">
        <v>16609</v>
      </c>
      <c r="VIE1" t="s">
        <v>16610</v>
      </c>
      <c r="VIF1" t="s">
        <v>16611</v>
      </c>
      <c r="VIG1" t="s">
        <v>16612</v>
      </c>
      <c r="VIH1" t="s">
        <v>16613</v>
      </c>
      <c r="VII1" t="s">
        <v>16614</v>
      </c>
      <c r="VIJ1" t="s">
        <v>16615</v>
      </c>
      <c r="VIK1" t="s">
        <v>16616</v>
      </c>
      <c r="VIL1" t="s">
        <v>16617</v>
      </c>
      <c r="VIM1" t="s">
        <v>16618</v>
      </c>
      <c r="VIN1" t="s">
        <v>16619</v>
      </c>
      <c r="VIO1" t="s">
        <v>16620</v>
      </c>
      <c r="VIP1" t="s">
        <v>16621</v>
      </c>
      <c r="VIQ1" t="s">
        <v>16622</v>
      </c>
      <c r="VIR1" t="s">
        <v>16623</v>
      </c>
      <c r="VIS1" t="s">
        <v>16624</v>
      </c>
      <c r="VIT1" t="s">
        <v>16625</v>
      </c>
      <c r="VIU1" t="s">
        <v>16626</v>
      </c>
      <c r="VIV1" t="s">
        <v>16627</v>
      </c>
      <c r="VIW1" t="s">
        <v>16628</v>
      </c>
      <c r="VIX1" t="s">
        <v>16629</v>
      </c>
      <c r="VIY1" t="s">
        <v>16630</v>
      </c>
      <c r="VIZ1" t="s">
        <v>16631</v>
      </c>
      <c r="VJA1" t="s">
        <v>16632</v>
      </c>
      <c r="VJB1" t="s">
        <v>16633</v>
      </c>
      <c r="VJC1" t="s">
        <v>16634</v>
      </c>
      <c r="VJD1" t="s">
        <v>16635</v>
      </c>
      <c r="VJE1" t="s">
        <v>16636</v>
      </c>
      <c r="VJF1" t="s">
        <v>16637</v>
      </c>
      <c r="VJG1" t="s">
        <v>16638</v>
      </c>
      <c r="VJH1" t="s">
        <v>16639</v>
      </c>
      <c r="VJI1" t="s">
        <v>16640</v>
      </c>
      <c r="VJJ1" t="s">
        <v>16641</v>
      </c>
      <c r="VJK1" t="s">
        <v>16642</v>
      </c>
      <c r="VJL1" t="s">
        <v>16643</v>
      </c>
      <c r="VJM1" t="s">
        <v>16644</v>
      </c>
      <c r="VJN1" t="s">
        <v>16645</v>
      </c>
      <c r="VJO1" t="s">
        <v>16646</v>
      </c>
      <c r="VJP1" t="s">
        <v>16647</v>
      </c>
      <c r="VJQ1" t="s">
        <v>16648</v>
      </c>
      <c r="VJR1" t="s">
        <v>16649</v>
      </c>
      <c r="VJS1" t="s">
        <v>16650</v>
      </c>
      <c r="VJT1" t="s">
        <v>16651</v>
      </c>
      <c r="VJU1" t="s">
        <v>16652</v>
      </c>
      <c r="VJV1" t="s">
        <v>16653</v>
      </c>
      <c r="VJW1" t="s">
        <v>16654</v>
      </c>
      <c r="VJX1" t="s">
        <v>16655</v>
      </c>
      <c r="VJY1" t="s">
        <v>16656</v>
      </c>
      <c r="VJZ1" t="s">
        <v>16657</v>
      </c>
      <c r="VKA1" t="s">
        <v>16658</v>
      </c>
      <c r="VKB1" t="s">
        <v>16659</v>
      </c>
      <c r="VKC1" t="s">
        <v>16660</v>
      </c>
      <c r="VKD1" t="s">
        <v>16661</v>
      </c>
      <c r="VKE1" t="s">
        <v>16662</v>
      </c>
      <c r="VKF1" t="s">
        <v>16663</v>
      </c>
      <c r="VKG1" t="s">
        <v>16664</v>
      </c>
      <c r="VKH1" t="s">
        <v>16665</v>
      </c>
      <c r="VKI1" t="s">
        <v>16666</v>
      </c>
      <c r="VKJ1" t="s">
        <v>16667</v>
      </c>
      <c r="VKK1" t="s">
        <v>16668</v>
      </c>
      <c r="VKL1" t="s">
        <v>16669</v>
      </c>
      <c r="VKM1" t="s">
        <v>16670</v>
      </c>
      <c r="VKN1" t="s">
        <v>16671</v>
      </c>
      <c r="VKO1" t="s">
        <v>16672</v>
      </c>
      <c r="VKP1" t="s">
        <v>16673</v>
      </c>
      <c r="VKQ1" t="s">
        <v>16674</v>
      </c>
      <c r="VKR1" t="s">
        <v>16675</v>
      </c>
      <c r="VKS1" t="s">
        <v>16676</v>
      </c>
      <c r="VKT1" t="s">
        <v>16677</v>
      </c>
      <c r="VKU1" t="s">
        <v>16678</v>
      </c>
      <c r="VKV1" t="s">
        <v>16679</v>
      </c>
      <c r="VKW1" t="s">
        <v>16680</v>
      </c>
      <c r="VKX1" t="s">
        <v>16681</v>
      </c>
      <c r="VKY1" t="s">
        <v>16682</v>
      </c>
      <c r="VKZ1" t="s">
        <v>16683</v>
      </c>
      <c r="VLA1" t="s">
        <v>16684</v>
      </c>
      <c r="VLB1" t="s">
        <v>16685</v>
      </c>
      <c r="VLC1" t="s">
        <v>16686</v>
      </c>
      <c r="VLD1" t="s">
        <v>16687</v>
      </c>
      <c r="VLE1" t="s">
        <v>16688</v>
      </c>
      <c r="VLF1" t="s">
        <v>16689</v>
      </c>
      <c r="VLG1" t="s">
        <v>16690</v>
      </c>
      <c r="VLH1" t="s">
        <v>16691</v>
      </c>
      <c r="VLI1" t="s">
        <v>16692</v>
      </c>
      <c r="VLJ1" t="s">
        <v>16693</v>
      </c>
      <c r="VLK1" t="s">
        <v>16694</v>
      </c>
      <c r="VLL1" t="s">
        <v>16695</v>
      </c>
      <c r="VLM1" t="s">
        <v>16696</v>
      </c>
      <c r="VLN1" t="s">
        <v>16697</v>
      </c>
      <c r="VLO1" t="s">
        <v>16698</v>
      </c>
      <c r="VLP1" t="s">
        <v>16699</v>
      </c>
      <c r="VLQ1" t="s">
        <v>16700</v>
      </c>
      <c r="VLR1" t="s">
        <v>16701</v>
      </c>
      <c r="VLS1" t="s">
        <v>16702</v>
      </c>
      <c r="VLT1" t="s">
        <v>16703</v>
      </c>
      <c r="VLU1" t="s">
        <v>16704</v>
      </c>
      <c r="VLV1" t="s">
        <v>16705</v>
      </c>
      <c r="VLW1" t="s">
        <v>16706</v>
      </c>
      <c r="VLX1" t="s">
        <v>16707</v>
      </c>
      <c r="VLY1" t="s">
        <v>16708</v>
      </c>
      <c r="VLZ1" t="s">
        <v>16709</v>
      </c>
      <c r="VMA1" t="s">
        <v>16710</v>
      </c>
      <c r="VMB1" t="s">
        <v>16711</v>
      </c>
      <c r="VMC1" t="s">
        <v>16712</v>
      </c>
      <c r="VMD1" t="s">
        <v>16713</v>
      </c>
      <c r="VME1" t="s">
        <v>16714</v>
      </c>
      <c r="VMF1" t="s">
        <v>16715</v>
      </c>
      <c r="VMG1" t="s">
        <v>16716</v>
      </c>
      <c r="VMH1" t="s">
        <v>16717</v>
      </c>
      <c r="VMI1" t="s">
        <v>16718</v>
      </c>
      <c r="VMJ1" t="s">
        <v>16719</v>
      </c>
      <c r="VMK1" t="s">
        <v>16720</v>
      </c>
      <c r="VML1" t="s">
        <v>16721</v>
      </c>
      <c r="VMM1" t="s">
        <v>16722</v>
      </c>
      <c r="VMN1" t="s">
        <v>16723</v>
      </c>
      <c r="VMO1" t="s">
        <v>16724</v>
      </c>
      <c r="VMP1" t="s">
        <v>16725</v>
      </c>
      <c r="VMQ1" t="s">
        <v>16726</v>
      </c>
      <c r="VMR1" t="s">
        <v>16727</v>
      </c>
      <c r="VMS1" t="s">
        <v>16728</v>
      </c>
      <c r="VMT1" t="s">
        <v>16729</v>
      </c>
      <c r="VMU1" t="s">
        <v>16730</v>
      </c>
      <c r="VMV1" t="s">
        <v>16731</v>
      </c>
      <c r="VMW1" t="s">
        <v>16732</v>
      </c>
      <c r="VMX1" t="s">
        <v>16733</v>
      </c>
      <c r="VMY1" t="s">
        <v>16734</v>
      </c>
      <c r="VMZ1" t="s">
        <v>16735</v>
      </c>
      <c r="VNA1" t="s">
        <v>16736</v>
      </c>
      <c r="VNB1" t="s">
        <v>16737</v>
      </c>
      <c r="VNC1" t="s">
        <v>16738</v>
      </c>
      <c r="VND1" t="s">
        <v>16739</v>
      </c>
      <c r="VNE1" t="s">
        <v>16740</v>
      </c>
      <c r="VNF1" t="s">
        <v>16741</v>
      </c>
      <c r="VNG1" t="s">
        <v>16742</v>
      </c>
      <c r="VNH1" t="s">
        <v>16743</v>
      </c>
      <c r="VNI1" t="s">
        <v>16744</v>
      </c>
      <c r="VNJ1" t="s">
        <v>16745</v>
      </c>
      <c r="VNK1" t="s">
        <v>16746</v>
      </c>
      <c r="VNL1" t="s">
        <v>16747</v>
      </c>
      <c r="VNM1" t="s">
        <v>16748</v>
      </c>
      <c r="VNN1" t="s">
        <v>16749</v>
      </c>
      <c r="VNO1" t="s">
        <v>16750</v>
      </c>
      <c r="VNP1" t="s">
        <v>16751</v>
      </c>
      <c r="VNQ1" t="s">
        <v>16752</v>
      </c>
      <c r="VNR1" t="s">
        <v>16753</v>
      </c>
      <c r="VNS1" t="s">
        <v>16754</v>
      </c>
      <c r="VNT1" t="s">
        <v>16755</v>
      </c>
      <c r="VNU1" t="s">
        <v>16756</v>
      </c>
      <c r="VNV1" t="s">
        <v>16757</v>
      </c>
      <c r="VNW1" t="s">
        <v>16758</v>
      </c>
      <c r="VNX1" t="s">
        <v>16759</v>
      </c>
      <c r="VNY1" t="s">
        <v>16760</v>
      </c>
      <c r="VNZ1" t="s">
        <v>16761</v>
      </c>
      <c r="VOA1" t="s">
        <v>16762</v>
      </c>
      <c r="VOB1" t="s">
        <v>16763</v>
      </c>
      <c r="VOC1" t="s">
        <v>16764</v>
      </c>
      <c r="VOD1" t="s">
        <v>16765</v>
      </c>
      <c r="VOE1" t="s">
        <v>16766</v>
      </c>
      <c r="VOF1" t="s">
        <v>16767</v>
      </c>
      <c r="VOG1" t="s">
        <v>16768</v>
      </c>
      <c r="VOH1" t="s">
        <v>16769</v>
      </c>
      <c r="VOI1" t="s">
        <v>16770</v>
      </c>
      <c r="VOJ1" t="s">
        <v>16771</v>
      </c>
      <c r="VOK1" t="s">
        <v>16772</v>
      </c>
      <c r="VOL1" t="s">
        <v>16773</v>
      </c>
      <c r="VOM1" t="s">
        <v>16774</v>
      </c>
      <c r="VON1" t="s">
        <v>16775</v>
      </c>
      <c r="VOO1" t="s">
        <v>16776</v>
      </c>
      <c r="VOP1" t="s">
        <v>16777</v>
      </c>
      <c r="VOQ1" t="s">
        <v>16778</v>
      </c>
      <c r="VOR1" t="s">
        <v>16779</v>
      </c>
      <c r="VOS1" t="s">
        <v>16780</v>
      </c>
      <c r="VOT1" t="s">
        <v>16781</v>
      </c>
      <c r="VOU1" t="s">
        <v>16782</v>
      </c>
      <c r="VOV1" t="s">
        <v>16783</v>
      </c>
      <c r="VOW1" t="s">
        <v>16784</v>
      </c>
      <c r="VOX1" t="s">
        <v>16785</v>
      </c>
      <c r="VOY1" t="s">
        <v>16786</v>
      </c>
      <c r="VOZ1" t="s">
        <v>16787</v>
      </c>
      <c r="VPA1" t="s">
        <v>16788</v>
      </c>
      <c r="VPB1" t="s">
        <v>16789</v>
      </c>
      <c r="VPC1" t="s">
        <v>16790</v>
      </c>
      <c r="VPD1" t="s">
        <v>16791</v>
      </c>
      <c r="VPE1" t="s">
        <v>16792</v>
      </c>
      <c r="VPF1" t="s">
        <v>16793</v>
      </c>
      <c r="VPG1" t="s">
        <v>16794</v>
      </c>
      <c r="VPH1" t="s">
        <v>16795</v>
      </c>
      <c r="VPI1" t="s">
        <v>16796</v>
      </c>
      <c r="VPJ1" t="s">
        <v>16797</v>
      </c>
      <c r="VPK1" t="s">
        <v>16798</v>
      </c>
      <c r="VPL1" t="s">
        <v>16799</v>
      </c>
      <c r="VPM1" t="s">
        <v>16800</v>
      </c>
      <c r="VPN1" t="s">
        <v>16801</v>
      </c>
      <c r="VPO1" t="s">
        <v>16802</v>
      </c>
      <c r="VPP1" t="s">
        <v>16803</v>
      </c>
      <c r="VPQ1" t="s">
        <v>16804</v>
      </c>
      <c r="VPR1" t="s">
        <v>16805</v>
      </c>
      <c r="VPS1" t="s">
        <v>16806</v>
      </c>
      <c r="VPT1" t="s">
        <v>16807</v>
      </c>
      <c r="VPU1" t="s">
        <v>16808</v>
      </c>
      <c r="VPV1" t="s">
        <v>16809</v>
      </c>
      <c r="VPW1" t="s">
        <v>16810</v>
      </c>
      <c r="VPX1" t="s">
        <v>16811</v>
      </c>
      <c r="VPY1" t="s">
        <v>16812</v>
      </c>
      <c r="VPZ1" t="s">
        <v>16813</v>
      </c>
      <c r="VQA1" t="s">
        <v>16814</v>
      </c>
      <c r="VQB1" t="s">
        <v>16815</v>
      </c>
      <c r="VQC1" t="s">
        <v>16816</v>
      </c>
      <c r="VQD1" t="s">
        <v>16817</v>
      </c>
      <c r="VQE1" t="s">
        <v>16818</v>
      </c>
      <c r="VQF1" t="s">
        <v>16819</v>
      </c>
      <c r="VQG1" t="s">
        <v>16820</v>
      </c>
      <c r="VQH1" t="s">
        <v>16821</v>
      </c>
      <c r="VQI1" t="s">
        <v>16822</v>
      </c>
      <c r="VQJ1" t="s">
        <v>16823</v>
      </c>
      <c r="VQK1" t="s">
        <v>16824</v>
      </c>
      <c r="VQL1" t="s">
        <v>16825</v>
      </c>
      <c r="VQM1" t="s">
        <v>16826</v>
      </c>
      <c r="VQN1" t="s">
        <v>16827</v>
      </c>
      <c r="VQO1" t="s">
        <v>16828</v>
      </c>
      <c r="VQP1" t="s">
        <v>16829</v>
      </c>
      <c r="VQQ1" t="s">
        <v>16830</v>
      </c>
      <c r="VQR1" t="s">
        <v>16831</v>
      </c>
      <c r="VQS1" t="s">
        <v>16832</v>
      </c>
      <c r="VQT1" t="s">
        <v>16833</v>
      </c>
      <c r="VQU1" t="s">
        <v>16834</v>
      </c>
      <c r="VQV1" t="s">
        <v>16835</v>
      </c>
      <c r="VQW1" t="s">
        <v>16836</v>
      </c>
      <c r="VQX1" t="s">
        <v>16837</v>
      </c>
      <c r="VQY1" t="s">
        <v>16838</v>
      </c>
      <c r="VQZ1" t="s">
        <v>16839</v>
      </c>
      <c r="VRA1" t="s">
        <v>16840</v>
      </c>
      <c r="VRB1" t="s">
        <v>16841</v>
      </c>
      <c r="VRC1" t="s">
        <v>16842</v>
      </c>
      <c r="VRD1" t="s">
        <v>16843</v>
      </c>
      <c r="VRE1" t="s">
        <v>16844</v>
      </c>
      <c r="VRF1" t="s">
        <v>16845</v>
      </c>
      <c r="VRG1" t="s">
        <v>16846</v>
      </c>
      <c r="VRH1" t="s">
        <v>16847</v>
      </c>
      <c r="VRI1" t="s">
        <v>16848</v>
      </c>
      <c r="VRJ1" t="s">
        <v>16849</v>
      </c>
      <c r="VRK1" t="s">
        <v>16850</v>
      </c>
      <c r="VRL1" t="s">
        <v>16851</v>
      </c>
      <c r="VRM1" t="s">
        <v>16852</v>
      </c>
      <c r="VRN1" t="s">
        <v>16853</v>
      </c>
      <c r="VRO1" t="s">
        <v>16854</v>
      </c>
      <c r="VRP1" t="s">
        <v>16855</v>
      </c>
      <c r="VRQ1" t="s">
        <v>16856</v>
      </c>
      <c r="VRR1" t="s">
        <v>16857</v>
      </c>
      <c r="VRS1" t="s">
        <v>16858</v>
      </c>
      <c r="VRT1" t="s">
        <v>16859</v>
      </c>
      <c r="VRU1" t="s">
        <v>16860</v>
      </c>
      <c r="VRV1" t="s">
        <v>16861</v>
      </c>
      <c r="VRW1" t="s">
        <v>16862</v>
      </c>
      <c r="VRX1" t="s">
        <v>16863</v>
      </c>
      <c r="VRY1" t="s">
        <v>16864</v>
      </c>
      <c r="VRZ1" t="s">
        <v>16865</v>
      </c>
      <c r="VSA1" t="s">
        <v>16866</v>
      </c>
      <c r="VSB1" t="s">
        <v>16867</v>
      </c>
      <c r="VSC1" t="s">
        <v>16868</v>
      </c>
      <c r="VSD1" t="s">
        <v>16869</v>
      </c>
      <c r="VSE1" t="s">
        <v>16870</v>
      </c>
      <c r="VSF1" t="s">
        <v>16871</v>
      </c>
      <c r="VSG1" t="s">
        <v>16872</v>
      </c>
      <c r="VSH1" t="s">
        <v>16873</v>
      </c>
      <c r="VSI1" t="s">
        <v>16874</v>
      </c>
      <c r="VSJ1" t="s">
        <v>16875</v>
      </c>
      <c r="VSK1" t="s">
        <v>16876</v>
      </c>
      <c r="VSL1" t="s">
        <v>16877</v>
      </c>
      <c r="VSM1" t="s">
        <v>16878</v>
      </c>
      <c r="VSN1" t="s">
        <v>16879</v>
      </c>
      <c r="VSO1" t="s">
        <v>16880</v>
      </c>
      <c r="VSP1" t="s">
        <v>16881</v>
      </c>
      <c r="VSQ1" t="s">
        <v>16882</v>
      </c>
      <c r="VSR1" t="s">
        <v>16883</v>
      </c>
      <c r="VSS1" t="s">
        <v>16884</v>
      </c>
      <c r="VST1" t="s">
        <v>16885</v>
      </c>
      <c r="VSU1" t="s">
        <v>16886</v>
      </c>
      <c r="VSV1" t="s">
        <v>16887</v>
      </c>
      <c r="VSW1" t="s">
        <v>16888</v>
      </c>
      <c r="VSX1" t="s">
        <v>16889</v>
      </c>
      <c r="VSY1" t="s">
        <v>16890</v>
      </c>
      <c r="VSZ1" t="s">
        <v>16891</v>
      </c>
      <c r="VTA1" t="s">
        <v>16892</v>
      </c>
      <c r="VTB1" t="s">
        <v>16893</v>
      </c>
      <c r="VTC1" t="s">
        <v>16894</v>
      </c>
      <c r="VTD1" t="s">
        <v>16895</v>
      </c>
      <c r="VTE1" t="s">
        <v>16896</v>
      </c>
      <c r="VTF1" t="s">
        <v>16897</v>
      </c>
      <c r="VTG1" t="s">
        <v>16898</v>
      </c>
      <c r="VTH1" t="s">
        <v>16899</v>
      </c>
      <c r="VTI1" t="s">
        <v>16900</v>
      </c>
      <c r="VTJ1" t="s">
        <v>16901</v>
      </c>
      <c r="VTK1" t="s">
        <v>16902</v>
      </c>
      <c r="VTL1" t="s">
        <v>16903</v>
      </c>
      <c r="VTM1" t="s">
        <v>16904</v>
      </c>
      <c r="VTN1" t="s">
        <v>16905</v>
      </c>
      <c r="VTO1" t="s">
        <v>16906</v>
      </c>
      <c r="VTP1" t="s">
        <v>16907</v>
      </c>
      <c r="VTQ1" t="s">
        <v>16908</v>
      </c>
      <c r="VTR1" t="s">
        <v>16909</v>
      </c>
      <c r="VTS1" t="s">
        <v>16910</v>
      </c>
      <c r="VTT1" t="s">
        <v>16911</v>
      </c>
      <c r="VTU1" t="s">
        <v>16912</v>
      </c>
      <c r="VTV1" t="s">
        <v>16913</v>
      </c>
      <c r="VTW1" t="s">
        <v>16914</v>
      </c>
      <c r="VTX1" t="s">
        <v>16915</v>
      </c>
      <c r="VTY1" t="s">
        <v>16916</v>
      </c>
      <c r="VTZ1" t="s">
        <v>16917</v>
      </c>
      <c r="VUA1" t="s">
        <v>16918</v>
      </c>
      <c r="VUB1" t="s">
        <v>16919</v>
      </c>
      <c r="VUC1" t="s">
        <v>16920</v>
      </c>
      <c r="VUD1" t="s">
        <v>16921</v>
      </c>
      <c r="VUE1" t="s">
        <v>16922</v>
      </c>
      <c r="VUF1" t="s">
        <v>16923</v>
      </c>
      <c r="VUG1" t="s">
        <v>16924</v>
      </c>
      <c r="VUH1" t="s">
        <v>16925</v>
      </c>
      <c r="VUI1" t="s">
        <v>16926</v>
      </c>
      <c r="VUJ1" t="s">
        <v>16927</v>
      </c>
      <c r="VUK1" t="s">
        <v>16928</v>
      </c>
      <c r="VUL1" t="s">
        <v>16929</v>
      </c>
      <c r="VUM1" t="s">
        <v>16930</v>
      </c>
      <c r="VUN1" t="s">
        <v>16931</v>
      </c>
      <c r="VUO1" t="s">
        <v>16932</v>
      </c>
      <c r="VUP1" t="s">
        <v>16933</v>
      </c>
      <c r="VUQ1" t="s">
        <v>16934</v>
      </c>
      <c r="VUR1" t="s">
        <v>16935</v>
      </c>
      <c r="VUS1" t="s">
        <v>16936</v>
      </c>
      <c r="VUT1" t="s">
        <v>16937</v>
      </c>
      <c r="VUU1" t="s">
        <v>16938</v>
      </c>
      <c r="VUV1" t="s">
        <v>16939</v>
      </c>
      <c r="VUW1" t="s">
        <v>16940</v>
      </c>
      <c r="VUX1" t="s">
        <v>16941</v>
      </c>
      <c r="VUY1" t="s">
        <v>16942</v>
      </c>
      <c r="VUZ1" t="s">
        <v>16943</v>
      </c>
      <c r="VVA1" t="s">
        <v>16944</v>
      </c>
      <c r="VVB1" t="s">
        <v>16945</v>
      </c>
      <c r="VVC1" t="s">
        <v>16946</v>
      </c>
      <c r="VVD1" t="s">
        <v>16947</v>
      </c>
      <c r="VVE1" t="s">
        <v>16948</v>
      </c>
      <c r="VVF1" t="s">
        <v>16949</v>
      </c>
      <c r="VVG1" t="s">
        <v>16950</v>
      </c>
      <c r="VVH1" t="s">
        <v>16951</v>
      </c>
      <c r="VVI1" t="s">
        <v>16952</v>
      </c>
      <c r="VVJ1" t="s">
        <v>16953</v>
      </c>
      <c r="VVK1" t="s">
        <v>16954</v>
      </c>
      <c r="VVL1" t="s">
        <v>16955</v>
      </c>
      <c r="VVM1" t="s">
        <v>16956</v>
      </c>
      <c r="VVN1" t="s">
        <v>16957</v>
      </c>
      <c r="VVO1" t="s">
        <v>16958</v>
      </c>
      <c r="VVP1" t="s">
        <v>16959</v>
      </c>
      <c r="VVQ1" t="s">
        <v>16960</v>
      </c>
      <c r="VVR1" t="s">
        <v>16961</v>
      </c>
      <c r="VVS1" t="s">
        <v>16962</v>
      </c>
      <c r="VVT1" t="s">
        <v>16963</v>
      </c>
      <c r="VVU1" t="s">
        <v>16964</v>
      </c>
      <c r="VVV1" t="s">
        <v>16965</v>
      </c>
      <c r="VVW1" t="s">
        <v>16966</v>
      </c>
      <c r="VVX1" t="s">
        <v>16967</v>
      </c>
      <c r="VVY1" t="s">
        <v>16968</v>
      </c>
      <c r="VVZ1" t="s">
        <v>16969</v>
      </c>
      <c r="VWA1" t="s">
        <v>16970</v>
      </c>
      <c r="VWB1" t="s">
        <v>16971</v>
      </c>
      <c r="VWC1" t="s">
        <v>16972</v>
      </c>
      <c r="VWD1" t="s">
        <v>16973</v>
      </c>
      <c r="VWE1" t="s">
        <v>16974</v>
      </c>
      <c r="VWF1" t="s">
        <v>16975</v>
      </c>
      <c r="VWG1" t="s">
        <v>16976</v>
      </c>
      <c r="VWH1" t="s">
        <v>16977</v>
      </c>
      <c r="VWI1" t="s">
        <v>16978</v>
      </c>
      <c r="VWJ1" t="s">
        <v>16979</v>
      </c>
      <c r="VWK1" t="s">
        <v>16980</v>
      </c>
      <c r="VWL1" t="s">
        <v>16981</v>
      </c>
      <c r="VWM1" t="s">
        <v>16982</v>
      </c>
      <c r="VWN1" t="s">
        <v>16983</v>
      </c>
      <c r="VWO1" t="s">
        <v>16984</v>
      </c>
      <c r="VWP1" t="s">
        <v>16985</v>
      </c>
      <c r="VWQ1" t="s">
        <v>16986</v>
      </c>
      <c r="VWR1" t="s">
        <v>16987</v>
      </c>
      <c r="VWS1" t="s">
        <v>16988</v>
      </c>
      <c r="VWT1" t="s">
        <v>16989</v>
      </c>
      <c r="VWU1" t="s">
        <v>16990</v>
      </c>
      <c r="VWV1" t="s">
        <v>16991</v>
      </c>
      <c r="VWW1" t="s">
        <v>16992</v>
      </c>
      <c r="VWX1" t="s">
        <v>16993</v>
      </c>
      <c r="VWY1" t="s">
        <v>16994</v>
      </c>
      <c r="VWZ1" t="s">
        <v>16995</v>
      </c>
      <c r="VXA1" t="s">
        <v>16996</v>
      </c>
      <c r="VXB1" t="s">
        <v>16997</v>
      </c>
      <c r="VXC1" t="s">
        <v>16998</v>
      </c>
      <c r="VXD1" t="s">
        <v>16999</v>
      </c>
      <c r="VXE1" t="s">
        <v>17000</v>
      </c>
      <c r="VXF1" t="s">
        <v>17001</v>
      </c>
      <c r="VXG1" t="s">
        <v>17002</v>
      </c>
      <c r="VXH1" t="s">
        <v>17003</v>
      </c>
      <c r="VXI1" t="s">
        <v>17004</v>
      </c>
      <c r="VXJ1" t="s">
        <v>17005</v>
      </c>
      <c r="VXK1" t="s">
        <v>17006</v>
      </c>
      <c r="VXL1" t="s">
        <v>17007</v>
      </c>
      <c r="VXM1" t="s">
        <v>17008</v>
      </c>
      <c r="VXN1" t="s">
        <v>17009</v>
      </c>
      <c r="VXO1" t="s">
        <v>17010</v>
      </c>
      <c r="VXP1" t="s">
        <v>17011</v>
      </c>
      <c r="VXQ1" t="s">
        <v>17012</v>
      </c>
      <c r="VXR1" t="s">
        <v>17013</v>
      </c>
      <c r="VXS1" t="s">
        <v>17014</v>
      </c>
      <c r="VXT1" t="s">
        <v>17015</v>
      </c>
      <c r="VXU1" t="s">
        <v>17016</v>
      </c>
      <c r="VXV1" t="s">
        <v>17017</v>
      </c>
      <c r="VXW1" t="s">
        <v>17018</v>
      </c>
      <c r="VXX1" t="s">
        <v>17019</v>
      </c>
      <c r="VXY1" t="s">
        <v>17020</v>
      </c>
      <c r="VXZ1" t="s">
        <v>17021</v>
      </c>
      <c r="VYA1" t="s">
        <v>17022</v>
      </c>
      <c r="VYB1" t="s">
        <v>17023</v>
      </c>
      <c r="VYC1" t="s">
        <v>17024</v>
      </c>
      <c r="VYD1" t="s">
        <v>17025</v>
      </c>
      <c r="VYE1" t="s">
        <v>17026</v>
      </c>
      <c r="VYF1" t="s">
        <v>17027</v>
      </c>
      <c r="VYG1" t="s">
        <v>17028</v>
      </c>
      <c r="VYH1" t="s">
        <v>17029</v>
      </c>
      <c r="VYI1" t="s">
        <v>17030</v>
      </c>
      <c r="VYJ1" t="s">
        <v>17031</v>
      </c>
      <c r="VYK1" t="s">
        <v>17032</v>
      </c>
      <c r="VYL1" t="s">
        <v>17033</v>
      </c>
      <c r="VYM1" t="s">
        <v>17034</v>
      </c>
      <c r="VYN1" t="s">
        <v>17035</v>
      </c>
      <c r="VYO1" t="s">
        <v>17036</v>
      </c>
      <c r="VYP1" t="s">
        <v>17037</v>
      </c>
      <c r="VYQ1" t="s">
        <v>17038</v>
      </c>
      <c r="VYR1" t="s">
        <v>17039</v>
      </c>
      <c r="VYS1" t="s">
        <v>17040</v>
      </c>
      <c r="VYT1" t="s">
        <v>17041</v>
      </c>
      <c r="VYU1" t="s">
        <v>17042</v>
      </c>
      <c r="VYV1" t="s">
        <v>17043</v>
      </c>
      <c r="VYW1" t="s">
        <v>17044</v>
      </c>
      <c r="VYX1" t="s">
        <v>17045</v>
      </c>
      <c r="VYY1" t="s">
        <v>17046</v>
      </c>
      <c r="VYZ1" t="s">
        <v>17047</v>
      </c>
      <c r="VZA1" t="s">
        <v>17048</v>
      </c>
      <c r="VZB1" t="s">
        <v>17049</v>
      </c>
      <c r="VZC1" t="s">
        <v>17050</v>
      </c>
      <c r="VZD1" t="s">
        <v>17051</v>
      </c>
      <c r="VZE1" t="s">
        <v>17052</v>
      </c>
      <c r="VZF1" t="s">
        <v>17053</v>
      </c>
      <c r="VZG1" t="s">
        <v>17054</v>
      </c>
      <c r="VZH1" t="s">
        <v>17055</v>
      </c>
      <c r="VZI1" t="s">
        <v>17056</v>
      </c>
      <c r="VZJ1" t="s">
        <v>17057</v>
      </c>
      <c r="VZK1" t="s">
        <v>17058</v>
      </c>
      <c r="VZL1" t="s">
        <v>17059</v>
      </c>
      <c r="VZM1" t="s">
        <v>17060</v>
      </c>
      <c r="VZN1" t="s">
        <v>17061</v>
      </c>
      <c r="VZO1" t="s">
        <v>17062</v>
      </c>
      <c r="VZP1" t="s">
        <v>17063</v>
      </c>
      <c r="VZQ1" t="s">
        <v>17064</v>
      </c>
      <c r="VZR1" t="s">
        <v>17065</v>
      </c>
      <c r="VZS1" t="s">
        <v>17066</v>
      </c>
      <c r="VZT1" t="s">
        <v>17067</v>
      </c>
      <c r="VZU1" t="s">
        <v>17068</v>
      </c>
      <c r="VZV1" t="s">
        <v>17069</v>
      </c>
      <c r="VZW1" t="s">
        <v>17070</v>
      </c>
      <c r="VZX1" t="s">
        <v>17071</v>
      </c>
      <c r="VZY1" t="s">
        <v>17072</v>
      </c>
      <c r="VZZ1" t="s">
        <v>17073</v>
      </c>
      <c r="WAA1" t="s">
        <v>17074</v>
      </c>
      <c r="WAB1" t="s">
        <v>17075</v>
      </c>
      <c r="WAC1" t="s">
        <v>17076</v>
      </c>
      <c r="WAD1" t="s">
        <v>17077</v>
      </c>
      <c r="WAE1" t="s">
        <v>17078</v>
      </c>
      <c r="WAF1" t="s">
        <v>17079</v>
      </c>
      <c r="WAG1" t="s">
        <v>17080</v>
      </c>
      <c r="WAH1" t="s">
        <v>17081</v>
      </c>
      <c r="WAI1" t="s">
        <v>17082</v>
      </c>
      <c r="WAJ1" t="s">
        <v>17083</v>
      </c>
      <c r="WAK1" t="s">
        <v>17084</v>
      </c>
      <c r="WAL1" t="s">
        <v>17085</v>
      </c>
      <c r="WAM1" t="s">
        <v>17086</v>
      </c>
      <c r="WAN1" t="s">
        <v>17087</v>
      </c>
      <c r="WAO1" t="s">
        <v>17088</v>
      </c>
      <c r="WAP1" t="s">
        <v>17089</v>
      </c>
      <c r="WAQ1" t="s">
        <v>17090</v>
      </c>
      <c r="WAR1" t="s">
        <v>17091</v>
      </c>
      <c r="WAS1" t="s">
        <v>17092</v>
      </c>
      <c r="WAT1" t="s">
        <v>17093</v>
      </c>
      <c r="WAU1" t="s">
        <v>17094</v>
      </c>
      <c r="WAV1" t="s">
        <v>17095</v>
      </c>
      <c r="WAW1" t="s">
        <v>17096</v>
      </c>
      <c r="WAX1" t="s">
        <v>17097</v>
      </c>
      <c r="WAY1" t="s">
        <v>17098</v>
      </c>
      <c r="WAZ1" t="s">
        <v>17099</v>
      </c>
      <c r="WBA1" t="s">
        <v>17100</v>
      </c>
      <c r="WBB1" t="s">
        <v>17101</v>
      </c>
      <c r="WBC1" t="s">
        <v>17102</v>
      </c>
      <c r="WBD1" t="s">
        <v>17103</v>
      </c>
      <c r="WBE1" t="s">
        <v>17104</v>
      </c>
      <c r="WBF1" t="s">
        <v>17105</v>
      </c>
      <c r="WBG1" t="s">
        <v>17106</v>
      </c>
      <c r="WBH1" t="s">
        <v>17107</v>
      </c>
      <c r="WBI1" t="s">
        <v>17108</v>
      </c>
      <c r="WBJ1" t="s">
        <v>17109</v>
      </c>
      <c r="WBK1" t="s">
        <v>17110</v>
      </c>
      <c r="WBL1" t="s">
        <v>17111</v>
      </c>
      <c r="WBM1" t="s">
        <v>17112</v>
      </c>
      <c r="WBN1" t="s">
        <v>17113</v>
      </c>
      <c r="WBO1" t="s">
        <v>17114</v>
      </c>
      <c r="WBP1" t="s">
        <v>17115</v>
      </c>
      <c r="WBQ1" t="s">
        <v>17116</v>
      </c>
      <c r="WBR1" t="s">
        <v>17117</v>
      </c>
      <c r="WBS1" t="s">
        <v>17118</v>
      </c>
      <c r="WBT1" t="s">
        <v>17119</v>
      </c>
      <c r="WBU1" t="s">
        <v>17120</v>
      </c>
      <c r="WBV1" t="s">
        <v>17121</v>
      </c>
      <c r="WBW1" t="s">
        <v>17122</v>
      </c>
      <c r="WBX1" t="s">
        <v>17123</v>
      </c>
      <c r="WBY1" t="s">
        <v>17124</v>
      </c>
      <c r="WBZ1" t="s">
        <v>17125</v>
      </c>
      <c r="WCA1" t="s">
        <v>17126</v>
      </c>
      <c r="WCB1" t="s">
        <v>17127</v>
      </c>
      <c r="WCC1" t="s">
        <v>17128</v>
      </c>
      <c r="WCD1" t="s">
        <v>17129</v>
      </c>
      <c r="WCE1" t="s">
        <v>17130</v>
      </c>
      <c r="WCF1" t="s">
        <v>17131</v>
      </c>
      <c r="WCG1" t="s">
        <v>17132</v>
      </c>
      <c r="WCH1" t="s">
        <v>17133</v>
      </c>
      <c r="WCI1" t="s">
        <v>17134</v>
      </c>
      <c r="WCJ1" t="s">
        <v>17135</v>
      </c>
      <c r="WCK1" t="s">
        <v>17136</v>
      </c>
      <c r="WCL1" t="s">
        <v>17137</v>
      </c>
      <c r="WCM1" t="s">
        <v>17138</v>
      </c>
      <c r="WCN1" t="s">
        <v>17139</v>
      </c>
      <c r="WCO1" t="s">
        <v>17140</v>
      </c>
      <c r="WCP1" t="s">
        <v>17141</v>
      </c>
      <c r="WCQ1" t="s">
        <v>17142</v>
      </c>
      <c r="WCR1" t="s">
        <v>17143</v>
      </c>
      <c r="WCS1" t="s">
        <v>17144</v>
      </c>
      <c r="WCT1" t="s">
        <v>17145</v>
      </c>
      <c r="WCU1" t="s">
        <v>17146</v>
      </c>
      <c r="WCV1" t="s">
        <v>17147</v>
      </c>
      <c r="WCW1" t="s">
        <v>17148</v>
      </c>
      <c r="WCX1" t="s">
        <v>17149</v>
      </c>
      <c r="WCY1" t="s">
        <v>17150</v>
      </c>
      <c r="WCZ1" t="s">
        <v>17151</v>
      </c>
      <c r="WDA1" t="s">
        <v>17152</v>
      </c>
      <c r="WDB1" t="s">
        <v>17153</v>
      </c>
      <c r="WDC1" t="s">
        <v>17154</v>
      </c>
      <c r="WDD1" t="s">
        <v>17155</v>
      </c>
      <c r="WDE1" t="s">
        <v>17156</v>
      </c>
      <c r="WDF1" t="s">
        <v>17157</v>
      </c>
      <c r="WDG1" t="s">
        <v>17158</v>
      </c>
      <c r="WDH1" t="s">
        <v>17159</v>
      </c>
      <c r="WDI1" t="s">
        <v>17160</v>
      </c>
      <c r="WDJ1" t="s">
        <v>17161</v>
      </c>
      <c r="WDK1" t="s">
        <v>17162</v>
      </c>
      <c r="WDL1" t="s">
        <v>17163</v>
      </c>
      <c r="WDM1" t="s">
        <v>17164</v>
      </c>
      <c r="WDN1" t="s">
        <v>17165</v>
      </c>
      <c r="WDO1" t="s">
        <v>17166</v>
      </c>
      <c r="WDP1" t="s">
        <v>17167</v>
      </c>
      <c r="WDQ1" t="s">
        <v>17168</v>
      </c>
      <c r="WDR1" t="s">
        <v>17169</v>
      </c>
      <c r="WDS1" t="s">
        <v>17170</v>
      </c>
      <c r="WDT1" t="s">
        <v>17171</v>
      </c>
      <c r="WDU1" t="s">
        <v>17172</v>
      </c>
      <c r="WDV1" t="s">
        <v>17173</v>
      </c>
      <c r="WDW1" t="s">
        <v>17174</v>
      </c>
      <c r="WDX1" t="s">
        <v>17175</v>
      </c>
      <c r="WDY1" t="s">
        <v>17176</v>
      </c>
      <c r="WDZ1" t="s">
        <v>17177</v>
      </c>
      <c r="WEA1" t="s">
        <v>17178</v>
      </c>
      <c r="WEB1" t="s">
        <v>17179</v>
      </c>
      <c r="WEC1" t="s">
        <v>17180</v>
      </c>
      <c r="WED1" t="s">
        <v>17181</v>
      </c>
      <c r="WEE1" t="s">
        <v>17182</v>
      </c>
      <c r="WEF1" t="s">
        <v>17183</v>
      </c>
      <c r="WEG1" t="s">
        <v>17184</v>
      </c>
      <c r="WEH1" t="s">
        <v>17185</v>
      </c>
      <c r="WEI1" t="s">
        <v>17186</v>
      </c>
      <c r="WEJ1" t="s">
        <v>17187</v>
      </c>
      <c r="WEK1" t="s">
        <v>17188</v>
      </c>
      <c r="WEL1" t="s">
        <v>17189</v>
      </c>
      <c r="WEM1" t="s">
        <v>17190</v>
      </c>
      <c r="WEN1" t="s">
        <v>17191</v>
      </c>
      <c r="WEO1" t="s">
        <v>17192</v>
      </c>
      <c r="WEP1" t="s">
        <v>17193</v>
      </c>
      <c r="WEQ1" t="s">
        <v>17194</v>
      </c>
      <c r="WER1" t="s">
        <v>17195</v>
      </c>
      <c r="WES1" t="s">
        <v>17196</v>
      </c>
      <c r="WET1" t="s">
        <v>17197</v>
      </c>
      <c r="WEU1" t="s">
        <v>17198</v>
      </c>
      <c r="WEV1" t="s">
        <v>17199</v>
      </c>
      <c r="WEW1" t="s">
        <v>17200</v>
      </c>
      <c r="WEX1" t="s">
        <v>17201</v>
      </c>
      <c r="WEY1" t="s">
        <v>17202</v>
      </c>
      <c r="WEZ1" t="s">
        <v>17203</v>
      </c>
      <c r="WFA1" t="s">
        <v>17204</v>
      </c>
      <c r="WFB1" t="s">
        <v>17205</v>
      </c>
      <c r="WFC1" t="s">
        <v>17206</v>
      </c>
      <c r="WFD1" t="s">
        <v>17207</v>
      </c>
      <c r="WFE1" t="s">
        <v>17208</v>
      </c>
      <c r="WFF1" t="s">
        <v>17209</v>
      </c>
      <c r="WFG1" t="s">
        <v>17210</v>
      </c>
      <c r="WFH1" t="s">
        <v>17211</v>
      </c>
      <c r="WFI1" t="s">
        <v>17212</v>
      </c>
      <c r="WFJ1" t="s">
        <v>17213</v>
      </c>
      <c r="WFK1" t="s">
        <v>17214</v>
      </c>
      <c r="WFL1" t="s">
        <v>17215</v>
      </c>
      <c r="WFM1" t="s">
        <v>17216</v>
      </c>
      <c r="WFN1" t="s">
        <v>17217</v>
      </c>
      <c r="WFO1" t="s">
        <v>17218</v>
      </c>
      <c r="WFP1" t="s">
        <v>17219</v>
      </c>
      <c r="WFQ1" t="s">
        <v>17220</v>
      </c>
      <c r="WFR1" t="s">
        <v>17221</v>
      </c>
      <c r="WFS1" t="s">
        <v>17222</v>
      </c>
      <c r="WFT1" t="s">
        <v>17223</v>
      </c>
      <c r="WFU1" t="s">
        <v>17224</v>
      </c>
      <c r="WFV1" t="s">
        <v>17225</v>
      </c>
      <c r="WFW1" t="s">
        <v>17226</v>
      </c>
      <c r="WFX1" t="s">
        <v>17227</v>
      </c>
      <c r="WFY1" t="s">
        <v>17228</v>
      </c>
      <c r="WFZ1" t="s">
        <v>17229</v>
      </c>
      <c r="WGA1" t="s">
        <v>17230</v>
      </c>
      <c r="WGB1" t="s">
        <v>17231</v>
      </c>
      <c r="WGC1" t="s">
        <v>17232</v>
      </c>
      <c r="WGD1" t="s">
        <v>17233</v>
      </c>
      <c r="WGE1" t="s">
        <v>17234</v>
      </c>
      <c r="WGF1" t="s">
        <v>17235</v>
      </c>
      <c r="WGG1" t="s">
        <v>17236</v>
      </c>
      <c r="WGH1" t="s">
        <v>17237</v>
      </c>
      <c r="WGI1" t="s">
        <v>17238</v>
      </c>
      <c r="WGJ1" t="s">
        <v>17239</v>
      </c>
      <c r="WGK1" t="s">
        <v>17240</v>
      </c>
      <c r="WGL1" t="s">
        <v>17241</v>
      </c>
      <c r="WGM1" t="s">
        <v>17242</v>
      </c>
      <c r="WGN1" t="s">
        <v>17243</v>
      </c>
      <c r="WGO1" t="s">
        <v>17244</v>
      </c>
      <c r="WGP1" t="s">
        <v>17245</v>
      </c>
      <c r="WGQ1" t="s">
        <v>17246</v>
      </c>
      <c r="WGR1" t="s">
        <v>17247</v>
      </c>
      <c r="WGS1" t="s">
        <v>17248</v>
      </c>
      <c r="WGT1" t="s">
        <v>17249</v>
      </c>
      <c r="WGU1" t="s">
        <v>17250</v>
      </c>
      <c r="WGV1" t="s">
        <v>17251</v>
      </c>
      <c r="WGW1" t="s">
        <v>17252</v>
      </c>
      <c r="WGX1" t="s">
        <v>17253</v>
      </c>
      <c r="WGY1" t="s">
        <v>17254</v>
      </c>
      <c r="WGZ1" t="s">
        <v>17255</v>
      </c>
      <c r="WHA1" t="s">
        <v>17256</v>
      </c>
      <c r="WHB1" t="s">
        <v>17257</v>
      </c>
      <c r="WHC1" t="s">
        <v>17258</v>
      </c>
      <c r="WHD1" t="s">
        <v>17259</v>
      </c>
      <c r="WHE1" t="s">
        <v>17260</v>
      </c>
      <c r="WHF1" t="s">
        <v>17261</v>
      </c>
      <c r="WHG1" t="s">
        <v>17262</v>
      </c>
      <c r="WHH1" t="s">
        <v>17263</v>
      </c>
      <c r="WHI1" t="s">
        <v>17264</v>
      </c>
      <c r="WHJ1" t="s">
        <v>17265</v>
      </c>
      <c r="WHK1" t="s">
        <v>17266</v>
      </c>
      <c r="WHL1" t="s">
        <v>17267</v>
      </c>
      <c r="WHM1" t="s">
        <v>17268</v>
      </c>
      <c r="WHN1" t="s">
        <v>17269</v>
      </c>
      <c r="WHO1" t="s">
        <v>17270</v>
      </c>
      <c r="WHP1" t="s">
        <v>17271</v>
      </c>
      <c r="WHQ1" t="s">
        <v>17272</v>
      </c>
      <c r="WHR1" t="s">
        <v>17273</v>
      </c>
      <c r="WHS1" t="s">
        <v>17274</v>
      </c>
      <c r="WHT1" t="s">
        <v>17275</v>
      </c>
      <c r="WHU1" t="s">
        <v>17276</v>
      </c>
      <c r="WHV1" t="s">
        <v>17277</v>
      </c>
      <c r="WHW1" t="s">
        <v>17278</v>
      </c>
      <c r="WHX1" t="s">
        <v>17279</v>
      </c>
      <c r="WHY1" t="s">
        <v>17280</v>
      </c>
      <c r="WHZ1" t="s">
        <v>17281</v>
      </c>
      <c r="WIA1" t="s">
        <v>17282</v>
      </c>
      <c r="WIB1" t="s">
        <v>17283</v>
      </c>
      <c r="WIC1" t="s">
        <v>17284</v>
      </c>
      <c r="WID1" t="s">
        <v>17285</v>
      </c>
      <c r="WIE1" t="s">
        <v>17286</v>
      </c>
      <c r="WIF1" t="s">
        <v>17287</v>
      </c>
      <c r="WIG1" t="s">
        <v>17288</v>
      </c>
      <c r="WIH1" t="s">
        <v>17289</v>
      </c>
      <c r="WII1" t="s">
        <v>17290</v>
      </c>
      <c r="WIJ1" t="s">
        <v>17291</v>
      </c>
      <c r="WIK1" t="s">
        <v>17292</v>
      </c>
      <c r="WIL1" t="s">
        <v>17293</v>
      </c>
      <c r="WIM1" t="s">
        <v>17294</v>
      </c>
      <c r="WIN1" t="s">
        <v>17295</v>
      </c>
      <c r="WIO1" t="s">
        <v>17296</v>
      </c>
      <c r="WIP1" t="s">
        <v>17297</v>
      </c>
      <c r="WIQ1" t="s">
        <v>17298</v>
      </c>
      <c r="WIR1" t="s">
        <v>17299</v>
      </c>
      <c r="WIS1" t="s">
        <v>17300</v>
      </c>
      <c r="WIT1" t="s">
        <v>17301</v>
      </c>
      <c r="WIU1" t="s">
        <v>17302</v>
      </c>
      <c r="WIV1" t="s">
        <v>17303</v>
      </c>
      <c r="WIW1" t="s">
        <v>17304</v>
      </c>
      <c r="WIX1" t="s">
        <v>17305</v>
      </c>
      <c r="WIY1" t="s">
        <v>17306</v>
      </c>
      <c r="WIZ1" t="s">
        <v>17307</v>
      </c>
      <c r="WJA1" t="s">
        <v>17308</v>
      </c>
      <c r="WJB1" t="s">
        <v>17309</v>
      </c>
      <c r="WJC1" t="s">
        <v>17310</v>
      </c>
      <c r="WJD1" t="s">
        <v>17311</v>
      </c>
      <c r="WJE1" t="s">
        <v>17312</v>
      </c>
      <c r="WJF1" t="s">
        <v>17313</v>
      </c>
      <c r="WJG1" t="s">
        <v>17314</v>
      </c>
      <c r="WJH1" t="s">
        <v>17315</v>
      </c>
      <c r="WJI1" t="s">
        <v>17316</v>
      </c>
      <c r="WJJ1" t="s">
        <v>17317</v>
      </c>
      <c r="WJK1" t="s">
        <v>17318</v>
      </c>
      <c r="WJL1" t="s">
        <v>17319</v>
      </c>
      <c r="WJM1" t="s">
        <v>17320</v>
      </c>
      <c r="WJN1" t="s">
        <v>17321</v>
      </c>
      <c r="WJO1" t="s">
        <v>17322</v>
      </c>
      <c r="WJP1" t="s">
        <v>17323</v>
      </c>
      <c r="WJQ1" t="s">
        <v>17324</v>
      </c>
      <c r="WJR1" t="s">
        <v>17325</v>
      </c>
      <c r="WJS1" t="s">
        <v>17326</v>
      </c>
      <c r="WJT1" t="s">
        <v>17327</v>
      </c>
      <c r="WJU1" t="s">
        <v>17328</v>
      </c>
      <c r="WJV1" t="s">
        <v>17329</v>
      </c>
      <c r="WJW1" t="s">
        <v>17330</v>
      </c>
      <c r="WJX1" t="s">
        <v>17331</v>
      </c>
      <c r="WJY1" t="s">
        <v>17332</v>
      </c>
      <c r="WJZ1" t="s">
        <v>17333</v>
      </c>
      <c r="WKA1" t="s">
        <v>17334</v>
      </c>
      <c r="WKB1" t="s">
        <v>17335</v>
      </c>
      <c r="WKC1" t="s">
        <v>17336</v>
      </c>
      <c r="WKD1" t="s">
        <v>17337</v>
      </c>
      <c r="WKE1" t="s">
        <v>17338</v>
      </c>
      <c r="WKF1" t="s">
        <v>17339</v>
      </c>
      <c r="WKG1" t="s">
        <v>17340</v>
      </c>
      <c r="WKH1" t="s">
        <v>17341</v>
      </c>
      <c r="WKI1" t="s">
        <v>17342</v>
      </c>
      <c r="WKJ1" t="s">
        <v>17343</v>
      </c>
      <c r="WKK1" t="s">
        <v>17344</v>
      </c>
      <c r="WKL1" t="s">
        <v>17345</v>
      </c>
      <c r="WKM1" t="s">
        <v>17346</v>
      </c>
      <c r="WKN1" t="s">
        <v>17347</v>
      </c>
      <c r="WKO1" t="s">
        <v>17348</v>
      </c>
      <c r="WKP1" t="s">
        <v>17349</v>
      </c>
      <c r="WKQ1" t="s">
        <v>17350</v>
      </c>
      <c r="WKR1" t="s">
        <v>17351</v>
      </c>
      <c r="WKS1" t="s">
        <v>17352</v>
      </c>
      <c r="WKT1" t="s">
        <v>17353</v>
      </c>
      <c r="WKU1" t="s">
        <v>17354</v>
      </c>
      <c r="WKV1" t="s">
        <v>17355</v>
      </c>
      <c r="WKW1" t="s">
        <v>17356</v>
      </c>
      <c r="WKX1" t="s">
        <v>17357</v>
      </c>
      <c r="WKY1" t="s">
        <v>17358</v>
      </c>
      <c r="WKZ1" t="s">
        <v>17359</v>
      </c>
      <c r="WLA1" t="s">
        <v>17360</v>
      </c>
      <c r="WLB1" t="s">
        <v>17361</v>
      </c>
      <c r="WLC1" t="s">
        <v>17362</v>
      </c>
      <c r="WLD1" t="s">
        <v>17363</v>
      </c>
      <c r="WLE1" t="s">
        <v>17364</v>
      </c>
      <c r="WLF1" t="s">
        <v>17365</v>
      </c>
      <c r="WLG1" t="s">
        <v>17366</v>
      </c>
      <c r="WLH1" t="s">
        <v>17367</v>
      </c>
      <c r="WLI1" t="s">
        <v>17368</v>
      </c>
      <c r="WLJ1" t="s">
        <v>17369</v>
      </c>
      <c r="WLK1" t="s">
        <v>17370</v>
      </c>
      <c r="WLL1" t="s">
        <v>17371</v>
      </c>
      <c r="WLM1" t="s">
        <v>17372</v>
      </c>
      <c r="WLN1" t="s">
        <v>17373</v>
      </c>
      <c r="WLO1" t="s">
        <v>17374</v>
      </c>
      <c r="WLP1" t="s">
        <v>17375</v>
      </c>
      <c r="WLQ1" t="s">
        <v>17376</v>
      </c>
      <c r="WLR1" t="s">
        <v>17377</v>
      </c>
      <c r="WLS1" t="s">
        <v>17378</v>
      </c>
      <c r="WLT1" t="s">
        <v>17379</v>
      </c>
      <c r="WLU1" t="s">
        <v>17380</v>
      </c>
      <c r="WLV1" t="s">
        <v>17381</v>
      </c>
      <c r="WLW1" t="s">
        <v>17382</v>
      </c>
      <c r="WLX1" t="s">
        <v>17383</v>
      </c>
      <c r="WLY1" t="s">
        <v>17384</v>
      </c>
      <c r="WLZ1" t="s">
        <v>17385</v>
      </c>
      <c r="WMA1" t="s">
        <v>17386</v>
      </c>
      <c r="WMB1" t="s">
        <v>17387</v>
      </c>
      <c r="WMC1" t="s">
        <v>17388</v>
      </c>
      <c r="WMD1" t="s">
        <v>17389</v>
      </c>
      <c r="WME1" t="s">
        <v>17390</v>
      </c>
      <c r="WMF1" t="s">
        <v>17391</v>
      </c>
      <c r="WMG1" t="s">
        <v>17392</v>
      </c>
      <c r="WMH1" t="s">
        <v>17393</v>
      </c>
      <c r="WMI1" t="s">
        <v>17394</v>
      </c>
      <c r="WMJ1" t="s">
        <v>17395</v>
      </c>
      <c r="WMK1" t="s">
        <v>17396</v>
      </c>
      <c r="WML1" t="s">
        <v>17397</v>
      </c>
      <c r="WMM1" t="s">
        <v>17398</v>
      </c>
      <c r="WMN1" t="s">
        <v>17399</v>
      </c>
      <c r="WMO1" t="s">
        <v>17400</v>
      </c>
      <c r="WMP1" t="s">
        <v>17401</v>
      </c>
      <c r="WMQ1" t="s">
        <v>17402</v>
      </c>
      <c r="WMR1" t="s">
        <v>17403</v>
      </c>
      <c r="WMS1" t="s">
        <v>17404</v>
      </c>
      <c r="WMT1" t="s">
        <v>17405</v>
      </c>
      <c r="WMU1" t="s">
        <v>17406</v>
      </c>
      <c r="WMV1" t="s">
        <v>17407</v>
      </c>
      <c r="WMW1" t="s">
        <v>17408</v>
      </c>
      <c r="WMX1" t="s">
        <v>17409</v>
      </c>
      <c r="WMY1" t="s">
        <v>17410</v>
      </c>
      <c r="WMZ1" t="s">
        <v>17411</v>
      </c>
      <c r="WNA1" t="s">
        <v>17412</v>
      </c>
      <c r="WNB1" t="s">
        <v>17413</v>
      </c>
      <c r="WNC1" t="s">
        <v>17414</v>
      </c>
      <c r="WND1" t="s">
        <v>17415</v>
      </c>
      <c r="WNE1" t="s">
        <v>17416</v>
      </c>
      <c r="WNF1" t="s">
        <v>17417</v>
      </c>
      <c r="WNG1" t="s">
        <v>17418</v>
      </c>
      <c r="WNH1" t="s">
        <v>17419</v>
      </c>
      <c r="WNI1" t="s">
        <v>17420</v>
      </c>
      <c r="WNJ1" t="s">
        <v>17421</v>
      </c>
      <c r="WNK1" t="s">
        <v>17422</v>
      </c>
      <c r="WNL1" t="s">
        <v>17423</v>
      </c>
      <c r="WNM1" t="s">
        <v>17424</v>
      </c>
      <c r="WNN1" t="s">
        <v>17425</v>
      </c>
      <c r="WNO1" t="s">
        <v>17426</v>
      </c>
      <c r="WNP1" t="s">
        <v>17427</v>
      </c>
      <c r="WNQ1" t="s">
        <v>17428</v>
      </c>
      <c r="WNR1" t="s">
        <v>17429</v>
      </c>
      <c r="WNS1" t="s">
        <v>17430</v>
      </c>
      <c r="WNT1" t="s">
        <v>17431</v>
      </c>
      <c r="WNU1" t="s">
        <v>17432</v>
      </c>
      <c r="WNV1" t="s">
        <v>17433</v>
      </c>
      <c r="WNW1" t="s">
        <v>17434</v>
      </c>
      <c r="WNX1" t="s">
        <v>17435</v>
      </c>
      <c r="WNY1" t="s">
        <v>17436</v>
      </c>
      <c r="WNZ1" t="s">
        <v>17437</v>
      </c>
      <c r="WOA1" t="s">
        <v>17438</v>
      </c>
      <c r="WOB1" t="s">
        <v>17439</v>
      </c>
      <c r="WOC1" t="s">
        <v>17440</v>
      </c>
      <c r="WOD1" t="s">
        <v>17441</v>
      </c>
      <c r="WOE1" t="s">
        <v>17442</v>
      </c>
      <c r="WOF1" t="s">
        <v>17443</v>
      </c>
      <c r="WOG1" t="s">
        <v>17444</v>
      </c>
      <c r="WOH1" t="s">
        <v>17445</v>
      </c>
      <c r="WOI1" t="s">
        <v>17446</v>
      </c>
      <c r="WOJ1" t="s">
        <v>17447</v>
      </c>
      <c r="WOK1" t="s">
        <v>17448</v>
      </c>
      <c r="WOL1" t="s">
        <v>17449</v>
      </c>
      <c r="WOM1" t="s">
        <v>17450</v>
      </c>
      <c r="WON1" t="s">
        <v>17451</v>
      </c>
      <c r="WOO1" t="s">
        <v>17452</v>
      </c>
      <c r="WOP1" t="s">
        <v>17453</v>
      </c>
      <c r="WOQ1" t="s">
        <v>17454</v>
      </c>
      <c r="WOR1" t="s">
        <v>17455</v>
      </c>
      <c r="WOS1" t="s">
        <v>17456</v>
      </c>
      <c r="WOT1" t="s">
        <v>17457</v>
      </c>
      <c r="WOU1" t="s">
        <v>17458</v>
      </c>
      <c r="WOV1" t="s">
        <v>17459</v>
      </c>
      <c r="WOW1" t="s">
        <v>17460</v>
      </c>
      <c r="WOX1" t="s">
        <v>17461</v>
      </c>
      <c r="WOY1" t="s">
        <v>17462</v>
      </c>
      <c r="WOZ1" t="s">
        <v>17463</v>
      </c>
      <c r="WPA1" t="s">
        <v>17464</v>
      </c>
      <c r="WPB1" t="s">
        <v>17465</v>
      </c>
      <c r="WPC1" t="s">
        <v>17466</v>
      </c>
      <c r="WPD1" t="s">
        <v>17467</v>
      </c>
      <c r="WPE1" t="s">
        <v>17468</v>
      </c>
      <c r="WPF1" t="s">
        <v>17469</v>
      </c>
      <c r="WPG1" t="s">
        <v>17470</v>
      </c>
      <c r="WPH1" t="s">
        <v>17471</v>
      </c>
      <c r="WPI1" t="s">
        <v>17472</v>
      </c>
      <c r="WPJ1" t="s">
        <v>17473</v>
      </c>
      <c r="WPK1" t="s">
        <v>17474</v>
      </c>
      <c r="WPL1" t="s">
        <v>17475</v>
      </c>
      <c r="WPM1" t="s">
        <v>17476</v>
      </c>
      <c r="WPN1" t="s">
        <v>17477</v>
      </c>
      <c r="WPO1" t="s">
        <v>17478</v>
      </c>
      <c r="WPP1" t="s">
        <v>17479</v>
      </c>
      <c r="WPQ1" t="s">
        <v>17480</v>
      </c>
      <c r="WPR1" t="s">
        <v>17481</v>
      </c>
      <c r="WPS1" t="s">
        <v>17482</v>
      </c>
      <c r="WPT1" t="s">
        <v>17483</v>
      </c>
      <c r="WPU1" t="s">
        <v>17484</v>
      </c>
      <c r="WPV1" t="s">
        <v>17485</v>
      </c>
      <c r="WPW1" t="s">
        <v>17486</v>
      </c>
      <c r="WPX1" t="s">
        <v>17487</v>
      </c>
      <c r="WPY1" t="s">
        <v>17488</v>
      </c>
      <c r="WPZ1" t="s">
        <v>17489</v>
      </c>
      <c r="WQA1" t="s">
        <v>17490</v>
      </c>
      <c r="WQB1" t="s">
        <v>17491</v>
      </c>
      <c r="WQC1" t="s">
        <v>17492</v>
      </c>
      <c r="WQD1" t="s">
        <v>17493</v>
      </c>
      <c r="WQE1" t="s">
        <v>17494</v>
      </c>
      <c r="WQF1" t="s">
        <v>17495</v>
      </c>
      <c r="WQG1" t="s">
        <v>17496</v>
      </c>
      <c r="WQH1" t="s">
        <v>17497</v>
      </c>
      <c r="WQI1" t="s">
        <v>17498</v>
      </c>
      <c r="WQJ1" t="s">
        <v>17499</v>
      </c>
      <c r="WQK1" t="s">
        <v>17500</v>
      </c>
      <c r="WQL1" t="s">
        <v>17501</v>
      </c>
      <c r="WQM1" t="s">
        <v>17502</v>
      </c>
      <c r="WQN1" t="s">
        <v>17503</v>
      </c>
      <c r="WQO1" t="s">
        <v>17504</v>
      </c>
      <c r="WQP1" t="s">
        <v>17505</v>
      </c>
      <c r="WQQ1" t="s">
        <v>17506</v>
      </c>
      <c r="WQR1" t="s">
        <v>17507</v>
      </c>
      <c r="WQS1" t="s">
        <v>17508</v>
      </c>
      <c r="WQT1" t="s">
        <v>17509</v>
      </c>
      <c r="WQU1" t="s">
        <v>17510</v>
      </c>
      <c r="WQV1" t="s">
        <v>17511</v>
      </c>
      <c r="WQW1" t="s">
        <v>17512</v>
      </c>
      <c r="WQX1" t="s">
        <v>17513</v>
      </c>
      <c r="WQY1" t="s">
        <v>17514</v>
      </c>
      <c r="WQZ1" t="s">
        <v>17515</v>
      </c>
      <c r="WRA1" t="s">
        <v>17516</v>
      </c>
      <c r="WRB1" t="s">
        <v>17517</v>
      </c>
      <c r="WRC1" t="s">
        <v>17518</v>
      </c>
      <c r="WRD1" t="s">
        <v>17519</v>
      </c>
      <c r="WRE1" t="s">
        <v>17520</v>
      </c>
      <c r="WRF1" t="s">
        <v>17521</v>
      </c>
      <c r="WRG1" t="s">
        <v>17522</v>
      </c>
      <c r="WRH1" t="s">
        <v>17523</v>
      </c>
      <c r="WRI1" t="s">
        <v>17524</v>
      </c>
      <c r="WRJ1" t="s">
        <v>17525</v>
      </c>
      <c r="WRK1" t="s">
        <v>17526</v>
      </c>
      <c r="WRL1" t="s">
        <v>17527</v>
      </c>
      <c r="WRM1" t="s">
        <v>17528</v>
      </c>
      <c r="WRN1" t="s">
        <v>17529</v>
      </c>
      <c r="WRO1" t="s">
        <v>17530</v>
      </c>
      <c r="WRP1" t="s">
        <v>17531</v>
      </c>
      <c r="WRQ1" t="s">
        <v>17532</v>
      </c>
      <c r="WRR1" t="s">
        <v>17533</v>
      </c>
      <c r="WRS1" t="s">
        <v>17534</v>
      </c>
      <c r="WRT1" t="s">
        <v>17535</v>
      </c>
      <c r="WRU1" t="s">
        <v>17536</v>
      </c>
      <c r="WRV1" t="s">
        <v>17537</v>
      </c>
      <c r="WRW1" t="s">
        <v>17538</v>
      </c>
      <c r="WRX1" t="s">
        <v>17539</v>
      </c>
      <c r="WRY1" t="s">
        <v>17540</v>
      </c>
      <c r="WRZ1" t="s">
        <v>17541</v>
      </c>
      <c r="WSA1" t="s">
        <v>17542</v>
      </c>
      <c r="WSB1" t="s">
        <v>17543</v>
      </c>
      <c r="WSC1" t="s">
        <v>17544</v>
      </c>
      <c r="WSD1" t="s">
        <v>17545</v>
      </c>
      <c r="WSE1" t="s">
        <v>17546</v>
      </c>
      <c r="WSF1" t="s">
        <v>17547</v>
      </c>
      <c r="WSG1" t="s">
        <v>17548</v>
      </c>
      <c r="WSH1" t="s">
        <v>17549</v>
      </c>
      <c r="WSI1" t="s">
        <v>17550</v>
      </c>
      <c r="WSJ1" t="s">
        <v>17551</v>
      </c>
      <c r="WSK1" t="s">
        <v>17552</v>
      </c>
      <c r="WSL1" t="s">
        <v>17553</v>
      </c>
      <c r="WSM1" t="s">
        <v>17554</v>
      </c>
      <c r="WSN1" t="s">
        <v>17555</v>
      </c>
      <c r="WSO1" t="s">
        <v>17556</v>
      </c>
      <c r="WSP1" t="s">
        <v>17557</v>
      </c>
      <c r="WSQ1" t="s">
        <v>17558</v>
      </c>
      <c r="WSR1" t="s">
        <v>17559</v>
      </c>
      <c r="WSS1" t="s">
        <v>17560</v>
      </c>
      <c r="WST1" t="s">
        <v>17561</v>
      </c>
      <c r="WSU1" t="s">
        <v>17562</v>
      </c>
      <c r="WSV1" t="s">
        <v>17563</v>
      </c>
      <c r="WSW1" t="s">
        <v>17564</v>
      </c>
      <c r="WSX1" t="s">
        <v>17565</v>
      </c>
      <c r="WSY1" t="s">
        <v>17566</v>
      </c>
      <c r="WSZ1" t="s">
        <v>17567</v>
      </c>
      <c r="WTA1" t="s">
        <v>17568</v>
      </c>
      <c r="WTB1" t="s">
        <v>17569</v>
      </c>
      <c r="WTC1" t="s">
        <v>17570</v>
      </c>
      <c r="WTD1" t="s">
        <v>17571</v>
      </c>
      <c r="WTE1" t="s">
        <v>17572</v>
      </c>
      <c r="WTF1" t="s">
        <v>17573</v>
      </c>
      <c r="WTG1" t="s">
        <v>17574</v>
      </c>
      <c r="WTH1" t="s">
        <v>17575</v>
      </c>
      <c r="WTI1" t="s">
        <v>17576</v>
      </c>
      <c r="WTJ1" t="s">
        <v>17577</v>
      </c>
      <c r="WTK1" t="s">
        <v>17578</v>
      </c>
      <c r="WTL1" t="s">
        <v>17579</v>
      </c>
      <c r="WTM1" t="s">
        <v>17580</v>
      </c>
      <c r="WTN1" t="s">
        <v>17581</v>
      </c>
      <c r="WTO1" t="s">
        <v>17582</v>
      </c>
      <c r="WTP1" t="s">
        <v>17583</v>
      </c>
      <c r="WTQ1" t="s">
        <v>17584</v>
      </c>
      <c r="WTR1" t="s">
        <v>17585</v>
      </c>
      <c r="WTS1" t="s">
        <v>17586</v>
      </c>
      <c r="WTT1" t="s">
        <v>17587</v>
      </c>
      <c r="WTU1" t="s">
        <v>17588</v>
      </c>
      <c r="WTV1" t="s">
        <v>17589</v>
      </c>
      <c r="WTW1" t="s">
        <v>17590</v>
      </c>
      <c r="WTX1" t="s">
        <v>17591</v>
      </c>
      <c r="WTY1" t="s">
        <v>17592</v>
      </c>
      <c r="WTZ1" t="s">
        <v>17593</v>
      </c>
      <c r="WUA1" t="s">
        <v>17594</v>
      </c>
      <c r="WUB1" t="s">
        <v>17595</v>
      </c>
      <c r="WUC1" t="s">
        <v>17596</v>
      </c>
      <c r="WUD1" t="s">
        <v>17597</v>
      </c>
      <c r="WUE1" t="s">
        <v>17598</v>
      </c>
      <c r="WUF1" t="s">
        <v>17599</v>
      </c>
      <c r="WUG1" t="s">
        <v>17600</v>
      </c>
      <c r="WUH1" t="s">
        <v>17601</v>
      </c>
      <c r="WUI1" t="s">
        <v>17602</v>
      </c>
      <c r="WUJ1" t="s">
        <v>17603</v>
      </c>
      <c r="WUK1" t="s">
        <v>17604</v>
      </c>
      <c r="WUL1" t="s">
        <v>17605</v>
      </c>
      <c r="WUM1" t="s">
        <v>17606</v>
      </c>
      <c r="WUN1" t="s">
        <v>17607</v>
      </c>
      <c r="WUO1" t="s">
        <v>17608</v>
      </c>
      <c r="WUP1" t="s">
        <v>17609</v>
      </c>
      <c r="WUQ1" t="s">
        <v>17610</v>
      </c>
      <c r="WUR1" t="s">
        <v>17611</v>
      </c>
      <c r="WUS1" t="s">
        <v>17612</v>
      </c>
      <c r="WUT1" t="s">
        <v>17613</v>
      </c>
      <c r="WUU1" t="s">
        <v>17614</v>
      </c>
      <c r="WUV1" t="s">
        <v>17615</v>
      </c>
      <c r="WUW1" t="s">
        <v>17616</v>
      </c>
      <c r="WUX1" t="s">
        <v>17617</v>
      </c>
      <c r="WUY1" t="s">
        <v>17618</v>
      </c>
      <c r="WUZ1" t="s">
        <v>17619</v>
      </c>
      <c r="WVA1" t="s">
        <v>17620</v>
      </c>
      <c r="WVB1" t="s">
        <v>17621</v>
      </c>
      <c r="WVC1" t="s">
        <v>17622</v>
      </c>
      <c r="WVD1" t="s">
        <v>17623</v>
      </c>
      <c r="WVE1" t="s">
        <v>17624</v>
      </c>
      <c r="WVF1" t="s">
        <v>17625</v>
      </c>
      <c r="WVG1" t="s">
        <v>17626</v>
      </c>
      <c r="WVH1" t="s">
        <v>17627</v>
      </c>
      <c r="WVI1" t="s">
        <v>17628</v>
      </c>
      <c r="WVJ1" t="s">
        <v>17629</v>
      </c>
      <c r="WVK1" t="s">
        <v>17630</v>
      </c>
      <c r="WVL1" t="s">
        <v>17631</v>
      </c>
      <c r="WVM1" t="s">
        <v>17632</v>
      </c>
      <c r="WVN1" t="s">
        <v>17633</v>
      </c>
      <c r="WVO1" t="s">
        <v>17634</v>
      </c>
      <c r="WVP1" t="s">
        <v>17635</v>
      </c>
      <c r="WVQ1" t="s">
        <v>17636</v>
      </c>
      <c r="WVR1" t="s">
        <v>17637</v>
      </c>
      <c r="WVS1" t="s">
        <v>17638</v>
      </c>
      <c r="WVT1" t="s">
        <v>17639</v>
      </c>
      <c r="WVU1" t="s">
        <v>17640</v>
      </c>
      <c r="WVV1" t="s">
        <v>17641</v>
      </c>
      <c r="WVW1" t="s">
        <v>17642</v>
      </c>
      <c r="WVX1" t="s">
        <v>17643</v>
      </c>
      <c r="WVY1" t="s">
        <v>17644</v>
      </c>
      <c r="WVZ1" t="s">
        <v>17645</v>
      </c>
      <c r="WWA1" t="s">
        <v>17646</v>
      </c>
      <c r="WWB1" t="s">
        <v>17647</v>
      </c>
      <c r="WWC1" t="s">
        <v>17648</v>
      </c>
      <c r="WWD1" t="s">
        <v>17649</v>
      </c>
      <c r="WWE1" t="s">
        <v>17650</v>
      </c>
      <c r="WWF1" t="s">
        <v>17651</v>
      </c>
      <c r="WWG1" t="s">
        <v>17652</v>
      </c>
      <c r="WWH1" t="s">
        <v>17653</v>
      </c>
      <c r="WWI1" t="s">
        <v>17654</v>
      </c>
      <c r="WWJ1" t="s">
        <v>17655</v>
      </c>
      <c r="WWK1" t="s">
        <v>17656</v>
      </c>
      <c r="WWL1" t="s">
        <v>17657</v>
      </c>
      <c r="WWM1" t="s">
        <v>17658</v>
      </c>
      <c r="WWN1" t="s">
        <v>17659</v>
      </c>
      <c r="WWO1" t="s">
        <v>17660</v>
      </c>
      <c r="WWP1" t="s">
        <v>17661</v>
      </c>
      <c r="WWQ1" t="s">
        <v>17662</v>
      </c>
      <c r="WWR1" t="s">
        <v>17663</v>
      </c>
      <c r="WWS1" t="s">
        <v>17664</v>
      </c>
      <c r="WWT1" t="s">
        <v>17665</v>
      </c>
      <c r="WWU1" t="s">
        <v>17666</v>
      </c>
      <c r="WWV1" t="s">
        <v>17667</v>
      </c>
      <c r="WWW1" t="s">
        <v>17668</v>
      </c>
      <c r="WWX1" t="s">
        <v>17669</v>
      </c>
      <c r="WWY1" t="s">
        <v>17670</v>
      </c>
      <c r="WWZ1" t="s">
        <v>17671</v>
      </c>
      <c r="WXA1" t="s">
        <v>17672</v>
      </c>
      <c r="WXB1" t="s">
        <v>17673</v>
      </c>
      <c r="WXC1" t="s">
        <v>17674</v>
      </c>
      <c r="WXD1" t="s">
        <v>17675</v>
      </c>
      <c r="WXE1" t="s">
        <v>17676</v>
      </c>
      <c r="WXF1" t="s">
        <v>17677</v>
      </c>
      <c r="WXG1" t="s">
        <v>17678</v>
      </c>
      <c r="WXH1" t="s">
        <v>17679</v>
      </c>
      <c r="WXI1" t="s">
        <v>17680</v>
      </c>
      <c r="WXJ1" t="s">
        <v>17681</v>
      </c>
      <c r="WXK1" t="s">
        <v>17682</v>
      </c>
      <c r="WXL1" t="s">
        <v>17683</v>
      </c>
      <c r="WXM1" t="s">
        <v>17684</v>
      </c>
      <c r="WXN1" t="s">
        <v>17685</v>
      </c>
      <c r="WXO1" t="s">
        <v>17686</v>
      </c>
      <c r="WXP1" t="s">
        <v>17687</v>
      </c>
      <c r="WXQ1" t="s">
        <v>17688</v>
      </c>
      <c r="WXR1" t="s">
        <v>17689</v>
      </c>
      <c r="WXS1" t="s">
        <v>17690</v>
      </c>
      <c r="WXT1" t="s">
        <v>17691</v>
      </c>
      <c r="WXU1" t="s">
        <v>17692</v>
      </c>
      <c r="WXV1" t="s">
        <v>17693</v>
      </c>
      <c r="WXW1" t="s">
        <v>17694</v>
      </c>
      <c r="WXX1" t="s">
        <v>17695</v>
      </c>
      <c r="WXY1" t="s">
        <v>17696</v>
      </c>
      <c r="WXZ1" t="s">
        <v>17697</v>
      </c>
      <c r="WYA1" t="s">
        <v>17698</v>
      </c>
      <c r="WYB1" t="s">
        <v>17699</v>
      </c>
      <c r="WYC1" t="s">
        <v>17700</v>
      </c>
      <c r="WYD1" t="s">
        <v>17701</v>
      </c>
      <c r="WYE1" t="s">
        <v>17702</v>
      </c>
      <c r="WYF1" t="s">
        <v>17703</v>
      </c>
      <c r="WYG1" t="s">
        <v>17704</v>
      </c>
      <c r="WYH1" t="s">
        <v>17705</v>
      </c>
      <c r="WYI1" t="s">
        <v>17706</v>
      </c>
      <c r="WYJ1" t="s">
        <v>17707</v>
      </c>
      <c r="WYK1" t="s">
        <v>17708</v>
      </c>
      <c r="WYL1" t="s">
        <v>17709</v>
      </c>
      <c r="WYM1" t="s">
        <v>17710</v>
      </c>
      <c r="WYN1" t="s">
        <v>17711</v>
      </c>
      <c r="WYO1" t="s">
        <v>17712</v>
      </c>
      <c r="WYP1" t="s">
        <v>17713</v>
      </c>
      <c r="WYQ1" t="s">
        <v>17714</v>
      </c>
      <c r="WYR1" t="s">
        <v>17715</v>
      </c>
      <c r="WYS1" t="s">
        <v>17716</v>
      </c>
      <c r="WYT1" t="s">
        <v>17717</v>
      </c>
      <c r="WYU1" t="s">
        <v>17718</v>
      </c>
      <c r="WYV1" t="s">
        <v>17719</v>
      </c>
      <c r="WYW1" t="s">
        <v>17720</v>
      </c>
      <c r="WYX1" t="s">
        <v>17721</v>
      </c>
      <c r="WYY1" t="s">
        <v>17722</v>
      </c>
      <c r="WYZ1" t="s">
        <v>17723</v>
      </c>
      <c r="WZA1" t="s">
        <v>17724</v>
      </c>
      <c r="WZB1" t="s">
        <v>17725</v>
      </c>
      <c r="WZC1" t="s">
        <v>17726</v>
      </c>
      <c r="WZD1" t="s">
        <v>17727</v>
      </c>
      <c r="WZE1" t="s">
        <v>17728</v>
      </c>
      <c r="WZF1" t="s">
        <v>17729</v>
      </c>
      <c r="WZG1" t="s">
        <v>17730</v>
      </c>
      <c r="WZH1" t="s">
        <v>17731</v>
      </c>
      <c r="WZI1" t="s">
        <v>17732</v>
      </c>
      <c r="WZJ1" t="s">
        <v>17733</v>
      </c>
      <c r="WZK1" t="s">
        <v>17734</v>
      </c>
      <c r="WZL1" t="s">
        <v>17735</v>
      </c>
      <c r="WZM1" t="s">
        <v>17736</v>
      </c>
      <c r="WZN1" t="s">
        <v>17737</v>
      </c>
      <c r="WZO1" t="s">
        <v>17738</v>
      </c>
      <c r="WZP1" t="s">
        <v>17739</v>
      </c>
      <c r="WZQ1" t="s">
        <v>17740</v>
      </c>
      <c r="WZR1" t="s">
        <v>17741</v>
      </c>
      <c r="WZS1" t="s">
        <v>17742</v>
      </c>
      <c r="WZT1" t="s">
        <v>17743</v>
      </c>
      <c r="WZU1" t="s">
        <v>17744</v>
      </c>
      <c r="WZV1" t="s">
        <v>17745</v>
      </c>
      <c r="WZW1" t="s">
        <v>17746</v>
      </c>
      <c r="WZX1" t="s">
        <v>17747</v>
      </c>
      <c r="WZY1" t="s">
        <v>17748</v>
      </c>
      <c r="WZZ1" t="s">
        <v>17749</v>
      </c>
      <c r="XAA1" t="s">
        <v>17750</v>
      </c>
      <c r="XAB1" t="s">
        <v>17751</v>
      </c>
      <c r="XAC1" t="s">
        <v>17752</v>
      </c>
      <c r="XAD1" t="s">
        <v>17753</v>
      </c>
      <c r="XAE1" t="s">
        <v>17754</v>
      </c>
      <c r="XAF1" t="s">
        <v>17755</v>
      </c>
      <c r="XAG1" t="s">
        <v>17756</v>
      </c>
      <c r="XAH1" t="s">
        <v>17757</v>
      </c>
      <c r="XAI1" t="s">
        <v>17758</v>
      </c>
      <c r="XAJ1" t="s">
        <v>17759</v>
      </c>
      <c r="XAK1" t="s">
        <v>17760</v>
      </c>
      <c r="XAL1" t="s">
        <v>17761</v>
      </c>
      <c r="XAM1" t="s">
        <v>17762</v>
      </c>
      <c r="XAN1" t="s">
        <v>17763</v>
      </c>
      <c r="XAO1" t="s">
        <v>17764</v>
      </c>
      <c r="XAP1" t="s">
        <v>17765</v>
      </c>
      <c r="XAQ1" t="s">
        <v>17766</v>
      </c>
      <c r="XAR1" t="s">
        <v>17767</v>
      </c>
      <c r="XAS1" t="s">
        <v>17768</v>
      </c>
      <c r="XAT1" t="s">
        <v>17769</v>
      </c>
      <c r="XAU1" t="s">
        <v>17770</v>
      </c>
      <c r="XAV1" t="s">
        <v>17771</v>
      </c>
      <c r="XAW1" t="s">
        <v>17772</v>
      </c>
      <c r="XAX1" t="s">
        <v>17773</v>
      </c>
      <c r="XAY1" t="s">
        <v>17774</v>
      </c>
      <c r="XAZ1" t="s">
        <v>17775</v>
      </c>
      <c r="XBA1" t="s">
        <v>17776</v>
      </c>
      <c r="XBB1" t="s">
        <v>17777</v>
      </c>
      <c r="XBC1" t="s">
        <v>17778</v>
      </c>
      <c r="XBD1" t="s">
        <v>17779</v>
      </c>
      <c r="XBE1" t="s">
        <v>17780</v>
      </c>
      <c r="XBF1" t="s">
        <v>17781</v>
      </c>
      <c r="XBG1" t="s">
        <v>17782</v>
      </c>
      <c r="XBH1" t="s">
        <v>17783</v>
      </c>
      <c r="XBI1" t="s">
        <v>17784</v>
      </c>
      <c r="XBJ1" t="s">
        <v>17785</v>
      </c>
      <c r="XBK1" t="s">
        <v>17786</v>
      </c>
      <c r="XBL1" t="s">
        <v>17787</v>
      </c>
      <c r="XBM1" t="s">
        <v>17788</v>
      </c>
      <c r="XBN1" t="s">
        <v>17789</v>
      </c>
      <c r="XBO1" t="s">
        <v>17790</v>
      </c>
      <c r="XBP1" t="s">
        <v>17791</v>
      </c>
      <c r="XBQ1" t="s">
        <v>17792</v>
      </c>
      <c r="XBR1" t="s">
        <v>17793</v>
      </c>
      <c r="XBS1" t="s">
        <v>17794</v>
      </c>
      <c r="XBT1" t="s">
        <v>17795</v>
      </c>
      <c r="XBU1" t="s">
        <v>17796</v>
      </c>
      <c r="XBV1" t="s">
        <v>17797</v>
      </c>
      <c r="XBW1" t="s">
        <v>17798</v>
      </c>
      <c r="XBX1" t="s">
        <v>17799</v>
      </c>
      <c r="XBY1" t="s">
        <v>17800</v>
      </c>
      <c r="XBZ1" t="s">
        <v>17801</v>
      </c>
      <c r="XCA1" t="s">
        <v>17802</v>
      </c>
      <c r="XCB1" t="s">
        <v>17803</v>
      </c>
      <c r="XCC1" t="s">
        <v>17804</v>
      </c>
      <c r="XCD1" t="s">
        <v>17805</v>
      </c>
      <c r="XCE1" t="s">
        <v>17806</v>
      </c>
      <c r="XCF1" t="s">
        <v>17807</v>
      </c>
      <c r="XCG1" t="s">
        <v>17808</v>
      </c>
      <c r="XCH1" t="s">
        <v>17809</v>
      </c>
      <c r="XCI1" t="s">
        <v>17810</v>
      </c>
      <c r="XCJ1" t="s">
        <v>17811</v>
      </c>
      <c r="XCK1" t="s">
        <v>17812</v>
      </c>
      <c r="XCL1" t="s">
        <v>17813</v>
      </c>
      <c r="XCM1" t="s">
        <v>17814</v>
      </c>
      <c r="XCN1" t="s">
        <v>17815</v>
      </c>
      <c r="XCO1" t="s">
        <v>17816</v>
      </c>
      <c r="XCP1" t="s">
        <v>17817</v>
      </c>
      <c r="XCQ1" t="s">
        <v>17818</v>
      </c>
      <c r="XCR1" t="s">
        <v>17819</v>
      </c>
      <c r="XCS1" t="s">
        <v>17820</v>
      </c>
      <c r="XCT1" t="s">
        <v>17821</v>
      </c>
      <c r="XCU1" t="s">
        <v>17822</v>
      </c>
      <c r="XCV1" t="s">
        <v>17823</v>
      </c>
      <c r="XCW1" t="s">
        <v>17824</v>
      </c>
      <c r="XCX1" t="s">
        <v>17825</v>
      </c>
      <c r="XCY1" t="s">
        <v>17826</v>
      </c>
      <c r="XCZ1" t="s">
        <v>17827</v>
      </c>
      <c r="XDA1" t="s">
        <v>17828</v>
      </c>
      <c r="XDB1" t="s">
        <v>17829</v>
      </c>
      <c r="XDC1" t="s">
        <v>17830</v>
      </c>
      <c r="XDD1" t="s">
        <v>17831</v>
      </c>
      <c r="XDE1" t="s">
        <v>17832</v>
      </c>
      <c r="XDF1" t="s">
        <v>17833</v>
      </c>
      <c r="XDG1" t="s">
        <v>17834</v>
      </c>
      <c r="XDH1" t="s">
        <v>17835</v>
      </c>
      <c r="XDI1" t="s">
        <v>17836</v>
      </c>
      <c r="XDJ1" t="s">
        <v>17837</v>
      </c>
      <c r="XDK1" t="s">
        <v>17838</v>
      </c>
      <c r="XDL1" t="s">
        <v>17839</v>
      </c>
      <c r="XDM1" t="s">
        <v>17840</v>
      </c>
      <c r="XDN1" t="s">
        <v>17841</v>
      </c>
      <c r="XDO1" t="s">
        <v>17842</v>
      </c>
      <c r="XDP1" t="s">
        <v>17843</v>
      </c>
      <c r="XDQ1" t="s">
        <v>17844</v>
      </c>
      <c r="XDR1" t="s">
        <v>17845</v>
      </c>
      <c r="XDS1" t="s">
        <v>17846</v>
      </c>
      <c r="XDT1" t="s">
        <v>17847</v>
      </c>
      <c r="XDU1" t="s">
        <v>17848</v>
      </c>
      <c r="XDV1" t="s">
        <v>17849</v>
      </c>
      <c r="XDW1" t="s">
        <v>17850</v>
      </c>
      <c r="XDX1" t="s">
        <v>17851</v>
      </c>
      <c r="XDY1" t="s">
        <v>17852</v>
      </c>
      <c r="XDZ1" t="s">
        <v>17853</v>
      </c>
      <c r="XEA1" t="s">
        <v>17854</v>
      </c>
      <c r="XEB1" t="s">
        <v>17855</v>
      </c>
      <c r="XEC1" t="s">
        <v>17856</v>
      </c>
      <c r="XED1" t="s">
        <v>17857</v>
      </c>
      <c r="XEE1" t="s">
        <v>17858</v>
      </c>
      <c r="XEF1" t="s">
        <v>17859</v>
      </c>
      <c r="XEG1" t="s">
        <v>17860</v>
      </c>
      <c r="XEH1" t="s">
        <v>17861</v>
      </c>
      <c r="XEI1" t="s">
        <v>17862</v>
      </c>
      <c r="XEJ1" t="s">
        <v>17863</v>
      </c>
      <c r="XEK1" t="s">
        <v>17864</v>
      </c>
      <c r="XEL1" t="s">
        <v>17865</v>
      </c>
      <c r="XEM1" t="s">
        <v>17866</v>
      </c>
      <c r="XEN1" t="s">
        <v>17867</v>
      </c>
      <c r="XEO1" t="s">
        <v>17868</v>
      </c>
      <c r="XEP1" t="s">
        <v>17869</v>
      </c>
      <c r="XEQ1" t="s">
        <v>17870</v>
      </c>
      <c r="XER1" t="s">
        <v>17871</v>
      </c>
      <c r="XES1" t="s">
        <v>17872</v>
      </c>
      <c r="XET1" t="s">
        <v>17873</v>
      </c>
      <c r="XEU1" t="s">
        <v>17874</v>
      </c>
      <c r="XEV1" t="s">
        <v>17875</v>
      </c>
      <c r="XEW1" t="s">
        <v>17876</v>
      </c>
      <c r="XEX1" t="s">
        <v>17877</v>
      </c>
      <c r="XEY1" t="s">
        <v>17878</v>
      </c>
      <c r="XEZ1" t="s">
        <v>17879</v>
      </c>
      <c r="XFA1" t="s">
        <v>17880</v>
      </c>
      <c r="XFB1" t="s">
        <v>17881</v>
      </c>
      <c r="XFC1" t="s">
        <v>17882</v>
      </c>
      <c r="XFD1" t="s">
        <v>17883</v>
      </c>
    </row>
    <row r="2" spans="1:16384" x14ac:dyDescent="0.3">
      <c r="A2" s="2" t="s">
        <v>338</v>
      </c>
      <c r="B2" s="2">
        <v>53</v>
      </c>
      <c r="C2" s="3" t="s">
        <v>339</v>
      </c>
      <c r="D2" s="3">
        <v>14</v>
      </c>
      <c r="E2" s="3" t="s">
        <v>340</v>
      </c>
      <c r="F2" s="3">
        <v>1875434034</v>
      </c>
      <c r="G2" s="3" t="s">
        <v>341</v>
      </c>
      <c r="H2" s="3" t="s">
        <v>339</v>
      </c>
      <c r="I2" s="3" t="s">
        <v>342</v>
      </c>
      <c r="J2" s="3">
        <v>18</v>
      </c>
      <c r="K2" s="3" t="s">
        <v>343</v>
      </c>
      <c r="L2" s="3"/>
      <c r="M2" s="3" t="s">
        <v>344</v>
      </c>
      <c r="N2" s="3" t="s">
        <v>345</v>
      </c>
      <c r="O2" s="3" t="s">
        <v>344</v>
      </c>
      <c r="P2" s="3" t="s">
        <v>344</v>
      </c>
      <c r="Q2" s="3" t="s">
        <v>344</v>
      </c>
      <c r="R2" s="3"/>
      <c r="S2" s="3" t="s">
        <v>346</v>
      </c>
      <c r="T2" s="3"/>
      <c r="U2" s="3" t="s">
        <v>347</v>
      </c>
      <c r="V2" s="3"/>
      <c r="W2" s="3" t="s">
        <v>344</v>
      </c>
      <c r="X2" s="3" t="s">
        <v>344</v>
      </c>
      <c r="Y2" s="3" t="s">
        <v>344</v>
      </c>
      <c r="Z2" s="3" t="s">
        <v>345</v>
      </c>
      <c r="AA2" s="3" t="s">
        <v>344</v>
      </c>
      <c r="AB2" s="3" t="s">
        <v>344</v>
      </c>
      <c r="AC2" s="3" t="s">
        <v>344</v>
      </c>
      <c r="AD2" s="3" t="s">
        <v>344</v>
      </c>
      <c r="AE2" s="3" t="s">
        <v>345</v>
      </c>
      <c r="AF2" s="3" t="s">
        <v>344</v>
      </c>
      <c r="AG2" s="3" t="s">
        <v>344</v>
      </c>
      <c r="AH2" s="3" t="s">
        <v>344</v>
      </c>
      <c r="AI2" s="3" t="s">
        <v>344</v>
      </c>
      <c r="AJ2" s="3" t="s">
        <v>344</v>
      </c>
      <c r="AK2" s="3" t="s">
        <v>345</v>
      </c>
      <c r="AL2" s="3" t="s">
        <v>344</v>
      </c>
      <c r="AM2" s="3" t="s">
        <v>345</v>
      </c>
      <c r="AN2" s="3" t="s">
        <v>344</v>
      </c>
      <c r="AO2" s="3" t="s">
        <v>344</v>
      </c>
      <c r="AP2" s="3" t="s">
        <v>344</v>
      </c>
      <c r="AQ2" s="3" t="s">
        <v>344</v>
      </c>
      <c r="AR2" s="3" t="s">
        <v>345</v>
      </c>
      <c r="AS2" s="3" t="s">
        <v>344</v>
      </c>
      <c r="AT2" s="3" t="s">
        <v>345</v>
      </c>
      <c r="AU2" s="3" t="s">
        <v>344</v>
      </c>
      <c r="AV2" s="3" t="s">
        <v>344</v>
      </c>
      <c r="AW2" s="3" t="s">
        <v>344</v>
      </c>
      <c r="AX2" s="3" t="s">
        <v>344</v>
      </c>
      <c r="AY2" s="3"/>
      <c r="AZ2" s="3"/>
      <c r="BA2" s="3"/>
      <c r="BB2" s="3"/>
      <c r="BC2" s="3"/>
      <c r="BD2" s="3"/>
      <c r="BE2" s="3" t="s">
        <v>348</v>
      </c>
      <c r="BF2" s="3" t="s">
        <v>349</v>
      </c>
      <c r="BG2" s="3" t="s">
        <v>349</v>
      </c>
      <c r="BH2" s="3" t="s">
        <v>350</v>
      </c>
      <c r="BI2" s="3" t="s">
        <v>350</v>
      </c>
      <c r="BJ2" s="3" t="s">
        <v>351</v>
      </c>
      <c r="BK2" s="3" t="s">
        <v>352</v>
      </c>
      <c r="BL2" s="3" t="s">
        <v>353</v>
      </c>
      <c r="BM2" s="3" t="s">
        <v>354</v>
      </c>
      <c r="BN2" s="3" t="s">
        <v>355</v>
      </c>
      <c r="BO2" s="3" t="s">
        <v>356</v>
      </c>
      <c r="BP2" s="3" t="s">
        <v>357</v>
      </c>
      <c r="BQ2" s="3" t="s">
        <v>358</v>
      </c>
      <c r="BR2" s="3" t="s">
        <v>359</v>
      </c>
      <c r="BS2" s="3" t="s">
        <v>351</v>
      </c>
      <c r="BT2" s="3" t="s">
        <v>357</v>
      </c>
      <c r="BU2" s="3" t="s">
        <v>354</v>
      </c>
      <c r="BV2" s="3" t="s">
        <v>352</v>
      </c>
      <c r="BW2" s="3" t="s">
        <v>353</v>
      </c>
      <c r="BX2" s="3" t="s">
        <v>355</v>
      </c>
      <c r="BY2" s="3" t="s">
        <v>356</v>
      </c>
      <c r="BZ2" s="3" t="s">
        <v>355</v>
      </c>
      <c r="CA2" s="3" t="s">
        <v>352</v>
      </c>
      <c r="CB2" s="3" t="s">
        <v>356</v>
      </c>
      <c r="CC2" s="3" t="s">
        <v>354</v>
      </c>
      <c r="CD2" s="3" t="s">
        <v>353</v>
      </c>
      <c r="CE2" s="3" t="s">
        <v>351</v>
      </c>
      <c r="CF2" s="3" t="s">
        <v>357</v>
      </c>
      <c r="CG2" s="3" t="s">
        <v>360</v>
      </c>
      <c r="CH2" s="3" t="s">
        <v>360</v>
      </c>
      <c r="CI2" s="3" t="s">
        <v>360</v>
      </c>
      <c r="CJ2" s="3"/>
      <c r="CK2" s="3" t="s">
        <v>361</v>
      </c>
      <c r="CL2" s="3" t="s">
        <v>344</v>
      </c>
      <c r="CM2" s="3" t="s">
        <v>344</v>
      </c>
      <c r="CN2" s="3" t="s">
        <v>345</v>
      </c>
      <c r="CO2" s="3" t="s">
        <v>344</v>
      </c>
      <c r="CP2" s="3" t="s">
        <v>345</v>
      </c>
      <c r="CQ2" s="3" t="s">
        <v>344</v>
      </c>
      <c r="CR2" s="3" t="s">
        <v>362</v>
      </c>
      <c r="CS2" s="3">
        <v>42</v>
      </c>
      <c r="CT2" s="3">
        <v>42</v>
      </c>
      <c r="CU2" s="3">
        <v>69</v>
      </c>
      <c r="CV2" s="3">
        <v>10</v>
      </c>
      <c r="CW2" s="3" t="s">
        <v>363</v>
      </c>
      <c r="CX2" s="3" t="s">
        <v>364</v>
      </c>
      <c r="CY2" s="3" t="s">
        <v>364</v>
      </c>
      <c r="CZ2" s="3"/>
      <c r="DA2" s="3"/>
      <c r="DB2" s="3"/>
      <c r="DC2" s="3"/>
      <c r="DD2" s="3"/>
      <c r="DE2" s="3" t="s">
        <v>365</v>
      </c>
      <c r="DF2" s="3" t="s">
        <v>366</v>
      </c>
      <c r="DG2" s="3" t="s">
        <v>365</v>
      </c>
      <c r="DH2" s="3" t="s">
        <v>366</v>
      </c>
      <c r="DI2" s="3" t="s">
        <v>365</v>
      </c>
      <c r="DJ2" s="3"/>
      <c r="DK2" s="3" t="s">
        <v>367</v>
      </c>
      <c r="DL2" s="3" t="s">
        <v>368</v>
      </c>
      <c r="DM2" s="3" t="s">
        <v>368</v>
      </c>
      <c r="DN2" s="3" t="s">
        <v>368</v>
      </c>
      <c r="DO2" s="3" t="s">
        <v>368</v>
      </c>
      <c r="DP2" s="3" t="s">
        <v>344</v>
      </c>
      <c r="DQ2" s="3" t="s">
        <v>345</v>
      </c>
      <c r="DR2" s="3" t="s">
        <v>344</v>
      </c>
      <c r="DS2" s="3" t="s">
        <v>344</v>
      </c>
      <c r="DT2" s="3" t="s">
        <v>345</v>
      </c>
      <c r="DU2" s="3" t="s">
        <v>344</v>
      </c>
      <c r="DV2" s="3" t="s">
        <v>344</v>
      </c>
      <c r="DW2" s="3" t="s">
        <v>344</v>
      </c>
      <c r="DX2" s="3" t="s">
        <v>369</v>
      </c>
      <c r="DY2" s="3" t="s">
        <v>370</v>
      </c>
      <c r="DZ2" s="3" t="s">
        <v>371</v>
      </c>
      <c r="EA2" s="3" t="s">
        <v>369</v>
      </c>
      <c r="EB2" s="3" t="s">
        <v>369</v>
      </c>
      <c r="EC2" s="3" t="s">
        <v>369</v>
      </c>
      <c r="ED2" s="3" t="s">
        <v>371</v>
      </c>
      <c r="EE2" s="3" t="s">
        <v>370</v>
      </c>
      <c r="EF2" s="3" t="s">
        <v>370</v>
      </c>
      <c r="EG2" s="3" t="s">
        <v>370</v>
      </c>
      <c r="EH2" s="3" t="s">
        <v>370</v>
      </c>
      <c r="EI2" s="3" t="s">
        <v>369</v>
      </c>
      <c r="EJ2" s="3" t="s">
        <v>370</v>
      </c>
      <c r="EK2" s="3" t="s">
        <v>370</v>
      </c>
      <c r="EL2" s="3" t="s">
        <v>372</v>
      </c>
      <c r="EM2" s="3" t="s">
        <v>373</v>
      </c>
      <c r="EN2" s="3" t="s">
        <v>374</v>
      </c>
      <c r="EO2" s="3"/>
      <c r="EP2" s="3"/>
      <c r="EQ2" s="3" t="s">
        <v>375</v>
      </c>
      <c r="ER2" s="3" t="s">
        <v>375</v>
      </c>
      <c r="ES2" s="3" t="s">
        <v>376</v>
      </c>
      <c r="ET2" s="3" t="s">
        <v>377</v>
      </c>
      <c r="EU2" s="3" t="s">
        <v>378</v>
      </c>
      <c r="EV2" s="3" t="s">
        <v>379</v>
      </c>
      <c r="EW2" s="3"/>
      <c r="EX2" s="3" t="s">
        <v>368</v>
      </c>
      <c r="EY2" s="3" t="s">
        <v>368</v>
      </c>
      <c r="EZ2" s="3" t="s">
        <v>368</v>
      </c>
      <c r="FA2" s="3" t="s">
        <v>345</v>
      </c>
      <c r="FB2" s="3" t="s">
        <v>380</v>
      </c>
      <c r="FC2" s="3"/>
      <c r="FD2" s="3" t="s">
        <v>381</v>
      </c>
      <c r="FE2" s="3"/>
      <c r="FF2" s="3" t="s">
        <v>382</v>
      </c>
      <c r="FG2" s="3" t="s">
        <v>383</v>
      </c>
      <c r="FH2" s="3" t="s">
        <v>384</v>
      </c>
      <c r="FI2" s="3" t="s">
        <v>385</v>
      </c>
      <c r="FJ2" s="3"/>
      <c r="FK2" s="3"/>
      <c r="FL2" s="3"/>
      <c r="FM2" s="3"/>
      <c r="FN2" s="3"/>
      <c r="FO2" s="3"/>
      <c r="FP2" s="3"/>
      <c r="FQ2" s="3"/>
      <c r="FR2" s="3"/>
      <c r="FS2" s="3"/>
      <c r="FT2" s="3"/>
      <c r="FU2" s="3"/>
      <c r="FV2" s="3"/>
      <c r="FW2" s="3"/>
      <c r="FX2" s="3"/>
      <c r="FY2" s="3"/>
      <c r="FZ2" s="3"/>
      <c r="GA2" s="3" t="s">
        <v>368</v>
      </c>
      <c r="GB2" s="3" t="s">
        <v>368</v>
      </c>
      <c r="GC2" s="3" t="s">
        <v>368</v>
      </c>
      <c r="GD2" s="3" t="s">
        <v>368</v>
      </c>
      <c r="GE2" s="3" t="s">
        <v>368</v>
      </c>
      <c r="GF2" s="3" t="s">
        <v>368</v>
      </c>
      <c r="GG2" s="3"/>
      <c r="GH2" s="3"/>
      <c r="GI2" s="3"/>
      <c r="GJ2" s="3"/>
      <c r="GK2" s="3"/>
      <c r="GL2" s="3" t="s">
        <v>344</v>
      </c>
      <c r="GM2" s="3" t="s">
        <v>344</v>
      </c>
      <c r="GN2" s="3" t="s">
        <v>344</v>
      </c>
      <c r="GO2" s="3" t="s">
        <v>344</v>
      </c>
      <c r="GP2" s="3" t="s">
        <v>344</v>
      </c>
      <c r="GQ2" s="3" t="s">
        <v>344</v>
      </c>
      <c r="GR2" s="3" t="s">
        <v>344</v>
      </c>
      <c r="GS2" s="3" t="s">
        <v>344</v>
      </c>
      <c r="GT2" s="3" t="s">
        <v>344</v>
      </c>
      <c r="GU2" s="3" t="s">
        <v>344</v>
      </c>
      <c r="GV2" s="3" t="s">
        <v>344</v>
      </c>
      <c r="GW2" s="3" t="s">
        <v>344</v>
      </c>
      <c r="GX2" s="3" t="s">
        <v>344</v>
      </c>
      <c r="GY2" s="3" t="s">
        <v>344</v>
      </c>
      <c r="GZ2" s="3" t="s">
        <v>345</v>
      </c>
      <c r="HA2" s="3"/>
      <c r="HB2" s="3" t="s">
        <v>344</v>
      </c>
      <c r="HC2" s="3"/>
      <c r="HD2" s="3" t="s">
        <v>344</v>
      </c>
      <c r="HE2" s="3"/>
      <c r="HF2" s="3" t="s">
        <v>344</v>
      </c>
      <c r="HG2" s="3"/>
      <c r="HH2" s="3" t="s">
        <v>344</v>
      </c>
      <c r="HI2" s="3"/>
      <c r="HJ2" s="3" t="s">
        <v>344</v>
      </c>
      <c r="HK2" s="3" t="s">
        <v>344</v>
      </c>
      <c r="HL2" s="3" t="s">
        <v>344</v>
      </c>
      <c r="HM2" s="3" t="s">
        <v>344</v>
      </c>
      <c r="HN2" s="3" t="s">
        <v>344</v>
      </c>
      <c r="HO2" s="3" t="s">
        <v>344</v>
      </c>
      <c r="HP2" s="3" t="s">
        <v>344</v>
      </c>
      <c r="HQ2" s="3" t="s">
        <v>344</v>
      </c>
      <c r="HR2" s="3" t="s">
        <v>344</v>
      </c>
      <c r="HS2" s="3" t="s">
        <v>344</v>
      </c>
      <c r="HT2" s="3" t="s">
        <v>344</v>
      </c>
      <c r="HU2" s="3" t="s">
        <v>345</v>
      </c>
      <c r="HV2" s="3" t="s">
        <v>345</v>
      </c>
      <c r="HW2" s="3" t="s">
        <v>344</v>
      </c>
      <c r="HX2" s="3" t="s">
        <v>344</v>
      </c>
      <c r="HY2" s="3"/>
      <c r="HZ2" s="3" t="s">
        <v>344</v>
      </c>
      <c r="IA2" s="3"/>
      <c r="IB2" s="3" t="s">
        <v>344</v>
      </c>
      <c r="IC2" s="3"/>
      <c r="ID2" s="3" t="s">
        <v>344</v>
      </c>
      <c r="IE2" s="3"/>
      <c r="IF2" s="3" t="s">
        <v>344</v>
      </c>
      <c r="IG2" s="3"/>
      <c r="IH2" s="3" t="s">
        <v>345</v>
      </c>
      <c r="II2" s="3" t="s">
        <v>345</v>
      </c>
      <c r="IJ2" s="3" t="s">
        <v>344</v>
      </c>
      <c r="IK2" s="3" t="s">
        <v>344</v>
      </c>
      <c r="IL2" s="3" t="s">
        <v>345</v>
      </c>
      <c r="IM2" s="3" t="s">
        <v>345</v>
      </c>
      <c r="IN2" s="3" t="s">
        <v>344</v>
      </c>
      <c r="IO2" s="3" t="s">
        <v>345</v>
      </c>
      <c r="IP2" s="3" t="s">
        <v>344</v>
      </c>
      <c r="IQ2" s="3" t="s">
        <v>344</v>
      </c>
      <c r="IR2" s="3" t="s">
        <v>345</v>
      </c>
      <c r="IS2" s="3" t="s">
        <v>344</v>
      </c>
      <c r="IT2" s="3"/>
      <c r="IU2" s="3"/>
      <c r="IV2" s="3"/>
      <c r="IW2" s="3"/>
      <c r="IX2" s="3"/>
      <c r="IY2" s="3"/>
      <c r="IZ2" s="3"/>
      <c r="JA2" s="3"/>
      <c r="JB2" s="3"/>
      <c r="JC2" s="3"/>
      <c r="JD2" s="3"/>
      <c r="JE2" s="3"/>
      <c r="JF2" s="3"/>
      <c r="JG2" s="3"/>
      <c r="JH2" s="3"/>
    </row>
    <row r="3" spans="1:16384" x14ac:dyDescent="0.3">
      <c r="A3" s="2" t="s">
        <v>338</v>
      </c>
      <c r="B3" s="3">
        <v>54</v>
      </c>
      <c r="C3" s="3" t="s">
        <v>386</v>
      </c>
      <c r="D3" s="3">
        <v>14</v>
      </c>
      <c r="E3" s="3" t="s">
        <v>387</v>
      </c>
      <c r="F3" s="3">
        <v>1387453363</v>
      </c>
      <c r="G3" s="3" t="s">
        <v>388</v>
      </c>
      <c r="H3" s="3" t="s">
        <v>386</v>
      </c>
      <c r="I3" s="3" t="s">
        <v>342</v>
      </c>
      <c r="J3" s="3">
        <v>17</v>
      </c>
      <c r="K3" s="3" t="s">
        <v>389</v>
      </c>
      <c r="L3" s="3"/>
      <c r="M3" s="3" t="s">
        <v>345</v>
      </c>
      <c r="N3" s="3" t="s">
        <v>344</v>
      </c>
      <c r="O3" s="3" t="s">
        <v>344</v>
      </c>
      <c r="P3" s="3" t="s">
        <v>344</v>
      </c>
      <c r="Q3" s="3" t="s">
        <v>344</v>
      </c>
      <c r="R3" s="3"/>
      <c r="S3" s="3" t="s">
        <v>346</v>
      </c>
      <c r="T3" s="3"/>
      <c r="U3" s="3" t="s">
        <v>347</v>
      </c>
      <c r="V3" s="3"/>
      <c r="W3" s="3" t="s">
        <v>344</v>
      </c>
      <c r="X3" s="3" t="s">
        <v>345</v>
      </c>
      <c r="Y3" s="3" t="s">
        <v>344</v>
      </c>
      <c r="Z3" s="3" t="s">
        <v>344</v>
      </c>
      <c r="AA3" s="3" t="s">
        <v>345</v>
      </c>
      <c r="AB3" s="3" t="s">
        <v>344</v>
      </c>
      <c r="AC3" s="3" t="s">
        <v>344</v>
      </c>
      <c r="AD3" s="3" t="s">
        <v>344</v>
      </c>
      <c r="AE3" s="3" t="s">
        <v>344</v>
      </c>
      <c r="AF3" s="3" t="s">
        <v>345</v>
      </c>
      <c r="AG3" s="3" t="s">
        <v>344</v>
      </c>
      <c r="AH3" s="3" t="s">
        <v>344</v>
      </c>
      <c r="AI3" s="3" t="s">
        <v>345</v>
      </c>
      <c r="AJ3" s="3" t="s">
        <v>344</v>
      </c>
      <c r="AK3" s="3" t="s">
        <v>344</v>
      </c>
      <c r="AL3" s="3" t="s">
        <v>345</v>
      </c>
      <c r="AM3" s="3" t="s">
        <v>344</v>
      </c>
      <c r="AN3" s="3" t="s">
        <v>344</v>
      </c>
      <c r="AO3" s="3" t="s">
        <v>344</v>
      </c>
      <c r="AP3" s="3" t="s">
        <v>344</v>
      </c>
      <c r="AQ3" s="3" t="s">
        <v>344</v>
      </c>
      <c r="AR3" s="3" t="s">
        <v>344</v>
      </c>
      <c r="AS3" s="3" t="s">
        <v>345</v>
      </c>
      <c r="AT3" s="3" t="s">
        <v>345</v>
      </c>
      <c r="AU3" s="3" t="s">
        <v>344</v>
      </c>
      <c r="AV3" s="3" t="s">
        <v>345</v>
      </c>
      <c r="AW3" s="3" t="s">
        <v>344</v>
      </c>
      <c r="AX3" s="3" t="s">
        <v>344</v>
      </c>
      <c r="AY3" s="3"/>
      <c r="AZ3" s="3"/>
      <c r="BA3" s="3"/>
      <c r="BB3" s="3"/>
      <c r="BC3" s="3"/>
      <c r="BD3" s="3"/>
      <c r="BE3" s="3" t="s">
        <v>349</v>
      </c>
      <c r="BF3" s="3" t="s">
        <v>349</v>
      </c>
      <c r="BG3" s="3" t="s">
        <v>390</v>
      </c>
      <c r="BH3" s="3" t="s">
        <v>390</v>
      </c>
      <c r="BI3" s="3" t="s">
        <v>348</v>
      </c>
      <c r="BJ3" s="3" t="s">
        <v>391</v>
      </c>
      <c r="BK3" s="3" t="s">
        <v>354</v>
      </c>
      <c r="BL3" s="3" t="s">
        <v>357</v>
      </c>
      <c r="BM3" s="3" t="s">
        <v>391</v>
      </c>
      <c r="BN3" s="3" t="s">
        <v>351</v>
      </c>
      <c r="BO3" s="3" t="s">
        <v>356</v>
      </c>
      <c r="BP3" s="3" t="s">
        <v>391</v>
      </c>
      <c r="BQ3" s="3" t="s">
        <v>358</v>
      </c>
      <c r="BR3" s="3" t="s">
        <v>359</v>
      </c>
      <c r="BS3" s="3" t="s">
        <v>357</v>
      </c>
      <c r="BT3" s="3" t="s">
        <v>356</v>
      </c>
      <c r="BU3" s="3" t="s">
        <v>354</v>
      </c>
      <c r="BV3" s="3" t="s">
        <v>391</v>
      </c>
      <c r="BW3" s="3" t="s">
        <v>352</v>
      </c>
      <c r="BX3" s="3" t="s">
        <v>351</v>
      </c>
      <c r="BY3" s="3" t="s">
        <v>391</v>
      </c>
      <c r="BZ3" s="3" t="s">
        <v>391</v>
      </c>
      <c r="CA3" s="3" t="s">
        <v>356</v>
      </c>
      <c r="CB3" s="3" t="s">
        <v>352</v>
      </c>
      <c r="CC3" s="3" t="s">
        <v>357</v>
      </c>
      <c r="CD3" s="3" t="s">
        <v>355</v>
      </c>
      <c r="CE3" s="3" t="s">
        <v>354</v>
      </c>
      <c r="CF3" s="3" t="s">
        <v>391</v>
      </c>
      <c r="CG3" s="3" t="s">
        <v>392</v>
      </c>
      <c r="CH3" s="3" t="s">
        <v>393</v>
      </c>
      <c r="CI3" s="3" t="s">
        <v>392</v>
      </c>
      <c r="CJ3" s="3"/>
      <c r="CK3" s="3" t="s">
        <v>391</v>
      </c>
      <c r="CL3" s="3" t="s">
        <v>344</v>
      </c>
      <c r="CM3" s="3" t="s">
        <v>345</v>
      </c>
      <c r="CN3" s="3" t="s">
        <v>344</v>
      </c>
      <c r="CO3" s="3" t="s">
        <v>345</v>
      </c>
      <c r="CP3" s="3" t="s">
        <v>344</v>
      </c>
      <c r="CQ3" s="3" t="s">
        <v>344</v>
      </c>
      <c r="CR3" s="3" t="s">
        <v>394</v>
      </c>
      <c r="CS3" s="3">
        <v>35</v>
      </c>
      <c r="CT3" s="3">
        <v>91</v>
      </c>
      <c r="CU3" s="3"/>
      <c r="CV3" s="3"/>
      <c r="CW3" s="3" t="s">
        <v>395</v>
      </c>
      <c r="CX3" s="3" t="s">
        <v>396</v>
      </c>
      <c r="CY3" s="3" t="s">
        <v>396</v>
      </c>
      <c r="CZ3" s="3" t="s">
        <v>397</v>
      </c>
      <c r="DA3" s="3" t="s">
        <v>397</v>
      </c>
      <c r="DB3" s="3" t="s">
        <v>397</v>
      </c>
      <c r="DC3" s="3" t="s">
        <v>397</v>
      </c>
      <c r="DD3" s="3" t="s">
        <v>397</v>
      </c>
      <c r="DE3" s="3"/>
      <c r="DF3" s="3"/>
      <c r="DG3" s="3"/>
      <c r="DH3" s="3"/>
      <c r="DI3" s="3"/>
      <c r="DJ3" s="3"/>
      <c r="DK3" s="3" t="s">
        <v>367</v>
      </c>
      <c r="DL3" s="3" t="s">
        <v>368</v>
      </c>
      <c r="DM3" s="3" t="s">
        <v>368</v>
      </c>
      <c r="DN3" s="3" t="s">
        <v>368</v>
      </c>
      <c r="DO3" s="3" t="s">
        <v>368</v>
      </c>
      <c r="DP3" s="3" t="s">
        <v>344</v>
      </c>
      <c r="DQ3" s="3" t="s">
        <v>345</v>
      </c>
      <c r="DR3" s="3" t="s">
        <v>344</v>
      </c>
      <c r="DS3" s="3" t="s">
        <v>344</v>
      </c>
      <c r="DT3" s="3" t="s">
        <v>345</v>
      </c>
      <c r="DU3" s="3" t="s">
        <v>345</v>
      </c>
      <c r="DV3" s="3" t="s">
        <v>344</v>
      </c>
      <c r="DW3" s="3" t="s">
        <v>344</v>
      </c>
      <c r="DX3" s="3" t="s">
        <v>370</v>
      </c>
      <c r="DY3" s="3" t="s">
        <v>370</v>
      </c>
      <c r="DZ3" s="3" t="s">
        <v>370</v>
      </c>
      <c r="EA3" s="3" t="s">
        <v>370</v>
      </c>
      <c r="EB3" s="3" t="s">
        <v>370</v>
      </c>
      <c r="EC3" s="3" t="s">
        <v>370</v>
      </c>
      <c r="ED3" s="3" t="s">
        <v>370</v>
      </c>
      <c r="EE3" s="3" t="s">
        <v>369</v>
      </c>
      <c r="EF3" s="3" t="s">
        <v>398</v>
      </c>
      <c r="EG3" s="3" t="s">
        <v>369</v>
      </c>
      <c r="EH3" s="3" t="s">
        <v>371</v>
      </c>
      <c r="EI3" s="3" t="s">
        <v>369</v>
      </c>
      <c r="EJ3" s="3" t="s">
        <v>369</v>
      </c>
      <c r="EK3" s="3" t="s">
        <v>399</v>
      </c>
      <c r="EL3" s="3" t="s">
        <v>373</v>
      </c>
      <c r="EM3" s="3" t="s">
        <v>374</v>
      </c>
      <c r="EN3" s="3" t="s">
        <v>372</v>
      </c>
      <c r="EO3" s="3"/>
      <c r="EP3" s="3"/>
      <c r="EQ3" s="3" t="s">
        <v>375</v>
      </c>
      <c r="ER3" s="3" t="s">
        <v>375</v>
      </c>
      <c r="ES3" s="3" t="s">
        <v>376</v>
      </c>
      <c r="ET3" s="3" t="s">
        <v>376</v>
      </c>
      <c r="EU3" s="3" t="s">
        <v>375</v>
      </c>
      <c r="EV3" s="3" t="s">
        <v>400</v>
      </c>
      <c r="EW3" s="3"/>
      <c r="EX3" s="3" t="s">
        <v>368</v>
      </c>
      <c r="EY3" s="3" t="s">
        <v>368</v>
      </c>
      <c r="EZ3" s="3" t="s">
        <v>368</v>
      </c>
      <c r="FA3" s="3" t="s">
        <v>345</v>
      </c>
      <c r="FB3" s="3" t="s">
        <v>401</v>
      </c>
      <c r="FC3" s="3"/>
      <c r="FD3" s="3" t="s">
        <v>401</v>
      </c>
      <c r="FE3" s="3"/>
      <c r="FF3" s="3" t="s">
        <v>382</v>
      </c>
      <c r="FG3" s="3" t="s">
        <v>402</v>
      </c>
      <c r="FH3" s="3" t="s">
        <v>384</v>
      </c>
      <c r="FI3" s="3" t="s">
        <v>403</v>
      </c>
      <c r="FJ3" s="3"/>
      <c r="FK3" s="3"/>
      <c r="FL3" s="3"/>
      <c r="FM3" s="3"/>
      <c r="FN3" s="3"/>
      <c r="FO3" s="3"/>
      <c r="FP3" s="3"/>
      <c r="FQ3" s="3"/>
      <c r="FR3" s="3"/>
      <c r="FS3" s="3"/>
      <c r="FT3" s="3"/>
      <c r="FU3" s="3"/>
      <c r="FV3" s="3"/>
      <c r="FW3" s="3"/>
      <c r="FX3" s="3"/>
      <c r="FY3" s="3"/>
      <c r="FZ3" s="3"/>
      <c r="GA3" s="3" t="s">
        <v>368</v>
      </c>
      <c r="GB3" s="3" t="s">
        <v>368</v>
      </c>
      <c r="GC3" s="3" t="s">
        <v>368</v>
      </c>
      <c r="GD3" s="3" t="s">
        <v>368</v>
      </c>
      <c r="GE3" s="3" t="s">
        <v>368</v>
      </c>
      <c r="GF3" s="3" t="s">
        <v>368</v>
      </c>
      <c r="GG3" s="3"/>
      <c r="GH3" s="3"/>
      <c r="GI3" s="3"/>
      <c r="GJ3" s="3"/>
      <c r="GK3" s="3"/>
      <c r="GL3" s="3" t="s">
        <v>344</v>
      </c>
      <c r="GM3" s="3" t="s">
        <v>344</v>
      </c>
      <c r="GN3" s="3" t="s">
        <v>344</v>
      </c>
      <c r="GO3" s="3" t="s">
        <v>345</v>
      </c>
      <c r="GP3" s="3" t="s">
        <v>344</v>
      </c>
      <c r="GQ3" s="3" t="s">
        <v>344</v>
      </c>
      <c r="GR3" s="3" t="s">
        <v>345</v>
      </c>
      <c r="GS3" s="3" t="s">
        <v>344</v>
      </c>
      <c r="GT3" s="3" t="s">
        <v>344</v>
      </c>
      <c r="GU3" s="3" t="s">
        <v>344</v>
      </c>
      <c r="GV3" s="3" t="s">
        <v>345</v>
      </c>
      <c r="GW3" s="3" t="s">
        <v>345</v>
      </c>
      <c r="GX3" s="3" t="s">
        <v>344</v>
      </c>
      <c r="GY3" s="3" t="s">
        <v>345</v>
      </c>
      <c r="GZ3" s="3" t="s">
        <v>344</v>
      </c>
      <c r="HA3" s="3"/>
      <c r="HB3" s="3" t="s">
        <v>344</v>
      </c>
      <c r="HC3" s="3"/>
      <c r="HD3" s="3" t="s">
        <v>344</v>
      </c>
      <c r="HE3" s="3"/>
      <c r="HF3" s="3" t="s">
        <v>344</v>
      </c>
      <c r="HG3" s="3"/>
      <c r="HH3" s="3" t="s">
        <v>344</v>
      </c>
      <c r="HI3" s="3"/>
      <c r="HJ3" s="3" t="s">
        <v>345</v>
      </c>
      <c r="HK3" s="3" t="s">
        <v>344</v>
      </c>
      <c r="HL3" s="3" t="s">
        <v>344</v>
      </c>
      <c r="HM3" s="3" t="s">
        <v>344</v>
      </c>
      <c r="HN3" s="3" t="s">
        <v>344</v>
      </c>
      <c r="HO3" s="3" t="s">
        <v>344</v>
      </c>
      <c r="HP3" s="3" t="s">
        <v>344</v>
      </c>
      <c r="HQ3" s="3" t="s">
        <v>344</v>
      </c>
      <c r="HR3" s="3" t="s">
        <v>344</v>
      </c>
      <c r="HS3" s="3" t="s">
        <v>344</v>
      </c>
      <c r="HT3" s="3" t="s">
        <v>344</v>
      </c>
      <c r="HU3" s="3" t="s">
        <v>345</v>
      </c>
      <c r="HV3" s="3" t="s">
        <v>344</v>
      </c>
      <c r="HW3" s="3" t="s">
        <v>344</v>
      </c>
      <c r="HX3" s="3" t="s">
        <v>344</v>
      </c>
      <c r="HY3" s="3"/>
      <c r="HZ3" s="3" t="s">
        <v>344</v>
      </c>
      <c r="IA3" s="3"/>
      <c r="IB3" s="3" t="s">
        <v>344</v>
      </c>
      <c r="IC3" s="3"/>
      <c r="ID3" s="3" t="s">
        <v>344</v>
      </c>
      <c r="IE3" s="3"/>
      <c r="IF3" s="3" t="s">
        <v>344</v>
      </c>
      <c r="IG3" s="3"/>
      <c r="IH3" s="3" t="s">
        <v>344</v>
      </c>
      <c r="II3" s="3" t="s">
        <v>345</v>
      </c>
      <c r="IJ3" s="3" t="s">
        <v>344</v>
      </c>
      <c r="IK3" s="3" t="s">
        <v>344</v>
      </c>
      <c r="IL3" s="3" t="s">
        <v>345</v>
      </c>
      <c r="IM3" s="3" t="s">
        <v>344</v>
      </c>
      <c r="IN3" s="3" t="s">
        <v>344</v>
      </c>
      <c r="IO3" s="3" t="s">
        <v>345</v>
      </c>
      <c r="IP3" s="3" t="s">
        <v>344</v>
      </c>
      <c r="IQ3" s="3" t="s">
        <v>344</v>
      </c>
      <c r="IR3" s="3" t="s">
        <v>345</v>
      </c>
      <c r="IS3" s="3" t="s">
        <v>344</v>
      </c>
      <c r="IT3" s="3"/>
      <c r="IU3" s="3"/>
      <c r="IV3" s="3"/>
      <c r="IW3" s="3"/>
      <c r="IX3" s="3"/>
      <c r="IY3" s="3"/>
      <c r="IZ3" s="3"/>
      <c r="JA3" s="3"/>
      <c r="JB3" s="3"/>
      <c r="JC3" s="3"/>
      <c r="JD3" s="3"/>
      <c r="JE3" s="3"/>
      <c r="JF3" s="3"/>
      <c r="JG3" s="3"/>
      <c r="JH3" s="3"/>
    </row>
    <row r="4" spans="1:16384" x14ac:dyDescent="0.3">
      <c r="A4" s="2" t="s">
        <v>338</v>
      </c>
      <c r="B4" s="3">
        <v>55</v>
      </c>
      <c r="C4" s="3" t="s">
        <v>404</v>
      </c>
      <c r="D4" s="3">
        <v>14</v>
      </c>
      <c r="E4" s="3" t="s">
        <v>387</v>
      </c>
      <c r="F4" s="3">
        <v>543654327</v>
      </c>
      <c r="G4" s="3" t="s">
        <v>405</v>
      </c>
      <c r="H4" s="3" t="s">
        <v>404</v>
      </c>
      <c r="I4" s="3" t="s">
        <v>342</v>
      </c>
      <c r="J4" s="3">
        <v>17</v>
      </c>
      <c r="K4" s="3" t="s">
        <v>406</v>
      </c>
      <c r="L4" s="3"/>
      <c r="M4" s="3" t="s">
        <v>345</v>
      </c>
      <c r="N4" s="3" t="s">
        <v>345</v>
      </c>
      <c r="O4" s="3" t="s">
        <v>344</v>
      </c>
      <c r="P4" s="3" t="s">
        <v>344</v>
      </c>
      <c r="Q4" s="3" t="s">
        <v>344</v>
      </c>
      <c r="R4" s="3"/>
      <c r="S4" s="3" t="s">
        <v>346</v>
      </c>
      <c r="T4" s="3"/>
      <c r="U4" s="3" t="s">
        <v>347</v>
      </c>
      <c r="V4" s="3"/>
      <c r="W4" s="3" t="s">
        <v>344</v>
      </c>
      <c r="X4" s="3" t="s">
        <v>344</v>
      </c>
      <c r="Y4" s="3" t="s">
        <v>345</v>
      </c>
      <c r="Z4" s="3" t="s">
        <v>344</v>
      </c>
      <c r="AA4" s="3" t="s">
        <v>344</v>
      </c>
      <c r="AB4" s="3" t="s">
        <v>344</v>
      </c>
      <c r="AC4" s="3" t="s">
        <v>344</v>
      </c>
      <c r="AD4" s="3" t="s">
        <v>344</v>
      </c>
      <c r="AE4" s="3" t="s">
        <v>344</v>
      </c>
      <c r="AF4" s="3" t="s">
        <v>344</v>
      </c>
      <c r="AG4" s="3" t="s">
        <v>344</v>
      </c>
      <c r="AH4" s="3" t="s">
        <v>345</v>
      </c>
      <c r="AI4" s="3" t="s">
        <v>344</v>
      </c>
      <c r="AJ4" s="3" t="s">
        <v>344</v>
      </c>
      <c r="AK4" s="3" t="s">
        <v>344</v>
      </c>
      <c r="AL4" s="3" t="s">
        <v>345</v>
      </c>
      <c r="AM4" s="3" t="s">
        <v>344</v>
      </c>
      <c r="AN4" s="3" t="s">
        <v>345</v>
      </c>
      <c r="AO4" s="3" t="s">
        <v>344</v>
      </c>
      <c r="AP4" s="3" t="s">
        <v>344</v>
      </c>
      <c r="AQ4" s="3" t="s">
        <v>344</v>
      </c>
      <c r="AR4" s="3" t="s">
        <v>344</v>
      </c>
      <c r="AS4" s="3" t="s">
        <v>344</v>
      </c>
      <c r="AT4" s="3" t="s">
        <v>344</v>
      </c>
      <c r="AU4" s="3" t="s">
        <v>344</v>
      </c>
      <c r="AV4" s="3" t="s">
        <v>345</v>
      </c>
      <c r="AW4" s="3" t="s">
        <v>344</v>
      </c>
      <c r="AX4" s="3" t="s">
        <v>344</v>
      </c>
      <c r="AY4" s="3"/>
      <c r="AZ4" s="3"/>
      <c r="BA4" s="3"/>
      <c r="BB4" s="3"/>
      <c r="BC4" s="3"/>
      <c r="BD4" s="3"/>
      <c r="BE4" s="3" t="s">
        <v>390</v>
      </c>
      <c r="BF4" s="3" t="s">
        <v>349</v>
      </c>
      <c r="BG4" s="3" t="s">
        <v>349</v>
      </c>
      <c r="BH4" s="3" t="s">
        <v>350</v>
      </c>
      <c r="BI4" s="3" t="s">
        <v>348</v>
      </c>
      <c r="BJ4" s="3" t="s">
        <v>357</v>
      </c>
      <c r="BK4" s="3" t="s">
        <v>354</v>
      </c>
      <c r="BL4" s="3" t="s">
        <v>351</v>
      </c>
      <c r="BM4" s="3" t="s">
        <v>352</v>
      </c>
      <c r="BN4" s="3" t="s">
        <v>355</v>
      </c>
      <c r="BO4" s="3" t="s">
        <v>356</v>
      </c>
      <c r="BP4" s="3" t="s">
        <v>353</v>
      </c>
      <c r="BQ4" s="3" t="s">
        <v>407</v>
      </c>
      <c r="BR4" s="3" t="s">
        <v>408</v>
      </c>
      <c r="BS4" s="3" t="s">
        <v>354</v>
      </c>
      <c r="BT4" s="3" t="s">
        <v>355</v>
      </c>
      <c r="BU4" s="3" t="s">
        <v>357</v>
      </c>
      <c r="BV4" s="3" t="s">
        <v>352</v>
      </c>
      <c r="BW4" s="3" t="s">
        <v>356</v>
      </c>
      <c r="BX4" s="3" t="s">
        <v>351</v>
      </c>
      <c r="BY4" s="3" t="s">
        <v>353</v>
      </c>
      <c r="BZ4" s="3" t="s">
        <v>357</v>
      </c>
      <c r="CA4" s="3" t="s">
        <v>354</v>
      </c>
      <c r="CB4" s="3" t="s">
        <v>353</v>
      </c>
      <c r="CC4" s="3" t="s">
        <v>356</v>
      </c>
      <c r="CD4" s="3" t="s">
        <v>353</v>
      </c>
      <c r="CE4" s="3" t="s">
        <v>353</v>
      </c>
      <c r="CF4" s="3" t="s">
        <v>391</v>
      </c>
      <c r="CG4" s="3" t="s">
        <v>392</v>
      </c>
      <c r="CH4" s="3" t="s">
        <v>360</v>
      </c>
      <c r="CI4" s="3" t="s">
        <v>360</v>
      </c>
      <c r="CJ4" s="3"/>
      <c r="CK4" s="3" t="s">
        <v>409</v>
      </c>
      <c r="CL4" s="3" t="s">
        <v>344</v>
      </c>
      <c r="CM4" s="3" t="s">
        <v>345</v>
      </c>
      <c r="CN4" s="3" t="s">
        <v>344</v>
      </c>
      <c r="CO4" s="3" t="s">
        <v>345</v>
      </c>
      <c r="CP4" s="3" t="s">
        <v>345</v>
      </c>
      <c r="CQ4" s="3" t="s">
        <v>344</v>
      </c>
      <c r="CR4" s="3" t="s">
        <v>410</v>
      </c>
      <c r="CS4" s="3">
        <v>18</v>
      </c>
      <c r="CT4" s="3">
        <v>100</v>
      </c>
      <c r="CU4" s="3">
        <v>23</v>
      </c>
      <c r="CV4" s="3">
        <v>1</v>
      </c>
      <c r="CW4" s="3" t="s">
        <v>395</v>
      </c>
      <c r="CX4" s="3" t="s">
        <v>396</v>
      </c>
      <c r="CY4" s="3" t="s">
        <v>396</v>
      </c>
      <c r="CZ4" s="3"/>
      <c r="DA4" s="3"/>
      <c r="DB4" s="3"/>
      <c r="DC4" s="3"/>
      <c r="DD4" s="3"/>
      <c r="DE4" s="3" t="s">
        <v>397</v>
      </c>
      <c r="DF4" s="3" t="s">
        <v>397</v>
      </c>
      <c r="DG4" s="3" t="s">
        <v>397</v>
      </c>
      <c r="DH4" s="3" t="s">
        <v>397</v>
      </c>
      <c r="DI4" s="3" t="s">
        <v>397</v>
      </c>
      <c r="DJ4" s="3"/>
      <c r="DK4" s="3" t="s">
        <v>367</v>
      </c>
      <c r="DL4" s="3" t="s">
        <v>368</v>
      </c>
      <c r="DM4" s="3" t="s">
        <v>368</v>
      </c>
      <c r="DN4" s="3" t="s">
        <v>368</v>
      </c>
      <c r="DO4" s="3" t="s">
        <v>368</v>
      </c>
      <c r="DP4" s="3" t="s">
        <v>345</v>
      </c>
      <c r="DQ4" s="3" t="s">
        <v>345</v>
      </c>
      <c r="DR4" s="3" t="s">
        <v>345</v>
      </c>
      <c r="DS4" s="3" t="s">
        <v>344</v>
      </c>
      <c r="DT4" s="3" t="s">
        <v>345</v>
      </c>
      <c r="DU4" s="3" t="s">
        <v>345</v>
      </c>
      <c r="DV4" s="3" t="s">
        <v>345</v>
      </c>
      <c r="DW4" s="3" t="s">
        <v>344</v>
      </c>
      <c r="DX4" s="3" t="s">
        <v>370</v>
      </c>
      <c r="DY4" s="3" t="s">
        <v>370</v>
      </c>
      <c r="DZ4" s="3" t="s">
        <v>370</v>
      </c>
      <c r="EA4" s="3" t="s">
        <v>370</v>
      </c>
      <c r="EB4" s="3" t="s">
        <v>370</v>
      </c>
      <c r="EC4" s="3" t="s">
        <v>370</v>
      </c>
      <c r="ED4" s="3" t="s">
        <v>370</v>
      </c>
      <c r="EE4" s="3" t="s">
        <v>370</v>
      </c>
      <c r="EF4" s="3" t="s">
        <v>370</v>
      </c>
      <c r="EG4" s="3" t="s">
        <v>369</v>
      </c>
      <c r="EH4" s="3" t="s">
        <v>370</v>
      </c>
      <c r="EI4" s="3" t="s">
        <v>370</v>
      </c>
      <c r="EJ4" s="3" t="s">
        <v>369</v>
      </c>
      <c r="EK4" s="3" t="s">
        <v>369</v>
      </c>
      <c r="EL4" s="3" t="s">
        <v>374</v>
      </c>
      <c r="EM4" s="3" t="s">
        <v>373</v>
      </c>
      <c r="EN4" s="3" t="s">
        <v>372</v>
      </c>
      <c r="EO4" s="3"/>
      <c r="EP4" s="3"/>
      <c r="EQ4" s="3" t="s">
        <v>375</v>
      </c>
      <c r="ER4" s="3" t="s">
        <v>376</v>
      </c>
      <c r="ES4" s="3" t="s">
        <v>411</v>
      </c>
      <c r="ET4" s="3" t="s">
        <v>375</v>
      </c>
      <c r="EU4" s="3" t="s">
        <v>375</v>
      </c>
      <c r="EV4" s="3" t="s">
        <v>400</v>
      </c>
      <c r="EW4" s="3"/>
      <c r="EX4" s="3" t="s">
        <v>368</v>
      </c>
      <c r="EY4" s="3" t="s">
        <v>368</v>
      </c>
      <c r="EZ4" s="3" t="s">
        <v>368</v>
      </c>
      <c r="FA4" s="3" t="s">
        <v>345</v>
      </c>
      <c r="FB4" s="3" t="s">
        <v>401</v>
      </c>
      <c r="FC4" s="3"/>
      <c r="FD4" s="3" t="s">
        <v>401</v>
      </c>
      <c r="FE4" s="3"/>
      <c r="FF4" s="3" t="s">
        <v>412</v>
      </c>
      <c r="FG4" s="3" t="s">
        <v>413</v>
      </c>
      <c r="FH4" s="3" t="s">
        <v>384</v>
      </c>
      <c r="FI4" s="3" t="s">
        <v>385</v>
      </c>
      <c r="FJ4" s="3"/>
      <c r="FK4" s="3"/>
      <c r="FL4" s="3"/>
      <c r="FM4" s="3"/>
      <c r="FN4" s="3"/>
      <c r="FO4" s="3"/>
      <c r="FP4" s="3"/>
      <c r="FQ4" s="3"/>
      <c r="FR4" s="3"/>
      <c r="FS4" s="3"/>
      <c r="FT4" s="3"/>
      <c r="FU4" s="3"/>
      <c r="FV4" s="3"/>
      <c r="FW4" s="3"/>
      <c r="FX4" s="3"/>
      <c r="FY4" s="3"/>
      <c r="FZ4" s="3"/>
      <c r="GA4" s="3" t="s">
        <v>368</v>
      </c>
      <c r="GB4" s="3" t="s">
        <v>368</v>
      </c>
      <c r="GC4" s="3" t="s">
        <v>368</v>
      </c>
      <c r="GD4" s="3" t="s">
        <v>368</v>
      </c>
      <c r="GE4" s="3" t="s">
        <v>368</v>
      </c>
      <c r="GF4" s="3" t="s">
        <v>368</v>
      </c>
      <c r="GG4" s="3"/>
      <c r="GH4" s="3"/>
      <c r="GI4" s="3"/>
      <c r="GJ4" s="3"/>
      <c r="GK4" s="3"/>
      <c r="GL4" s="3" t="s">
        <v>344</v>
      </c>
      <c r="GM4" s="3" t="s">
        <v>344</v>
      </c>
      <c r="GN4" s="3" t="s">
        <v>344</v>
      </c>
      <c r="GO4" s="3" t="s">
        <v>344</v>
      </c>
      <c r="GP4" s="3" t="s">
        <v>344</v>
      </c>
      <c r="GQ4" s="3" t="s">
        <v>344</v>
      </c>
      <c r="GR4" s="3" t="s">
        <v>344</v>
      </c>
      <c r="GS4" s="3" t="s">
        <v>344</v>
      </c>
      <c r="GT4" s="3" t="s">
        <v>344</v>
      </c>
      <c r="GU4" s="3" t="s">
        <v>344</v>
      </c>
      <c r="GV4" s="3" t="s">
        <v>344</v>
      </c>
      <c r="GW4" s="3" t="s">
        <v>344</v>
      </c>
      <c r="GX4" s="3" t="s">
        <v>344</v>
      </c>
      <c r="GY4" s="3" t="s">
        <v>344</v>
      </c>
      <c r="GZ4" s="3" t="s">
        <v>345</v>
      </c>
      <c r="HA4" s="3"/>
      <c r="HB4" s="3" t="s">
        <v>344</v>
      </c>
      <c r="HC4" s="3"/>
      <c r="HD4" s="3" t="s">
        <v>344</v>
      </c>
      <c r="HE4" s="3"/>
      <c r="HF4" s="3" t="s">
        <v>344</v>
      </c>
      <c r="HG4" s="3"/>
      <c r="HH4" s="3" t="s">
        <v>344</v>
      </c>
      <c r="HI4" s="3"/>
      <c r="HJ4" s="3" t="s">
        <v>345</v>
      </c>
      <c r="HK4" s="3" t="s">
        <v>344</v>
      </c>
      <c r="HL4" s="3" t="s">
        <v>344</v>
      </c>
      <c r="HM4" s="3" t="s">
        <v>344</v>
      </c>
      <c r="HN4" s="3" t="s">
        <v>344</v>
      </c>
      <c r="HO4" s="3" t="s">
        <v>344</v>
      </c>
      <c r="HP4" s="3" t="s">
        <v>344</v>
      </c>
      <c r="HQ4" s="3" t="s">
        <v>344</v>
      </c>
      <c r="HR4" s="3" t="s">
        <v>344</v>
      </c>
      <c r="HS4" s="3" t="s">
        <v>344</v>
      </c>
      <c r="HT4" s="3" t="s">
        <v>344</v>
      </c>
      <c r="HU4" s="3" t="s">
        <v>345</v>
      </c>
      <c r="HV4" s="3" t="s">
        <v>344</v>
      </c>
      <c r="HW4" s="3" t="s">
        <v>344</v>
      </c>
      <c r="HX4" s="3" t="s">
        <v>344</v>
      </c>
      <c r="HY4" s="3"/>
      <c r="HZ4" s="3" t="s">
        <v>344</v>
      </c>
      <c r="IA4" s="3"/>
      <c r="IB4" s="3" t="s">
        <v>344</v>
      </c>
      <c r="IC4" s="3"/>
      <c r="ID4" s="3" t="s">
        <v>344</v>
      </c>
      <c r="IE4" s="3"/>
      <c r="IF4" s="3" t="s">
        <v>344</v>
      </c>
      <c r="IG4" s="3"/>
      <c r="IH4" s="3" t="s">
        <v>345</v>
      </c>
      <c r="II4" s="3" t="s">
        <v>344</v>
      </c>
      <c r="IJ4" s="3" t="s">
        <v>344</v>
      </c>
      <c r="IK4" s="3" t="s">
        <v>344</v>
      </c>
      <c r="IL4" s="3" t="s">
        <v>345</v>
      </c>
      <c r="IM4" s="3" t="s">
        <v>345</v>
      </c>
      <c r="IN4" s="3" t="s">
        <v>344</v>
      </c>
      <c r="IO4" s="3" t="s">
        <v>345</v>
      </c>
      <c r="IP4" s="3" t="s">
        <v>344</v>
      </c>
      <c r="IQ4" s="3" t="s">
        <v>344</v>
      </c>
      <c r="IR4" s="3" t="s">
        <v>344</v>
      </c>
      <c r="IS4" s="3" t="s">
        <v>344</v>
      </c>
      <c r="IT4" s="3"/>
      <c r="IU4" s="3" t="s">
        <v>414</v>
      </c>
      <c r="IV4" s="3"/>
      <c r="IW4" s="3"/>
      <c r="IX4" s="3"/>
      <c r="IY4" s="3"/>
      <c r="IZ4" s="3"/>
      <c r="JA4" s="3"/>
      <c r="JB4" s="3"/>
      <c r="JC4" s="3"/>
      <c r="JD4" s="3"/>
      <c r="JE4" s="3"/>
      <c r="JF4" s="3"/>
      <c r="JG4" s="3"/>
      <c r="JH4" s="3"/>
    </row>
    <row r="5" spans="1:16384" x14ac:dyDescent="0.3">
      <c r="A5" s="2" t="s">
        <v>338</v>
      </c>
      <c r="B5" s="3">
        <v>56</v>
      </c>
      <c r="C5" s="3" t="s">
        <v>415</v>
      </c>
      <c r="D5" s="3">
        <v>14</v>
      </c>
      <c r="E5" s="3" t="s">
        <v>387</v>
      </c>
      <c r="F5" s="3">
        <v>1543271029</v>
      </c>
      <c r="G5" s="3" t="s">
        <v>416</v>
      </c>
      <c r="H5" s="3" t="s">
        <v>415</v>
      </c>
      <c r="I5" s="3" t="s">
        <v>342</v>
      </c>
      <c r="J5" s="3">
        <v>17</v>
      </c>
      <c r="K5" s="3" t="s">
        <v>343</v>
      </c>
      <c r="L5" s="4" t="s">
        <v>417</v>
      </c>
      <c r="M5" s="3" t="s">
        <v>344</v>
      </c>
      <c r="N5" s="3" t="s">
        <v>345</v>
      </c>
      <c r="O5" s="3" t="s">
        <v>344</v>
      </c>
      <c r="P5" s="3" t="s">
        <v>344</v>
      </c>
      <c r="Q5" s="3" t="s">
        <v>344</v>
      </c>
      <c r="R5" s="3"/>
      <c r="S5" s="3" t="s">
        <v>346</v>
      </c>
      <c r="T5" s="3"/>
      <c r="U5" s="3" t="s">
        <v>418</v>
      </c>
      <c r="V5" s="3"/>
      <c r="W5" s="3" t="s">
        <v>344</v>
      </c>
      <c r="X5" s="3" t="s">
        <v>344</v>
      </c>
      <c r="Y5" s="3" t="s">
        <v>344</v>
      </c>
      <c r="Z5" s="3" t="s">
        <v>344</v>
      </c>
      <c r="AA5" s="3" t="s">
        <v>344</v>
      </c>
      <c r="AB5" s="3" t="s">
        <v>345</v>
      </c>
      <c r="AC5" s="3" t="s">
        <v>344</v>
      </c>
      <c r="AD5" s="3" t="s">
        <v>344</v>
      </c>
      <c r="AE5" s="3" t="s">
        <v>345</v>
      </c>
      <c r="AF5" s="3" t="s">
        <v>345</v>
      </c>
      <c r="AG5" s="3" t="s">
        <v>344</v>
      </c>
      <c r="AH5" s="3" t="s">
        <v>345</v>
      </c>
      <c r="AI5" s="3" t="s">
        <v>344</v>
      </c>
      <c r="AJ5" s="3" t="s">
        <v>344</v>
      </c>
      <c r="AK5" s="3" t="s">
        <v>344</v>
      </c>
      <c r="AL5" s="3" t="s">
        <v>344</v>
      </c>
      <c r="AM5" s="3" t="s">
        <v>344</v>
      </c>
      <c r="AN5" s="3" t="s">
        <v>344</v>
      </c>
      <c r="AO5" s="3" t="s">
        <v>344</v>
      </c>
      <c r="AP5" s="3" t="s">
        <v>345</v>
      </c>
      <c r="AQ5" s="3" t="s">
        <v>344</v>
      </c>
      <c r="AR5" s="3" t="s">
        <v>345</v>
      </c>
      <c r="AS5" s="3" t="s">
        <v>345</v>
      </c>
      <c r="AT5" s="3" t="s">
        <v>344</v>
      </c>
      <c r="AU5" s="3" t="s">
        <v>344</v>
      </c>
      <c r="AV5" s="3" t="s">
        <v>344</v>
      </c>
      <c r="AW5" s="3" t="s">
        <v>344</v>
      </c>
      <c r="AX5" s="3" t="s">
        <v>344</v>
      </c>
      <c r="AY5" s="3"/>
      <c r="AZ5" s="3"/>
      <c r="BA5" s="3"/>
      <c r="BB5" s="3"/>
      <c r="BC5" s="3"/>
      <c r="BD5" s="3"/>
      <c r="BE5" s="3" t="s">
        <v>349</v>
      </c>
      <c r="BF5" s="3" t="s">
        <v>348</v>
      </c>
      <c r="BG5" s="3" t="s">
        <v>390</v>
      </c>
      <c r="BH5" s="3" t="s">
        <v>348</v>
      </c>
      <c r="BI5" s="3" t="s">
        <v>348</v>
      </c>
      <c r="BJ5" s="3" t="s">
        <v>352</v>
      </c>
      <c r="BK5" s="3" t="s">
        <v>356</v>
      </c>
      <c r="BL5" s="3" t="s">
        <v>352</v>
      </c>
      <c r="BM5" s="3" t="s">
        <v>352</v>
      </c>
      <c r="BN5" s="3" t="s">
        <v>351</v>
      </c>
      <c r="BO5" s="3" t="s">
        <v>356</v>
      </c>
      <c r="BP5" s="3" t="s">
        <v>357</v>
      </c>
      <c r="BQ5" s="3" t="s">
        <v>419</v>
      </c>
      <c r="BR5" s="3" t="s">
        <v>408</v>
      </c>
      <c r="BS5" s="3" t="s">
        <v>356</v>
      </c>
      <c r="BT5" s="3" t="s">
        <v>356</v>
      </c>
      <c r="BU5" s="3" t="s">
        <v>354</v>
      </c>
      <c r="BV5" s="3" t="s">
        <v>356</v>
      </c>
      <c r="BW5" s="3" t="s">
        <v>357</v>
      </c>
      <c r="BX5" s="3" t="s">
        <v>355</v>
      </c>
      <c r="BY5" s="3" t="s">
        <v>353</v>
      </c>
      <c r="BZ5" s="3" t="s">
        <v>352</v>
      </c>
      <c r="CA5" s="3" t="s">
        <v>356</v>
      </c>
      <c r="CB5" s="3" t="s">
        <v>352</v>
      </c>
      <c r="CC5" s="3" t="s">
        <v>354</v>
      </c>
      <c r="CD5" s="3" t="s">
        <v>353</v>
      </c>
      <c r="CE5" s="3" t="s">
        <v>355</v>
      </c>
      <c r="CF5" s="3" t="s">
        <v>354</v>
      </c>
      <c r="CG5" s="3" t="s">
        <v>420</v>
      </c>
      <c r="CH5" s="3" t="s">
        <v>421</v>
      </c>
      <c r="CI5" s="3" t="s">
        <v>420</v>
      </c>
      <c r="CJ5" s="3"/>
      <c r="CK5" s="3" t="s">
        <v>422</v>
      </c>
      <c r="CL5" s="3" t="s">
        <v>345</v>
      </c>
      <c r="CM5" s="3" t="s">
        <v>344</v>
      </c>
      <c r="CN5" s="3" t="s">
        <v>344</v>
      </c>
      <c r="CO5" s="3" t="s">
        <v>345</v>
      </c>
      <c r="CP5" s="3" t="s">
        <v>345</v>
      </c>
      <c r="CQ5" s="3" t="s">
        <v>344</v>
      </c>
      <c r="CR5" s="3" t="s">
        <v>394</v>
      </c>
      <c r="CS5" s="3">
        <v>40</v>
      </c>
      <c r="CT5" s="3">
        <v>60</v>
      </c>
      <c r="CU5" s="3">
        <v>75</v>
      </c>
      <c r="CV5" s="3">
        <v>45</v>
      </c>
      <c r="CW5" s="3" t="s">
        <v>363</v>
      </c>
      <c r="CX5" s="3" t="s">
        <v>363</v>
      </c>
      <c r="CY5" s="3" t="s">
        <v>396</v>
      </c>
      <c r="CZ5" s="3"/>
      <c r="DA5" s="3"/>
      <c r="DB5" s="3"/>
      <c r="DC5" s="3"/>
      <c r="DD5" s="3"/>
      <c r="DE5" s="3" t="s">
        <v>423</v>
      </c>
      <c r="DF5" s="3" t="s">
        <v>423</v>
      </c>
      <c r="DG5" s="3" t="s">
        <v>423</v>
      </c>
      <c r="DH5" s="3" t="s">
        <v>423</v>
      </c>
      <c r="DI5" s="3" t="s">
        <v>423</v>
      </c>
      <c r="DJ5" s="3"/>
      <c r="DK5" s="3" t="s">
        <v>367</v>
      </c>
      <c r="DL5" s="3" t="s">
        <v>368</v>
      </c>
      <c r="DM5" s="3" t="s">
        <v>368</v>
      </c>
      <c r="DN5" s="3" t="s">
        <v>368</v>
      </c>
      <c r="DO5" s="3" t="s">
        <v>368</v>
      </c>
      <c r="DP5" s="3" t="s">
        <v>345</v>
      </c>
      <c r="DQ5" s="3" t="s">
        <v>344</v>
      </c>
      <c r="DR5" s="3" t="s">
        <v>344</v>
      </c>
      <c r="DS5" s="3" t="s">
        <v>344</v>
      </c>
      <c r="DT5" s="3" t="s">
        <v>345</v>
      </c>
      <c r="DU5" s="3" t="s">
        <v>344</v>
      </c>
      <c r="DV5" s="3" t="s">
        <v>344</v>
      </c>
      <c r="DW5" s="3" t="s">
        <v>344</v>
      </c>
      <c r="DX5" s="3" t="s">
        <v>369</v>
      </c>
      <c r="DY5" s="3" t="s">
        <v>398</v>
      </c>
      <c r="DZ5" s="3" t="s">
        <v>398</v>
      </c>
      <c r="EA5" s="3" t="s">
        <v>399</v>
      </c>
      <c r="EB5" s="3" t="s">
        <v>398</v>
      </c>
      <c r="EC5" s="3" t="s">
        <v>398</v>
      </c>
      <c r="ED5" s="3" t="s">
        <v>370</v>
      </c>
      <c r="EE5" s="3" t="s">
        <v>370</v>
      </c>
      <c r="EF5" s="3" t="s">
        <v>370</v>
      </c>
      <c r="EG5" s="3" t="s">
        <v>398</v>
      </c>
      <c r="EH5" s="3" t="s">
        <v>370</v>
      </c>
      <c r="EI5" s="3" t="s">
        <v>370</v>
      </c>
      <c r="EJ5" s="3" t="s">
        <v>370</v>
      </c>
      <c r="EK5" s="3" t="s">
        <v>369</v>
      </c>
      <c r="EL5" s="3" t="s">
        <v>373</v>
      </c>
      <c r="EM5" s="3" t="s">
        <v>424</v>
      </c>
      <c r="EN5" s="3" t="s">
        <v>372</v>
      </c>
      <c r="EO5" s="3"/>
      <c r="EP5" s="3"/>
      <c r="EQ5" s="3" t="s">
        <v>375</v>
      </c>
      <c r="ER5" s="3" t="s">
        <v>375</v>
      </c>
      <c r="ES5" s="3" t="s">
        <v>376</v>
      </c>
      <c r="ET5" s="3" t="s">
        <v>375</v>
      </c>
      <c r="EU5" s="3" t="s">
        <v>375</v>
      </c>
      <c r="EV5" s="3" t="s">
        <v>400</v>
      </c>
      <c r="EW5" s="3"/>
      <c r="EX5" s="3" t="s">
        <v>368</v>
      </c>
      <c r="EY5" s="3" t="s">
        <v>368</v>
      </c>
      <c r="EZ5" s="3" t="s">
        <v>368</v>
      </c>
      <c r="FA5" s="3" t="s">
        <v>345</v>
      </c>
      <c r="FB5" s="3" t="s">
        <v>380</v>
      </c>
      <c r="FC5" s="3"/>
      <c r="FD5" s="3" t="s">
        <v>401</v>
      </c>
      <c r="FE5" s="3"/>
      <c r="FF5" s="3" t="s">
        <v>412</v>
      </c>
      <c r="FG5" s="3" t="s">
        <v>413</v>
      </c>
      <c r="FH5" s="3" t="s">
        <v>384</v>
      </c>
      <c r="FI5" s="3" t="s">
        <v>385</v>
      </c>
      <c r="FJ5" s="3"/>
      <c r="FK5" s="3"/>
      <c r="FL5" s="3"/>
      <c r="FM5" s="3"/>
      <c r="FN5" s="3"/>
      <c r="FO5" s="3"/>
      <c r="FP5" s="3"/>
      <c r="FQ5" s="3"/>
      <c r="FR5" s="3"/>
      <c r="FS5" s="3"/>
      <c r="FT5" s="3"/>
      <c r="FU5" s="3"/>
      <c r="FV5" s="3"/>
      <c r="FW5" s="3"/>
      <c r="FX5" s="3"/>
      <c r="FY5" s="3"/>
      <c r="FZ5" s="3"/>
      <c r="GA5" s="3" t="s">
        <v>368</v>
      </c>
      <c r="GB5" s="3" t="s">
        <v>368</v>
      </c>
      <c r="GC5" s="3" t="s">
        <v>368</v>
      </c>
      <c r="GD5" s="3" t="s">
        <v>368</v>
      </c>
      <c r="GE5" s="3" t="s">
        <v>368</v>
      </c>
      <c r="GF5" s="3" t="s">
        <v>368</v>
      </c>
      <c r="GG5" s="3"/>
      <c r="GH5" s="3"/>
      <c r="GI5" s="3"/>
      <c r="GJ5" s="3"/>
      <c r="GK5" s="3"/>
      <c r="GL5" s="3" t="s">
        <v>344</v>
      </c>
      <c r="GM5" s="3" t="s">
        <v>344</v>
      </c>
      <c r="GN5" s="3" t="s">
        <v>344</v>
      </c>
      <c r="GO5" s="3" t="s">
        <v>344</v>
      </c>
      <c r="GP5" s="3" t="s">
        <v>344</v>
      </c>
      <c r="GQ5" s="3" t="s">
        <v>344</v>
      </c>
      <c r="GR5" s="3" t="s">
        <v>344</v>
      </c>
      <c r="GS5" s="3" t="s">
        <v>344</v>
      </c>
      <c r="GT5" s="3" t="s">
        <v>344</v>
      </c>
      <c r="GU5" s="3" t="s">
        <v>344</v>
      </c>
      <c r="GV5" s="3" t="s">
        <v>344</v>
      </c>
      <c r="GW5" s="3" t="s">
        <v>344</v>
      </c>
      <c r="GX5" s="3" t="s">
        <v>344</v>
      </c>
      <c r="GY5" s="3" t="s">
        <v>344</v>
      </c>
      <c r="GZ5" s="3" t="s">
        <v>345</v>
      </c>
      <c r="HA5" s="3"/>
      <c r="HB5" s="3" t="s">
        <v>344</v>
      </c>
      <c r="HC5" s="3"/>
      <c r="HD5" s="3" t="s">
        <v>344</v>
      </c>
      <c r="HE5" s="3"/>
      <c r="HF5" s="3" t="s">
        <v>344</v>
      </c>
      <c r="HG5" s="3"/>
      <c r="HH5" s="3" t="s">
        <v>344</v>
      </c>
      <c r="HI5" s="3"/>
      <c r="HJ5" s="3" t="s">
        <v>344</v>
      </c>
      <c r="HK5" s="3" t="s">
        <v>344</v>
      </c>
      <c r="HL5" s="3" t="s">
        <v>344</v>
      </c>
      <c r="HM5" s="3" t="s">
        <v>344</v>
      </c>
      <c r="HN5" s="3" t="s">
        <v>344</v>
      </c>
      <c r="HO5" s="3" t="s">
        <v>344</v>
      </c>
      <c r="HP5" s="3" t="s">
        <v>344</v>
      </c>
      <c r="HQ5" s="3" t="s">
        <v>344</v>
      </c>
      <c r="HR5" s="3" t="s">
        <v>344</v>
      </c>
      <c r="HS5" s="3" t="s">
        <v>344</v>
      </c>
      <c r="HT5" s="3" t="s">
        <v>344</v>
      </c>
      <c r="HU5" s="3" t="s">
        <v>345</v>
      </c>
      <c r="HV5" s="3" t="s">
        <v>344</v>
      </c>
      <c r="HW5" s="3" t="s">
        <v>344</v>
      </c>
      <c r="HX5" s="3" t="s">
        <v>344</v>
      </c>
      <c r="HY5" s="3"/>
      <c r="HZ5" s="3" t="s">
        <v>344</v>
      </c>
      <c r="IA5" s="3"/>
      <c r="IB5" s="3" t="s">
        <v>344</v>
      </c>
      <c r="IC5" s="3"/>
      <c r="ID5" s="3" t="s">
        <v>344</v>
      </c>
      <c r="IE5" s="3"/>
      <c r="IF5" s="3" t="s">
        <v>344</v>
      </c>
      <c r="IG5" s="3"/>
      <c r="IH5" s="3" t="s">
        <v>344</v>
      </c>
      <c r="II5" s="3" t="s">
        <v>344</v>
      </c>
      <c r="IJ5" s="3" t="s">
        <v>344</v>
      </c>
      <c r="IK5" s="3" t="s">
        <v>344</v>
      </c>
      <c r="IL5" s="3" t="s">
        <v>344</v>
      </c>
      <c r="IM5" s="3" t="s">
        <v>345</v>
      </c>
      <c r="IN5" s="3" t="s">
        <v>344</v>
      </c>
      <c r="IO5" s="3" t="s">
        <v>345</v>
      </c>
      <c r="IP5" s="3" t="s">
        <v>344</v>
      </c>
      <c r="IQ5" s="3" t="s">
        <v>344</v>
      </c>
      <c r="IR5" s="3" t="s">
        <v>344</v>
      </c>
      <c r="IS5" s="3" t="s">
        <v>344</v>
      </c>
      <c r="IT5" s="3"/>
      <c r="IU5" s="3" t="s">
        <v>425</v>
      </c>
      <c r="IV5" s="3"/>
      <c r="IW5" s="3"/>
      <c r="IX5" s="3"/>
      <c r="IY5" s="3"/>
      <c r="IZ5" s="3"/>
      <c r="JA5" s="3"/>
      <c r="JB5" s="3"/>
      <c r="JC5" s="3"/>
      <c r="JD5" s="3"/>
      <c r="JE5" s="3"/>
      <c r="JF5" s="3"/>
      <c r="JG5" s="3"/>
      <c r="JH5" s="3"/>
    </row>
    <row r="6" spans="1:16384" x14ac:dyDescent="0.3">
      <c r="A6" s="2" t="s">
        <v>338</v>
      </c>
      <c r="B6" s="3">
        <v>58</v>
      </c>
      <c r="C6" s="3" t="s">
        <v>426</v>
      </c>
      <c r="D6" s="3">
        <v>14</v>
      </c>
      <c r="E6" s="3" t="s">
        <v>387</v>
      </c>
      <c r="F6" s="3">
        <v>279386343</v>
      </c>
      <c r="G6" s="3" t="s">
        <v>427</v>
      </c>
      <c r="H6" s="3" t="s">
        <v>426</v>
      </c>
      <c r="I6" s="3" t="s">
        <v>342</v>
      </c>
      <c r="J6" s="3">
        <v>17</v>
      </c>
      <c r="K6" s="3" t="s">
        <v>389</v>
      </c>
      <c r="L6" s="3"/>
      <c r="M6" s="3" t="s">
        <v>345</v>
      </c>
      <c r="N6" s="3" t="s">
        <v>344</v>
      </c>
      <c r="O6" s="3" t="s">
        <v>344</v>
      </c>
      <c r="P6" s="3" t="s">
        <v>344</v>
      </c>
      <c r="Q6" s="3" t="s">
        <v>344</v>
      </c>
      <c r="R6" s="3"/>
      <c r="S6" s="3" t="s">
        <v>346</v>
      </c>
      <c r="T6" s="3"/>
      <c r="U6" s="3" t="s">
        <v>428</v>
      </c>
      <c r="V6" s="3"/>
      <c r="W6" s="3" t="s">
        <v>345</v>
      </c>
      <c r="X6" s="3" t="s">
        <v>344</v>
      </c>
      <c r="Y6" s="3" t="s">
        <v>344</v>
      </c>
      <c r="Z6" s="3" t="s">
        <v>344</v>
      </c>
      <c r="AA6" s="3" t="s">
        <v>344</v>
      </c>
      <c r="AB6" s="3" t="s">
        <v>344</v>
      </c>
      <c r="AC6" s="3" t="s">
        <v>344</v>
      </c>
      <c r="AD6" s="3" t="s">
        <v>345</v>
      </c>
      <c r="AE6" s="3" t="s">
        <v>344</v>
      </c>
      <c r="AF6" s="3" t="s">
        <v>344</v>
      </c>
      <c r="AG6" s="3" t="s">
        <v>344</v>
      </c>
      <c r="AH6" s="3" t="s">
        <v>344</v>
      </c>
      <c r="AI6" s="3" t="s">
        <v>344</v>
      </c>
      <c r="AJ6" s="3" t="s">
        <v>344</v>
      </c>
      <c r="AK6" s="3" t="s">
        <v>344</v>
      </c>
      <c r="AL6" s="3" t="s">
        <v>344</v>
      </c>
      <c r="AM6" s="3" t="s">
        <v>345</v>
      </c>
      <c r="AN6" s="3" t="s">
        <v>344</v>
      </c>
      <c r="AO6" s="3" t="s">
        <v>344</v>
      </c>
      <c r="AP6" s="3" t="s">
        <v>344</v>
      </c>
      <c r="AQ6" s="3" t="s">
        <v>344</v>
      </c>
      <c r="AR6" s="3" t="s">
        <v>344</v>
      </c>
      <c r="AS6" s="3" t="s">
        <v>345</v>
      </c>
      <c r="AT6" s="3" t="s">
        <v>344</v>
      </c>
      <c r="AU6" s="3" t="s">
        <v>344</v>
      </c>
      <c r="AV6" s="3" t="s">
        <v>344</v>
      </c>
      <c r="AW6" s="3" t="s">
        <v>344</v>
      </c>
      <c r="AX6" s="3" t="s">
        <v>344</v>
      </c>
      <c r="AY6" s="3"/>
      <c r="AZ6" s="3"/>
      <c r="BA6" s="3"/>
      <c r="BB6" s="3"/>
      <c r="BC6" s="3"/>
      <c r="BD6" s="3"/>
      <c r="BE6" s="3" t="s">
        <v>348</v>
      </c>
      <c r="BF6" s="3" t="s">
        <v>350</v>
      </c>
      <c r="BG6" s="3" t="s">
        <v>349</v>
      </c>
      <c r="BH6" s="3" t="s">
        <v>349</v>
      </c>
      <c r="BI6" s="3" t="s">
        <v>349</v>
      </c>
      <c r="BJ6" s="3" t="s">
        <v>391</v>
      </c>
      <c r="BK6" s="3" t="s">
        <v>391</v>
      </c>
      <c r="BL6" s="3" t="s">
        <v>391</v>
      </c>
      <c r="BM6" s="3" t="s">
        <v>391</v>
      </c>
      <c r="BN6" s="3" t="s">
        <v>391</v>
      </c>
      <c r="BO6" s="3" t="s">
        <v>391</v>
      </c>
      <c r="BP6" s="3" t="s">
        <v>391</v>
      </c>
      <c r="BQ6" s="3" t="s">
        <v>358</v>
      </c>
      <c r="BR6" s="3" t="s">
        <v>429</v>
      </c>
      <c r="BS6" s="3" t="s">
        <v>391</v>
      </c>
      <c r="BT6" s="3" t="s">
        <v>391</v>
      </c>
      <c r="BU6" s="3" t="s">
        <v>391</v>
      </c>
      <c r="BV6" s="3" t="s">
        <v>391</v>
      </c>
      <c r="BW6" s="3" t="s">
        <v>391</v>
      </c>
      <c r="BX6" s="3" t="s">
        <v>391</v>
      </c>
      <c r="BY6" s="3" t="s">
        <v>391</v>
      </c>
      <c r="BZ6" s="3" t="s">
        <v>391</v>
      </c>
      <c r="CA6" s="3" t="s">
        <v>391</v>
      </c>
      <c r="CB6" s="3" t="s">
        <v>391</v>
      </c>
      <c r="CC6" s="3" t="s">
        <v>391</v>
      </c>
      <c r="CD6" s="3" t="s">
        <v>391</v>
      </c>
      <c r="CE6" s="3" t="s">
        <v>391</v>
      </c>
      <c r="CF6" s="3" t="s">
        <v>391</v>
      </c>
      <c r="CG6" s="3" t="s">
        <v>392</v>
      </c>
      <c r="CH6" s="3" t="s">
        <v>421</v>
      </c>
      <c r="CI6" s="3" t="s">
        <v>420</v>
      </c>
      <c r="CJ6" s="3"/>
      <c r="CK6" s="3" t="s">
        <v>430</v>
      </c>
      <c r="CL6" s="3" t="s">
        <v>345</v>
      </c>
      <c r="CM6" s="3" t="s">
        <v>344</v>
      </c>
      <c r="CN6" s="3" t="s">
        <v>345</v>
      </c>
      <c r="CO6" s="3" t="s">
        <v>344</v>
      </c>
      <c r="CP6" s="3" t="s">
        <v>345</v>
      </c>
      <c r="CQ6" s="3" t="s">
        <v>344</v>
      </c>
      <c r="CR6" s="3" t="s">
        <v>362</v>
      </c>
      <c r="CS6" s="3">
        <v>90</v>
      </c>
      <c r="CT6" s="3">
        <v>95</v>
      </c>
      <c r="CU6" s="3"/>
      <c r="CV6" s="3"/>
      <c r="CW6" s="3" t="s">
        <v>395</v>
      </c>
      <c r="CX6" s="3" t="s">
        <v>396</v>
      </c>
      <c r="CY6" s="3" t="s">
        <v>395</v>
      </c>
      <c r="CZ6" s="3" t="s">
        <v>397</v>
      </c>
      <c r="DA6" s="3" t="s">
        <v>397</v>
      </c>
      <c r="DB6" s="3" t="s">
        <v>397</v>
      </c>
      <c r="DC6" s="3" t="s">
        <v>397</v>
      </c>
      <c r="DD6" s="3" t="s">
        <v>397</v>
      </c>
      <c r="DE6" s="3"/>
      <c r="DF6" s="3"/>
      <c r="DG6" s="3"/>
      <c r="DH6" s="3"/>
      <c r="DI6" s="3"/>
      <c r="DJ6" s="3"/>
      <c r="DK6" s="3" t="s">
        <v>367</v>
      </c>
      <c r="DL6" s="3" t="s">
        <v>368</v>
      </c>
      <c r="DM6" s="3" t="s">
        <v>368</v>
      </c>
      <c r="DN6" s="3" t="s">
        <v>368</v>
      </c>
      <c r="DO6" s="3" t="s">
        <v>368</v>
      </c>
      <c r="DP6" s="3" t="s">
        <v>345</v>
      </c>
      <c r="DQ6" s="3" t="s">
        <v>344</v>
      </c>
      <c r="DR6" s="3" t="s">
        <v>345</v>
      </c>
      <c r="DS6" s="3" t="s">
        <v>344</v>
      </c>
      <c r="DT6" s="3" t="s">
        <v>345</v>
      </c>
      <c r="DU6" s="3" t="s">
        <v>344</v>
      </c>
      <c r="DV6" s="3" t="s">
        <v>344</v>
      </c>
      <c r="DW6" s="3" t="s">
        <v>344</v>
      </c>
      <c r="DX6" s="3" t="s">
        <v>370</v>
      </c>
      <c r="DY6" s="3" t="s">
        <v>370</v>
      </c>
      <c r="DZ6" s="3" t="s">
        <v>370</v>
      </c>
      <c r="EA6" s="3" t="s">
        <v>370</v>
      </c>
      <c r="EB6" s="3" t="s">
        <v>370</v>
      </c>
      <c r="EC6" s="3" t="s">
        <v>370</v>
      </c>
      <c r="ED6" s="3" t="s">
        <v>370</v>
      </c>
      <c r="EE6" s="3" t="s">
        <v>369</v>
      </c>
      <c r="EF6" s="3" t="s">
        <v>398</v>
      </c>
      <c r="EG6" s="3" t="s">
        <v>369</v>
      </c>
      <c r="EH6" s="3" t="s">
        <v>398</v>
      </c>
      <c r="EI6" s="3" t="s">
        <v>369</v>
      </c>
      <c r="EJ6" s="3" t="s">
        <v>369</v>
      </c>
      <c r="EK6" s="3" t="s">
        <v>369</v>
      </c>
      <c r="EL6" s="3" t="s">
        <v>373</v>
      </c>
      <c r="EM6" s="3" t="s">
        <v>374</v>
      </c>
      <c r="EN6" s="3" t="s">
        <v>424</v>
      </c>
      <c r="EO6" s="3"/>
      <c r="EP6" s="3"/>
      <c r="EQ6" s="3" t="s">
        <v>375</v>
      </c>
      <c r="ER6" s="3" t="s">
        <v>375</v>
      </c>
      <c r="ES6" s="3" t="s">
        <v>376</v>
      </c>
      <c r="ET6" s="3" t="s">
        <v>375</v>
      </c>
      <c r="EU6" s="3" t="s">
        <v>375</v>
      </c>
      <c r="EV6" s="3" t="s">
        <v>400</v>
      </c>
      <c r="EW6" s="3"/>
      <c r="EX6" s="3" t="s">
        <v>368</v>
      </c>
      <c r="EY6" s="3" t="s">
        <v>368</v>
      </c>
      <c r="EZ6" s="3" t="s">
        <v>368</v>
      </c>
      <c r="FA6" s="3" t="s">
        <v>345</v>
      </c>
      <c r="FB6" s="3" t="s">
        <v>401</v>
      </c>
      <c r="FC6" s="3"/>
      <c r="FD6" s="3" t="s">
        <v>401</v>
      </c>
      <c r="FE6" s="3"/>
      <c r="FF6" s="3" t="s">
        <v>431</v>
      </c>
      <c r="FG6" s="3" t="s">
        <v>402</v>
      </c>
      <c r="FH6" s="3" t="s">
        <v>432</v>
      </c>
      <c r="FI6" s="3" t="s">
        <v>433</v>
      </c>
      <c r="FJ6" s="3"/>
      <c r="FK6" s="3"/>
      <c r="FL6" s="3"/>
      <c r="FM6" s="3"/>
      <c r="FN6" s="3"/>
      <c r="FO6" s="3"/>
      <c r="FP6" s="3"/>
      <c r="FQ6" s="3"/>
      <c r="FR6" s="3"/>
      <c r="FS6" s="3"/>
      <c r="FT6" s="3"/>
      <c r="FU6" s="3"/>
      <c r="FV6" s="3"/>
      <c r="FW6" s="3"/>
      <c r="FX6" s="3"/>
      <c r="FY6" s="3"/>
      <c r="FZ6" s="3"/>
      <c r="GA6" s="3" t="s">
        <v>368</v>
      </c>
      <c r="GB6" s="3" t="s">
        <v>368</v>
      </c>
      <c r="GC6" s="3" t="s">
        <v>368</v>
      </c>
      <c r="GD6" s="3" t="s">
        <v>368</v>
      </c>
      <c r="GE6" s="3" t="s">
        <v>368</v>
      </c>
      <c r="GF6" s="3" t="s">
        <v>368</v>
      </c>
      <c r="GG6" s="3"/>
      <c r="GH6" s="3"/>
      <c r="GI6" s="3"/>
      <c r="GJ6" s="3"/>
      <c r="GK6" s="3"/>
      <c r="GL6" s="3" t="s">
        <v>344</v>
      </c>
      <c r="GM6" s="3" t="s">
        <v>344</v>
      </c>
      <c r="GN6" s="3" t="s">
        <v>345</v>
      </c>
      <c r="GO6" s="3" t="s">
        <v>344</v>
      </c>
      <c r="GP6" s="3" t="s">
        <v>344</v>
      </c>
      <c r="GQ6" s="3" t="s">
        <v>344</v>
      </c>
      <c r="GR6" s="3" t="s">
        <v>344</v>
      </c>
      <c r="GS6" s="3" t="s">
        <v>344</v>
      </c>
      <c r="GT6" s="3" t="s">
        <v>345</v>
      </c>
      <c r="GU6" s="3" t="s">
        <v>344</v>
      </c>
      <c r="GV6" s="3" t="s">
        <v>344</v>
      </c>
      <c r="GW6" s="3" t="s">
        <v>345</v>
      </c>
      <c r="GX6" s="3" t="s">
        <v>344</v>
      </c>
      <c r="GY6" s="3" t="s">
        <v>344</v>
      </c>
      <c r="GZ6" s="3" t="s">
        <v>344</v>
      </c>
      <c r="HA6" s="3"/>
      <c r="HB6" s="3" t="s">
        <v>344</v>
      </c>
      <c r="HC6" s="3"/>
      <c r="HD6" s="3" t="s">
        <v>344</v>
      </c>
      <c r="HE6" s="3"/>
      <c r="HF6" s="3" t="s">
        <v>344</v>
      </c>
      <c r="HG6" s="3"/>
      <c r="HH6" s="3" t="s">
        <v>344</v>
      </c>
      <c r="HI6" s="3"/>
      <c r="HJ6" s="3" t="s">
        <v>345</v>
      </c>
      <c r="HK6" s="3" t="s">
        <v>344</v>
      </c>
      <c r="HL6" s="3" t="s">
        <v>344</v>
      </c>
      <c r="HM6" s="3" t="s">
        <v>344</v>
      </c>
      <c r="HN6" s="3" t="s">
        <v>344</v>
      </c>
      <c r="HO6" s="3" t="s">
        <v>344</v>
      </c>
      <c r="HP6" s="3" t="s">
        <v>344</v>
      </c>
      <c r="HQ6" s="3" t="s">
        <v>344</v>
      </c>
      <c r="HR6" s="3" t="s">
        <v>344</v>
      </c>
      <c r="HS6" s="3" t="s">
        <v>344</v>
      </c>
      <c r="HT6" s="3" t="s">
        <v>344</v>
      </c>
      <c r="HU6" s="3" t="s">
        <v>344</v>
      </c>
      <c r="HV6" s="3" t="s">
        <v>344</v>
      </c>
      <c r="HW6" s="3" t="s">
        <v>344</v>
      </c>
      <c r="HX6" s="3" t="s">
        <v>344</v>
      </c>
      <c r="HY6" s="3"/>
      <c r="HZ6" s="3" t="s">
        <v>344</v>
      </c>
      <c r="IA6" s="3"/>
      <c r="IB6" s="3" t="s">
        <v>344</v>
      </c>
      <c r="IC6" s="3"/>
      <c r="ID6" s="3" t="s">
        <v>344</v>
      </c>
      <c r="IE6" s="3"/>
      <c r="IF6" s="3" t="s">
        <v>344</v>
      </c>
      <c r="IG6" s="3"/>
      <c r="IH6" s="3" t="s">
        <v>344</v>
      </c>
      <c r="II6" s="3" t="s">
        <v>344</v>
      </c>
      <c r="IJ6" s="3" t="s">
        <v>344</v>
      </c>
      <c r="IK6" s="3" t="s">
        <v>344</v>
      </c>
      <c r="IL6" s="3" t="s">
        <v>345</v>
      </c>
      <c r="IM6" s="3" t="s">
        <v>344</v>
      </c>
      <c r="IN6" s="3" t="s">
        <v>344</v>
      </c>
      <c r="IO6" s="3" t="s">
        <v>345</v>
      </c>
      <c r="IP6" s="3" t="s">
        <v>344</v>
      </c>
      <c r="IQ6" s="3" t="s">
        <v>344</v>
      </c>
      <c r="IR6" s="3" t="s">
        <v>344</v>
      </c>
      <c r="IS6" s="3" t="s">
        <v>344</v>
      </c>
      <c r="IT6" s="3" t="s">
        <v>434</v>
      </c>
      <c r="IU6" s="3" t="s">
        <v>435</v>
      </c>
      <c r="IV6" s="3"/>
      <c r="IW6" s="3"/>
      <c r="IX6" s="3"/>
      <c r="IY6" s="3"/>
      <c r="IZ6" s="3"/>
      <c r="JA6" s="3"/>
      <c r="JB6" s="3"/>
      <c r="JC6" s="3"/>
      <c r="JD6" s="3"/>
      <c r="JE6" s="3"/>
      <c r="JF6" s="3"/>
      <c r="JG6" s="3"/>
      <c r="JH6" s="3"/>
    </row>
    <row r="7" spans="1:16384" x14ac:dyDescent="0.3">
      <c r="A7" s="2" t="s">
        <v>338</v>
      </c>
      <c r="B7" s="3">
        <v>59</v>
      </c>
      <c r="C7" s="3" t="s">
        <v>436</v>
      </c>
      <c r="D7" s="3">
        <v>14</v>
      </c>
      <c r="E7" s="3" t="s">
        <v>387</v>
      </c>
      <c r="F7" s="3">
        <v>635843865</v>
      </c>
      <c r="G7" s="3" t="s">
        <v>437</v>
      </c>
      <c r="H7" s="3" t="s">
        <v>436</v>
      </c>
      <c r="I7" s="3" t="s">
        <v>342</v>
      </c>
      <c r="J7" s="3">
        <v>17</v>
      </c>
      <c r="K7" s="3" t="s">
        <v>389</v>
      </c>
      <c r="L7" s="3"/>
      <c r="M7" s="3" t="s">
        <v>345</v>
      </c>
      <c r="N7" s="3" t="s">
        <v>344</v>
      </c>
      <c r="O7" s="3" t="s">
        <v>344</v>
      </c>
      <c r="P7" s="3" t="s">
        <v>344</v>
      </c>
      <c r="Q7" s="3" t="s">
        <v>344</v>
      </c>
      <c r="R7" s="3"/>
      <c r="S7" s="3" t="s">
        <v>438</v>
      </c>
      <c r="T7" s="3"/>
      <c r="U7" s="3" t="s">
        <v>347</v>
      </c>
      <c r="V7" s="3"/>
      <c r="W7" s="3" t="s">
        <v>344</v>
      </c>
      <c r="X7" s="3" t="s">
        <v>345</v>
      </c>
      <c r="Y7" s="3" t="s">
        <v>344</v>
      </c>
      <c r="Z7" s="3" t="s">
        <v>344</v>
      </c>
      <c r="AA7" s="3" t="s">
        <v>344</v>
      </c>
      <c r="AB7" s="3" t="s">
        <v>344</v>
      </c>
      <c r="AC7" s="3" t="s">
        <v>344</v>
      </c>
      <c r="AD7" s="3" t="s">
        <v>345</v>
      </c>
      <c r="AE7" s="3" t="s">
        <v>344</v>
      </c>
      <c r="AF7" s="3" t="s">
        <v>345</v>
      </c>
      <c r="AG7" s="3" t="s">
        <v>344</v>
      </c>
      <c r="AH7" s="3" t="s">
        <v>344</v>
      </c>
      <c r="AI7" s="3" t="s">
        <v>344</v>
      </c>
      <c r="AJ7" s="3" t="s">
        <v>344</v>
      </c>
      <c r="AK7" s="3" t="s">
        <v>368</v>
      </c>
      <c r="AL7" s="3" t="s">
        <v>368</v>
      </c>
      <c r="AM7" s="3" t="s">
        <v>368</v>
      </c>
      <c r="AN7" s="3" t="s">
        <v>368</v>
      </c>
      <c r="AO7" s="3" t="s">
        <v>368</v>
      </c>
      <c r="AP7" s="3" t="s">
        <v>368</v>
      </c>
      <c r="AQ7" s="3" t="s">
        <v>345</v>
      </c>
      <c r="AR7" s="3" t="s">
        <v>345</v>
      </c>
      <c r="AS7" s="3" t="s">
        <v>345</v>
      </c>
      <c r="AT7" s="3" t="s">
        <v>345</v>
      </c>
      <c r="AU7" s="3" t="s">
        <v>345</v>
      </c>
      <c r="AV7" s="3" t="s">
        <v>344</v>
      </c>
      <c r="AW7" s="3" t="s">
        <v>344</v>
      </c>
      <c r="AX7" s="3" t="s">
        <v>344</v>
      </c>
      <c r="AY7" s="3"/>
      <c r="AZ7" s="3"/>
      <c r="BA7" s="3"/>
      <c r="BB7" s="3"/>
      <c r="BC7" s="3"/>
      <c r="BD7" s="3"/>
      <c r="BE7" s="3" t="s">
        <v>349</v>
      </c>
      <c r="BF7" s="3" t="s">
        <v>348</v>
      </c>
      <c r="BG7" s="3" t="s">
        <v>349</v>
      </c>
      <c r="BH7" s="3" t="s">
        <v>390</v>
      </c>
      <c r="BI7" s="3" t="s">
        <v>348</v>
      </c>
      <c r="BJ7" s="3" t="s">
        <v>352</v>
      </c>
      <c r="BK7" s="3" t="s">
        <v>391</v>
      </c>
      <c r="BL7" s="3" t="s">
        <v>352</v>
      </c>
      <c r="BM7" s="3" t="s">
        <v>352</v>
      </c>
      <c r="BN7" s="3" t="s">
        <v>352</v>
      </c>
      <c r="BO7" s="3" t="s">
        <v>391</v>
      </c>
      <c r="BP7" s="3" t="s">
        <v>352</v>
      </c>
      <c r="BQ7" s="3" t="s">
        <v>358</v>
      </c>
      <c r="BR7" s="3" t="s">
        <v>408</v>
      </c>
      <c r="BS7" s="3" t="s">
        <v>351</v>
      </c>
      <c r="BT7" s="3" t="s">
        <v>354</v>
      </c>
      <c r="BU7" s="3" t="s">
        <v>391</v>
      </c>
      <c r="BV7" s="3" t="s">
        <v>391</v>
      </c>
      <c r="BW7" s="3" t="s">
        <v>352</v>
      </c>
      <c r="BX7" s="3" t="s">
        <v>351</v>
      </c>
      <c r="BY7" s="3" t="s">
        <v>391</v>
      </c>
      <c r="BZ7" s="3" t="s">
        <v>391</v>
      </c>
      <c r="CA7" s="3" t="s">
        <v>391</v>
      </c>
      <c r="CB7" s="3" t="s">
        <v>352</v>
      </c>
      <c r="CC7" s="3" t="s">
        <v>391</v>
      </c>
      <c r="CD7" s="3" t="s">
        <v>391</v>
      </c>
      <c r="CE7" s="3" t="s">
        <v>391</v>
      </c>
      <c r="CF7" s="3" t="s">
        <v>352</v>
      </c>
      <c r="CG7" s="3" t="s">
        <v>420</v>
      </c>
      <c r="CH7" s="3" t="s">
        <v>420</v>
      </c>
      <c r="CI7" s="3" t="s">
        <v>393</v>
      </c>
      <c r="CJ7" s="3"/>
      <c r="CK7" s="3" t="s">
        <v>439</v>
      </c>
      <c r="CL7" s="3" t="s">
        <v>345</v>
      </c>
      <c r="CM7" s="3" t="s">
        <v>344</v>
      </c>
      <c r="CN7" s="3" t="s">
        <v>344</v>
      </c>
      <c r="CO7" s="3" t="s">
        <v>345</v>
      </c>
      <c r="CP7" s="3" t="s">
        <v>345</v>
      </c>
      <c r="CQ7" s="3" t="s">
        <v>344</v>
      </c>
      <c r="CR7" s="3" t="s">
        <v>362</v>
      </c>
      <c r="CS7" s="3">
        <v>1</v>
      </c>
      <c r="CT7" s="3">
        <v>100</v>
      </c>
      <c r="CU7" s="3"/>
      <c r="CV7" s="3"/>
      <c r="CW7" s="3" t="s">
        <v>395</v>
      </c>
      <c r="CX7" s="3" t="s">
        <v>396</v>
      </c>
      <c r="CY7" s="3" t="s">
        <v>396</v>
      </c>
      <c r="CZ7" s="3" t="s">
        <v>397</v>
      </c>
      <c r="DA7" s="3" t="s">
        <v>397</v>
      </c>
      <c r="DB7" s="3" t="s">
        <v>397</v>
      </c>
      <c r="DC7" s="3" t="s">
        <v>397</v>
      </c>
      <c r="DD7" s="3" t="s">
        <v>397</v>
      </c>
      <c r="DE7" s="3"/>
      <c r="DF7" s="3"/>
      <c r="DG7" s="3"/>
      <c r="DH7" s="3"/>
      <c r="DI7" s="3"/>
      <c r="DJ7" s="3"/>
      <c r="DK7" s="3" t="s">
        <v>367</v>
      </c>
      <c r="DL7" s="3" t="s">
        <v>368</v>
      </c>
      <c r="DM7" s="3" t="s">
        <v>368</v>
      </c>
      <c r="DN7" s="3" t="s">
        <v>368</v>
      </c>
      <c r="DO7" s="3" t="s">
        <v>368</v>
      </c>
      <c r="DP7" s="3" t="s">
        <v>345</v>
      </c>
      <c r="DQ7" s="3" t="s">
        <v>345</v>
      </c>
      <c r="DR7" s="3" t="s">
        <v>345</v>
      </c>
      <c r="DS7" s="3" t="s">
        <v>344</v>
      </c>
      <c r="DT7" s="3" t="s">
        <v>344</v>
      </c>
      <c r="DU7" s="3" t="s">
        <v>345</v>
      </c>
      <c r="DV7" s="3" t="s">
        <v>345</v>
      </c>
      <c r="DW7" s="3" t="s">
        <v>344</v>
      </c>
      <c r="DX7" s="3" t="s">
        <v>370</v>
      </c>
      <c r="DY7" s="3" t="s">
        <v>370</v>
      </c>
      <c r="DZ7" s="3" t="s">
        <v>370</v>
      </c>
      <c r="EA7" s="3" t="s">
        <v>370</v>
      </c>
      <c r="EB7" s="3" t="s">
        <v>370</v>
      </c>
      <c r="EC7" s="3" t="s">
        <v>370</v>
      </c>
      <c r="ED7" s="3" t="s">
        <v>370</v>
      </c>
      <c r="EE7" s="3" t="s">
        <v>369</v>
      </c>
      <c r="EF7" s="3" t="s">
        <v>369</v>
      </c>
      <c r="EG7" s="3" t="s">
        <v>369</v>
      </c>
      <c r="EH7" s="3" t="s">
        <v>399</v>
      </c>
      <c r="EI7" s="3" t="s">
        <v>369</v>
      </c>
      <c r="EJ7" s="3" t="s">
        <v>369</v>
      </c>
      <c r="EK7" s="3" t="s">
        <v>369</v>
      </c>
      <c r="EL7" s="3" t="s">
        <v>373</v>
      </c>
      <c r="EM7" s="3" t="s">
        <v>440</v>
      </c>
      <c r="EN7" s="3" t="s">
        <v>372</v>
      </c>
      <c r="EO7" s="3"/>
      <c r="EP7" s="3"/>
      <c r="EQ7" s="3" t="s">
        <v>376</v>
      </c>
      <c r="ER7" s="3" t="s">
        <v>376</v>
      </c>
      <c r="ES7" s="3" t="s">
        <v>375</v>
      </c>
      <c r="ET7" s="3" t="s">
        <v>376</v>
      </c>
      <c r="EU7" s="3" t="s">
        <v>376</v>
      </c>
      <c r="EV7" s="3" t="s">
        <v>400</v>
      </c>
      <c r="EW7" s="3"/>
      <c r="EX7" s="3" t="s">
        <v>368</v>
      </c>
      <c r="EY7" s="3" t="s">
        <v>368</v>
      </c>
      <c r="EZ7" s="3" t="s">
        <v>368</v>
      </c>
      <c r="FA7" s="3" t="s">
        <v>345</v>
      </c>
      <c r="FB7" s="3" t="s">
        <v>401</v>
      </c>
      <c r="FC7" s="3"/>
      <c r="FD7" s="3" t="s">
        <v>401</v>
      </c>
      <c r="FE7" s="3"/>
      <c r="FF7" s="3" t="s">
        <v>431</v>
      </c>
      <c r="FG7" s="3" t="s">
        <v>441</v>
      </c>
      <c r="FH7" s="3" t="s">
        <v>432</v>
      </c>
      <c r="FI7" s="3" t="s">
        <v>442</v>
      </c>
      <c r="FJ7" s="3"/>
      <c r="FK7" s="3"/>
      <c r="FL7" s="3"/>
      <c r="FM7" s="3"/>
      <c r="FN7" s="3"/>
      <c r="FO7" s="3"/>
      <c r="FP7" s="3"/>
      <c r="FQ7" s="3"/>
      <c r="FR7" s="3"/>
      <c r="FS7" s="3"/>
      <c r="FT7" s="3"/>
      <c r="FU7" s="3"/>
      <c r="FV7" s="3"/>
      <c r="FW7" s="3"/>
      <c r="FX7" s="3"/>
      <c r="FY7" s="3"/>
      <c r="FZ7" s="3"/>
      <c r="GA7" s="3" t="s">
        <v>368</v>
      </c>
      <c r="GB7" s="3" t="s">
        <v>368</v>
      </c>
      <c r="GC7" s="3" t="s">
        <v>368</v>
      </c>
      <c r="GD7" s="3" t="s">
        <v>368</v>
      </c>
      <c r="GE7" s="3" t="s">
        <v>368</v>
      </c>
      <c r="GF7" s="3" t="s">
        <v>368</v>
      </c>
      <c r="GG7" s="3"/>
      <c r="GH7" s="3"/>
      <c r="GI7" s="3"/>
      <c r="GJ7" s="3"/>
      <c r="GK7" s="3"/>
      <c r="GL7" s="3" t="s">
        <v>344</v>
      </c>
      <c r="GM7" s="3" t="s">
        <v>344</v>
      </c>
      <c r="GN7" s="3" t="s">
        <v>344</v>
      </c>
      <c r="GO7" s="3" t="s">
        <v>345</v>
      </c>
      <c r="GP7" s="3" t="s">
        <v>344</v>
      </c>
      <c r="GQ7" s="3" t="s">
        <v>344</v>
      </c>
      <c r="GR7" s="3" t="s">
        <v>344</v>
      </c>
      <c r="GS7" s="3" t="s">
        <v>344</v>
      </c>
      <c r="GT7" s="3" t="s">
        <v>344</v>
      </c>
      <c r="GU7" s="3" t="s">
        <v>344</v>
      </c>
      <c r="GV7" s="3" t="s">
        <v>345</v>
      </c>
      <c r="GW7" s="3" t="s">
        <v>345</v>
      </c>
      <c r="GX7" s="3" t="s">
        <v>344</v>
      </c>
      <c r="GY7" s="3" t="s">
        <v>345</v>
      </c>
      <c r="GZ7" s="3" t="s">
        <v>344</v>
      </c>
      <c r="HA7" s="3"/>
      <c r="HB7" s="3" t="s">
        <v>345</v>
      </c>
      <c r="HC7" s="3" t="s">
        <v>443</v>
      </c>
      <c r="HD7" s="3" t="s">
        <v>345</v>
      </c>
      <c r="HE7" s="3" t="s">
        <v>444</v>
      </c>
      <c r="HF7" s="3" t="s">
        <v>344</v>
      </c>
      <c r="HG7" s="3"/>
      <c r="HH7" s="3" t="s">
        <v>344</v>
      </c>
      <c r="HI7" s="3"/>
      <c r="HJ7" s="3" t="s">
        <v>345</v>
      </c>
      <c r="HK7" s="3" t="s">
        <v>344</v>
      </c>
      <c r="HL7" s="3" t="s">
        <v>344</v>
      </c>
      <c r="HM7" s="3" t="s">
        <v>345</v>
      </c>
      <c r="HN7" s="3" t="s">
        <v>344</v>
      </c>
      <c r="HO7" s="3" t="s">
        <v>344</v>
      </c>
      <c r="HP7" s="3" t="s">
        <v>344</v>
      </c>
      <c r="HQ7" s="3" t="s">
        <v>344</v>
      </c>
      <c r="HR7" s="3" t="s">
        <v>344</v>
      </c>
      <c r="HS7" s="3" t="s">
        <v>344</v>
      </c>
      <c r="HT7" s="3" t="s">
        <v>344</v>
      </c>
      <c r="HU7" s="3" t="s">
        <v>344</v>
      </c>
      <c r="HV7" s="3" t="s">
        <v>344</v>
      </c>
      <c r="HW7" s="3" t="s">
        <v>344</v>
      </c>
      <c r="HX7" s="3" t="s">
        <v>344</v>
      </c>
      <c r="HY7" s="3"/>
      <c r="HZ7" s="3" t="s">
        <v>344</v>
      </c>
      <c r="IA7" s="3"/>
      <c r="IB7" s="3" t="s">
        <v>345</v>
      </c>
      <c r="IC7" s="3" t="s">
        <v>445</v>
      </c>
      <c r="ID7" s="3" t="s">
        <v>344</v>
      </c>
      <c r="IE7" s="3"/>
      <c r="IF7" s="3" t="s">
        <v>344</v>
      </c>
      <c r="IG7" s="3"/>
      <c r="IH7" s="3" t="s">
        <v>344</v>
      </c>
      <c r="II7" s="3" t="s">
        <v>345</v>
      </c>
      <c r="IJ7" s="3" t="s">
        <v>344</v>
      </c>
      <c r="IK7" s="3" t="s">
        <v>344</v>
      </c>
      <c r="IL7" s="3" t="s">
        <v>345</v>
      </c>
      <c r="IM7" s="3" t="s">
        <v>344</v>
      </c>
      <c r="IN7" s="3" t="s">
        <v>344</v>
      </c>
      <c r="IO7" s="3" t="s">
        <v>345</v>
      </c>
      <c r="IP7" s="3" t="s">
        <v>345</v>
      </c>
      <c r="IQ7" s="3" t="s">
        <v>344</v>
      </c>
      <c r="IR7" s="3" t="s">
        <v>345</v>
      </c>
      <c r="IS7" s="3" t="s">
        <v>344</v>
      </c>
      <c r="IT7" s="3"/>
      <c r="IU7" s="3"/>
      <c r="IV7" s="3"/>
      <c r="IW7" s="3"/>
      <c r="IX7" s="3"/>
      <c r="IY7" s="3"/>
      <c r="IZ7" s="3"/>
      <c r="JA7" s="3"/>
      <c r="JB7" s="3"/>
      <c r="JC7" s="3"/>
      <c r="JD7" s="3"/>
      <c r="JE7" s="3"/>
      <c r="JF7" s="3"/>
      <c r="JG7" s="3"/>
      <c r="JH7" s="3"/>
    </row>
    <row r="8" spans="1:16384" x14ac:dyDescent="0.3">
      <c r="A8" s="2" t="s">
        <v>338</v>
      </c>
      <c r="B8" s="3">
        <v>60</v>
      </c>
      <c r="C8" s="3" t="s">
        <v>446</v>
      </c>
      <c r="D8" s="3">
        <v>14</v>
      </c>
      <c r="E8" s="3" t="s">
        <v>387</v>
      </c>
      <c r="F8" s="3">
        <v>2052874004</v>
      </c>
      <c r="G8" s="3" t="s">
        <v>447</v>
      </c>
      <c r="H8" s="3" t="s">
        <v>446</v>
      </c>
      <c r="I8" s="3" t="s">
        <v>342</v>
      </c>
      <c r="J8" s="3">
        <v>18</v>
      </c>
      <c r="K8" s="3" t="s">
        <v>389</v>
      </c>
      <c r="L8" s="3"/>
      <c r="M8" s="3" t="s">
        <v>345</v>
      </c>
      <c r="N8" s="3" t="s">
        <v>344</v>
      </c>
      <c r="O8" s="3" t="s">
        <v>344</v>
      </c>
      <c r="P8" s="3" t="s">
        <v>344</v>
      </c>
      <c r="Q8" s="3" t="s">
        <v>344</v>
      </c>
      <c r="R8" s="3"/>
      <c r="S8" s="3" t="s">
        <v>346</v>
      </c>
      <c r="T8" s="3"/>
      <c r="U8" s="3" t="s">
        <v>347</v>
      </c>
      <c r="V8" s="3"/>
      <c r="W8" s="3" t="s">
        <v>344</v>
      </c>
      <c r="X8" s="3" t="s">
        <v>345</v>
      </c>
      <c r="Y8" s="3" t="s">
        <v>345</v>
      </c>
      <c r="Z8" s="3" t="s">
        <v>344</v>
      </c>
      <c r="AA8" s="3" t="s">
        <v>344</v>
      </c>
      <c r="AB8" s="3" t="s">
        <v>344</v>
      </c>
      <c r="AC8" s="3" t="s">
        <v>344</v>
      </c>
      <c r="AD8" s="3" t="s">
        <v>345</v>
      </c>
      <c r="AE8" s="3" t="s">
        <v>344</v>
      </c>
      <c r="AF8" s="3" t="s">
        <v>344</v>
      </c>
      <c r="AG8" s="3" t="s">
        <v>344</v>
      </c>
      <c r="AH8" s="3" t="s">
        <v>344</v>
      </c>
      <c r="AI8" s="3" t="s">
        <v>345</v>
      </c>
      <c r="AJ8" s="3" t="s">
        <v>344</v>
      </c>
      <c r="AK8" s="3" t="s">
        <v>344</v>
      </c>
      <c r="AL8" s="3" t="s">
        <v>345</v>
      </c>
      <c r="AM8" s="3" t="s">
        <v>344</v>
      </c>
      <c r="AN8" s="3" t="s">
        <v>344</v>
      </c>
      <c r="AO8" s="3" t="s">
        <v>345</v>
      </c>
      <c r="AP8" s="3" t="s">
        <v>345</v>
      </c>
      <c r="AQ8" s="3" t="s">
        <v>344</v>
      </c>
      <c r="AR8" s="3" t="s">
        <v>345</v>
      </c>
      <c r="AS8" s="3" t="s">
        <v>345</v>
      </c>
      <c r="AT8" s="3" t="s">
        <v>345</v>
      </c>
      <c r="AU8" s="3" t="s">
        <v>345</v>
      </c>
      <c r="AV8" s="3" t="s">
        <v>345</v>
      </c>
      <c r="AW8" s="3" t="s">
        <v>345</v>
      </c>
      <c r="AX8" s="3" t="s">
        <v>344</v>
      </c>
      <c r="AY8" s="3"/>
      <c r="AZ8" s="3"/>
      <c r="BA8" s="3"/>
      <c r="BB8" s="3"/>
      <c r="BC8" s="3"/>
      <c r="BD8" s="3"/>
      <c r="BE8" s="3" t="s">
        <v>349</v>
      </c>
      <c r="BF8" s="3" t="s">
        <v>349</v>
      </c>
      <c r="BG8" s="3" t="s">
        <v>349</v>
      </c>
      <c r="BH8" s="3" t="s">
        <v>349</v>
      </c>
      <c r="BI8" s="3" t="s">
        <v>348</v>
      </c>
      <c r="BJ8" s="3" t="s">
        <v>352</v>
      </c>
      <c r="BK8" s="3" t="s">
        <v>356</v>
      </c>
      <c r="BL8" s="3" t="s">
        <v>352</v>
      </c>
      <c r="BM8" s="3" t="s">
        <v>352</v>
      </c>
      <c r="BN8" s="3" t="s">
        <v>352</v>
      </c>
      <c r="BO8" s="3" t="s">
        <v>356</v>
      </c>
      <c r="BP8" s="3" t="s">
        <v>352</v>
      </c>
      <c r="BQ8" s="3" t="s">
        <v>358</v>
      </c>
      <c r="BR8" s="3" t="s">
        <v>408</v>
      </c>
      <c r="BS8" s="3" t="s">
        <v>391</v>
      </c>
      <c r="BT8" s="3" t="s">
        <v>391</v>
      </c>
      <c r="BU8" s="3" t="s">
        <v>391</v>
      </c>
      <c r="BV8" s="3" t="s">
        <v>391</v>
      </c>
      <c r="BW8" s="3" t="s">
        <v>391</v>
      </c>
      <c r="BX8" s="3" t="s">
        <v>391</v>
      </c>
      <c r="BY8" s="3" t="s">
        <v>391</v>
      </c>
      <c r="BZ8" s="3" t="s">
        <v>356</v>
      </c>
      <c r="CA8" s="3" t="s">
        <v>356</v>
      </c>
      <c r="CB8" s="3" t="s">
        <v>352</v>
      </c>
      <c r="CC8" s="3" t="s">
        <v>354</v>
      </c>
      <c r="CD8" s="3" t="s">
        <v>391</v>
      </c>
      <c r="CE8" s="3" t="s">
        <v>354</v>
      </c>
      <c r="CF8" s="3" t="s">
        <v>391</v>
      </c>
      <c r="CG8" s="3" t="s">
        <v>360</v>
      </c>
      <c r="CH8" s="3" t="s">
        <v>420</v>
      </c>
      <c r="CI8" s="3" t="s">
        <v>421</v>
      </c>
      <c r="CJ8" s="3"/>
      <c r="CK8" s="3" t="s">
        <v>448</v>
      </c>
      <c r="CL8" s="3" t="s">
        <v>345</v>
      </c>
      <c r="CM8" s="3" t="s">
        <v>344</v>
      </c>
      <c r="CN8" s="3" t="s">
        <v>344</v>
      </c>
      <c r="CO8" s="3" t="s">
        <v>345</v>
      </c>
      <c r="CP8" s="3" t="s">
        <v>345</v>
      </c>
      <c r="CQ8" s="3" t="s">
        <v>345</v>
      </c>
      <c r="CR8" s="3" t="s">
        <v>394</v>
      </c>
      <c r="CS8" s="3">
        <v>60</v>
      </c>
      <c r="CT8" s="3">
        <v>100</v>
      </c>
      <c r="CU8" s="3"/>
      <c r="CV8" s="3"/>
      <c r="CW8" s="3" t="s">
        <v>396</v>
      </c>
      <c r="CX8" s="3" t="s">
        <v>364</v>
      </c>
      <c r="CY8" s="3" t="s">
        <v>396</v>
      </c>
      <c r="CZ8" s="3" t="s">
        <v>397</v>
      </c>
      <c r="DA8" s="3" t="s">
        <v>397</v>
      </c>
      <c r="DB8" s="3" t="s">
        <v>397</v>
      </c>
      <c r="DC8" s="3" t="s">
        <v>397</v>
      </c>
      <c r="DD8" s="3" t="s">
        <v>397</v>
      </c>
      <c r="DE8" s="3"/>
      <c r="DF8" s="3"/>
      <c r="DG8" s="3"/>
      <c r="DH8" s="3"/>
      <c r="DI8" s="3"/>
      <c r="DJ8" s="3"/>
      <c r="DK8" s="3" t="s">
        <v>449</v>
      </c>
      <c r="DL8" s="3" t="s">
        <v>368</v>
      </c>
      <c r="DM8" s="3" t="s">
        <v>368</v>
      </c>
      <c r="DN8" s="3" t="s">
        <v>368</v>
      </c>
      <c r="DO8" s="3" t="s">
        <v>345</v>
      </c>
      <c r="DP8" s="3" t="s">
        <v>368</v>
      </c>
      <c r="DQ8" s="3" t="s">
        <v>368</v>
      </c>
      <c r="DR8" s="3" t="s">
        <v>368</v>
      </c>
      <c r="DS8" s="3" t="s">
        <v>345</v>
      </c>
      <c r="DT8" s="3" t="s">
        <v>345</v>
      </c>
      <c r="DU8" s="3" t="s">
        <v>344</v>
      </c>
      <c r="DV8" s="3" t="s">
        <v>345</v>
      </c>
      <c r="DW8" s="3" t="s">
        <v>344</v>
      </c>
      <c r="DX8" s="3" t="s">
        <v>370</v>
      </c>
      <c r="DY8" s="3" t="s">
        <v>370</v>
      </c>
      <c r="DZ8" s="3" t="s">
        <v>370</v>
      </c>
      <c r="EA8" s="3" t="s">
        <v>370</v>
      </c>
      <c r="EB8" s="3" t="s">
        <v>370</v>
      </c>
      <c r="EC8" s="3" t="s">
        <v>370</v>
      </c>
      <c r="ED8" s="3" t="s">
        <v>370</v>
      </c>
      <c r="EE8" s="3" t="s">
        <v>399</v>
      </c>
      <c r="EF8" s="3" t="s">
        <v>371</v>
      </c>
      <c r="EG8" s="3" t="s">
        <v>369</v>
      </c>
      <c r="EH8" s="3" t="s">
        <v>399</v>
      </c>
      <c r="EI8" s="3" t="s">
        <v>369</v>
      </c>
      <c r="EJ8" s="3" t="s">
        <v>369</v>
      </c>
      <c r="EK8" s="3" t="s">
        <v>369</v>
      </c>
      <c r="EL8" s="3" t="s">
        <v>374</v>
      </c>
      <c r="EM8" s="3" t="s">
        <v>373</v>
      </c>
      <c r="EN8" s="3" t="s">
        <v>372</v>
      </c>
      <c r="EO8" s="3"/>
      <c r="EP8" s="3"/>
      <c r="EQ8" s="3" t="s">
        <v>391</v>
      </c>
      <c r="ER8" s="3" t="s">
        <v>391</v>
      </c>
      <c r="ES8" s="3" t="s">
        <v>391</v>
      </c>
      <c r="ET8" s="3" t="s">
        <v>391</v>
      </c>
      <c r="EU8" s="3" t="s">
        <v>391</v>
      </c>
      <c r="EV8" s="3" t="s">
        <v>400</v>
      </c>
      <c r="EW8" s="3"/>
      <c r="EX8" s="3" t="s">
        <v>368</v>
      </c>
      <c r="EY8" s="3" t="s">
        <v>368</v>
      </c>
      <c r="EZ8" s="3" t="s">
        <v>368</v>
      </c>
      <c r="FA8" s="3" t="s">
        <v>345</v>
      </c>
      <c r="FB8" s="3" t="s">
        <v>401</v>
      </c>
      <c r="FC8" s="3"/>
      <c r="FD8" s="3" t="s">
        <v>450</v>
      </c>
      <c r="FE8" s="3"/>
      <c r="FF8" s="3" t="s">
        <v>412</v>
      </c>
      <c r="FG8" s="3" t="s">
        <v>402</v>
      </c>
      <c r="FH8" s="3" t="s">
        <v>451</v>
      </c>
      <c r="FI8" s="3" t="s">
        <v>403</v>
      </c>
      <c r="FJ8" s="3"/>
      <c r="FK8" s="3"/>
      <c r="FL8" s="3"/>
      <c r="FM8" s="3"/>
      <c r="FN8" s="3"/>
      <c r="FO8" s="3"/>
      <c r="FP8" s="3"/>
      <c r="FQ8" s="3"/>
      <c r="FR8" s="3"/>
      <c r="FS8" s="3"/>
      <c r="FT8" s="3"/>
      <c r="FU8" s="3"/>
      <c r="FV8" s="3"/>
      <c r="FW8" s="3"/>
      <c r="FX8" s="3"/>
      <c r="FY8" s="3"/>
      <c r="FZ8" s="3"/>
      <c r="GA8" s="3" t="s">
        <v>368</v>
      </c>
      <c r="GB8" s="3" t="s">
        <v>368</v>
      </c>
      <c r="GC8" s="3" t="s">
        <v>368</v>
      </c>
      <c r="GD8" s="3" t="s">
        <v>368</v>
      </c>
      <c r="GE8" s="3" t="s">
        <v>368</v>
      </c>
      <c r="GF8" s="3" t="s">
        <v>368</v>
      </c>
      <c r="GG8" s="3"/>
      <c r="GH8" s="3"/>
      <c r="GI8" s="3"/>
      <c r="GJ8" s="3"/>
      <c r="GK8" s="3"/>
      <c r="GL8" s="3" t="s">
        <v>344</v>
      </c>
      <c r="GM8" s="3" t="s">
        <v>344</v>
      </c>
      <c r="GN8" s="3" t="s">
        <v>344</v>
      </c>
      <c r="GO8" s="3" t="s">
        <v>344</v>
      </c>
      <c r="GP8" s="3" t="s">
        <v>344</v>
      </c>
      <c r="GQ8" s="3" t="s">
        <v>344</v>
      </c>
      <c r="GR8" s="3" t="s">
        <v>344</v>
      </c>
      <c r="GS8" s="3" t="s">
        <v>344</v>
      </c>
      <c r="GT8" s="3" t="s">
        <v>344</v>
      </c>
      <c r="GU8" s="3" t="s">
        <v>344</v>
      </c>
      <c r="GV8" s="3" t="s">
        <v>344</v>
      </c>
      <c r="GW8" s="3" t="s">
        <v>345</v>
      </c>
      <c r="GX8" s="3" t="s">
        <v>344</v>
      </c>
      <c r="GY8" s="3" t="s">
        <v>344</v>
      </c>
      <c r="GZ8" s="3" t="s">
        <v>344</v>
      </c>
      <c r="HA8" s="3"/>
      <c r="HB8" s="3" t="s">
        <v>344</v>
      </c>
      <c r="HC8" s="3"/>
      <c r="HD8" s="3" t="s">
        <v>344</v>
      </c>
      <c r="HE8" s="3"/>
      <c r="HF8" s="3" t="s">
        <v>344</v>
      </c>
      <c r="HG8" s="3"/>
      <c r="HH8" s="3" t="s">
        <v>344</v>
      </c>
      <c r="HI8" s="3"/>
      <c r="HJ8" s="3" t="s">
        <v>344</v>
      </c>
      <c r="HK8" s="3" t="s">
        <v>344</v>
      </c>
      <c r="HL8" s="3" t="s">
        <v>344</v>
      </c>
      <c r="HM8" s="3" t="s">
        <v>344</v>
      </c>
      <c r="HN8" s="3" t="s">
        <v>344</v>
      </c>
      <c r="HO8" s="3" t="s">
        <v>344</v>
      </c>
      <c r="HP8" s="3" t="s">
        <v>344</v>
      </c>
      <c r="HQ8" s="3" t="s">
        <v>344</v>
      </c>
      <c r="HR8" s="3" t="s">
        <v>344</v>
      </c>
      <c r="HS8" s="3" t="s">
        <v>344</v>
      </c>
      <c r="HT8" s="3" t="s">
        <v>344</v>
      </c>
      <c r="HU8" s="3" t="s">
        <v>344</v>
      </c>
      <c r="HV8" s="3" t="s">
        <v>344</v>
      </c>
      <c r="HW8" s="3" t="s">
        <v>344</v>
      </c>
      <c r="HX8" s="3" t="s">
        <v>345</v>
      </c>
      <c r="HY8" s="3"/>
      <c r="HZ8" s="3" t="s">
        <v>344</v>
      </c>
      <c r="IA8" s="3"/>
      <c r="IB8" s="3" t="s">
        <v>344</v>
      </c>
      <c r="IC8" s="3"/>
      <c r="ID8" s="3" t="s">
        <v>344</v>
      </c>
      <c r="IE8" s="3"/>
      <c r="IF8" s="3" t="s">
        <v>344</v>
      </c>
      <c r="IG8" s="3"/>
      <c r="IH8" s="3" t="s">
        <v>344</v>
      </c>
      <c r="II8" s="3" t="s">
        <v>345</v>
      </c>
      <c r="IJ8" s="3" t="s">
        <v>344</v>
      </c>
      <c r="IK8" s="3" t="s">
        <v>344</v>
      </c>
      <c r="IL8" s="3" t="s">
        <v>345</v>
      </c>
      <c r="IM8" s="3" t="s">
        <v>344</v>
      </c>
      <c r="IN8" s="3" t="s">
        <v>344</v>
      </c>
      <c r="IO8" s="3" t="s">
        <v>345</v>
      </c>
      <c r="IP8" s="3" t="s">
        <v>345</v>
      </c>
      <c r="IQ8" s="3" t="s">
        <v>344</v>
      </c>
      <c r="IR8" s="3" t="s">
        <v>345</v>
      </c>
      <c r="IS8" s="3" t="s">
        <v>344</v>
      </c>
      <c r="IT8" s="3"/>
      <c r="IU8" s="3" t="s">
        <v>452</v>
      </c>
      <c r="IV8" s="3"/>
      <c r="IW8" s="3"/>
      <c r="IX8" s="3"/>
      <c r="IY8" s="3"/>
      <c r="IZ8" s="3"/>
      <c r="JA8" s="3"/>
      <c r="JB8" s="3"/>
      <c r="JC8" s="3"/>
      <c r="JD8" s="3"/>
      <c r="JE8" s="3"/>
      <c r="JF8" s="3"/>
      <c r="JG8" s="3"/>
      <c r="JH8" s="3"/>
    </row>
    <row r="9" spans="1:16384" x14ac:dyDescent="0.3">
      <c r="A9" s="2" t="s">
        <v>338</v>
      </c>
      <c r="B9" s="3">
        <v>61</v>
      </c>
      <c r="C9" s="3" t="s">
        <v>453</v>
      </c>
      <c r="D9" s="3">
        <v>14</v>
      </c>
      <c r="E9" s="3" t="s">
        <v>340</v>
      </c>
      <c r="F9" s="3">
        <v>197550857</v>
      </c>
      <c r="G9" s="3" t="s">
        <v>454</v>
      </c>
      <c r="H9" s="3" t="s">
        <v>453</v>
      </c>
      <c r="I9" s="3" t="s">
        <v>342</v>
      </c>
      <c r="J9" s="3">
        <v>17</v>
      </c>
      <c r="K9" s="3" t="s">
        <v>389</v>
      </c>
      <c r="L9" s="3"/>
      <c r="M9" s="3" t="s">
        <v>344</v>
      </c>
      <c r="N9" s="3" t="s">
        <v>345</v>
      </c>
      <c r="O9" s="3" t="s">
        <v>344</v>
      </c>
      <c r="P9" s="3" t="s">
        <v>344</v>
      </c>
      <c r="Q9" s="3" t="s">
        <v>344</v>
      </c>
      <c r="R9" s="3"/>
      <c r="S9" s="3" t="s">
        <v>346</v>
      </c>
      <c r="T9" s="3"/>
      <c r="U9" s="3" t="s">
        <v>418</v>
      </c>
      <c r="V9" s="3"/>
      <c r="W9" s="3" t="s">
        <v>345</v>
      </c>
      <c r="X9" s="3" t="s">
        <v>345</v>
      </c>
      <c r="Y9" s="3" t="s">
        <v>344</v>
      </c>
      <c r="Z9" s="3" t="s">
        <v>344</v>
      </c>
      <c r="AA9" s="3" t="s">
        <v>344</v>
      </c>
      <c r="AB9" s="3" t="s">
        <v>344</v>
      </c>
      <c r="AC9" s="3" t="s">
        <v>344</v>
      </c>
      <c r="AD9" s="3" t="s">
        <v>344</v>
      </c>
      <c r="AE9" s="3" t="s">
        <v>345</v>
      </c>
      <c r="AF9" s="3" t="s">
        <v>344</v>
      </c>
      <c r="AG9" s="3" t="s">
        <v>344</v>
      </c>
      <c r="AH9" s="3" t="s">
        <v>344</v>
      </c>
      <c r="AI9" s="3" t="s">
        <v>345</v>
      </c>
      <c r="AJ9" s="3" t="s">
        <v>344</v>
      </c>
      <c r="AK9" s="3" t="s">
        <v>345</v>
      </c>
      <c r="AL9" s="3" t="s">
        <v>344</v>
      </c>
      <c r="AM9" s="3" t="s">
        <v>344</v>
      </c>
      <c r="AN9" s="3" t="s">
        <v>344</v>
      </c>
      <c r="AO9" s="3" t="s">
        <v>344</v>
      </c>
      <c r="AP9" s="3" t="s">
        <v>344</v>
      </c>
      <c r="AQ9" s="3" t="s">
        <v>344</v>
      </c>
      <c r="AR9" s="3" t="s">
        <v>344</v>
      </c>
      <c r="AS9" s="3" t="s">
        <v>345</v>
      </c>
      <c r="AT9" s="3" t="s">
        <v>345</v>
      </c>
      <c r="AU9" s="3" t="s">
        <v>344</v>
      </c>
      <c r="AV9" s="3" t="s">
        <v>344</v>
      </c>
      <c r="AW9" s="3" t="s">
        <v>344</v>
      </c>
      <c r="AX9" s="3" t="s">
        <v>344</v>
      </c>
      <c r="AY9" s="3"/>
      <c r="AZ9" s="3"/>
      <c r="BA9" s="3"/>
      <c r="BB9" s="3"/>
      <c r="BC9" s="3"/>
      <c r="BD9" s="3"/>
      <c r="BE9" s="3" t="s">
        <v>349</v>
      </c>
      <c r="BF9" s="3" t="s">
        <v>349</v>
      </c>
      <c r="BG9" s="3" t="s">
        <v>390</v>
      </c>
      <c r="BH9" s="3" t="s">
        <v>390</v>
      </c>
      <c r="BI9" s="3" t="s">
        <v>348</v>
      </c>
      <c r="BJ9" s="3" t="s">
        <v>351</v>
      </c>
      <c r="BK9" s="3" t="s">
        <v>354</v>
      </c>
      <c r="BL9" s="3" t="s">
        <v>353</v>
      </c>
      <c r="BM9" s="3" t="s">
        <v>357</v>
      </c>
      <c r="BN9" s="3" t="s">
        <v>355</v>
      </c>
      <c r="BO9" s="3" t="s">
        <v>356</v>
      </c>
      <c r="BP9" s="3" t="s">
        <v>352</v>
      </c>
      <c r="BQ9" s="3" t="s">
        <v>455</v>
      </c>
      <c r="BR9" s="3" t="s">
        <v>429</v>
      </c>
      <c r="BS9" s="3" t="s">
        <v>355</v>
      </c>
      <c r="BT9" s="3" t="s">
        <v>354</v>
      </c>
      <c r="BU9" s="3" t="s">
        <v>356</v>
      </c>
      <c r="BV9" s="3" t="s">
        <v>352</v>
      </c>
      <c r="BW9" s="3" t="s">
        <v>353</v>
      </c>
      <c r="BX9" s="3" t="s">
        <v>351</v>
      </c>
      <c r="BY9" s="3" t="s">
        <v>357</v>
      </c>
      <c r="BZ9" s="3" t="s">
        <v>357</v>
      </c>
      <c r="CA9" s="3" t="s">
        <v>355</v>
      </c>
      <c r="CB9" s="3" t="s">
        <v>352</v>
      </c>
      <c r="CC9" s="3" t="s">
        <v>353</v>
      </c>
      <c r="CD9" s="3" t="s">
        <v>354</v>
      </c>
      <c r="CE9" s="3" t="s">
        <v>351</v>
      </c>
      <c r="CF9" s="3" t="s">
        <v>356</v>
      </c>
      <c r="CG9" s="3" t="s">
        <v>360</v>
      </c>
      <c r="CH9" s="3" t="s">
        <v>393</v>
      </c>
      <c r="CI9" s="3" t="s">
        <v>392</v>
      </c>
      <c r="CJ9" s="3"/>
      <c r="CK9" s="3" t="s">
        <v>456</v>
      </c>
      <c r="CL9" s="3" t="s">
        <v>344</v>
      </c>
      <c r="CM9" s="3" t="s">
        <v>344</v>
      </c>
      <c r="CN9" s="3" t="s">
        <v>345</v>
      </c>
      <c r="CO9" s="3" t="s">
        <v>344</v>
      </c>
      <c r="CP9" s="3" t="s">
        <v>344</v>
      </c>
      <c r="CQ9" s="3" t="s">
        <v>344</v>
      </c>
      <c r="CR9" s="3" t="s">
        <v>457</v>
      </c>
      <c r="CS9" s="3">
        <v>55</v>
      </c>
      <c r="CT9" s="3">
        <v>40</v>
      </c>
      <c r="CU9" s="3">
        <v>100</v>
      </c>
      <c r="CV9" s="3">
        <v>55</v>
      </c>
      <c r="CW9" s="3" t="s">
        <v>395</v>
      </c>
      <c r="CX9" s="3" t="s">
        <v>395</v>
      </c>
      <c r="CY9" s="3" t="s">
        <v>396</v>
      </c>
      <c r="CZ9" s="3"/>
      <c r="DA9" s="3"/>
      <c r="DB9" s="3"/>
      <c r="DC9" s="3"/>
      <c r="DD9" s="3"/>
      <c r="DE9" s="3" t="s">
        <v>366</v>
      </c>
      <c r="DF9" s="3" t="s">
        <v>365</v>
      </c>
      <c r="DG9" s="3" t="s">
        <v>366</v>
      </c>
      <c r="DH9" s="3" t="s">
        <v>366</v>
      </c>
      <c r="DI9" s="3" t="s">
        <v>365</v>
      </c>
      <c r="DJ9" s="3"/>
      <c r="DK9" s="3" t="s">
        <v>449</v>
      </c>
      <c r="DL9" s="5" t="s">
        <v>368</v>
      </c>
      <c r="DM9" s="3" t="s">
        <v>368</v>
      </c>
      <c r="DN9" s="3" t="s">
        <v>368</v>
      </c>
      <c r="DO9" s="3" t="s">
        <v>345</v>
      </c>
      <c r="DP9" s="3" t="s">
        <v>368</v>
      </c>
      <c r="DQ9" s="3" t="s">
        <v>368</v>
      </c>
      <c r="DR9" s="3" t="s">
        <v>368</v>
      </c>
      <c r="DS9" s="3" t="s">
        <v>345</v>
      </c>
      <c r="DT9" s="3" t="s">
        <v>344</v>
      </c>
      <c r="DU9" s="3" t="s">
        <v>345</v>
      </c>
      <c r="DV9" s="3" t="s">
        <v>344</v>
      </c>
      <c r="DW9" s="3" t="s">
        <v>344</v>
      </c>
      <c r="DX9" s="3" t="s">
        <v>369</v>
      </c>
      <c r="DY9" s="3" t="s">
        <v>371</v>
      </c>
      <c r="DZ9" s="3" t="s">
        <v>370</v>
      </c>
      <c r="EA9" s="3" t="s">
        <v>371</v>
      </c>
      <c r="EB9" s="3" t="s">
        <v>370</v>
      </c>
      <c r="EC9" s="3" t="s">
        <v>370</v>
      </c>
      <c r="ED9" s="3" t="s">
        <v>371</v>
      </c>
      <c r="EE9" s="3" t="s">
        <v>370</v>
      </c>
      <c r="EF9" s="3" t="s">
        <v>370</v>
      </c>
      <c r="EG9" s="3" t="s">
        <v>370</v>
      </c>
      <c r="EH9" s="3" t="s">
        <v>370</v>
      </c>
      <c r="EI9" s="3" t="s">
        <v>370</v>
      </c>
      <c r="EJ9" s="3" t="s">
        <v>370</v>
      </c>
      <c r="EK9" s="3" t="s">
        <v>370</v>
      </c>
      <c r="EL9" s="3" t="s">
        <v>372</v>
      </c>
      <c r="EM9" s="3" t="s">
        <v>373</v>
      </c>
      <c r="EN9" s="3" t="s">
        <v>374</v>
      </c>
      <c r="EO9" s="3"/>
      <c r="EP9" s="3"/>
      <c r="EQ9" s="3" t="s">
        <v>376</v>
      </c>
      <c r="ER9" s="3" t="s">
        <v>376</v>
      </c>
      <c r="ES9" s="3" t="s">
        <v>375</v>
      </c>
      <c r="ET9" s="3" t="s">
        <v>375</v>
      </c>
      <c r="EU9" s="3" t="s">
        <v>375</v>
      </c>
      <c r="EV9" s="3" t="s">
        <v>400</v>
      </c>
      <c r="EW9" s="3"/>
      <c r="EX9" s="3" t="s">
        <v>368</v>
      </c>
      <c r="EY9" s="3" t="s">
        <v>368</v>
      </c>
      <c r="EZ9" s="3" t="s">
        <v>368</v>
      </c>
      <c r="FA9" s="3" t="s">
        <v>345</v>
      </c>
      <c r="FB9" s="3" t="s">
        <v>381</v>
      </c>
      <c r="FC9" s="3"/>
      <c r="FD9" s="3" t="s">
        <v>401</v>
      </c>
      <c r="FE9" s="3"/>
      <c r="FF9" s="3" t="s">
        <v>412</v>
      </c>
      <c r="FG9" s="3" t="s">
        <v>413</v>
      </c>
      <c r="FH9" s="3" t="s">
        <v>384</v>
      </c>
      <c r="FI9" s="3" t="s">
        <v>385</v>
      </c>
      <c r="FJ9" s="3"/>
      <c r="FK9" s="3"/>
      <c r="FL9" s="3"/>
      <c r="FM9" s="3"/>
      <c r="FN9" s="3"/>
      <c r="FO9" s="3"/>
      <c r="FP9" s="3"/>
      <c r="FQ9" s="3"/>
      <c r="FR9" s="3"/>
      <c r="FS9" s="3"/>
      <c r="FT9" s="3"/>
      <c r="FU9" s="3"/>
      <c r="FV9" s="3"/>
      <c r="FW9" s="3"/>
      <c r="FX9" s="3"/>
      <c r="FY9" s="3"/>
      <c r="FZ9" s="3"/>
      <c r="GA9" s="3" t="s">
        <v>368</v>
      </c>
      <c r="GB9" s="3" t="s">
        <v>368</v>
      </c>
      <c r="GC9" s="3" t="s">
        <v>368</v>
      </c>
      <c r="GD9" s="3" t="s">
        <v>368</v>
      </c>
      <c r="GE9" s="3" t="s">
        <v>368</v>
      </c>
      <c r="GF9" s="3" t="s">
        <v>368</v>
      </c>
      <c r="GG9" s="3"/>
      <c r="GH9" s="3"/>
      <c r="GI9" s="3"/>
      <c r="GJ9" s="3"/>
      <c r="GK9" s="3"/>
      <c r="GL9" s="3" t="s">
        <v>344</v>
      </c>
      <c r="GM9" s="3" t="s">
        <v>344</v>
      </c>
      <c r="GN9" s="3" t="s">
        <v>344</v>
      </c>
      <c r="GO9" s="3" t="s">
        <v>344</v>
      </c>
      <c r="GP9" s="3" t="s">
        <v>344</v>
      </c>
      <c r="GQ9" s="3" t="s">
        <v>344</v>
      </c>
      <c r="GR9" s="3" t="s">
        <v>344</v>
      </c>
      <c r="GS9" s="3" t="s">
        <v>344</v>
      </c>
      <c r="GT9" s="3" t="s">
        <v>344</v>
      </c>
      <c r="GU9" s="3" t="s">
        <v>344</v>
      </c>
      <c r="GV9" s="3" t="s">
        <v>344</v>
      </c>
      <c r="GW9" s="3" t="s">
        <v>345</v>
      </c>
      <c r="GX9" s="3" t="s">
        <v>344</v>
      </c>
      <c r="GY9" s="3" t="s">
        <v>344</v>
      </c>
      <c r="GZ9" s="3" t="s">
        <v>344</v>
      </c>
      <c r="HA9" s="3"/>
      <c r="HB9" s="3" t="s">
        <v>344</v>
      </c>
      <c r="HC9" s="3"/>
      <c r="HD9" s="3" t="s">
        <v>344</v>
      </c>
      <c r="HE9" s="3"/>
      <c r="HF9" s="3" t="s">
        <v>344</v>
      </c>
      <c r="HG9" s="3"/>
      <c r="HH9" s="3" t="s">
        <v>344</v>
      </c>
      <c r="HI9" s="3"/>
      <c r="HJ9" s="3" t="s">
        <v>344</v>
      </c>
      <c r="HK9" s="3" t="s">
        <v>344</v>
      </c>
      <c r="HL9" s="3" t="s">
        <v>344</v>
      </c>
      <c r="HM9" s="3" t="s">
        <v>344</v>
      </c>
      <c r="HN9" s="3" t="s">
        <v>344</v>
      </c>
      <c r="HO9" s="3" t="s">
        <v>344</v>
      </c>
      <c r="HP9" s="3" t="s">
        <v>344</v>
      </c>
      <c r="HQ9" s="3" t="s">
        <v>344</v>
      </c>
      <c r="HR9" s="3" t="s">
        <v>344</v>
      </c>
      <c r="HS9" s="3" t="s">
        <v>344</v>
      </c>
      <c r="HT9" s="3" t="s">
        <v>344</v>
      </c>
      <c r="HU9" s="3" t="s">
        <v>344</v>
      </c>
      <c r="HV9" s="3" t="s">
        <v>344</v>
      </c>
      <c r="HW9" s="3" t="s">
        <v>344</v>
      </c>
      <c r="HX9" s="3" t="s">
        <v>345</v>
      </c>
      <c r="HY9" s="3"/>
      <c r="HZ9" s="3" t="s">
        <v>344</v>
      </c>
      <c r="IA9" s="3"/>
      <c r="IB9" s="3" t="s">
        <v>344</v>
      </c>
      <c r="IC9" s="3"/>
      <c r="ID9" s="3" t="s">
        <v>344</v>
      </c>
      <c r="IE9" s="3"/>
      <c r="IF9" s="3" t="s">
        <v>344</v>
      </c>
      <c r="IG9" s="3"/>
      <c r="IH9" s="3" t="s">
        <v>345</v>
      </c>
      <c r="II9" s="3" t="s">
        <v>345</v>
      </c>
      <c r="IJ9" s="3" t="s">
        <v>345</v>
      </c>
      <c r="IK9" s="3" t="s">
        <v>344</v>
      </c>
      <c r="IL9" s="3" t="s">
        <v>345</v>
      </c>
      <c r="IM9" s="3" t="s">
        <v>345</v>
      </c>
      <c r="IN9" s="3" t="s">
        <v>344</v>
      </c>
      <c r="IO9" s="3" t="s">
        <v>345</v>
      </c>
      <c r="IP9" s="3" t="s">
        <v>344</v>
      </c>
      <c r="IQ9" s="3" t="s">
        <v>344</v>
      </c>
      <c r="IR9" s="3" t="s">
        <v>344</v>
      </c>
      <c r="IS9" s="3" t="s">
        <v>344</v>
      </c>
      <c r="IT9" s="3"/>
      <c r="IU9" s="3"/>
      <c r="IV9" s="3"/>
      <c r="IW9" s="3"/>
      <c r="IX9" s="3"/>
      <c r="IY9" s="3"/>
      <c r="IZ9" s="3"/>
      <c r="JA9" s="3"/>
      <c r="JB9" s="3"/>
      <c r="JC9" s="3"/>
      <c r="JD9" s="3"/>
      <c r="JE9" s="3"/>
      <c r="JF9" s="3"/>
      <c r="JG9" s="3"/>
      <c r="JH9" s="3"/>
    </row>
    <row r="10" spans="1:16384" x14ac:dyDescent="0.3">
      <c r="A10" s="2" t="s">
        <v>338</v>
      </c>
      <c r="B10" s="3">
        <v>62</v>
      </c>
      <c r="C10" s="3" t="s">
        <v>458</v>
      </c>
      <c r="D10" s="3">
        <v>14</v>
      </c>
      <c r="E10" s="3" t="s">
        <v>387</v>
      </c>
      <c r="F10" s="3">
        <v>477700321</v>
      </c>
      <c r="G10" s="3" t="s">
        <v>459</v>
      </c>
      <c r="H10" s="3" t="s">
        <v>458</v>
      </c>
      <c r="I10" s="3" t="s">
        <v>342</v>
      </c>
      <c r="J10" s="3">
        <v>18</v>
      </c>
      <c r="K10" s="3" t="s">
        <v>389</v>
      </c>
      <c r="L10" s="3"/>
      <c r="M10" s="3" t="s">
        <v>345</v>
      </c>
      <c r="N10" s="3" t="s">
        <v>344</v>
      </c>
      <c r="O10" s="3" t="s">
        <v>344</v>
      </c>
      <c r="P10" s="3" t="s">
        <v>344</v>
      </c>
      <c r="Q10" s="3" t="s">
        <v>344</v>
      </c>
      <c r="R10" s="3"/>
      <c r="S10" s="3" t="s">
        <v>438</v>
      </c>
      <c r="T10" s="3"/>
      <c r="U10" s="3" t="s">
        <v>347</v>
      </c>
      <c r="V10" s="3"/>
      <c r="W10" s="3" t="s">
        <v>345</v>
      </c>
      <c r="X10" s="3" t="s">
        <v>345</v>
      </c>
      <c r="Y10" s="3" t="s">
        <v>344</v>
      </c>
      <c r="Z10" s="3" t="s">
        <v>344</v>
      </c>
      <c r="AA10" s="3" t="s">
        <v>344</v>
      </c>
      <c r="AB10" s="3" t="s">
        <v>344</v>
      </c>
      <c r="AC10" s="3" t="s">
        <v>344</v>
      </c>
      <c r="AD10" s="3" t="s">
        <v>345</v>
      </c>
      <c r="AE10" s="3" t="s">
        <v>345</v>
      </c>
      <c r="AF10" s="3" t="s">
        <v>344</v>
      </c>
      <c r="AG10" s="3" t="s">
        <v>345</v>
      </c>
      <c r="AH10" s="3" t="s">
        <v>345</v>
      </c>
      <c r="AI10" s="3" t="s">
        <v>344</v>
      </c>
      <c r="AJ10" s="3" t="s">
        <v>344</v>
      </c>
      <c r="AK10" s="3" t="s">
        <v>368</v>
      </c>
      <c r="AL10" s="3" t="s">
        <v>368</v>
      </c>
      <c r="AM10" s="3" t="s">
        <v>368</v>
      </c>
      <c r="AN10" s="3" t="s">
        <v>368</v>
      </c>
      <c r="AO10" s="3" t="s">
        <v>368</v>
      </c>
      <c r="AP10" s="3" t="s">
        <v>368</v>
      </c>
      <c r="AQ10" s="3" t="s">
        <v>345</v>
      </c>
      <c r="AR10" s="3" t="s">
        <v>345</v>
      </c>
      <c r="AS10" s="3" t="s">
        <v>345</v>
      </c>
      <c r="AT10" s="3" t="s">
        <v>345</v>
      </c>
      <c r="AU10" s="3" t="s">
        <v>344</v>
      </c>
      <c r="AV10" s="3" t="s">
        <v>344</v>
      </c>
      <c r="AW10" s="3" t="s">
        <v>344</v>
      </c>
      <c r="AX10" s="3" t="s">
        <v>344</v>
      </c>
      <c r="AY10" s="3"/>
      <c r="AZ10" s="3"/>
      <c r="BA10" s="3"/>
      <c r="BB10" s="3"/>
      <c r="BC10" s="3"/>
      <c r="BD10" s="3"/>
      <c r="BE10" s="3" t="s">
        <v>349</v>
      </c>
      <c r="BF10" s="3" t="s">
        <v>349</v>
      </c>
      <c r="BG10" s="3" t="s">
        <v>349</v>
      </c>
      <c r="BH10" s="3" t="s">
        <v>349</v>
      </c>
      <c r="BI10" s="3" t="s">
        <v>349</v>
      </c>
      <c r="BJ10" s="3" t="s">
        <v>391</v>
      </c>
      <c r="BK10" s="3" t="s">
        <v>391</v>
      </c>
      <c r="BL10" s="3" t="s">
        <v>391</v>
      </c>
      <c r="BM10" s="3" t="s">
        <v>352</v>
      </c>
      <c r="BN10" s="3" t="s">
        <v>391</v>
      </c>
      <c r="BO10" s="3" t="s">
        <v>391</v>
      </c>
      <c r="BP10" s="3" t="s">
        <v>391</v>
      </c>
      <c r="BQ10" s="3" t="s">
        <v>407</v>
      </c>
      <c r="BR10" s="3" t="s">
        <v>408</v>
      </c>
      <c r="BS10" s="3" t="s">
        <v>391</v>
      </c>
      <c r="BT10" s="3" t="s">
        <v>391</v>
      </c>
      <c r="BU10" s="3" t="s">
        <v>391</v>
      </c>
      <c r="BV10" s="3" t="s">
        <v>391</v>
      </c>
      <c r="BW10" s="3" t="s">
        <v>391</v>
      </c>
      <c r="BX10" s="3" t="s">
        <v>391</v>
      </c>
      <c r="BY10" s="3" t="s">
        <v>391</v>
      </c>
      <c r="BZ10" s="3" t="s">
        <v>391</v>
      </c>
      <c r="CA10" s="3" t="s">
        <v>391</v>
      </c>
      <c r="CB10" s="3" t="s">
        <v>391</v>
      </c>
      <c r="CC10" s="3" t="s">
        <v>391</v>
      </c>
      <c r="CD10" s="3" t="s">
        <v>391</v>
      </c>
      <c r="CE10" s="3" t="s">
        <v>391</v>
      </c>
      <c r="CF10" s="3" t="s">
        <v>391</v>
      </c>
      <c r="CG10" s="3" t="s">
        <v>420</v>
      </c>
      <c r="CH10" s="3" t="s">
        <v>393</v>
      </c>
      <c r="CI10" s="3" t="s">
        <v>420</v>
      </c>
      <c r="CJ10" s="3"/>
      <c r="CK10" s="3" t="s">
        <v>391</v>
      </c>
      <c r="CL10" s="3" t="s">
        <v>345</v>
      </c>
      <c r="CM10" s="3" t="s">
        <v>344</v>
      </c>
      <c r="CN10" s="3" t="s">
        <v>345</v>
      </c>
      <c r="CO10" s="3" t="s">
        <v>344</v>
      </c>
      <c r="CP10" s="3" t="s">
        <v>345</v>
      </c>
      <c r="CQ10" s="3" t="s">
        <v>345</v>
      </c>
      <c r="CR10" s="3" t="s">
        <v>394</v>
      </c>
      <c r="CS10" s="3">
        <v>80</v>
      </c>
      <c r="CT10" s="3">
        <v>100</v>
      </c>
      <c r="CU10" s="3"/>
      <c r="CV10" s="3"/>
      <c r="CW10" s="3" t="s">
        <v>395</v>
      </c>
      <c r="CX10" s="3" t="s">
        <v>396</v>
      </c>
      <c r="CY10" s="3" t="s">
        <v>396</v>
      </c>
      <c r="CZ10" s="3" t="s">
        <v>397</v>
      </c>
      <c r="DA10" s="3" t="s">
        <v>397</v>
      </c>
      <c r="DB10" s="3" t="s">
        <v>397</v>
      </c>
      <c r="DC10" s="3" t="s">
        <v>397</v>
      </c>
      <c r="DD10" s="3" t="s">
        <v>397</v>
      </c>
      <c r="DE10" s="3"/>
      <c r="DF10" s="3"/>
      <c r="DG10" s="3"/>
      <c r="DH10" s="3"/>
      <c r="DI10" s="3"/>
      <c r="DJ10" s="3"/>
      <c r="DK10" s="3" t="s">
        <v>367</v>
      </c>
      <c r="DL10" s="3" t="s">
        <v>368</v>
      </c>
      <c r="DM10" s="3" t="s">
        <v>368</v>
      </c>
      <c r="DN10" s="3" t="s">
        <v>368</v>
      </c>
      <c r="DO10" s="3" t="s">
        <v>368</v>
      </c>
      <c r="DP10" s="3" t="s">
        <v>368</v>
      </c>
      <c r="DQ10" s="3" t="s">
        <v>368</v>
      </c>
      <c r="DR10" s="3" t="s">
        <v>368</v>
      </c>
      <c r="DS10" s="3" t="s">
        <v>345</v>
      </c>
      <c r="DT10" s="3" t="s">
        <v>345</v>
      </c>
      <c r="DU10" s="3" t="s">
        <v>345</v>
      </c>
      <c r="DV10" s="3" t="s">
        <v>344</v>
      </c>
      <c r="DW10" s="3" t="s">
        <v>344</v>
      </c>
      <c r="DX10" s="3" t="s">
        <v>370</v>
      </c>
      <c r="DY10" s="3" t="s">
        <v>370</v>
      </c>
      <c r="DZ10" s="3" t="s">
        <v>370</v>
      </c>
      <c r="EA10" s="3" t="s">
        <v>370</v>
      </c>
      <c r="EB10" s="3" t="s">
        <v>370</v>
      </c>
      <c r="EC10" s="3" t="s">
        <v>370</v>
      </c>
      <c r="ED10" s="3" t="s">
        <v>370</v>
      </c>
      <c r="EE10" s="3" t="s">
        <v>369</v>
      </c>
      <c r="EF10" s="3" t="s">
        <v>369</v>
      </c>
      <c r="EG10" s="3" t="s">
        <v>369</v>
      </c>
      <c r="EH10" s="3" t="s">
        <v>369</v>
      </c>
      <c r="EI10" s="3" t="s">
        <v>369</v>
      </c>
      <c r="EJ10" s="3" t="s">
        <v>369</v>
      </c>
      <c r="EK10" s="3" t="s">
        <v>369</v>
      </c>
      <c r="EL10" s="3" t="s">
        <v>372</v>
      </c>
      <c r="EM10" s="3" t="s">
        <v>373</v>
      </c>
      <c r="EN10" s="3" t="s">
        <v>374</v>
      </c>
      <c r="EO10" s="3"/>
      <c r="EP10" s="3"/>
      <c r="EQ10" s="3" t="s">
        <v>376</v>
      </c>
      <c r="ER10" s="3" t="s">
        <v>411</v>
      </c>
      <c r="ES10" s="3" t="s">
        <v>411</v>
      </c>
      <c r="ET10" s="3" t="s">
        <v>375</v>
      </c>
      <c r="EU10" s="3" t="s">
        <v>376</v>
      </c>
      <c r="EV10" s="3" t="s">
        <v>400</v>
      </c>
      <c r="EW10" s="3"/>
      <c r="EX10" s="3" t="s">
        <v>368</v>
      </c>
      <c r="EY10" s="3" t="s">
        <v>368</v>
      </c>
      <c r="EZ10" s="3" t="s">
        <v>368</v>
      </c>
      <c r="FA10" s="3" t="s">
        <v>345</v>
      </c>
      <c r="FB10" s="3" t="s">
        <v>401</v>
      </c>
      <c r="FC10" s="3"/>
      <c r="FD10" s="3" t="s">
        <v>401</v>
      </c>
      <c r="FE10" s="3"/>
      <c r="FF10" s="3" t="s">
        <v>431</v>
      </c>
      <c r="FG10" s="3" t="s">
        <v>402</v>
      </c>
      <c r="FH10" s="3" t="s">
        <v>460</v>
      </c>
      <c r="FI10" s="3" t="s">
        <v>433</v>
      </c>
      <c r="FJ10" s="3"/>
      <c r="FK10" s="3"/>
      <c r="FL10" s="3"/>
      <c r="FM10" s="3"/>
      <c r="FN10" s="3"/>
      <c r="FO10" s="3"/>
      <c r="FP10" s="3"/>
      <c r="FQ10" s="3"/>
      <c r="FR10" s="3"/>
      <c r="FS10" s="3"/>
      <c r="FT10" s="3"/>
      <c r="FU10" s="3"/>
      <c r="FV10" s="3"/>
      <c r="FW10" s="3"/>
      <c r="FX10" s="3"/>
      <c r="FY10" s="3"/>
      <c r="FZ10" s="3"/>
      <c r="GA10" s="3" t="s">
        <v>368</v>
      </c>
      <c r="GB10" s="3" t="s">
        <v>368</v>
      </c>
      <c r="GC10" s="3" t="s">
        <v>368</v>
      </c>
      <c r="GD10" s="3" t="s">
        <v>368</v>
      </c>
      <c r="GE10" s="3" t="s">
        <v>368</v>
      </c>
      <c r="GF10" s="3" t="s">
        <v>368</v>
      </c>
      <c r="GG10" s="3"/>
      <c r="GH10" s="3"/>
      <c r="GI10" s="3"/>
      <c r="GJ10" s="3"/>
      <c r="GK10" s="3"/>
      <c r="GL10" s="3" t="s">
        <v>344</v>
      </c>
      <c r="GM10" s="3" t="s">
        <v>344</v>
      </c>
      <c r="GN10" s="3" t="s">
        <v>344</v>
      </c>
      <c r="GO10" s="3" t="s">
        <v>345</v>
      </c>
      <c r="GP10" s="3" t="s">
        <v>344</v>
      </c>
      <c r="GQ10" s="3" t="s">
        <v>344</v>
      </c>
      <c r="GR10" s="3" t="s">
        <v>344</v>
      </c>
      <c r="GS10" s="3" t="s">
        <v>344</v>
      </c>
      <c r="GT10" s="3" t="s">
        <v>345</v>
      </c>
      <c r="GU10" s="3" t="s">
        <v>344</v>
      </c>
      <c r="GV10" s="3" t="s">
        <v>345</v>
      </c>
      <c r="GW10" s="3" t="s">
        <v>345</v>
      </c>
      <c r="GX10" s="3" t="s">
        <v>344</v>
      </c>
      <c r="GY10" s="3" t="s">
        <v>344</v>
      </c>
      <c r="GZ10" s="3" t="s">
        <v>344</v>
      </c>
      <c r="HA10" s="3"/>
      <c r="HB10" s="3" t="s">
        <v>344</v>
      </c>
      <c r="HC10" s="3"/>
      <c r="HD10" s="3" t="s">
        <v>344</v>
      </c>
      <c r="HE10" s="3"/>
      <c r="HF10" s="3" t="s">
        <v>344</v>
      </c>
      <c r="HG10" s="3"/>
      <c r="HH10" s="3" t="s">
        <v>344</v>
      </c>
      <c r="HI10" s="3"/>
      <c r="HJ10" s="3" t="s">
        <v>344</v>
      </c>
      <c r="HK10" s="3" t="s">
        <v>344</v>
      </c>
      <c r="HL10" s="3" t="s">
        <v>344</v>
      </c>
      <c r="HM10" s="3" t="s">
        <v>344</v>
      </c>
      <c r="HN10" s="3" t="s">
        <v>344</v>
      </c>
      <c r="HO10" s="3" t="s">
        <v>344</v>
      </c>
      <c r="HP10" s="3" t="s">
        <v>344</v>
      </c>
      <c r="HQ10" s="3" t="s">
        <v>344</v>
      </c>
      <c r="HR10" s="3" t="s">
        <v>344</v>
      </c>
      <c r="HS10" s="3" t="s">
        <v>344</v>
      </c>
      <c r="HT10" s="3" t="s">
        <v>344</v>
      </c>
      <c r="HU10" s="3" t="s">
        <v>345</v>
      </c>
      <c r="HV10" s="3" t="s">
        <v>344</v>
      </c>
      <c r="HW10" s="3" t="s">
        <v>344</v>
      </c>
      <c r="HX10" s="3" t="s">
        <v>344</v>
      </c>
      <c r="HY10" s="3"/>
      <c r="HZ10" s="3" t="s">
        <v>344</v>
      </c>
      <c r="IA10" s="3"/>
      <c r="IB10" s="3" t="s">
        <v>344</v>
      </c>
      <c r="IC10" s="3"/>
      <c r="ID10" s="3" t="s">
        <v>344</v>
      </c>
      <c r="IE10" s="3"/>
      <c r="IF10" s="3" t="s">
        <v>344</v>
      </c>
      <c r="IG10" s="3"/>
      <c r="IH10" s="3" t="s">
        <v>344</v>
      </c>
      <c r="II10" s="3" t="s">
        <v>345</v>
      </c>
      <c r="IJ10" s="3" t="s">
        <v>344</v>
      </c>
      <c r="IK10" s="3" t="s">
        <v>344</v>
      </c>
      <c r="IL10" s="3" t="s">
        <v>345</v>
      </c>
      <c r="IM10" s="3" t="s">
        <v>344</v>
      </c>
      <c r="IN10" s="3" t="s">
        <v>344</v>
      </c>
      <c r="IO10" s="3" t="s">
        <v>345</v>
      </c>
      <c r="IP10" s="3" t="s">
        <v>345</v>
      </c>
      <c r="IQ10" s="3" t="s">
        <v>344</v>
      </c>
      <c r="IR10" s="3" t="s">
        <v>344</v>
      </c>
      <c r="IS10" s="3" t="s">
        <v>344</v>
      </c>
      <c r="IT10" s="3"/>
      <c r="IU10" s="3" t="s">
        <v>461</v>
      </c>
      <c r="IV10" s="3"/>
      <c r="IW10" s="3"/>
      <c r="IX10" s="3"/>
      <c r="IY10" s="3"/>
      <c r="IZ10" s="3"/>
      <c r="JA10" s="3"/>
      <c r="JB10" s="3"/>
      <c r="JC10" s="3"/>
      <c r="JD10" s="3"/>
      <c r="JE10" s="3"/>
      <c r="JF10" s="3"/>
      <c r="JG10" s="3"/>
      <c r="JH10" s="3"/>
    </row>
    <row r="11" spans="1:16384" x14ac:dyDescent="0.3">
      <c r="A11" s="2" t="s">
        <v>338</v>
      </c>
      <c r="B11" s="3">
        <v>63</v>
      </c>
      <c r="C11" s="3" t="s">
        <v>462</v>
      </c>
      <c r="D11" s="3">
        <v>14</v>
      </c>
      <c r="E11" s="3" t="s">
        <v>387</v>
      </c>
      <c r="F11" s="3">
        <v>1082704457</v>
      </c>
      <c r="G11" s="3" t="s">
        <v>459</v>
      </c>
      <c r="H11" s="3" t="s">
        <v>462</v>
      </c>
      <c r="I11" s="3" t="s">
        <v>342</v>
      </c>
      <c r="J11" s="3">
        <v>21</v>
      </c>
      <c r="K11" s="3" t="s">
        <v>389</v>
      </c>
      <c r="L11" s="3"/>
      <c r="M11" s="3" t="s">
        <v>345</v>
      </c>
      <c r="N11" s="3" t="s">
        <v>344</v>
      </c>
      <c r="O11" s="3" t="s">
        <v>344</v>
      </c>
      <c r="P11" s="3" t="s">
        <v>344</v>
      </c>
      <c r="Q11" s="3" t="s">
        <v>344</v>
      </c>
      <c r="R11" s="3"/>
      <c r="S11" s="3" t="s">
        <v>438</v>
      </c>
      <c r="T11" s="3"/>
      <c r="U11" s="3" t="s">
        <v>428</v>
      </c>
      <c r="V11" s="3"/>
      <c r="W11" s="3" t="s">
        <v>345</v>
      </c>
      <c r="X11" s="3" t="s">
        <v>344</v>
      </c>
      <c r="Y11" s="3" t="s">
        <v>344</v>
      </c>
      <c r="Z11" s="3" t="s">
        <v>344</v>
      </c>
      <c r="AA11" s="3" t="s">
        <v>344</v>
      </c>
      <c r="AB11" s="3" t="s">
        <v>344</v>
      </c>
      <c r="AC11" s="3" t="s">
        <v>344</v>
      </c>
      <c r="AD11" s="3" t="s">
        <v>344</v>
      </c>
      <c r="AE11" s="3" t="s">
        <v>345</v>
      </c>
      <c r="AF11" s="3" t="s">
        <v>344</v>
      </c>
      <c r="AG11" s="3" t="s">
        <v>344</v>
      </c>
      <c r="AH11" s="3" t="s">
        <v>344</v>
      </c>
      <c r="AI11" s="3" t="s">
        <v>344</v>
      </c>
      <c r="AJ11" s="3" t="s">
        <v>344</v>
      </c>
      <c r="AK11" s="3" t="s">
        <v>344</v>
      </c>
      <c r="AL11" s="3" t="s">
        <v>345</v>
      </c>
      <c r="AM11" s="3" t="s">
        <v>344</v>
      </c>
      <c r="AN11" s="3" t="s">
        <v>344</v>
      </c>
      <c r="AO11" s="3" t="s">
        <v>345</v>
      </c>
      <c r="AP11" s="3" t="s">
        <v>344</v>
      </c>
      <c r="AQ11" s="3" t="s">
        <v>344</v>
      </c>
      <c r="AR11" s="3" t="s">
        <v>368</v>
      </c>
      <c r="AS11" s="3" t="s">
        <v>368</v>
      </c>
      <c r="AT11" s="3" t="s">
        <v>368</v>
      </c>
      <c r="AU11" s="3" t="s">
        <v>368</v>
      </c>
      <c r="AV11" s="3" t="s">
        <v>368</v>
      </c>
      <c r="AW11" s="3" t="s">
        <v>368</v>
      </c>
      <c r="AX11" s="3" t="s">
        <v>345</v>
      </c>
      <c r="AY11" s="3"/>
      <c r="AZ11" s="3"/>
      <c r="BA11" s="3"/>
      <c r="BB11" s="3"/>
      <c r="BC11" s="3"/>
      <c r="BD11" s="3"/>
      <c r="BE11" s="3" t="s">
        <v>348</v>
      </c>
      <c r="BF11" s="3" t="s">
        <v>349</v>
      </c>
      <c r="BG11" s="3" t="s">
        <v>348</v>
      </c>
      <c r="BH11" s="3" t="s">
        <v>348</v>
      </c>
      <c r="BI11" s="3" t="s">
        <v>350</v>
      </c>
      <c r="BJ11" s="3" t="s">
        <v>354</v>
      </c>
      <c r="BK11" s="3" t="s">
        <v>355</v>
      </c>
      <c r="BL11" s="3" t="s">
        <v>391</v>
      </c>
      <c r="BM11" s="3" t="s">
        <v>391</v>
      </c>
      <c r="BN11" s="3" t="s">
        <v>357</v>
      </c>
      <c r="BO11" s="3" t="s">
        <v>391</v>
      </c>
      <c r="BP11" s="3" t="s">
        <v>391</v>
      </c>
      <c r="BQ11" s="3" t="s">
        <v>455</v>
      </c>
      <c r="BR11" s="3" t="s">
        <v>429</v>
      </c>
      <c r="BS11" s="3" t="s">
        <v>391</v>
      </c>
      <c r="BT11" s="3" t="s">
        <v>391</v>
      </c>
      <c r="BU11" s="3" t="s">
        <v>391</v>
      </c>
      <c r="BV11" s="3" t="s">
        <v>391</v>
      </c>
      <c r="BW11" s="3" t="s">
        <v>391</v>
      </c>
      <c r="BX11" s="3" t="s">
        <v>391</v>
      </c>
      <c r="BY11" s="3" t="s">
        <v>391</v>
      </c>
      <c r="BZ11" s="3" t="s">
        <v>354</v>
      </c>
      <c r="CA11" s="3" t="s">
        <v>391</v>
      </c>
      <c r="CB11" s="3" t="s">
        <v>357</v>
      </c>
      <c r="CC11" s="3" t="s">
        <v>391</v>
      </c>
      <c r="CD11" s="3" t="s">
        <v>391</v>
      </c>
      <c r="CE11" s="3" t="s">
        <v>354</v>
      </c>
      <c r="CF11" s="3" t="s">
        <v>356</v>
      </c>
      <c r="CG11" s="3" t="s">
        <v>393</v>
      </c>
      <c r="CH11" s="3" t="s">
        <v>421</v>
      </c>
      <c r="CI11" s="3" t="s">
        <v>392</v>
      </c>
      <c r="CJ11" s="3"/>
      <c r="CK11" s="3" t="s">
        <v>463</v>
      </c>
      <c r="CL11" s="3" t="s">
        <v>344</v>
      </c>
      <c r="CM11" s="3" t="s">
        <v>344</v>
      </c>
      <c r="CN11" s="3" t="s">
        <v>344</v>
      </c>
      <c r="CO11" s="3" t="s">
        <v>344</v>
      </c>
      <c r="CP11" s="3" t="s">
        <v>345</v>
      </c>
      <c r="CQ11" s="3" t="s">
        <v>344</v>
      </c>
      <c r="CR11" s="3" t="s">
        <v>362</v>
      </c>
      <c r="CS11" s="3">
        <v>100</v>
      </c>
      <c r="CT11" s="3">
        <v>100</v>
      </c>
      <c r="CU11" s="3"/>
      <c r="CV11" s="3"/>
      <c r="CW11" s="3" t="s">
        <v>396</v>
      </c>
      <c r="CX11" s="3" t="s">
        <v>396</v>
      </c>
      <c r="CY11" s="3" t="s">
        <v>396</v>
      </c>
      <c r="CZ11" s="3" t="s">
        <v>397</v>
      </c>
      <c r="DA11" s="3" t="s">
        <v>397</v>
      </c>
      <c r="DB11" s="3" t="s">
        <v>397</v>
      </c>
      <c r="DC11" s="3" t="s">
        <v>397</v>
      </c>
      <c r="DD11" s="3" t="s">
        <v>397</v>
      </c>
      <c r="DE11" s="3"/>
      <c r="DF11" s="3"/>
      <c r="DG11" s="3"/>
      <c r="DH11" s="3"/>
      <c r="DI11" s="3"/>
      <c r="DJ11" s="3"/>
      <c r="DK11" s="3" t="s">
        <v>367</v>
      </c>
      <c r="DL11" s="3" t="s">
        <v>368</v>
      </c>
      <c r="DM11" s="3" t="s">
        <v>368</v>
      </c>
      <c r="DN11" s="3" t="s">
        <v>368</v>
      </c>
      <c r="DO11" s="3" t="s">
        <v>368</v>
      </c>
      <c r="DP11" s="3" t="s">
        <v>368</v>
      </c>
      <c r="DQ11" s="3" t="s">
        <v>368</v>
      </c>
      <c r="DR11" s="3" t="s">
        <v>368</v>
      </c>
      <c r="DS11" s="3" t="s">
        <v>345</v>
      </c>
      <c r="DT11" s="3" t="s">
        <v>368</v>
      </c>
      <c r="DU11" s="3" t="s">
        <v>368</v>
      </c>
      <c r="DV11" s="3" t="s">
        <v>368</v>
      </c>
      <c r="DW11" s="3" t="s">
        <v>345</v>
      </c>
      <c r="DX11" s="3" t="s">
        <v>370</v>
      </c>
      <c r="DY11" s="3" t="s">
        <v>370</v>
      </c>
      <c r="DZ11" s="3" t="s">
        <v>370</v>
      </c>
      <c r="EA11" s="3" t="s">
        <v>371</v>
      </c>
      <c r="EB11" s="3" t="s">
        <v>370</v>
      </c>
      <c r="EC11" s="3" t="s">
        <v>370</v>
      </c>
      <c r="ED11" s="3" t="s">
        <v>370</v>
      </c>
      <c r="EE11" s="3" t="s">
        <v>369</v>
      </c>
      <c r="EF11" s="3" t="s">
        <v>369</v>
      </c>
      <c r="EG11" s="3" t="s">
        <v>369</v>
      </c>
      <c r="EH11" s="3" t="s">
        <v>398</v>
      </c>
      <c r="EI11" s="3" t="s">
        <v>369</v>
      </c>
      <c r="EJ11" s="3" t="s">
        <v>369</v>
      </c>
      <c r="EK11" s="3" t="s">
        <v>369</v>
      </c>
      <c r="EL11" s="3" t="s">
        <v>373</v>
      </c>
      <c r="EM11" s="3" t="s">
        <v>424</v>
      </c>
      <c r="EN11" s="3" t="s">
        <v>372</v>
      </c>
      <c r="EO11" s="3"/>
      <c r="EP11" s="3"/>
      <c r="EQ11" s="3" t="s">
        <v>375</v>
      </c>
      <c r="ER11" s="3" t="s">
        <v>375</v>
      </c>
      <c r="ES11" s="3" t="s">
        <v>376</v>
      </c>
      <c r="ET11" s="3" t="s">
        <v>376</v>
      </c>
      <c r="EU11" s="3" t="s">
        <v>375</v>
      </c>
      <c r="EV11" s="3" t="s">
        <v>400</v>
      </c>
      <c r="EW11" s="3"/>
      <c r="EX11" s="3" t="s">
        <v>368</v>
      </c>
      <c r="EY11" s="3" t="s">
        <v>368</v>
      </c>
      <c r="EZ11" s="3" t="s">
        <v>368</v>
      </c>
      <c r="FA11" s="3" t="s">
        <v>345</v>
      </c>
      <c r="FB11" s="3" t="s">
        <v>401</v>
      </c>
      <c r="FC11" s="3"/>
      <c r="FD11" s="3" t="s">
        <v>401</v>
      </c>
      <c r="FE11" s="3"/>
      <c r="FF11" s="3" t="s">
        <v>431</v>
      </c>
      <c r="FG11" s="3" t="s">
        <v>441</v>
      </c>
      <c r="FH11" s="3" t="s">
        <v>432</v>
      </c>
      <c r="FI11" s="3" t="s">
        <v>403</v>
      </c>
      <c r="FJ11" s="3"/>
      <c r="FK11" s="3"/>
      <c r="FL11" s="3"/>
      <c r="FM11" s="3"/>
      <c r="FN11" s="3"/>
      <c r="FO11" s="3"/>
      <c r="FP11" s="3"/>
      <c r="FQ11" s="3"/>
      <c r="FR11" s="3"/>
      <c r="FS11" s="3"/>
      <c r="FT11" s="3"/>
      <c r="FU11" s="3"/>
      <c r="FV11" s="3"/>
      <c r="FW11" s="3"/>
      <c r="FX11" s="3"/>
      <c r="FY11" s="3"/>
      <c r="FZ11" s="3"/>
      <c r="GA11" s="3" t="s">
        <v>368</v>
      </c>
      <c r="GB11" s="3" t="s">
        <v>368</v>
      </c>
      <c r="GC11" s="3" t="s">
        <v>368</v>
      </c>
      <c r="GD11" s="3" t="s">
        <v>368</v>
      </c>
      <c r="GE11" s="3" t="s">
        <v>368</v>
      </c>
      <c r="GF11" s="3" t="s">
        <v>368</v>
      </c>
      <c r="GG11" s="3"/>
      <c r="GH11" s="3"/>
      <c r="GI11" s="3"/>
      <c r="GJ11" s="3"/>
      <c r="GK11" s="3"/>
      <c r="GL11" s="3" t="s">
        <v>344</v>
      </c>
      <c r="GM11" s="3" t="s">
        <v>344</v>
      </c>
      <c r="GN11" s="3" t="s">
        <v>345</v>
      </c>
      <c r="GO11" s="3" t="s">
        <v>345</v>
      </c>
      <c r="GP11" s="3" t="s">
        <v>344</v>
      </c>
      <c r="GQ11" s="3" t="s">
        <v>344</v>
      </c>
      <c r="GR11" s="3" t="s">
        <v>344</v>
      </c>
      <c r="GS11" s="3" t="s">
        <v>344</v>
      </c>
      <c r="GT11" s="3" t="s">
        <v>344</v>
      </c>
      <c r="GU11" s="3" t="s">
        <v>344</v>
      </c>
      <c r="GV11" s="3" t="s">
        <v>344</v>
      </c>
      <c r="GW11" s="3" t="s">
        <v>345</v>
      </c>
      <c r="GX11" s="3" t="s">
        <v>344</v>
      </c>
      <c r="GY11" s="3" t="s">
        <v>344</v>
      </c>
      <c r="GZ11" s="3" t="s">
        <v>344</v>
      </c>
      <c r="HA11" s="3"/>
      <c r="HB11" s="3" t="s">
        <v>345</v>
      </c>
      <c r="HC11" s="3" t="s">
        <v>464</v>
      </c>
      <c r="HD11" s="3" t="s">
        <v>344</v>
      </c>
      <c r="HE11" s="3"/>
      <c r="HF11" s="3" t="s">
        <v>344</v>
      </c>
      <c r="HG11" s="3"/>
      <c r="HH11" s="3" t="s">
        <v>344</v>
      </c>
      <c r="HI11" s="3"/>
      <c r="HJ11" s="3" t="s">
        <v>344</v>
      </c>
      <c r="HK11" s="3" t="s">
        <v>344</v>
      </c>
      <c r="HL11" s="3" t="s">
        <v>344</v>
      </c>
      <c r="HM11" s="3" t="s">
        <v>345</v>
      </c>
      <c r="HN11" s="3" t="s">
        <v>344</v>
      </c>
      <c r="HO11" s="3" t="s">
        <v>344</v>
      </c>
      <c r="HP11" s="3" t="s">
        <v>344</v>
      </c>
      <c r="HQ11" s="3" t="s">
        <v>344</v>
      </c>
      <c r="HR11" s="3" t="s">
        <v>344</v>
      </c>
      <c r="HS11" s="3" t="s">
        <v>344</v>
      </c>
      <c r="HT11" s="3" t="s">
        <v>344</v>
      </c>
      <c r="HU11" s="3" t="s">
        <v>345</v>
      </c>
      <c r="HV11" s="3" t="s">
        <v>344</v>
      </c>
      <c r="HW11" s="3" t="s">
        <v>344</v>
      </c>
      <c r="HX11" s="3" t="s">
        <v>344</v>
      </c>
      <c r="HY11" s="3"/>
      <c r="HZ11" s="3" t="s">
        <v>344</v>
      </c>
      <c r="IA11" s="3"/>
      <c r="IB11" s="3" t="s">
        <v>345</v>
      </c>
      <c r="IC11" s="3" t="s">
        <v>465</v>
      </c>
      <c r="ID11" s="3" t="s">
        <v>344</v>
      </c>
      <c r="IE11" s="3"/>
      <c r="IF11" s="3" t="s">
        <v>344</v>
      </c>
      <c r="IG11" s="3"/>
      <c r="IH11" s="3" t="s">
        <v>344</v>
      </c>
      <c r="II11" s="3" t="s">
        <v>344</v>
      </c>
      <c r="IJ11" s="3" t="s">
        <v>344</v>
      </c>
      <c r="IK11" s="3" t="s">
        <v>344</v>
      </c>
      <c r="IL11" s="3" t="s">
        <v>345</v>
      </c>
      <c r="IM11" s="3" t="s">
        <v>344</v>
      </c>
      <c r="IN11" s="3" t="s">
        <v>344</v>
      </c>
      <c r="IO11" s="3" t="s">
        <v>345</v>
      </c>
      <c r="IP11" s="3" t="s">
        <v>344</v>
      </c>
      <c r="IQ11" s="3" t="s">
        <v>344</v>
      </c>
      <c r="IR11" s="3" t="s">
        <v>345</v>
      </c>
      <c r="IS11" s="3" t="s">
        <v>344</v>
      </c>
      <c r="IT11" s="3"/>
      <c r="IU11" s="3" t="s">
        <v>466</v>
      </c>
      <c r="IV11" s="3"/>
      <c r="IW11" s="3"/>
      <c r="IX11" s="3"/>
      <c r="IY11" s="3"/>
      <c r="IZ11" s="3"/>
      <c r="JA11" s="3"/>
      <c r="JB11" s="3"/>
      <c r="JC11" s="3"/>
      <c r="JD11" s="3"/>
      <c r="JE11" s="3"/>
      <c r="JF11" s="3"/>
      <c r="JG11" s="3"/>
      <c r="JH11" s="3"/>
    </row>
    <row r="12" spans="1:16384" x14ac:dyDescent="0.3">
      <c r="A12" s="2" t="s">
        <v>338</v>
      </c>
      <c r="B12" s="3">
        <v>64</v>
      </c>
      <c r="C12" s="3" t="s">
        <v>467</v>
      </c>
      <c r="D12" s="3">
        <v>14</v>
      </c>
      <c r="E12" s="3" t="s">
        <v>340</v>
      </c>
      <c r="F12" s="3">
        <v>30245957</v>
      </c>
      <c r="G12" s="3" t="s">
        <v>468</v>
      </c>
      <c r="H12" s="3" t="s">
        <v>467</v>
      </c>
      <c r="I12" s="3" t="s">
        <v>469</v>
      </c>
      <c r="J12" s="3">
        <v>18</v>
      </c>
      <c r="K12" s="3" t="s">
        <v>389</v>
      </c>
      <c r="L12" s="3"/>
      <c r="M12" s="3" t="s">
        <v>345</v>
      </c>
      <c r="N12" s="3" t="s">
        <v>345</v>
      </c>
      <c r="O12" s="3" t="s">
        <v>344</v>
      </c>
      <c r="P12" s="3" t="s">
        <v>344</v>
      </c>
      <c r="Q12" s="3" t="s">
        <v>344</v>
      </c>
      <c r="R12" s="3"/>
      <c r="S12" s="3" t="s">
        <v>346</v>
      </c>
      <c r="T12" s="3"/>
      <c r="U12" s="3" t="s">
        <v>347</v>
      </c>
      <c r="V12" s="3"/>
      <c r="W12" s="3" t="s">
        <v>344</v>
      </c>
      <c r="X12" s="3" t="s">
        <v>345</v>
      </c>
      <c r="Y12" s="3" t="s">
        <v>344</v>
      </c>
      <c r="Z12" s="3" t="s">
        <v>344</v>
      </c>
      <c r="AA12" s="3" t="s">
        <v>344</v>
      </c>
      <c r="AB12" s="3" t="s">
        <v>344</v>
      </c>
      <c r="AC12" s="3" t="s">
        <v>344</v>
      </c>
      <c r="AD12" s="3" t="s">
        <v>344</v>
      </c>
      <c r="AE12" s="3" t="s">
        <v>344</v>
      </c>
      <c r="AF12" s="3" t="s">
        <v>344</v>
      </c>
      <c r="AG12" s="3" t="s">
        <v>344</v>
      </c>
      <c r="AH12" s="3" t="s">
        <v>345</v>
      </c>
      <c r="AI12" s="3" t="s">
        <v>344</v>
      </c>
      <c r="AJ12" s="3" t="s">
        <v>344</v>
      </c>
      <c r="AK12" s="3" t="s">
        <v>344</v>
      </c>
      <c r="AL12" s="3" t="s">
        <v>344</v>
      </c>
      <c r="AM12" s="3" t="s">
        <v>345</v>
      </c>
      <c r="AN12" s="3" t="s">
        <v>344</v>
      </c>
      <c r="AO12" s="3" t="s">
        <v>344</v>
      </c>
      <c r="AP12" s="3" t="s">
        <v>344</v>
      </c>
      <c r="AQ12" s="3" t="s">
        <v>344</v>
      </c>
      <c r="AR12" s="3" t="s">
        <v>345</v>
      </c>
      <c r="AS12" s="3" t="s">
        <v>344</v>
      </c>
      <c r="AT12" s="3" t="s">
        <v>344</v>
      </c>
      <c r="AU12" s="3" t="s">
        <v>344</v>
      </c>
      <c r="AV12" s="3" t="s">
        <v>344</v>
      </c>
      <c r="AW12" s="3" t="s">
        <v>344</v>
      </c>
      <c r="AX12" s="3" t="s">
        <v>344</v>
      </c>
      <c r="AY12" s="3"/>
      <c r="AZ12" s="3"/>
      <c r="BA12" s="3"/>
      <c r="BB12" s="3"/>
      <c r="BC12" s="3"/>
      <c r="BD12" s="3"/>
      <c r="BE12" s="3" t="s">
        <v>349</v>
      </c>
      <c r="BF12" s="3" t="s">
        <v>390</v>
      </c>
      <c r="BG12" s="3" t="s">
        <v>390</v>
      </c>
      <c r="BH12" s="3" t="s">
        <v>390</v>
      </c>
      <c r="BI12" s="3" t="s">
        <v>349</v>
      </c>
      <c r="BJ12" s="3" t="s">
        <v>352</v>
      </c>
      <c r="BK12" s="3" t="s">
        <v>357</v>
      </c>
      <c r="BL12" s="3" t="s">
        <v>354</v>
      </c>
      <c r="BM12" s="3" t="s">
        <v>355</v>
      </c>
      <c r="BN12" s="3" t="s">
        <v>351</v>
      </c>
      <c r="BO12" s="3" t="s">
        <v>356</v>
      </c>
      <c r="BP12" s="3" t="s">
        <v>353</v>
      </c>
      <c r="BQ12" s="3" t="s">
        <v>419</v>
      </c>
      <c r="BR12" s="3" t="s">
        <v>359</v>
      </c>
      <c r="BS12" s="3" t="s">
        <v>354</v>
      </c>
      <c r="BT12" s="3" t="s">
        <v>354</v>
      </c>
      <c r="BU12" s="3" t="s">
        <v>351</v>
      </c>
      <c r="BV12" s="3" t="s">
        <v>353</v>
      </c>
      <c r="BW12" s="3" t="s">
        <v>355</v>
      </c>
      <c r="BX12" s="3" t="s">
        <v>351</v>
      </c>
      <c r="BY12" s="3" t="s">
        <v>352</v>
      </c>
      <c r="BZ12" s="3" t="s">
        <v>356</v>
      </c>
      <c r="CA12" s="3" t="s">
        <v>354</v>
      </c>
      <c r="CB12" s="3" t="s">
        <v>353</v>
      </c>
      <c r="CC12" s="3" t="s">
        <v>357</v>
      </c>
      <c r="CD12" s="3" t="s">
        <v>352</v>
      </c>
      <c r="CE12" s="3" t="s">
        <v>355</v>
      </c>
      <c r="CF12" s="3" t="s">
        <v>351</v>
      </c>
      <c r="CG12" s="3" t="s">
        <v>393</v>
      </c>
      <c r="CH12" s="3" t="s">
        <v>393</v>
      </c>
      <c r="CI12" s="3" t="s">
        <v>393</v>
      </c>
      <c r="CJ12" s="3"/>
      <c r="CK12" s="3" t="s">
        <v>470</v>
      </c>
      <c r="CL12" s="3" t="s">
        <v>344</v>
      </c>
      <c r="CM12" s="3" t="s">
        <v>344</v>
      </c>
      <c r="CN12" s="3" t="s">
        <v>345</v>
      </c>
      <c r="CO12" s="3" t="s">
        <v>344</v>
      </c>
      <c r="CP12" s="3" t="s">
        <v>344</v>
      </c>
      <c r="CQ12" s="3" t="s">
        <v>344</v>
      </c>
      <c r="CR12" s="3" t="s">
        <v>362</v>
      </c>
      <c r="CS12" s="3">
        <v>10</v>
      </c>
      <c r="CT12" s="3">
        <v>25</v>
      </c>
      <c r="CU12" s="3">
        <v>45</v>
      </c>
      <c r="CV12" s="3">
        <v>70</v>
      </c>
      <c r="CW12" s="3" t="s">
        <v>363</v>
      </c>
      <c r="CX12" s="3" t="s">
        <v>363</v>
      </c>
      <c r="CY12" s="3" t="s">
        <v>471</v>
      </c>
      <c r="CZ12" s="3"/>
      <c r="DA12" s="3"/>
      <c r="DB12" s="3"/>
      <c r="DC12" s="3"/>
      <c r="DD12" s="3"/>
      <c r="DE12" s="3" t="s">
        <v>397</v>
      </c>
      <c r="DF12" s="3" t="s">
        <v>366</v>
      </c>
      <c r="DG12" s="3" t="s">
        <v>397</v>
      </c>
      <c r="DH12" s="3" t="s">
        <v>397</v>
      </c>
      <c r="DI12" s="3" t="s">
        <v>366</v>
      </c>
      <c r="DJ12" s="3"/>
      <c r="DK12" s="3" t="s">
        <v>449</v>
      </c>
      <c r="DL12" s="3" t="s">
        <v>368</v>
      </c>
      <c r="DM12" s="3" t="s">
        <v>368</v>
      </c>
      <c r="DN12" s="3" t="s">
        <v>368</v>
      </c>
      <c r="DO12" s="3" t="s">
        <v>345</v>
      </c>
      <c r="DP12" s="3" t="s">
        <v>345</v>
      </c>
      <c r="DQ12" s="3" t="s">
        <v>344</v>
      </c>
      <c r="DR12" s="3" t="s">
        <v>345</v>
      </c>
      <c r="DS12" s="3" t="s">
        <v>344</v>
      </c>
      <c r="DT12" s="3" t="s">
        <v>345</v>
      </c>
      <c r="DU12" s="3" t="s">
        <v>344</v>
      </c>
      <c r="DV12" s="3" t="s">
        <v>344</v>
      </c>
      <c r="DW12" s="3" t="s">
        <v>344</v>
      </c>
      <c r="DX12" s="3" t="s">
        <v>369</v>
      </c>
      <c r="DY12" s="3" t="s">
        <v>398</v>
      </c>
      <c r="DZ12" s="3" t="s">
        <v>371</v>
      </c>
      <c r="EA12" s="3" t="s">
        <v>369</v>
      </c>
      <c r="EB12" s="3" t="s">
        <v>369</v>
      </c>
      <c r="EC12" s="3" t="s">
        <v>369</v>
      </c>
      <c r="ED12" s="3" t="s">
        <v>370</v>
      </c>
      <c r="EE12" s="3" t="s">
        <v>370</v>
      </c>
      <c r="EF12" s="3" t="s">
        <v>370</v>
      </c>
      <c r="EG12" s="3" t="s">
        <v>370</v>
      </c>
      <c r="EH12" s="3" t="s">
        <v>370</v>
      </c>
      <c r="EI12" s="3" t="s">
        <v>370</v>
      </c>
      <c r="EJ12" s="3" t="s">
        <v>370</v>
      </c>
      <c r="EK12" s="3" t="s">
        <v>399</v>
      </c>
      <c r="EL12" s="3" t="s">
        <v>373</v>
      </c>
      <c r="EM12" s="3" t="s">
        <v>374</v>
      </c>
      <c r="EN12" s="3" t="s">
        <v>424</v>
      </c>
      <c r="EO12" s="3"/>
      <c r="EP12" s="3"/>
      <c r="EQ12" s="3" t="s">
        <v>376</v>
      </c>
      <c r="ER12" s="3" t="s">
        <v>411</v>
      </c>
      <c r="ES12" s="3" t="s">
        <v>411</v>
      </c>
      <c r="ET12" s="3" t="s">
        <v>376</v>
      </c>
      <c r="EU12" s="3" t="s">
        <v>376</v>
      </c>
      <c r="EV12" s="3" t="s">
        <v>400</v>
      </c>
      <c r="EW12" s="3"/>
      <c r="EX12" s="3" t="s">
        <v>368</v>
      </c>
      <c r="EY12" s="3" t="s">
        <v>368</v>
      </c>
      <c r="EZ12" s="3" t="s">
        <v>368</v>
      </c>
      <c r="FA12" s="3" t="s">
        <v>345</v>
      </c>
      <c r="FB12" s="3" t="s">
        <v>343</v>
      </c>
      <c r="FC12" s="158" t="s">
        <v>472</v>
      </c>
      <c r="FD12" s="3" t="s">
        <v>401</v>
      </c>
      <c r="FE12" s="3"/>
      <c r="FF12" s="3" t="s">
        <v>412</v>
      </c>
      <c r="FG12" s="3" t="s">
        <v>413</v>
      </c>
      <c r="FH12" s="3" t="s">
        <v>384</v>
      </c>
      <c r="FI12" s="3" t="s">
        <v>385</v>
      </c>
      <c r="FJ12" s="3"/>
      <c r="FK12" s="3"/>
      <c r="FL12" s="3"/>
      <c r="FM12" s="3"/>
      <c r="FN12" s="3"/>
      <c r="FO12" s="3"/>
      <c r="FP12" s="3"/>
      <c r="FQ12" s="3"/>
      <c r="FR12" s="3"/>
      <c r="FS12" s="3"/>
      <c r="FT12" s="3"/>
      <c r="FU12" s="3"/>
      <c r="FV12" s="3"/>
      <c r="FW12" s="3"/>
      <c r="FX12" s="3"/>
      <c r="FY12" s="3"/>
      <c r="FZ12" s="3"/>
      <c r="GA12" s="3" t="s">
        <v>368</v>
      </c>
      <c r="GB12" s="3" t="s">
        <v>368</v>
      </c>
      <c r="GC12" s="3" t="s">
        <v>368</v>
      </c>
      <c r="GD12" s="3" t="s">
        <v>368</v>
      </c>
      <c r="GE12" s="3" t="s">
        <v>368</v>
      </c>
      <c r="GF12" s="3" t="s">
        <v>368</v>
      </c>
      <c r="GG12" s="3"/>
      <c r="GH12" s="3"/>
      <c r="GI12" s="3"/>
      <c r="GJ12" s="3"/>
      <c r="GK12" s="3"/>
      <c r="GL12" s="3" t="s">
        <v>344</v>
      </c>
      <c r="GM12" s="3" t="s">
        <v>344</v>
      </c>
      <c r="GN12" s="3" t="s">
        <v>345</v>
      </c>
      <c r="GO12" s="3" t="s">
        <v>344</v>
      </c>
      <c r="GP12" s="3" t="s">
        <v>344</v>
      </c>
      <c r="GQ12" s="3" t="s">
        <v>344</v>
      </c>
      <c r="GR12" s="3" t="s">
        <v>345</v>
      </c>
      <c r="GS12" s="3" t="s">
        <v>344</v>
      </c>
      <c r="GT12" s="3" t="s">
        <v>344</v>
      </c>
      <c r="GU12" s="3" t="s">
        <v>345</v>
      </c>
      <c r="GV12" s="3" t="s">
        <v>345</v>
      </c>
      <c r="GW12" s="3" t="s">
        <v>344</v>
      </c>
      <c r="GX12" s="3" t="s">
        <v>344</v>
      </c>
      <c r="GY12" s="3" t="s">
        <v>344</v>
      </c>
      <c r="GZ12" s="3" t="s">
        <v>344</v>
      </c>
      <c r="HA12" s="3"/>
      <c r="HB12" s="3" t="s">
        <v>344</v>
      </c>
      <c r="HC12" s="3"/>
      <c r="HD12" s="3" t="s">
        <v>344</v>
      </c>
      <c r="HE12" s="3"/>
      <c r="HF12" s="3" t="s">
        <v>344</v>
      </c>
      <c r="HG12" s="3"/>
      <c r="HH12" s="3" t="s">
        <v>344</v>
      </c>
      <c r="HI12" s="3"/>
      <c r="HJ12" s="3" t="s">
        <v>344</v>
      </c>
      <c r="HK12" s="3" t="s">
        <v>344</v>
      </c>
      <c r="HL12" s="3" t="s">
        <v>344</v>
      </c>
      <c r="HM12" s="3" t="s">
        <v>344</v>
      </c>
      <c r="HN12" s="3" t="s">
        <v>344</v>
      </c>
      <c r="HO12" s="3" t="s">
        <v>344</v>
      </c>
      <c r="HP12" s="3" t="s">
        <v>344</v>
      </c>
      <c r="HQ12" s="3" t="s">
        <v>344</v>
      </c>
      <c r="HR12" s="3" t="s">
        <v>344</v>
      </c>
      <c r="HS12" s="3" t="s">
        <v>344</v>
      </c>
      <c r="HT12" s="3" t="s">
        <v>344</v>
      </c>
      <c r="HU12" s="3" t="s">
        <v>345</v>
      </c>
      <c r="HV12" s="3" t="s">
        <v>345</v>
      </c>
      <c r="HW12" s="3" t="s">
        <v>344</v>
      </c>
      <c r="HX12" s="3" t="s">
        <v>345</v>
      </c>
      <c r="HY12" s="3"/>
      <c r="HZ12" s="3" t="s">
        <v>344</v>
      </c>
      <c r="IA12" s="3"/>
      <c r="IB12" s="3" t="s">
        <v>344</v>
      </c>
      <c r="IC12" s="3"/>
      <c r="ID12" s="3" t="s">
        <v>344</v>
      </c>
      <c r="IE12" s="3"/>
      <c r="IF12" s="3" t="s">
        <v>344</v>
      </c>
      <c r="IG12" s="3"/>
      <c r="IH12" s="3" t="s">
        <v>345</v>
      </c>
      <c r="II12" s="3" t="s">
        <v>344</v>
      </c>
      <c r="IJ12" s="3" t="s">
        <v>344</v>
      </c>
      <c r="IK12" s="3" t="s">
        <v>345</v>
      </c>
      <c r="IL12" s="3" t="s">
        <v>345</v>
      </c>
      <c r="IM12" s="3" t="s">
        <v>345</v>
      </c>
      <c r="IN12" s="3" t="s">
        <v>344</v>
      </c>
      <c r="IO12" s="3" t="s">
        <v>345</v>
      </c>
      <c r="IP12" s="3" t="s">
        <v>344</v>
      </c>
      <c r="IQ12" s="3" t="s">
        <v>344</v>
      </c>
      <c r="IR12" s="3" t="s">
        <v>344</v>
      </c>
      <c r="IS12" s="3" t="s">
        <v>344</v>
      </c>
      <c r="IT12" s="3"/>
      <c r="IU12" s="3" t="s">
        <v>473</v>
      </c>
      <c r="IV12" s="3"/>
      <c r="IW12" s="3"/>
      <c r="IX12" s="3"/>
      <c r="IY12" s="3"/>
      <c r="IZ12" s="3"/>
      <c r="JA12" s="3"/>
      <c r="JB12" s="3"/>
      <c r="JC12" s="3"/>
      <c r="JD12" s="3"/>
      <c r="JE12" s="3"/>
      <c r="JF12" s="3"/>
      <c r="JG12" s="3"/>
      <c r="JH12" s="3"/>
    </row>
    <row r="13" spans="1:16384" x14ac:dyDescent="0.3">
      <c r="A13" s="2" t="s">
        <v>338</v>
      </c>
      <c r="B13" s="3">
        <v>65</v>
      </c>
      <c r="C13" s="3" t="s">
        <v>474</v>
      </c>
      <c r="D13" s="3">
        <v>14</v>
      </c>
      <c r="E13" s="3" t="s">
        <v>387</v>
      </c>
      <c r="F13" s="3">
        <v>431069791</v>
      </c>
      <c r="G13" s="3" t="s">
        <v>468</v>
      </c>
      <c r="H13" s="3" t="s">
        <v>474</v>
      </c>
      <c r="I13" s="3" t="s">
        <v>342</v>
      </c>
      <c r="J13" s="3">
        <v>18</v>
      </c>
      <c r="K13" s="3" t="s">
        <v>389</v>
      </c>
      <c r="L13" s="3"/>
      <c r="M13" s="3" t="s">
        <v>345</v>
      </c>
      <c r="N13" s="3" t="s">
        <v>344</v>
      </c>
      <c r="O13" s="3" t="s">
        <v>344</v>
      </c>
      <c r="P13" s="3" t="s">
        <v>344</v>
      </c>
      <c r="Q13" s="3" t="s">
        <v>344</v>
      </c>
      <c r="R13" s="3"/>
      <c r="S13" s="3" t="s">
        <v>475</v>
      </c>
      <c r="T13" s="3"/>
      <c r="U13" s="3" t="s">
        <v>418</v>
      </c>
      <c r="V13" s="3"/>
      <c r="W13" s="3" t="s">
        <v>344</v>
      </c>
      <c r="X13" s="3" t="s">
        <v>344</v>
      </c>
      <c r="Y13" s="3" t="s">
        <v>345</v>
      </c>
      <c r="Z13" s="3" t="s">
        <v>344</v>
      </c>
      <c r="AA13" s="3" t="s">
        <v>345</v>
      </c>
      <c r="AB13" s="3" t="s">
        <v>344</v>
      </c>
      <c r="AC13" s="3" t="s">
        <v>344</v>
      </c>
      <c r="AD13" s="3" t="s">
        <v>344</v>
      </c>
      <c r="AE13" s="3" t="s">
        <v>345</v>
      </c>
      <c r="AF13" s="3" t="s">
        <v>345</v>
      </c>
      <c r="AG13" s="3" t="s">
        <v>344</v>
      </c>
      <c r="AH13" s="3" t="s">
        <v>345</v>
      </c>
      <c r="AI13" s="3" t="s">
        <v>345</v>
      </c>
      <c r="AJ13" s="3" t="s">
        <v>344</v>
      </c>
      <c r="AK13" s="3" t="s">
        <v>344</v>
      </c>
      <c r="AL13" s="3" t="s">
        <v>345</v>
      </c>
      <c r="AM13" s="3" t="s">
        <v>344</v>
      </c>
      <c r="AN13" s="3" t="s">
        <v>344</v>
      </c>
      <c r="AO13" s="3" t="s">
        <v>345</v>
      </c>
      <c r="AP13" s="3" t="s">
        <v>345</v>
      </c>
      <c r="AQ13" s="3" t="s">
        <v>344</v>
      </c>
      <c r="AR13" s="3" t="s">
        <v>345</v>
      </c>
      <c r="AS13" s="3" t="s">
        <v>345</v>
      </c>
      <c r="AT13" s="3" t="s">
        <v>345</v>
      </c>
      <c r="AU13" s="3" t="s">
        <v>344</v>
      </c>
      <c r="AV13" s="3" t="s">
        <v>345</v>
      </c>
      <c r="AW13" s="3" t="s">
        <v>344</v>
      </c>
      <c r="AX13" s="3" t="s">
        <v>344</v>
      </c>
      <c r="AY13" s="3"/>
      <c r="AZ13" s="3"/>
      <c r="BA13" s="3"/>
      <c r="BB13" s="3"/>
      <c r="BC13" s="3"/>
      <c r="BD13" s="3"/>
      <c r="BE13" s="3" t="s">
        <v>349</v>
      </c>
      <c r="BF13" s="3" t="s">
        <v>348</v>
      </c>
      <c r="BG13" s="3" t="s">
        <v>348</v>
      </c>
      <c r="BH13" s="3" t="s">
        <v>348</v>
      </c>
      <c r="BI13" s="3" t="s">
        <v>390</v>
      </c>
      <c r="BJ13" s="3" t="s">
        <v>391</v>
      </c>
      <c r="BK13" s="3" t="s">
        <v>391</v>
      </c>
      <c r="BL13" s="3" t="s">
        <v>391</v>
      </c>
      <c r="BM13" s="3" t="s">
        <v>391</v>
      </c>
      <c r="BN13" s="3" t="s">
        <v>391</v>
      </c>
      <c r="BO13" s="3" t="s">
        <v>391</v>
      </c>
      <c r="BP13" s="3" t="s">
        <v>391</v>
      </c>
      <c r="BQ13" s="3" t="s">
        <v>358</v>
      </c>
      <c r="BR13" s="3" t="s">
        <v>408</v>
      </c>
      <c r="BS13" s="3" t="s">
        <v>353</v>
      </c>
      <c r="BT13" s="3" t="s">
        <v>391</v>
      </c>
      <c r="BU13" s="3" t="s">
        <v>355</v>
      </c>
      <c r="BV13" s="3" t="s">
        <v>351</v>
      </c>
      <c r="BW13" s="3" t="s">
        <v>352</v>
      </c>
      <c r="BX13" s="3" t="s">
        <v>357</v>
      </c>
      <c r="BY13" s="3" t="s">
        <v>353</v>
      </c>
      <c r="BZ13" s="3" t="s">
        <v>352</v>
      </c>
      <c r="CA13" s="3" t="s">
        <v>356</v>
      </c>
      <c r="CB13" s="3" t="s">
        <v>352</v>
      </c>
      <c r="CC13" s="3" t="s">
        <v>356</v>
      </c>
      <c r="CD13" s="3" t="s">
        <v>353</v>
      </c>
      <c r="CE13" s="3" t="s">
        <v>357</v>
      </c>
      <c r="CF13" s="3" t="s">
        <v>354</v>
      </c>
      <c r="CG13" s="3" t="s">
        <v>360</v>
      </c>
      <c r="CH13" s="3" t="s">
        <v>421</v>
      </c>
      <c r="CI13" s="3" t="s">
        <v>421</v>
      </c>
      <c r="CJ13" s="3"/>
      <c r="CK13" s="3" t="s">
        <v>476</v>
      </c>
      <c r="CL13" s="3" t="s">
        <v>345</v>
      </c>
      <c r="CM13" s="3" t="s">
        <v>345</v>
      </c>
      <c r="CN13" s="3" t="s">
        <v>345</v>
      </c>
      <c r="CO13" s="3" t="s">
        <v>345</v>
      </c>
      <c r="CP13" s="3" t="s">
        <v>344</v>
      </c>
      <c r="CQ13" s="3" t="s">
        <v>344</v>
      </c>
      <c r="CR13" s="3" t="s">
        <v>362</v>
      </c>
      <c r="CS13" s="3">
        <v>65</v>
      </c>
      <c r="CT13" s="3">
        <v>50</v>
      </c>
      <c r="CU13" s="3"/>
      <c r="CV13" s="3"/>
      <c r="CW13" s="3" t="s">
        <v>395</v>
      </c>
      <c r="CX13" s="3" t="s">
        <v>396</v>
      </c>
      <c r="CY13" s="3" t="s">
        <v>395</v>
      </c>
      <c r="CZ13" s="3" t="s">
        <v>397</v>
      </c>
      <c r="DA13" s="3" t="s">
        <v>397</v>
      </c>
      <c r="DB13" s="3" t="s">
        <v>397</v>
      </c>
      <c r="DC13" s="3" t="s">
        <v>397</v>
      </c>
      <c r="DD13" s="3" t="s">
        <v>397</v>
      </c>
      <c r="DE13" s="3"/>
      <c r="DF13" s="3"/>
      <c r="DG13" s="3"/>
      <c r="DH13" s="3"/>
      <c r="DI13" s="3"/>
      <c r="DJ13" s="3"/>
      <c r="DK13" s="3" t="s">
        <v>367</v>
      </c>
      <c r="DL13" s="3" t="s">
        <v>368</v>
      </c>
      <c r="DM13" s="3" t="s">
        <v>368</v>
      </c>
      <c r="DN13" s="3" t="s">
        <v>368</v>
      </c>
      <c r="DO13" s="3" t="s">
        <v>368</v>
      </c>
      <c r="DP13" s="3" t="s">
        <v>368</v>
      </c>
      <c r="DQ13" s="3" t="s">
        <v>368</v>
      </c>
      <c r="DR13" s="3" t="s">
        <v>368</v>
      </c>
      <c r="DS13" s="3" t="s">
        <v>345</v>
      </c>
      <c r="DT13" s="3" t="s">
        <v>368</v>
      </c>
      <c r="DU13" s="3" t="s">
        <v>368</v>
      </c>
      <c r="DV13" s="3" t="s">
        <v>368</v>
      </c>
      <c r="DW13" s="3" t="s">
        <v>345</v>
      </c>
      <c r="DX13" s="3" t="s">
        <v>370</v>
      </c>
      <c r="DY13" s="3" t="s">
        <v>370</v>
      </c>
      <c r="DZ13" s="3" t="s">
        <v>370</v>
      </c>
      <c r="EA13" s="3" t="s">
        <v>370</v>
      </c>
      <c r="EB13" s="3" t="s">
        <v>370</v>
      </c>
      <c r="EC13" s="3" t="s">
        <v>370</v>
      </c>
      <c r="ED13" s="3" t="s">
        <v>370</v>
      </c>
      <c r="EE13" s="3" t="s">
        <v>369</v>
      </c>
      <c r="EF13" s="3" t="s">
        <v>369</v>
      </c>
      <c r="EG13" s="3" t="s">
        <v>369</v>
      </c>
      <c r="EH13" s="3" t="s">
        <v>398</v>
      </c>
      <c r="EI13" s="3" t="s">
        <v>369</v>
      </c>
      <c r="EJ13" s="3" t="s">
        <v>369</v>
      </c>
      <c r="EK13" s="3" t="s">
        <v>369</v>
      </c>
      <c r="EL13" s="3" t="s">
        <v>374</v>
      </c>
      <c r="EM13" s="3" t="s">
        <v>373</v>
      </c>
      <c r="EN13" s="3" t="s">
        <v>424</v>
      </c>
      <c r="EO13" s="3"/>
      <c r="EP13" s="3"/>
      <c r="EQ13" s="3" t="s">
        <v>375</v>
      </c>
      <c r="ER13" s="3" t="s">
        <v>375</v>
      </c>
      <c r="ES13" s="3" t="s">
        <v>378</v>
      </c>
      <c r="ET13" s="3" t="s">
        <v>378</v>
      </c>
      <c r="EU13" s="3" t="s">
        <v>375</v>
      </c>
      <c r="EV13" s="3" t="s">
        <v>400</v>
      </c>
      <c r="EW13" s="3"/>
      <c r="EX13" s="3" t="s">
        <v>368</v>
      </c>
      <c r="EY13" s="3" t="s">
        <v>368</v>
      </c>
      <c r="EZ13" s="3" t="s">
        <v>368</v>
      </c>
      <c r="FA13" s="3" t="s">
        <v>345</v>
      </c>
      <c r="FB13" s="3" t="s">
        <v>401</v>
      </c>
      <c r="FC13" s="3"/>
      <c r="FD13" s="3" t="s">
        <v>401</v>
      </c>
      <c r="FE13" s="3"/>
      <c r="FF13" s="3" t="s">
        <v>477</v>
      </c>
      <c r="FG13" s="3" t="s">
        <v>402</v>
      </c>
      <c r="FH13" s="3" t="s">
        <v>432</v>
      </c>
      <c r="FI13" s="3" t="s">
        <v>433</v>
      </c>
      <c r="FJ13" s="3"/>
      <c r="FK13" s="3"/>
      <c r="FL13" s="3"/>
      <c r="FM13" s="3"/>
      <c r="FN13" s="3"/>
      <c r="FO13" s="3"/>
      <c r="FP13" s="3"/>
      <c r="FQ13" s="3"/>
      <c r="FR13" s="3"/>
      <c r="FS13" s="3"/>
      <c r="FT13" s="3"/>
      <c r="FU13" s="3"/>
      <c r="FV13" s="3"/>
      <c r="FW13" s="3"/>
      <c r="FX13" s="3"/>
      <c r="FY13" s="3"/>
      <c r="FZ13" s="3"/>
      <c r="GA13" s="3" t="s">
        <v>368</v>
      </c>
      <c r="GB13" s="3" t="s">
        <v>368</v>
      </c>
      <c r="GC13" s="3" t="s">
        <v>368</v>
      </c>
      <c r="GD13" s="3" t="s">
        <v>368</v>
      </c>
      <c r="GE13" s="3" t="s">
        <v>368</v>
      </c>
      <c r="GF13" s="3" t="s">
        <v>368</v>
      </c>
      <c r="GG13" s="3"/>
      <c r="GH13" s="3"/>
      <c r="GI13" s="3"/>
      <c r="GJ13" s="3"/>
      <c r="GK13" s="3"/>
      <c r="GL13" s="3" t="s">
        <v>344</v>
      </c>
      <c r="GM13" s="3" t="s">
        <v>344</v>
      </c>
      <c r="GN13" s="3" t="s">
        <v>344</v>
      </c>
      <c r="GO13" s="3" t="s">
        <v>344</v>
      </c>
      <c r="GP13" s="3" t="s">
        <v>344</v>
      </c>
      <c r="GQ13" s="3" t="s">
        <v>344</v>
      </c>
      <c r="GR13" s="3" t="s">
        <v>344</v>
      </c>
      <c r="GS13" s="3" t="s">
        <v>344</v>
      </c>
      <c r="GT13" s="3" t="s">
        <v>344</v>
      </c>
      <c r="GU13" s="3" t="s">
        <v>344</v>
      </c>
      <c r="GV13" s="3" t="s">
        <v>344</v>
      </c>
      <c r="GW13" s="3" t="s">
        <v>344</v>
      </c>
      <c r="GX13" s="3" t="s">
        <v>344</v>
      </c>
      <c r="GY13" s="3" t="s">
        <v>344</v>
      </c>
      <c r="GZ13" s="3" t="s">
        <v>344</v>
      </c>
      <c r="HA13" s="3" t="s">
        <v>478</v>
      </c>
      <c r="HB13" s="3" t="s">
        <v>344</v>
      </c>
      <c r="HC13" s="3"/>
      <c r="HD13" s="3" t="s">
        <v>344</v>
      </c>
      <c r="HE13" s="3"/>
      <c r="HF13" s="3" t="s">
        <v>344</v>
      </c>
      <c r="HG13" s="3"/>
      <c r="HH13" s="3" t="s">
        <v>344</v>
      </c>
      <c r="HI13" s="3"/>
      <c r="HJ13" s="3" t="s">
        <v>344</v>
      </c>
      <c r="HK13" s="3" t="s">
        <v>344</v>
      </c>
      <c r="HL13" s="3" t="s">
        <v>344</v>
      </c>
      <c r="HM13" s="3" t="s">
        <v>344</v>
      </c>
      <c r="HN13" s="3" t="s">
        <v>344</v>
      </c>
      <c r="HO13" s="3" t="s">
        <v>344</v>
      </c>
      <c r="HP13" s="3" t="s">
        <v>344</v>
      </c>
      <c r="HQ13" s="3" t="s">
        <v>344</v>
      </c>
      <c r="HR13" s="3" t="s">
        <v>344</v>
      </c>
      <c r="HS13" s="3" t="s">
        <v>344</v>
      </c>
      <c r="HT13" s="3" t="s">
        <v>344</v>
      </c>
      <c r="HU13" s="3" t="s">
        <v>344</v>
      </c>
      <c r="HV13" s="3" t="s">
        <v>344</v>
      </c>
      <c r="HW13" s="3" t="s">
        <v>344</v>
      </c>
      <c r="HX13" s="3" t="s">
        <v>345</v>
      </c>
      <c r="HY13" s="3"/>
      <c r="HZ13" s="3" t="s">
        <v>344</v>
      </c>
      <c r="IA13" s="3"/>
      <c r="IB13" s="3" t="s">
        <v>344</v>
      </c>
      <c r="IC13" s="3"/>
      <c r="ID13" s="3" t="s">
        <v>344</v>
      </c>
      <c r="IE13" s="3"/>
      <c r="IF13" s="3" t="s">
        <v>344</v>
      </c>
      <c r="IG13" s="3"/>
      <c r="IH13" s="3" t="s">
        <v>344</v>
      </c>
      <c r="II13" s="3" t="s">
        <v>345</v>
      </c>
      <c r="IJ13" s="3" t="s">
        <v>344</v>
      </c>
      <c r="IK13" s="3" t="s">
        <v>344</v>
      </c>
      <c r="IL13" s="3" t="s">
        <v>345</v>
      </c>
      <c r="IM13" s="3" t="s">
        <v>344</v>
      </c>
      <c r="IN13" s="3" t="s">
        <v>344</v>
      </c>
      <c r="IO13" s="3" t="s">
        <v>345</v>
      </c>
      <c r="IP13" s="3" t="s">
        <v>345</v>
      </c>
      <c r="IQ13" s="3" t="s">
        <v>344</v>
      </c>
      <c r="IR13" s="3" t="s">
        <v>345</v>
      </c>
      <c r="IS13" s="3" t="s">
        <v>344</v>
      </c>
      <c r="IT13" s="3"/>
      <c r="IU13" s="3" t="s">
        <v>479</v>
      </c>
      <c r="IV13" s="3"/>
      <c r="IW13" s="3"/>
      <c r="IX13" s="3"/>
      <c r="IY13" s="3"/>
      <c r="IZ13" s="3"/>
      <c r="JA13" s="3"/>
      <c r="JB13" s="3"/>
      <c r="JC13" s="3"/>
      <c r="JD13" s="3"/>
      <c r="JE13" s="3"/>
      <c r="JF13" s="3"/>
      <c r="JG13" s="3"/>
      <c r="JH13" s="3"/>
    </row>
    <row r="14" spans="1:16384" x14ac:dyDescent="0.3">
      <c r="A14" s="2" t="s">
        <v>338</v>
      </c>
      <c r="B14" s="3">
        <v>66</v>
      </c>
      <c r="C14" s="3" t="s">
        <v>480</v>
      </c>
      <c r="D14" s="3">
        <v>14</v>
      </c>
      <c r="E14" s="3" t="s">
        <v>340</v>
      </c>
      <c r="F14" s="3">
        <v>1213382620</v>
      </c>
      <c r="G14" s="3" t="s">
        <v>481</v>
      </c>
      <c r="H14" s="3" t="s">
        <v>480</v>
      </c>
      <c r="I14" s="3" t="s">
        <v>342</v>
      </c>
      <c r="J14" s="3">
        <v>17</v>
      </c>
      <c r="K14" s="3" t="s">
        <v>389</v>
      </c>
      <c r="L14" s="3"/>
      <c r="M14" s="3" t="s">
        <v>344</v>
      </c>
      <c r="N14" s="3" t="s">
        <v>345</v>
      </c>
      <c r="O14" s="3" t="s">
        <v>344</v>
      </c>
      <c r="P14" s="3" t="s">
        <v>344</v>
      </c>
      <c r="Q14" s="3" t="s">
        <v>344</v>
      </c>
      <c r="R14" s="3"/>
      <c r="S14" s="3" t="s">
        <v>482</v>
      </c>
      <c r="T14" s="3"/>
      <c r="U14" s="3" t="s">
        <v>418</v>
      </c>
      <c r="V14" s="3"/>
      <c r="W14" s="3" t="s">
        <v>344</v>
      </c>
      <c r="X14" s="3" t="s">
        <v>344</v>
      </c>
      <c r="Y14" s="3" t="s">
        <v>345</v>
      </c>
      <c r="Z14" s="3" t="s">
        <v>344</v>
      </c>
      <c r="AA14" s="3" t="s">
        <v>345</v>
      </c>
      <c r="AB14" s="3" t="s">
        <v>344</v>
      </c>
      <c r="AC14" s="3" t="s">
        <v>344</v>
      </c>
      <c r="AD14" s="3" t="s">
        <v>344</v>
      </c>
      <c r="AE14" s="3" t="s">
        <v>345</v>
      </c>
      <c r="AF14" s="3" t="s">
        <v>344</v>
      </c>
      <c r="AG14" s="3" t="s">
        <v>344</v>
      </c>
      <c r="AH14" s="3" t="s">
        <v>345</v>
      </c>
      <c r="AI14" s="3" t="s">
        <v>344</v>
      </c>
      <c r="AJ14" s="3" t="s">
        <v>344</v>
      </c>
      <c r="AK14" s="3" t="s">
        <v>344</v>
      </c>
      <c r="AL14" s="3" t="s">
        <v>344</v>
      </c>
      <c r="AM14" s="3" t="s">
        <v>344</v>
      </c>
      <c r="AN14" s="3" t="s">
        <v>344</v>
      </c>
      <c r="AO14" s="3" t="s">
        <v>344</v>
      </c>
      <c r="AP14" s="3" t="s">
        <v>345</v>
      </c>
      <c r="AQ14" s="3" t="s">
        <v>344</v>
      </c>
      <c r="AR14" s="3" t="s">
        <v>344</v>
      </c>
      <c r="AS14" s="3" t="s">
        <v>344</v>
      </c>
      <c r="AT14" s="3" t="s">
        <v>345</v>
      </c>
      <c r="AU14" s="3" t="s">
        <v>345</v>
      </c>
      <c r="AV14" s="3" t="s">
        <v>344</v>
      </c>
      <c r="AW14" s="3" t="s">
        <v>344</v>
      </c>
      <c r="AX14" s="3" t="s">
        <v>344</v>
      </c>
      <c r="AY14" s="3"/>
      <c r="AZ14" s="3"/>
      <c r="BA14" s="3"/>
      <c r="BB14" s="3"/>
      <c r="BC14" s="3"/>
      <c r="BD14" s="3"/>
      <c r="BE14" s="3" t="s">
        <v>349</v>
      </c>
      <c r="BF14" s="3" t="s">
        <v>350</v>
      </c>
      <c r="BG14" s="3" t="s">
        <v>390</v>
      </c>
      <c r="BH14" s="3" t="s">
        <v>390</v>
      </c>
      <c r="BI14" s="3" t="s">
        <v>390</v>
      </c>
      <c r="BJ14" s="3" t="s">
        <v>354</v>
      </c>
      <c r="BK14" s="3" t="s">
        <v>351</v>
      </c>
      <c r="BL14" s="3" t="s">
        <v>357</v>
      </c>
      <c r="BM14" s="3" t="s">
        <v>353</v>
      </c>
      <c r="BN14" s="3" t="s">
        <v>356</v>
      </c>
      <c r="BO14" s="3" t="s">
        <v>355</v>
      </c>
      <c r="BP14" s="3" t="s">
        <v>391</v>
      </c>
      <c r="BQ14" s="3" t="s">
        <v>419</v>
      </c>
      <c r="BR14" s="3" t="s">
        <v>408</v>
      </c>
      <c r="BS14" s="3" t="s">
        <v>391</v>
      </c>
      <c r="BT14" s="3" t="s">
        <v>391</v>
      </c>
      <c r="BU14" s="3" t="s">
        <v>391</v>
      </c>
      <c r="BV14" s="3" t="s">
        <v>391</v>
      </c>
      <c r="BW14" s="3" t="s">
        <v>391</v>
      </c>
      <c r="BX14" s="3" t="s">
        <v>391</v>
      </c>
      <c r="BY14" s="3" t="s">
        <v>391</v>
      </c>
      <c r="BZ14" s="3" t="s">
        <v>354</v>
      </c>
      <c r="CA14" s="3" t="s">
        <v>351</v>
      </c>
      <c r="CB14" s="3" t="s">
        <v>357</v>
      </c>
      <c r="CC14" s="3" t="s">
        <v>351</v>
      </c>
      <c r="CD14" s="3" t="s">
        <v>353</v>
      </c>
      <c r="CE14" s="3" t="s">
        <v>352</v>
      </c>
      <c r="CF14" s="3" t="s">
        <v>356</v>
      </c>
      <c r="CG14" s="3" t="s">
        <v>360</v>
      </c>
      <c r="CH14" s="3" t="s">
        <v>421</v>
      </c>
      <c r="CI14" s="3" t="s">
        <v>421</v>
      </c>
      <c r="CJ14" s="3"/>
      <c r="CK14" s="3" t="s">
        <v>391</v>
      </c>
      <c r="CL14" s="3" t="s">
        <v>345</v>
      </c>
      <c r="CM14" s="3" t="s">
        <v>345</v>
      </c>
      <c r="CN14" s="3" t="s">
        <v>345</v>
      </c>
      <c r="CO14" s="3" t="s">
        <v>345</v>
      </c>
      <c r="CP14" s="3" t="s">
        <v>344</v>
      </c>
      <c r="CQ14" s="3" t="s">
        <v>344</v>
      </c>
      <c r="CR14" s="3" t="s">
        <v>483</v>
      </c>
      <c r="CS14" s="3">
        <v>50</v>
      </c>
      <c r="CT14" s="3">
        <v>40</v>
      </c>
      <c r="CU14" s="3">
        <v>40</v>
      </c>
      <c r="CV14" s="3">
        <v>100</v>
      </c>
      <c r="CW14" s="3" t="s">
        <v>396</v>
      </c>
      <c r="CX14" s="3" t="s">
        <v>363</v>
      </c>
      <c r="CY14" s="3" t="s">
        <v>396</v>
      </c>
      <c r="CZ14" s="3"/>
      <c r="DA14" s="3"/>
      <c r="DB14" s="3"/>
      <c r="DC14" s="3"/>
      <c r="DD14" s="3"/>
      <c r="DE14" s="3" t="s">
        <v>423</v>
      </c>
      <c r="DF14" s="3" t="s">
        <v>423</v>
      </c>
      <c r="DG14" s="3" t="s">
        <v>423</v>
      </c>
      <c r="DH14" s="3" t="s">
        <v>423</v>
      </c>
      <c r="DI14" s="3" t="s">
        <v>423</v>
      </c>
      <c r="DJ14" s="3"/>
      <c r="DK14" s="3" t="s">
        <v>367</v>
      </c>
      <c r="DL14" s="3" t="s">
        <v>368</v>
      </c>
      <c r="DM14" s="3" t="s">
        <v>368</v>
      </c>
      <c r="DN14" s="3" t="s">
        <v>368</v>
      </c>
      <c r="DO14" s="3" t="s">
        <v>368</v>
      </c>
      <c r="DP14" s="3" t="s">
        <v>344</v>
      </c>
      <c r="DQ14" s="3" t="s">
        <v>344</v>
      </c>
      <c r="DR14" s="3" t="s">
        <v>345</v>
      </c>
      <c r="DS14" s="3" t="s">
        <v>344</v>
      </c>
      <c r="DT14" s="3" t="s">
        <v>344</v>
      </c>
      <c r="DU14" s="3" t="s">
        <v>344</v>
      </c>
      <c r="DV14" s="3" t="s">
        <v>345</v>
      </c>
      <c r="DW14" s="3" t="s">
        <v>344</v>
      </c>
      <c r="DX14" s="3" t="s">
        <v>371</v>
      </c>
      <c r="DY14" s="3" t="s">
        <v>371</v>
      </c>
      <c r="DZ14" s="3" t="s">
        <v>369</v>
      </c>
      <c r="EA14" s="3" t="s">
        <v>371</v>
      </c>
      <c r="EB14" s="3" t="s">
        <v>371</v>
      </c>
      <c r="EC14" s="3" t="s">
        <v>371</v>
      </c>
      <c r="ED14" s="3" t="s">
        <v>371</v>
      </c>
      <c r="EE14" s="3" t="s">
        <v>371</v>
      </c>
      <c r="EF14" s="3" t="s">
        <v>371</v>
      </c>
      <c r="EG14" s="3" t="s">
        <v>369</v>
      </c>
      <c r="EH14" s="3" t="s">
        <v>371</v>
      </c>
      <c r="EI14" s="3" t="s">
        <v>371</v>
      </c>
      <c r="EJ14" s="3" t="s">
        <v>371</v>
      </c>
      <c r="EK14" s="3" t="s">
        <v>371</v>
      </c>
      <c r="EL14" s="3" t="s">
        <v>372</v>
      </c>
      <c r="EM14" s="3" t="s">
        <v>374</v>
      </c>
      <c r="EN14" s="3" t="s">
        <v>424</v>
      </c>
      <c r="EO14" s="3"/>
      <c r="EP14" s="3"/>
      <c r="EQ14" s="3" t="s">
        <v>375</v>
      </c>
      <c r="ER14" s="3" t="s">
        <v>411</v>
      </c>
      <c r="ES14" s="3" t="s">
        <v>377</v>
      </c>
      <c r="ET14" s="3" t="s">
        <v>378</v>
      </c>
      <c r="EU14" s="3" t="s">
        <v>375</v>
      </c>
      <c r="EV14" s="3" t="s">
        <v>400</v>
      </c>
      <c r="EW14" s="3"/>
      <c r="EX14" s="3" t="s">
        <v>368</v>
      </c>
      <c r="EY14" s="3" t="s">
        <v>368</v>
      </c>
      <c r="EZ14" s="3" t="s">
        <v>368</v>
      </c>
      <c r="FA14" s="3" t="s">
        <v>345</v>
      </c>
      <c r="FB14" s="3" t="s">
        <v>401</v>
      </c>
      <c r="FC14" s="3"/>
      <c r="FD14" s="3" t="s">
        <v>401</v>
      </c>
      <c r="FE14" s="3"/>
      <c r="FF14" s="3" t="s">
        <v>412</v>
      </c>
      <c r="FG14" s="3" t="s">
        <v>413</v>
      </c>
      <c r="FH14" s="3" t="s">
        <v>384</v>
      </c>
      <c r="FI14" s="3" t="s">
        <v>385</v>
      </c>
      <c r="FJ14" s="3"/>
      <c r="FK14" s="3"/>
      <c r="FL14" s="3"/>
      <c r="FM14" s="3"/>
      <c r="FN14" s="3"/>
      <c r="FO14" s="3"/>
      <c r="FP14" s="3"/>
      <c r="FQ14" s="3"/>
      <c r="FR14" s="3"/>
      <c r="FS14" s="3"/>
      <c r="FT14" s="3"/>
      <c r="FU14" s="3"/>
      <c r="FV14" s="3"/>
      <c r="FW14" s="3"/>
      <c r="FX14" s="3"/>
      <c r="FY14" s="3"/>
      <c r="FZ14" s="3"/>
      <c r="GA14" s="3" t="s">
        <v>368</v>
      </c>
      <c r="GB14" s="3" t="s">
        <v>368</v>
      </c>
      <c r="GC14" s="3" t="s">
        <v>368</v>
      </c>
      <c r="GD14" s="3" t="s">
        <v>368</v>
      </c>
      <c r="GE14" s="3" t="s">
        <v>368</v>
      </c>
      <c r="GF14" s="3" t="s">
        <v>368</v>
      </c>
      <c r="GG14" s="3"/>
      <c r="GH14" s="3"/>
      <c r="GI14" s="3"/>
      <c r="GJ14" s="3"/>
      <c r="GK14" s="3"/>
      <c r="GL14" s="3" t="s">
        <v>344</v>
      </c>
      <c r="GM14" s="3" t="s">
        <v>344</v>
      </c>
      <c r="GN14" s="3" t="s">
        <v>344</v>
      </c>
      <c r="GO14" s="3" t="s">
        <v>344</v>
      </c>
      <c r="GP14" s="3" t="s">
        <v>344</v>
      </c>
      <c r="GQ14" s="3" t="s">
        <v>344</v>
      </c>
      <c r="GR14" s="3" t="s">
        <v>344</v>
      </c>
      <c r="GS14" s="3" t="s">
        <v>344</v>
      </c>
      <c r="GT14" s="3" t="s">
        <v>344</v>
      </c>
      <c r="GU14" s="3" t="s">
        <v>344</v>
      </c>
      <c r="GV14" s="3" t="s">
        <v>344</v>
      </c>
      <c r="GW14" s="3" t="s">
        <v>345</v>
      </c>
      <c r="GX14" s="3" t="s">
        <v>344</v>
      </c>
      <c r="GY14" s="3" t="s">
        <v>344</v>
      </c>
      <c r="GZ14" s="3" t="s">
        <v>344</v>
      </c>
      <c r="HA14" s="3"/>
      <c r="HB14" s="3" t="s">
        <v>345</v>
      </c>
      <c r="HC14" s="3"/>
      <c r="HD14" s="3" t="s">
        <v>345</v>
      </c>
      <c r="HE14" s="3"/>
      <c r="HF14" s="3" t="s">
        <v>345</v>
      </c>
      <c r="HG14" s="3"/>
      <c r="HH14" s="3" t="s">
        <v>345</v>
      </c>
      <c r="HI14" s="3"/>
      <c r="HJ14" s="3" t="s">
        <v>344</v>
      </c>
      <c r="HK14" s="3" t="s">
        <v>344</v>
      </c>
      <c r="HL14" s="3" t="s">
        <v>344</v>
      </c>
      <c r="HM14" s="3" t="s">
        <v>344</v>
      </c>
      <c r="HN14" s="3" t="s">
        <v>344</v>
      </c>
      <c r="HO14" s="3" t="s">
        <v>344</v>
      </c>
      <c r="HP14" s="3" t="s">
        <v>344</v>
      </c>
      <c r="HQ14" s="3" t="s">
        <v>344</v>
      </c>
      <c r="HR14" s="3" t="s">
        <v>344</v>
      </c>
      <c r="HS14" s="3" t="s">
        <v>344</v>
      </c>
      <c r="HT14" s="3" t="s">
        <v>344</v>
      </c>
      <c r="HU14" s="3" t="s">
        <v>344</v>
      </c>
      <c r="HV14" s="3" t="s">
        <v>344</v>
      </c>
      <c r="HW14" s="3" t="s">
        <v>344</v>
      </c>
      <c r="HX14" s="3" t="s">
        <v>344</v>
      </c>
      <c r="HY14" s="3" t="s">
        <v>478</v>
      </c>
      <c r="HZ14" s="3" t="s">
        <v>345</v>
      </c>
      <c r="IA14" s="3"/>
      <c r="IB14" s="3" t="s">
        <v>345</v>
      </c>
      <c r="IC14" s="3"/>
      <c r="ID14" s="3" t="s">
        <v>345</v>
      </c>
      <c r="IE14" s="3"/>
      <c r="IF14" s="3" t="s">
        <v>345</v>
      </c>
      <c r="IG14" s="3"/>
      <c r="IH14" s="3" t="s">
        <v>345</v>
      </c>
      <c r="II14" s="3" t="s">
        <v>345</v>
      </c>
      <c r="IJ14" s="3" t="s">
        <v>344</v>
      </c>
      <c r="IK14" s="3" t="s">
        <v>344</v>
      </c>
      <c r="IL14" s="3" t="s">
        <v>345</v>
      </c>
      <c r="IM14" s="3" t="s">
        <v>345</v>
      </c>
      <c r="IN14" s="3" t="s">
        <v>344</v>
      </c>
      <c r="IO14" s="3" t="s">
        <v>345</v>
      </c>
      <c r="IP14" s="3" t="s">
        <v>344</v>
      </c>
      <c r="IQ14" s="3" t="s">
        <v>344</v>
      </c>
      <c r="IR14" s="3" t="s">
        <v>344</v>
      </c>
      <c r="IS14" s="3" t="s">
        <v>344</v>
      </c>
      <c r="IT14" s="3"/>
      <c r="IU14" s="3" t="s">
        <v>485</v>
      </c>
      <c r="IV14" s="3"/>
      <c r="IW14" s="3"/>
      <c r="IX14" s="3"/>
      <c r="IY14" s="3"/>
      <c r="IZ14" s="3"/>
      <c r="JA14" s="3"/>
      <c r="JB14" s="3"/>
      <c r="JC14" s="3"/>
      <c r="JD14" s="3"/>
      <c r="JE14" s="3"/>
      <c r="JF14" s="3"/>
      <c r="JG14" s="3"/>
      <c r="JH14" s="3"/>
    </row>
    <row r="15" spans="1:16384" x14ac:dyDescent="0.3">
      <c r="A15" s="2" t="s">
        <v>338</v>
      </c>
      <c r="B15" s="3">
        <v>67</v>
      </c>
      <c r="C15" s="3" t="s">
        <v>486</v>
      </c>
      <c r="D15" s="3">
        <v>14</v>
      </c>
      <c r="E15" s="3" t="s">
        <v>340</v>
      </c>
      <c r="F15" s="3">
        <v>1019314805</v>
      </c>
      <c r="G15" s="3" t="s">
        <v>487</v>
      </c>
      <c r="H15" s="3" t="s">
        <v>486</v>
      </c>
      <c r="I15" s="3" t="s">
        <v>342</v>
      </c>
      <c r="J15" s="3">
        <v>17</v>
      </c>
      <c r="K15" s="3" t="s">
        <v>406</v>
      </c>
      <c r="L15" s="3"/>
      <c r="M15" s="3" t="s">
        <v>344</v>
      </c>
      <c r="N15" s="3" t="s">
        <v>345</v>
      </c>
      <c r="O15" s="3" t="s">
        <v>344</v>
      </c>
      <c r="P15" s="3" t="s">
        <v>344</v>
      </c>
      <c r="Q15" s="3" t="s">
        <v>344</v>
      </c>
      <c r="R15" s="3"/>
      <c r="S15" s="3" t="s">
        <v>346</v>
      </c>
      <c r="T15" s="3"/>
      <c r="U15" s="3" t="s">
        <v>347</v>
      </c>
      <c r="V15" s="3"/>
      <c r="W15" s="3" t="s">
        <v>344</v>
      </c>
      <c r="X15" s="3" t="s">
        <v>345</v>
      </c>
      <c r="Y15" s="3" t="s">
        <v>344</v>
      </c>
      <c r="Z15" s="3" t="s">
        <v>344</v>
      </c>
      <c r="AA15" s="3" t="s">
        <v>344</v>
      </c>
      <c r="AB15" s="3" t="s">
        <v>344</v>
      </c>
      <c r="AC15" s="3" t="s">
        <v>344</v>
      </c>
      <c r="AD15" s="3" t="s">
        <v>345</v>
      </c>
      <c r="AE15" s="3" t="s">
        <v>345</v>
      </c>
      <c r="AF15" s="3" t="s">
        <v>344</v>
      </c>
      <c r="AG15" s="3" t="s">
        <v>344</v>
      </c>
      <c r="AH15" s="3" t="s">
        <v>344</v>
      </c>
      <c r="AI15" s="3" t="s">
        <v>344</v>
      </c>
      <c r="AJ15" s="3" t="s">
        <v>344</v>
      </c>
      <c r="AK15" s="3" t="s">
        <v>344</v>
      </c>
      <c r="AL15" s="3" t="s">
        <v>344</v>
      </c>
      <c r="AM15" s="3" t="s">
        <v>344</v>
      </c>
      <c r="AN15" s="3" t="s">
        <v>345</v>
      </c>
      <c r="AO15" s="3" t="s">
        <v>344</v>
      </c>
      <c r="AP15" s="3" t="s">
        <v>344</v>
      </c>
      <c r="AQ15" s="3" t="s">
        <v>344</v>
      </c>
      <c r="AR15" s="3" t="s">
        <v>344</v>
      </c>
      <c r="AS15" s="3" t="s">
        <v>344</v>
      </c>
      <c r="AT15" s="3" t="s">
        <v>345</v>
      </c>
      <c r="AU15" s="3" t="s">
        <v>345</v>
      </c>
      <c r="AV15" s="3" t="s">
        <v>344</v>
      </c>
      <c r="AW15" s="3" t="s">
        <v>345</v>
      </c>
      <c r="AX15" s="3" t="s">
        <v>344</v>
      </c>
      <c r="AY15" s="3"/>
      <c r="AZ15" s="3"/>
      <c r="BA15" s="3"/>
      <c r="BB15" s="3"/>
      <c r="BC15" s="3"/>
      <c r="BD15" s="3"/>
      <c r="BE15" s="3" t="s">
        <v>349</v>
      </c>
      <c r="BF15" s="3" t="s">
        <v>348</v>
      </c>
      <c r="BG15" s="3" t="s">
        <v>348</v>
      </c>
      <c r="BH15" s="3" t="s">
        <v>349</v>
      </c>
      <c r="BI15" s="3" t="s">
        <v>348</v>
      </c>
      <c r="BJ15" s="3" t="s">
        <v>352</v>
      </c>
      <c r="BK15" s="3" t="s">
        <v>357</v>
      </c>
      <c r="BL15" s="3" t="s">
        <v>354</v>
      </c>
      <c r="BM15" s="3" t="s">
        <v>355</v>
      </c>
      <c r="BN15" s="3" t="s">
        <v>351</v>
      </c>
      <c r="BO15" s="3" t="s">
        <v>356</v>
      </c>
      <c r="BP15" s="3" t="s">
        <v>353</v>
      </c>
      <c r="BQ15" s="3" t="s">
        <v>358</v>
      </c>
      <c r="BR15" s="3" t="s">
        <v>429</v>
      </c>
      <c r="BS15" s="3" t="s">
        <v>354</v>
      </c>
      <c r="BT15" s="3" t="s">
        <v>351</v>
      </c>
      <c r="BU15" s="3" t="s">
        <v>351</v>
      </c>
      <c r="BV15" s="3" t="s">
        <v>355</v>
      </c>
      <c r="BW15" s="3" t="s">
        <v>391</v>
      </c>
      <c r="BX15" s="3" t="s">
        <v>351</v>
      </c>
      <c r="BY15" s="3" t="s">
        <v>354</v>
      </c>
      <c r="BZ15" s="3" t="s">
        <v>357</v>
      </c>
      <c r="CA15" s="3" t="s">
        <v>354</v>
      </c>
      <c r="CB15" s="3" t="s">
        <v>357</v>
      </c>
      <c r="CC15" s="3" t="s">
        <v>352</v>
      </c>
      <c r="CD15" s="3" t="s">
        <v>356</v>
      </c>
      <c r="CE15" s="3" t="s">
        <v>353</v>
      </c>
      <c r="CF15" s="3" t="s">
        <v>356</v>
      </c>
      <c r="CG15" s="3" t="s">
        <v>393</v>
      </c>
      <c r="CH15" s="3" t="s">
        <v>420</v>
      </c>
      <c r="CI15" s="3" t="s">
        <v>393</v>
      </c>
      <c r="CJ15" s="3"/>
      <c r="CK15" s="3" t="s">
        <v>391</v>
      </c>
      <c r="CL15" s="3" t="s">
        <v>344</v>
      </c>
      <c r="CM15" s="3" t="s">
        <v>344</v>
      </c>
      <c r="CN15" s="3" t="s">
        <v>345</v>
      </c>
      <c r="CO15" s="3" t="s">
        <v>344</v>
      </c>
      <c r="CP15" s="3" t="s">
        <v>344</v>
      </c>
      <c r="CQ15" s="3" t="s">
        <v>344</v>
      </c>
      <c r="CR15" s="3" t="s">
        <v>394</v>
      </c>
      <c r="CS15" s="3">
        <v>100</v>
      </c>
      <c r="CT15" s="3">
        <v>5</v>
      </c>
      <c r="CU15" s="3">
        <v>100</v>
      </c>
      <c r="CV15" s="3">
        <v>60</v>
      </c>
      <c r="CW15" s="3" t="s">
        <v>364</v>
      </c>
      <c r="CX15" s="3" t="s">
        <v>363</v>
      </c>
      <c r="CY15" s="3" t="s">
        <v>395</v>
      </c>
      <c r="CZ15" s="3"/>
      <c r="DA15" s="3"/>
      <c r="DB15" s="3"/>
      <c r="DC15" s="3"/>
      <c r="DD15" s="3"/>
      <c r="DE15" s="3" t="s">
        <v>366</v>
      </c>
      <c r="DF15" s="3" t="s">
        <v>423</v>
      </c>
      <c r="DG15" s="3" t="s">
        <v>397</v>
      </c>
      <c r="DH15" s="3" t="s">
        <v>397</v>
      </c>
      <c r="DI15" s="3" t="s">
        <v>366</v>
      </c>
      <c r="DJ15" s="3"/>
      <c r="DK15" s="3" t="s">
        <v>449</v>
      </c>
      <c r="DL15" s="3" t="s">
        <v>345</v>
      </c>
      <c r="DM15" s="3" t="s">
        <v>344</v>
      </c>
      <c r="DN15" s="3" t="s">
        <v>345</v>
      </c>
      <c r="DO15" s="3" t="s">
        <v>344</v>
      </c>
      <c r="DP15" s="3" t="s">
        <v>345</v>
      </c>
      <c r="DQ15" s="3" t="s">
        <v>344</v>
      </c>
      <c r="DR15" s="3" t="s">
        <v>345</v>
      </c>
      <c r="DS15" s="3" t="s">
        <v>344</v>
      </c>
      <c r="DT15" s="3" t="s">
        <v>345</v>
      </c>
      <c r="DU15" s="3" t="s">
        <v>344</v>
      </c>
      <c r="DV15" s="3" t="s">
        <v>345</v>
      </c>
      <c r="DW15" s="3" t="s">
        <v>344</v>
      </c>
      <c r="DX15" s="3" t="s">
        <v>369</v>
      </c>
      <c r="DY15" s="3" t="s">
        <v>371</v>
      </c>
      <c r="DZ15" s="3" t="s">
        <v>371</v>
      </c>
      <c r="EA15" s="3" t="s">
        <v>369</v>
      </c>
      <c r="EB15" s="3" t="s">
        <v>369</v>
      </c>
      <c r="EC15" s="3" t="s">
        <v>369</v>
      </c>
      <c r="ED15" s="3" t="s">
        <v>371</v>
      </c>
      <c r="EE15" s="3" t="s">
        <v>370</v>
      </c>
      <c r="EF15" s="3" t="s">
        <v>370</v>
      </c>
      <c r="EG15" s="3" t="s">
        <v>370</v>
      </c>
      <c r="EH15" s="3" t="s">
        <v>370</v>
      </c>
      <c r="EI15" s="3" t="s">
        <v>370</v>
      </c>
      <c r="EJ15" s="3" t="s">
        <v>370</v>
      </c>
      <c r="EK15" s="3" t="s">
        <v>370</v>
      </c>
      <c r="EL15" s="3" t="s">
        <v>440</v>
      </c>
      <c r="EM15" s="3" t="s">
        <v>374</v>
      </c>
      <c r="EN15" s="3" t="s">
        <v>373</v>
      </c>
      <c r="EO15" s="3"/>
      <c r="EP15" s="3"/>
      <c r="EQ15" s="3" t="s">
        <v>375</v>
      </c>
      <c r="ER15" s="3" t="s">
        <v>375</v>
      </c>
      <c r="ES15" s="3" t="s">
        <v>375</v>
      </c>
      <c r="ET15" s="3" t="s">
        <v>375</v>
      </c>
      <c r="EU15" s="3" t="s">
        <v>375</v>
      </c>
      <c r="EV15" s="3" t="s">
        <v>400</v>
      </c>
      <c r="EW15" s="3"/>
      <c r="EX15" s="3" t="s">
        <v>368</v>
      </c>
      <c r="EY15" s="3" t="s">
        <v>368</v>
      </c>
      <c r="EZ15" s="3" t="s">
        <v>368</v>
      </c>
      <c r="FA15" s="3" t="s">
        <v>345</v>
      </c>
      <c r="FB15" s="3" t="s">
        <v>380</v>
      </c>
      <c r="FC15" s="3"/>
      <c r="FD15" s="3" t="s">
        <v>401</v>
      </c>
      <c r="FE15" s="3"/>
      <c r="FF15" s="3" t="s">
        <v>477</v>
      </c>
      <c r="FG15" s="3" t="s">
        <v>402</v>
      </c>
      <c r="FH15" s="3" t="s">
        <v>451</v>
      </c>
      <c r="FI15" s="3" t="s">
        <v>433</v>
      </c>
      <c r="FJ15" s="3"/>
      <c r="FK15" s="3"/>
      <c r="FL15" s="3"/>
      <c r="FM15" s="3"/>
      <c r="FN15" s="3"/>
      <c r="FO15" s="3"/>
      <c r="FP15" s="3"/>
      <c r="FQ15" s="3"/>
      <c r="FR15" s="3"/>
      <c r="FS15" s="3"/>
      <c r="FT15" s="3"/>
      <c r="FU15" s="3"/>
      <c r="FV15" s="3"/>
      <c r="FW15" s="3"/>
      <c r="FX15" s="3"/>
      <c r="FY15" s="3"/>
      <c r="FZ15" s="3"/>
      <c r="GA15" s="3" t="s">
        <v>368</v>
      </c>
      <c r="GB15" s="3" t="s">
        <v>368</v>
      </c>
      <c r="GC15" s="3" t="s">
        <v>368</v>
      </c>
      <c r="GD15" s="3" t="s">
        <v>368</v>
      </c>
      <c r="GE15" s="3" t="s">
        <v>368</v>
      </c>
      <c r="GF15" s="3" t="s">
        <v>368</v>
      </c>
      <c r="GG15" s="3"/>
      <c r="GH15" s="3"/>
      <c r="GI15" s="3"/>
      <c r="GJ15" s="3"/>
      <c r="GK15" s="3"/>
      <c r="GL15" s="3" t="s">
        <v>344</v>
      </c>
      <c r="GM15" s="3" t="s">
        <v>344</v>
      </c>
      <c r="GN15" s="3" t="s">
        <v>344</v>
      </c>
      <c r="GO15" s="3" t="s">
        <v>344</v>
      </c>
      <c r="GP15" s="3" t="s">
        <v>344</v>
      </c>
      <c r="GQ15" s="3" t="s">
        <v>344</v>
      </c>
      <c r="GR15" s="3" t="s">
        <v>344</v>
      </c>
      <c r="GS15" s="3" t="s">
        <v>344</v>
      </c>
      <c r="GT15" s="3" t="s">
        <v>344</v>
      </c>
      <c r="GU15" s="3" t="s">
        <v>344</v>
      </c>
      <c r="GV15" s="3" t="s">
        <v>345</v>
      </c>
      <c r="GW15" s="3" t="s">
        <v>344</v>
      </c>
      <c r="GX15" s="3" t="s">
        <v>344</v>
      </c>
      <c r="GY15" s="3" t="s">
        <v>344</v>
      </c>
      <c r="GZ15" s="3" t="s">
        <v>345</v>
      </c>
      <c r="HA15" s="3"/>
      <c r="HB15" s="3" t="s">
        <v>344</v>
      </c>
      <c r="HC15" s="3"/>
      <c r="HD15" s="3" t="s">
        <v>344</v>
      </c>
      <c r="HE15" s="3"/>
      <c r="HF15" s="3" t="s">
        <v>344</v>
      </c>
      <c r="HG15" s="3"/>
      <c r="HH15" s="3" t="s">
        <v>344</v>
      </c>
      <c r="HI15" s="3"/>
      <c r="HJ15" s="3" t="s">
        <v>344</v>
      </c>
      <c r="HK15" s="3" t="s">
        <v>344</v>
      </c>
      <c r="HL15" s="3" t="s">
        <v>344</v>
      </c>
      <c r="HM15" s="3" t="s">
        <v>344</v>
      </c>
      <c r="HN15" s="3" t="s">
        <v>344</v>
      </c>
      <c r="HO15" s="3" t="s">
        <v>344</v>
      </c>
      <c r="HP15" s="3" t="s">
        <v>344</v>
      </c>
      <c r="HQ15" s="3" t="s">
        <v>344</v>
      </c>
      <c r="HR15" s="3" t="s">
        <v>344</v>
      </c>
      <c r="HS15" s="3" t="s">
        <v>344</v>
      </c>
      <c r="HT15" s="3" t="s">
        <v>344</v>
      </c>
      <c r="HU15" s="3" t="s">
        <v>344</v>
      </c>
      <c r="HV15" s="3" t="s">
        <v>345</v>
      </c>
      <c r="HW15" s="3" t="s">
        <v>344</v>
      </c>
      <c r="HX15" s="3" t="s">
        <v>344</v>
      </c>
      <c r="HY15" s="3"/>
      <c r="HZ15" s="3" t="s">
        <v>344</v>
      </c>
      <c r="IA15" s="3"/>
      <c r="IB15" s="3" t="s">
        <v>344</v>
      </c>
      <c r="IC15" s="3"/>
      <c r="ID15" s="3" t="s">
        <v>345</v>
      </c>
      <c r="IE15" s="3" t="s">
        <v>488</v>
      </c>
      <c r="IF15" s="3" t="s">
        <v>344</v>
      </c>
      <c r="IG15" s="3"/>
      <c r="IH15" s="3" t="s">
        <v>345</v>
      </c>
      <c r="II15" s="3" t="s">
        <v>345</v>
      </c>
      <c r="IJ15" s="3" t="s">
        <v>344</v>
      </c>
      <c r="IK15" s="3" t="s">
        <v>344</v>
      </c>
      <c r="IL15" s="3" t="s">
        <v>345</v>
      </c>
      <c r="IM15" s="3" t="s">
        <v>345</v>
      </c>
      <c r="IN15" s="3" t="s">
        <v>344</v>
      </c>
      <c r="IO15" s="3" t="s">
        <v>345</v>
      </c>
      <c r="IP15" s="3" t="s">
        <v>344</v>
      </c>
      <c r="IQ15" s="3" t="s">
        <v>344</v>
      </c>
      <c r="IR15" s="3" t="s">
        <v>344</v>
      </c>
      <c r="IS15" s="3" t="s">
        <v>344</v>
      </c>
      <c r="IT15" s="3"/>
      <c r="IU15" s="3"/>
      <c r="IV15" s="3"/>
      <c r="IW15" s="3"/>
      <c r="IX15" s="3"/>
      <c r="IY15" s="3"/>
      <c r="IZ15" s="3"/>
      <c r="JA15" s="3"/>
      <c r="JB15" s="3"/>
      <c r="JC15" s="3"/>
      <c r="JD15" s="3"/>
      <c r="JE15" s="3"/>
      <c r="JF15" s="3"/>
      <c r="JG15" s="3"/>
      <c r="JH15" s="3"/>
    </row>
    <row r="16" spans="1:16384" x14ac:dyDescent="0.3">
      <c r="A16" s="2" t="s">
        <v>338</v>
      </c>
      <c r="B16" s="3">
        <v>68</v>
      </c>
      <c r="C16" s="3" t="s">
        <v>489</v>
      </c>
      <c r="D16" s="3">
        <v>14</v>
      </c>
      <c r="E16" s="3" t="s">
        <v>387</v>
      </c>
      <c r="F16" s="3">
        <v>140667846</v>
      </c>
      <c r="G16" s="3" t="s">
        <v>490</v>
      </c>
      <c r="H16" s="3" t="s">
        <v>489</v>
      </c>
      <c r="I16" s="3" t="s">
        <v>342</v>
      </c>
      <c r="J16" s="3">
        <v>18</v>
      </c>
      <c r="K16" s="3" t="s">
        <v>389</v>
      </c>
      <c r="L16" s="3"/>
      <c r="M16" s="3" t="s">
        <v>345</v>
      </c>
      <c r="N16" s="3" t="s">
        <v>344</v>
      </c>
      <c r="O16" s="3" t="s">
        <v>344</v>
      </c>
      <c r="P16" s="3" t="s">
        <v>344</v>
      </c>
      <c r="Q16" s="3" t="s">
        <v>344</v>
      </c>
      <c r="R16" s="3"/>
      <c r="S16" s="3" t="s">
        <v>346</v>
      </c>
      <c r="T16" s="3"/>
      <c r="U16" s="3" t="s">
        <v>347</v>
      </c>
      <c r="V16" s="3"/>
      <c r="W16" s="3" t="s">
        <v>345</v>
      </c>
      <c r="X16" s="3" t="s">
        <v>344</v>
      </c>
      <c r="Y16" s="3" t="s">
        <v>344</v>
      </c>
      <c r="Z16" s="3" t="s">
        <v>344</v>
      </c>
      <c r="AA16" s="3" t="s">
        <v>344</v>
      </c>
      <c r="AB16" s="3" t="s">
        <v>344</v>
      </c>
      <c r="AC16" s="3" t="s">
        <v>344</v>
      </c>
      <c r="AD16" s="3" t="s">
        <v>344</v>
      </c>
      <c r="AE16" s="3" t="s">
        <v>345</v>
      </c>
      <c r="AF16" s="3" t="s">
        <v>344</v>
      </c>
      <c r="AG16" s="3" t="s">
        <v>344</v>
      </c>
      <c r="AH16" s="3" t="s">
        <v>344</v>
      </c>
      <c r="AI16" s="3" t="s">
        <v>344</v>
      </c>
      <c r="AJ16" s="3" t="s">
        <v>344</v>
      </c>
      <c r="AK16" s="3" t="s">
        <v>368</v>
      </c>
      <c r="AL16" s="3" t="s">
        <v>368</v>
      </c>
      <c r="AM16" s="3" t="s">
        <v>368</v>
      </c>
      <c r="AN16" s="3" t="s">
        <v>368</v>
      </c>
      <c r="AO16" s="3" t="s">
        <v>368</v>
      </c>
      <c r="AP16" s="3" t="s">
        <v>368</v>
      </c>
      <c r="AQ16" s="3" t="s">
        <v>345</v>
      </c>
      <c r="AR16" s="3" t="s">
        <v>368</v>
      </c>
      <c r="AS16" s="3" t="s">
        <v>368</v>
      </c>
      <c r="AT16" s="3" t="s">
        <v>368</v>
      </c>
      <c r="AU16" s="3" t="s">
        <v>368</v>
      </c>
      <c r="AV16" s="3" t="s">
        <v>368</v>
      </c>
      <c r="AW16" s="3" t="s">
        <v>368</v>
      </c>
      <c r="AX16" s="3" t="s">
        <v>345</v>
      </c>
      <c r="AY16" s="3"/>
      <c r="AZ16" s="3"/>
      <c r="BA16" s="3"/>
      <c r="BB16" s="3"/>
      <c r="BC16" s="3"/>
      <c r="BD16" s="3"/>
      <c r="BE16" s="3" t="s">
        <v>390</v>
      </c>
      <c r="BF16" s="3" t="s">
        <v>349</v>
      </c>
      <c r="BG16" s="3" t="s">
        <v>349</v>
      </c>
      <c r="BH16" s="3" t="s">
        <v>390</v>
      </c>
      <c r="BI16" s="3" t="s">
        <v>390</v>
      </c>
      <c r="BJ16" s="3" t="s">
        <v>354</v>
      </c>
      <c r="BK16" s="3" t="s">
        <v>351</v>
      </c>
      <c r="BL16" s="3" t="s">
        <v>357</v>
      </c>
      <c r="BM16" s="3" t="s">
        <v>353</v>
      </c>
      <c r="BN16" s="3" t="s">
        <v>356</v>
      </c>
      <c r="BO16" s="3" t="s">
        <v>355</v>
      </c>
      <c r="BP16" s="3" t="s">
        <v>352</v>
      </c>
      <c r="BQ16" s="3" t="s">
        <v>455</v>
      </c>
      <c r="BR16" s="3" t="s">
        <v>429</v>
      </c>
      <c r="BS16" s="3" t="s">
        <v>354</v>
      </c>
      <c r="BT16" s="3" t="s">
        <v>351</v>
      </c>
      <c r="BU16" s="3" t="s">
        <v>357</v>
      </c>
      <c r="BV16" s="3" t="s">
        <v>353</v>
      </c>
      <c r="BW16" s="3" t="s">
        <v>356</v>
      </c>
      <c r="BX16" s="3" t="s">
        <v>355</v>
      </c>
      <c r="BY16" s="3" t="s">
        <v>352</v>
      </c>
      <c r="BZ16" s="3" t="s">
        <v>354</v>
      </c>
      <c r="CA16" s="3" t="s">
        <v>351</v>
      </c>
      <c r="CB16" s="3" t="s">
        <v>357</v>
      </c>
      <c r="CC16" s="3" t="s">
        <v>353</v>
      </c>
      <c r="CD16" s="3" t="s">
        <v>356</v>
      </c>
      <c r="CE16" s="3" t="s">
        <v>355</v>
      </c>
      <c r="CF16" s="3" t="s">
        <v>352</v>
      </c>
      <c r="CG16" s="3" t="s">
        <v>421</v>
      </c>
      <c r="CH16" s="3" t="s">
        <v>421</v>
      </c>
      <c r="CI16" s="3" t="s">
        <v>421</v>
      </c>
      <c r="CJ16" s="3"/>
      <c r="CK16" s="3" t="s">
        <v>391</v>
      </c>
      <c r="CL16" s="3" t="s">
        <v>345</v>
      </c>
      <c r="CM16" s="3" t="s">
        <v>345</v>
      </c>
      <c r="CN16" s="3" t="s">
        <v>344</v>
      </c>
      <c r="CO16" s="3" t="s">
        <v>345</v>
      </c>
      <c r="CP16" s="3" t="s">
        <v>345</v>
      </c>
      <c r="CQ16" s="3" t="s">
        <v>344</v>
      </c>
      <c r="CR16" s="3" t="s">
        <v>491</v>
      </c>
      <c r="CS16" s="3">
        <v>50</v>
      </c>
      <c r="CT16" s="3">
        <v>60</v>
      </c>
      <c r="CU16" s="3"/>
      <c r="CV16" s="3"/>
      <c r="CW16" s="3" t="s">
        <v>395</v>
      </c>
      <c r="CX16" s="3" t="s">
        <v>396</v>
      </c>
      <c r="CY16" s="3" t="s">
        <v>396</v>
      </c>
      <c r="CZ16" s="3" t="s">
        <v>397</v>
      </c>
      <c r="DA16" s="3" t="s">
        <v>397</v>
      </c>
      <c r="DB16" s="3" t="s">
        <v>397</v>
      </c>
      <c r="DC16" s="3" t="s">
        <v>397</v>
      </c>
      <c r="DD16" s="3" t="s">
        <v>397</v>
      </c>
      <c r="DE16" s="3"/>
      <c r="DF16" s="3"/>
      <c r="DG16" s="3"/>
      <c r="DH16" s="3"/>
      <c r="DI16" s="3"/>
      <c r="DJ16" s="3"/>
      <c r="DK16" s="3" t="s">
        <v>492</v>
      </c>
      <c r="DL16" s="3" t="s">
        <v>368</v>
      </c>
      <c r="DM16" s="3" t="s">
        <v>368</v>
      </c>
      <c r="DN16" s="3" t="s">
        <v>368</v>
      </c>
      <c r="DO16" s="3" t="s">
        <v>345</v>
      </c>
      <c r="DP16" s="3" t="s">
        <v>345</v>
      </c>
      <c r="DQ16" s="3" t="s">
        <v>344</v>
      </c>
      <c r="DR16" s="3" t="s">
        <v>345</v>
      </c>
      <c r="DS16" s="3" t="s">
        <v>344</v>
      </c>
      <c r="DT16" s="3" t="s">
        <v>368</v>
      </c>
      <c r="DU16" s="3" t="s">
        <v>368</v>
      </c>
      <c r="DV16" s="3" t="s">
        <v>368</v>
      </c>
      <c r="DW16" s="3" t="s">
        <v>345</v>
      </c>
      <c r="DX16" s="3" t="s">
        <v>370</v>
      </c>
      <c r="DY16" s="3" t="s">
        <v>370</v>
      </c>
      <c r="DZ16" s="3" t="s">
        <v>370</v>
      </c>
      <c r="EA16" s="3" t="s">
        <v>370</v>
      </c>
      <c r="EB16" s="3" t="s">
        <v>370</v>
      </c>
      <c r="EC16" s="3" t="s">
        <v>370</v>
      </c>
      <c r="ED16" s="3" t="s">
        <v>370</v>
      </c>
      <c r="EE16" s="3" t="s">
        <v>369</v>
      </c>
      <c r="EF16" s="3" t="s">
        <v>371</v>
      </c>
      <c r="EG16" s="3" t="s">
        <v>371</v>
      </c>
      <c r="EH16" s="3" t="s">
        <v>371</v>
      </c>
      <c r="EI16" s="3" t="s">
        <v>371</v>
      </c>
      <c r="EJ16" s="3" t="s">
        <v>369</v>
      </c>
      <c r="EK16" s="3" t="s">
        <v>398</v>
      </c>
      <c r="EL16" s="3" t="s">
        <v>373</v>
      </c>
      <c r="EM16" s="3" t="s">
        <v>372</v>
      </c>
      <c r="EN16" s="3" t="s">
        <v>374</v>
      </c>
      <c r="EO16" s="3"/>
      <c r="EP16" s="3"/>
      <c r="EQ16" s="3" t="s">
        <v>391</v>
      </c>
      <c r="ER16" s="3" t="s">
        <v>375</v>
      </c>
      <c r="ES16" s="3" t="s">
        <v>376</v>
      </c>
      <c r="ET16" s="3" t="s">
        <v>375</v>
      </c>
      <c r="EU16" s="3" t="s">
        <v>375</v>
      </c>
      <c r="EV16" s="3" t="s">
        <v>400</v>
      </c>
      <c r="EW16" s="3"/>
      <c r="EX16" s="3" t="s">
        <v>368</v>
      </c>
      <c r="EY16" s="3" t="s">
        <v>368</v>
      </c>
      <c r="EZ16" s="3" t="s">
        <v>368</v>
      </c>
      <c r="FA16" s="3" t="s">
        <v>345</v>
      </c>
      <c r="FB16" s="3" t="s">
        <v>401</v>
      </c>
      <c r="FC16" s="3"/>
      <c r="FD16" s="3" t="s">
        <v>401</v>
      </c>
      <c r="FE16" s="3"/>
      <c r="FF16" s="3" t="s">
        <v>412</v>
      </c>
      <c r="FG16" s="3" t="s">
        <v>402</v>
      </c>
      <c r="FH16" s="3" t="s">
        <v>451</v>
      </c>
      <c r="FI16" s="3" t="s">
        <v>403</v>
      </c>
      <c r="FJ16" s="3"/>
      <c r="FK16" s="3"/>
      <c r="FL16" s="3"/>
      <c r="FM16" s="3"/>
      <c r="FN16" s="3"/>
      <c r="FO16" s="3"/>
      <c r="FP16" s="3"/>
      <c r="FQ16" s="3"/>
      <c r="FR16" s="3"/>
      <c r="FS16" s="3"/>
      <c r="FT16" s="3"/>
      <c r="FU16" s="3"/>
      <c r="FV16" s="3"/>
      <c r="FW16" s="3"/>
      <c r="FX16" s="3"/>
      <c r="FY16" s="3"/>
      <c r="FZ16" s="3"/>
      <c r="GA16" s="3" t="s">
        <v>368</v>
      </c>
      <c r="GB16" s="3" t="s">
        <v>368</v>
      </c>
      <c r="GC16" s="3" t="s">
        <v>368</v>
      </c>
      <c r="GD16" s="3" t="s">
        <v>368</v>
      </c>
      <c r="GE16" s="3" t="s">
        <v>368</v>
      </c>
      <c r="GF16" s="3" t="s">
        <v>368</v>
      </c>
      <c r="GG16" s="3"/>
      <c r="GH16" s="3"/>
      <c r="GI16" s="3"/>
      <c r="GJ16" s="3"/>
      <c r="GK16" s="3"/>
      <c r="GL16" s="3" t="s">
        <v>344</v>
      </c>
      <c r="GM16" s="3" t="s">
        <v>344</v>
      </c>
      <c r="GN16" s="3" t="s">
        <v>344</v>
      </c>
      <c r="GO16" s="3" t="s">
        <v>344</v>
      </c>
      <c r="GP16" s="3" t="s">
        <v>344</v>
      </c>
      <c r="GQ16" s="3" t="s">
        <v>344</v>
      </c>
      <c r="GR16" s="3" t="s">
        <v>344</v>
      </c>
      <c r="GS16" s="3" t="s">
        <v>344</v>
      </c>
      <c r="GT16" s="3" t="s">
        <v>344</v>
      </c>
      <c r="GU16" s="3" t="s">
        <v>344</v>
      </c>
      <c r="GV16" s="3" t="s">
        <v>345</v>
      </c>
      <c r="GW16" s="3" t="s">
        <v>344</v>
      </c>
      <c r="GX16" s="3" t="s">
        <v>344</v>
      </c>
      <c r="GY16" s="3" t="s">
        <v>344</v>
      </c>
      <c r="GZ16" s="3" t="s">
        <v>344</v>
      </c>
      <c r="HA16" s="3"/>
      <c r="HB16" s="3" t="s">
        <v>345</v>
      </c>
      <c r="HC16" s="3" t="s">
        <v>493</v>
      </c>
      <c r="HD16" s="3" t="s">
        <v>345</v>
      </c>
      <c r="HE16" s="3" t="s">
        <v>494</v>
      </c>
      <c r="HF16" s="3" t="s">
        <v>344</v>
      </c>
      <c r="HG16" s="3"/>
      <c r="HH16" s="3" t="s">
        <v>344</v>
      </c>
      <c r="HI16" s="3"/>
      <c r="HJ16" s="3" t="s">
        <v>344</v>
      </c>
      <c r="HK16" s="3" t="s">
        <v>344</v>
      </c>
      <c r="HL16" s="3" t="s">
        <v>344</v>
      </c>
      <c r="HM16" s="3" t="s">
        <v>344</v>
      </c>
      <c r="HN16" s="3" t="s">
        <v>344</v>
      </c>
      <c r="HO16" s="3" t="s">
        <v>344</v>
      </c>
      <c r="HP16" s="3" t="s">
        <v>344</v>
      </c>
      <c r="HQ16" s="3" t="s">
        <v>344</v>
      </c>
      <c r="HR16" s="3" t="s">
        <v>344</v>
      </c>
      <c r="HS16" s="3" t="s">
        <v>344</v>
      </c>
      <c r="HT16" s="3" t="s">
        <v>344</v>
      </c>
      <c r="HU16" s="3" t="s">
        <v>344</v>
      </c>
      <c r="HV16" s="3" t="s">
        <v>344</v>
      </c>
      <c r="HW16" s="3" t="s">
        <v>344</v>
      </c>
      <c r="HX16" s="3" t="s">
        <v>345</v>
      </c>
      <c r="HY16" s="3"/>
      <c r="HZ16" s="3" t="s">
        <v>344</v>
      </c>
      <c r="IA16" s="3"/>
      <c r="IB16" s="3" t="s">
        <v>344</v>
      </c>
      <c r="IC16" s="3"/>
      <c r="ID16" s="3" t="s">
        <v>344</v>
      </c>
      <c r="IE16" s="3"/>
      <c r="IF16" s="3" t="s">
        <v>344</v>
      </c>
      <c r="IG16" s="3"/>
      <c r="IH16" s="3" t="s">
        <v>344</v>
      </c>
      <c r="II16" s="3" t="s">
        <v>345</v>
      </c>
      <c r="IJ16" s="3" t="s">
        <v>344</v>
      </c>
      <c r="IK16" s="3" t="s">
        <v>344</v>
      </c>
      <c r="IL16" s="3" t="s">
        <v>345</v>
      </c>
      <c r="IM16" s="3" t="s">
        <v>345</v>
      </c>
      <c r="IN16" s="3" t="s">
        <v>344</v>
      </c>
      <c r="IO16" s="3" t="s">
        <v>345</v>
      </c>
      <c r="IP16" s="3" t="s">
        <v>344</v>
      </c>
      <c r="IQ16" s="3" t="s">
        <v>344</v>
      </c>
      <c r="IR16" s="3" t="s">
        <v>344</v>
      </c>
      <c r="IS16" s="3" t="s">
        <v>344</v>
      </c>
      <c r="IT16" s="3" t="s">
        <v>495</v>
      </c>
      <c r="IU16" s="3" t="s">
        <v>496</v>
      </c>
      <c r="IV16" s="3"/>
      <c r="IW16" s="3"/>
      <c r="IX16" s="3"/>
      <c r="IY16" s="3"/>
      <c r="IZ16" s="3"/>
      <c r="JA16" s="3"/>
      <c r="JB16" s="3"/>
      <c r="JC16" s="3"/>
      <c r="JD16" s="3"/>
      <c r="JE16" s="3"/>
      <c r="JF16" s="3"/>
      <c r="JG16" s="3"/>
      <c r="JH16" s="3"/>
    </row>
    <row r="17" spans="1:268" x14ac:dyDescent="0.3">
      <c r="A17" s="2" t="s">
        <v>338</v>
      </c>
      <c r="B17" s="3">
        <v>69</v>
      </c>
      <c r="C17" s="3" t="s">
        <v>497</v>
      </c>
      <c r="D17" s="3">
        <v>14</v>
      </c>
      <c r="E17" s="3" t="s">
        <v>387</v>
      </c>
      <c r="F17" s="3">
        <v>379936846</v>
      </c>
      <c r="G17" s="3" t="s">
        <v>498</v>
      </c>
      <c r="H17" s="3" t="s">
        <v>497</v>
      </c>
      <c r="I17" s="3" t="s">
        <v>342</v>
      </c>
      <c r="J17" s="3">
        <v>18</v>
      </c>
      <c r="K17" s="3" t="s">
        <v>389</v>
      </c>
      <c r="L17" s="3"/>
      <c r="M17" s="3" t="s">
        <v>345</v>
      </c>
      <c r="N17" s="3" t="s">
        <v>344</v>
      </c>
      <c r="O17" s="3" t="s">
        <v>344</v>
      </c>
      <c r="P17" s="3" t="s">
        <v>344</v>
      </c>
      <c r="Q17" s="3" t="s">
        <v>344</v>
      </c>
      <c r="R17" s="3"/>
      <c r="S17" s="3" t="s">
        <v>346</v>
      </c>
      <c r="T17" s="3"/>
      <c r="U17" s="3" t="s">
        <v>347</v>
      </c>
      <c r="V17" s="3"/>
      <c r="W17" s="3" t="s">
        <v>344</v>
      </c>
      <c r="X17" s="3" t="s">
        <v>344</v>
      </c>
      <c r="Y17" s="3" t="s">
        <v>344</v>
      </c>
      <c r="Z17" s="3" t="s">
        <v>344</v>
      </c>
      <c r="AA17" s="3" t="s">
        <v>344</v>
      </c>
      <c r="AB17" s="3" t="s">
        <v>345</v>
      </c>
      <c r="AC17" s="3" t="s">
        <v>344</v>
      </c>
      <c r="AD17" s="3" t="s">
        <v>344</v>
      </c>
      <c r="AE17" s="3" t="s">
        <v>344</v>
      </c>
      <c r="AF17" s="3" t="s">
        <v>344</v>
      </c>
      <c r="AG17" s="3" t="s">
        <v>344</v>
      </c>
      <c r="AH17" s="3" t="s">
        <v>345</v>
      </c>
      <c r="AI17" s="3" t="s">
        <v>344</v>
      </c>
      <c r="AJ17" s="3" t="s">
        <v>344</v>
      </c>
      <c r="AK17" s="3" t="s">
        <v>344</v>
      </c>
      <c r="AL17" s="3" t="s">
        <v>344</v>
      </c>
      <c r="AM17" s="3" t="s">
        <v>344</v>
      </c>
      <c r="AN17" s="3" t="s">
        <v>345</v>
      </c>
      <c r="AO17" s="3" t="s">
        <v>344</v>
      </c>
      <c r="AP17" s="3" t="s">
        <v>344</v>
      </c>
      <c r="AQ17" s="3" t="s">
        <v>344</v>
      </c>
      <c r="AR17" s="3" t="s">
        <v>344</v>
      </c>
      <c r="AS17" s="3" t="s">
        <v>344</v>
      </c>
      <c r="AT17" s="3" t="s">
        <v>344</v>
      </c>
      <c r="AU17" s="3" t="s">
        <v>344</v>
      </c>
      <c r="AV17" s="3" t="s">
        <v>345</v>
      </c>
      <c r="AW17" s="3" t="s">
        <v>344</v>
      </c>
      <c r="AX17" s="3" t="s">
        <v>344</v>
      </c>
      <c r="AY17" s="3"/>
      <c r="AZ17" s="3"/>
      <c r="BA17" s="3"/>
      <c r="BB17" s="3"/>
      <c r="BC17" s="3"/>
      <c r="BD17" s="3"/>
      <c r="BE17" s="3" t="s">
        <v>350</v>
      </c>
      <c r="BF17" s="3" t="s">
        <v>348</v>
      </c>
      <c r="BG17" s="3" t="s">
        <v>390</v>
      </c>
      <c r="BH17" s="3" t="s">
        <v>390</v>
      </c>
      <c r="BI17" s="3" t="s">
        <v>349</v>
      </c>
      <c r="BJ17" s="3" t="s">
        <v>391</v>
      </c>
      <c r="BK17" s="3" t="s">
        <v>391</v>
      </c>
      <c r="BL17" s="3" t="s">
        <v>391</v>
      </c>
      <c r="BM17" s="3" t="s">
        <v>391</v>
      </c>
      <c r="BN17" s="3" t="s">
        <v>391</v>
      </c>
      <c r="BO17" s="3" t="s">
        <v>391</v>
      </c>
      <c r="BP17" s="3" t="s">
        <v>391</v>
      </c>
      <c r="BQ17" s="3" t="s">
        <v>455</v>
      </c>
      <c r="BR17" s="3" t="s">
        <v>408</v>
      </c>
      <c r="BS17" s="3" t="s">
        <v>391</v>
      </c>
      <c r="BT17" s="3" t="s">
        <v>391</v>
      </c>
      <c r="BU17" s="3" t="s">
        <v>391</v>
      </c>
      <c r="BV17" s="3" t="s">
        <v>391</v>
      </c>
      <c r="BW17" s="3" t="s">
        <v>391</v>
      </c>
      <c r="BX17" s="3" t="s">
        <v>391</v>
      </c>
      <c r="BY17" s="3" t="s">
        <v>391</v>
      </c>
      <c r="BZ17" s="3" t="s">
        <v>391</v>
      </c>
      <c r="CA17" s="3" t="s">
        <v>391</v>
      </c>
      <c r="CB17" s="3" t="s">
        <v>391</v>
      </c>
      <c r="CC17" s="3" t="s">
        <v>391</v>
      </c>
      <c r="CD17" s="3" t="s">
        <v>391</v>
      </c>
      <c r="CE17" s="3" t="s">
        <v>391</v>
      </c>
      <c r="CF17" s="3" t="s">
        <v>391</v>
      </c>
      <c r="CG17" s="3" t="s">
        <v>420</v>
      </c>
      <c r="CH17" s="3" t="s">
        <v>421</v>
      </c>
      <c r="CI17" s="3" t="s">
        <v>392</v>
      </c>
      <c r="CJ17" s="3"/>
      <c r="CK17" s="3" t="s">
        <v>499</v>
      </c>
      <c r="CL17" s="3" t="s">
        <v>344</v>
      </c>
      <c r="CM17" s="3" t="s">
        <v>344</v>
      </c>
      <c r="CN17" s="3" t="s">
        <v>344</v>
      </c>
      <c r="CO17" s="3" t="s">
        <v>344</v>
      </c>
      <c r="CP17" s="3" t="s">
        <v>345</v>
      </c>
      <c r="CQ17" s="3" t="s">
        <v>344</v>
      </c>
      <c r="CR17" s="3" t="s">
        <v>394</v>
      </c>
      <c r="CS17" s="3">
        <v>60</v>
      </c>
      <c r="CT17" s="3">
        <v>100</v>
      </c>
      <c r="CU17" s="3"/>
      <c r="CV17" s="3"/>
      <c r="CW17" s="3" t="s">
        <v>396</v>
      </c>
      <c r="CX17" s="3" t="s">
        <v>396</v>
      </c>
      <c r="CY17" s="3" t="s">
        <v>396</v>
      </c>
      <c r="CZ17" s="3" t="s">
        <v>397</v>
      </c>
      <c r="DA17" s="3" t="s">
        <v>397</v>
      </c>
      <c r="DB17" s="3" t="s">
        <v>397</v>
      </c>
      <c r="DC17" s="3" t="s">
        <v>397</v>
      </c>
      <c r="DD17" s="3" t="s">
        <v>397</v>
      </c>
      <c r="DE17" s="3"/>
      <c r="DF17" s="3"/>
      <c r="DG17" s="3"/>
      <c r="DH17" s="3"/>
      <c r="DI17" s="3"/>
      <c r="DJ17" s="3"/>
      <c r="DK17" s="3" t="s">
        <v>367</v>
      </c>
      <c r="DL17" s="3" t="s">
        <v>368</v>
      </c>
      <c r="DM17" s="3" t="s">
        <v>368</v>
      </c>
      <c r="DN17" s="3" t="s">
        <v>368</v>
      </c>
      <c r="DO17" s="3" t="s">
        <v>368</v>
      </c>
      <c r="DP17" s="3" t="s">
        <v>345</v>
      </c>
      <c r="DQ17" s="3" t="s">
        <v>345</v>
      </c>
      <c r="DR17" s="3" t="s">
        <v>344</v>
      </c>
      <c r="DS17" s="3" t="s">
        <v>344</v>
      </c>
      <c r="DT17" s="3" t="s">
        <v>368</v>
      </c>
      <c r="DU17" s="3" t="s">
        <v>368</v>
      </c>
      <c r="DV17" s="3" t="s">
        <v>368</v>
      </c>
      <c r="DW17" s="3" t="s">
        <v>345</v>
      </c>
      <c r="DX17" s="3" t="s">
        <v>370</v>
      </c>
      <c r="DY17" s="3" t="s">
        <v>370</v>
      </c>
      <c r="DZ17" s="3" t="s">
        <v>370</v>
      </c>
      <c r="EA17" s="3" t="s">
        <v>370</v>
      </c>
      <c r="EB17" s="3" t="s">
        <v>370</v>
      </c>
      <c r="EC17" s="3" t="s">
        <v>370</v>
      </c>
      <c r="ED17" s="3" t="s">
        <v>370</v>
      </c>
      <c r="EE17" s="3" t="s">
        <v>369</v>
      </c>
      <c r="EF17" s="3" t="s">
        <v>370</v>
      </c>
      <c r="EG17" s="3" t="s">
        <v>370</v>
      </c>
      <c r="EH17" s="3" t="s">
        <v>370</v>
      </c>
      <c r="EI17" s="3" t="s">
        <v>369</v>
      </c>
      <c r="EJ17" s="3" t="s">
        <v>369</v>
      </c>
      <c r="EK17" s="3" t="s">
        <v>371</v>
      </c>
      <c r="EL17" s="3" t="s">
        <v>373</v>
      </c>
      <c r="EM17" s="3" t="s">
        <v>424</v>
      </c>
      <c r="EN17" s="3" t="s">
        <v>372</v>
      </c>
      <c r="EO17" s="3"/>
      <c r="EP17" s="3"/>
      <c r="EQ17" s="3" t="s">
        <v>376</v>
      </c>
      <c r="ER17" s="3" t="s">
        <v>376</v>
      </c>
      <c r="ES17" s="3" t="s">
        <v>378</v>
      </c>
      <c r="ET17" s="3" t="s">
        <v>377</v>
      </c>
      <c r="EU17" s="3" t="s">
        <v>411</v>
      </c>
      <c r="EV17" s="3" t="s">
        <v>400</v>
      </c>
      <c r="EW17" s="3"/>
      <c r="EX17" s="3" t="s">
        <v>368</v>
      </c>
      <c r="EY17" s="3" t="s">
        <v>368</v>
      </c>
      <c r="EZ17" s="3" t="s">
        <v>368</v>
      </c>
      <c r="FA17" s="3" t="s">
        <v>345</v>
      </c>
      <c r="FB17" s="3" t="s">
        <v>401</v>
      </c>
      <c r="FC17" s="3"/>
      <c r="FD17" s="3" t="s">
        <v>401</v>
      </c>
      <c r="FE17" s="3"/>
      <c r="FF17" s="3" t="s">
        <v>412</v>
      </c>
      <c r="FG17" s="3" t="s">
        <v>383</v>
      </c>
      <c r="FH17" s="3" t="s">
        <v>384</v>
      </c>
      <c r="FI17" s="3" t="s">
        <v>385</v>
      </c>
      <c r="FJ17" s="3"/>
      <c r="FK17" s="3"/>
      <c r="FL17" s="3"/>
      <c r="FM17" s="3"/>
      <c r="FN17" s="3"/>
      <c r="FO17" s="3"/>
      <c r="FP17" s="3"/>
      <c r="FQ17" s="3"/>
      <c r="FR17" s="3"/>
      <c r="FS17" s="3"/>
      <c r="FT17" s="3"/>
      <c r="FU17" s="3"/>
      <c r="FV17" s="3"/>
      <c r="FW17" s="3"/>
      <c r="FX17" s="3"/>
      <c r="FY17" s="3"/>
      <c r="FZ17" s="3"/>
      <c r="GA17" s="3" t="s">
        <v>368</v>
      </c>
      <c r="GB17" s="3" t="s">
        <v>368</v>
      </c>
      <c r="GC17" s="3" t="s">
        <v>368</v>
      </c>
      <c r="GD17" s="3" t="s">
        <v>368</v>
      </c>
      <c r="GE17" s="3" t="s">
        <v>368</v>
      </c>
      <c r="GF17" s="3" t="s">
        <v>368</v>
      </c>
      <c r="GG17" s="3"/>
      <c r="GH17" s="3"/>
      <c r="GI17" s="3"/>
      <c r="GJ17" s="3"/>
      <c r="GK17" s="3"/>
      <c r="GL17" s="3" t="s">
        <v>344</v>
      </c>
      <c r="GM17" s="3" t="s">
        <v>344</v>
      </c>
      <c r="GN17" s="3" t="s">
        <v>344</v>
      </c>
      <c r="GO17" s="3" t="s">
        <v>344</v>
      </c>
      <c r="GP17" s="3" t="s">
        <v>344</v>
      </c>
      <c r="GQ17" s="3" t="s">
        <v>344</v>
      </c>
      <c r="GR17" s="3" t="s">
        <v>344</v>
      </c>
      <c r="GS17" s="3" t="s">
        <v>344</v>
      </c>
      <c r="GT17" s="3" t="s">
        <v>344</v>
      </c>
      <c r="GU17" s="3" t="s">
        <v>344</v>
      </c>
      <c r="GV17" s="3" t="s">
        <v>345</v>
      </c>
      <c r="GW17" s="3" t="s">
        <v>344</v>
      </c>
      <c r="GX17" s="3" t="s">
        <v>344</v>
      </c>
      <c r="GY17" s="3" t="s">
        <v>344</v>
      </c>
      <c r="GZ17" s="3" t="s">
        <v>344</v>
      </c>
      <c r="HA17" s="3"/>
      <c r="HB17" s="3" t="s">
        <v>344</v>
      </c>
      <c r="HC17" s="3"/>
      <c r="HD17" s="3" t="s">
        <v>344</v>
      </c>
      <c r="HE17" s="3"/>
      <c r="HF17" s="3" t="s">
        <v>344</v>
      </c>
      <c r="HG17" s="3"/>
      <c r="HH17" s="3" t="s">
        <v>344</v>
      </c>
      <c r="HI17" s="3"/>
      <c r="HJ17" s="3" t="s">
        <v>345</v>
      </c>
      <c r="HK17" s="3" t="s">
        <v>344</v>
      </c>
      <c r="HL17" s="3" t="s">
        <v>344</v>
      </c>
      <c r="HM17" s="3" t="s">
        <v>345</v>
      </c>
      <c r="HN17" s="3" t="s">
        <v>344</v>
      </c>
      <c r="HO17" s="3" t="s">
        <v>344</v>
      </c>
      <c r="HP17" s="3" t="s">
        <v>344</v>
      </c>
      <c r="HQ17" s="3" t="s">
        <v>344</v>
      </c>
      <c r="HR17" s="3" t="s">
        <v>344</v>
      </c>
      <c r="HS17" s="3" t="s">
        <v>344</v>
      </c>
      <c r="HT17" s="3" t="s">
        <v>344</v>
      </c>
      <c r="HU17" s="3" t="s">
        <v>345</v>
      </c>
      <c r="HV17" s="3" t="s">
        <v>344</v>
      </c>
      <c r="HW17" s="3" t="s">
        <v>344</v>
      </c>
      <c r="HX17" s="3" t="s">
        <v>344</v>
      </c>
      <c r="HY17" s="3"/>
      <c r="HZ17" s="3" t="s">
        <v>344</v>
      </c>
      <c r="IA17" s="3"/>
      <c r="IB17" s="3" t="s">
        <v>344</v>
      </c>
      <c r="IC17" s="3"/>
      <c r="ID17" s="3" t="s">
        <v>344</v>
      </c>
      <c r="IE17" s="3"/>
      <c r="IF17" s="3" t="s">
        <v>344</v>
      </c>
      <c r="IG17" s="3"/>
      <c r="IH17" s="3" t="s">
        <v>345</v>
      </c>
      <c r="II17" s="3" t="s">
        <v>345</v>
      </c>
      <c r="IJ17" s="3" t="s">
        <v>344</v>
      </c>
      <c r="IK17" s="3" t="s">
        <v>344</v>
      </c>
      <c r="IL17" s="3" t="s">
        <v>345</v>
      </c>
      <c r="IM17" s="3" t="s">
        <v>345</v>
      </c>
      <c r="IN17" s="3" t="s">
        <v>344</v>
      </c>
      <c r="IO17" s="3" t="s">
        <v>345</v>
      </c>
      <c r="IP17" s="3" t="s">
        <v>344</v>
      </c>
      <c r="IQ17" s="3" t="s">
        <v>344</v>
      </c>
      <c r="IR17" s="3" t="s">
        <v>344</v>
      </c>
      <c r="IS17" s="3" t="s">
        <v>344</v>
      </c>
      <c r="IT17" s="3" t="s">
        <v>434</v>
      </c>
      <c r="IU17" s="3"/>
      <c r="IV17" s="3"/>
      <c r="IW17" s="3"/>
      <c r="IX17" s="3"/>
      <c r="IY17" s="3"/>
      <c r="IZ17" s="3"/>
      <c r="JA17" s="3"/>
      <c r="JB17" s="3"/>
      <c r="JC17" s="3"/>
      <c r="JD17" s="3"/>
      <c r="JE17" s="3"/>
      <c r="JF17" s="3"/>
      <c r="JG17" s="3"/>
      <c r="JH17" s="3"/>
    </row>
    <row r="18" spans="1:268" x14ac:dyDescent="0.3">
      <c r="A18" s="2" t="s">
        <v>338</v>
      </c>
      <c r="B18" s="3">
        <v>70</v>
      </c>
      <c r="C18" s="3" t="s">
        <v>500</v>
      </c>
      <c r="D18" s="3">
        <v>14</v>
      </c>
      <c r="E18" s="3" t="s">
        <v>387</v>
      </c>
      <c r="F18" s="3">
        <v>1809924731</v>
      </c>
      <c r="G18" s="3" t="s">
        <v>501</v>
      </c>
      <c r="H18" s="3" t="s">
        <v>500</v>
      </c>
      <c r="I18" s="3" t="s">
        <v>342</v>
      </c>
      <c r="J18" s="3">
        <v>17</v>
      </c>
      <c r="K18" s="3" t="s">
        <v>389</v>
      </c>
      <c r="L18" s="3"/>
      <c r="M18" s="3" t="s">
        <v>345</v>
      </c>
      <c r="N18" s="3" t="s">
        <v>344</v>
      </c>
      <c r="O18" s="3" t="s">
        <v>344</v>
      </c>
      <c r="P18" s="3" t="s">
        <v>344</v>
      </c>
      <c r="Q18" s="3" t="s">
        <v>344</v>
      </c>
      <c r="R18" s="3"/>
      <c r="S18" s="3" t="s">
        <v>346</v>
      </c>
      <c r="T18" s="3"/>
      <c r="U18" s="3" t="s">
        <v>347</v>
      </c>
      <c r="V18" s="3"/>
      <c r="W18" s="3" t="s">
        <v>344</v>
      </c>
      <c r="X18" s="3" t="s">
        <v>345</v>
      </c>
      <c r="Y18" s="3" t="s">
        <v>344</v>
      </c>
      <c r="Z18" s="3" t="s">
        <v>344</v>
      </c>
      <c r="AA18" s="3" t="s">
        <v>344</v>
      </c>
      <c r="AB18" s="3" t="s">
        <v>344</v>
      </c>
      <c r="AC18" s="3" t="s">
        <v>344</v>
      </c>
      <c r="AD18" s="3" t="s">
        <v>344</v>
      </c>
      <c r="AE18" s="3" t="s">
        <v>345</v>
      </c>
      <c r="AF18" s="3" t="s">
        <v>345</v>
      </c>
      <c r="AG18" s="3" t="s">
        <v>344</v>
      </c>
      <c r="AH18" s="3" t="s">
        <v>344</v>
      </c>
      <c r="AI18" s="3" t="s">
        <v>344</v>
      </c>
      <c r="AJ18" s="3" t="s">
        <v>344</v>
      </c>
      <c r="AK18" s="3" t="s">
        <v>368</v>
      </c>
      <c r="AL18" s="3" t="s">
        <v>368</v>
      </c>
      <c r="AM18" s="3" t="s">
        <v>368</v>
      </c>
      <c r="AN18" s="3" t="s">
        <v>368</v>
      </c>
      <c r="AO18" s="3" t="s">
        <v>368</v>
      </c>
      <c r="AP18" s="3" t="s">
        <v>368</v>
      </c>
      <c r="AQ18" s="3" t="s">
        <v>345</v>
      </c>
      <c r="AR18" s="3" t="s">
        <v>344</v>
      </c>
      <c r="AS18" s="3" t="s">
        <v>344</v>
      </c>
      <c r="AT18" s="3" t="s">
        <v>344</v>
      </c>
      <c r="AU18" s="3" t="s">
        <v>345</v>
      </c>
      <c r="AV18" s="3" t="s">
        <v>345</v>
      </c>
      <c r="AW18" s="3" t="s">
        <v>344</v>
      </c>
      <c r="AX18" s="3" t="s">
        <v>344</v>
      </c>
      <c r="AY18" s="3"/>
      <c r="AZ18" s="3"/>
      <c r="BA18" s="3"/>
      <c r="BB18" s="3"/>
      <c r="BC18" s="3"/>
      <c r="BD18" s="3"/>
      <c r="BE18" s="3" t="s">
        <v>390</v>
      </c>
      <c r="BF18" s="3" t="s">
        <v>349</v>
      </c>
      <c r="BG18" s="3" t="s">
        <v>348</v>
      </c>
      <c r="BH18" s="3" t="s">
        <v>348</v>
      </c>
      <c r="BI18" s="3" t="s">
        <v>348</v>
      </c>
      <c r="BJ18" s="3" t="s">
        <v>354</v>
      </c>
      <c r="BK18" s="3" t="s">
        <v>351</v>
      </c>
      <c r="BL18" s="3" t="s">
        <v>357</v>
      </c>
      <c r="BM18" s="3" t="s">
        <v>353</v>
      </c>
      <c r="BN18" s="3" t="s">
        <v>356</v>
      </c>
      <c r="BO18" s="3" t="s">
        <v>355</v>
      </c>
      <c r="BP18" s="3" t="s">
        <v>391</v>
      </c>
      <c r="BQ18" s="3" t="s">
        <v>358</v>
      </c>
      <c r="BR18" s="3" t="s">
        <v>408</v>
      </c>
      <c r="BS18" s="3" t="s">
        <v>356</v>
      </c>
      <c r="BT18" s="3" t="s">
        <v>355</v>
      </c>
      <c r="BU18" s="3" t="s">
        <v>353</v>
      </c>
      <c r="BV18" s="3" t="s">
        <v>357</v>
      </c>
      <c r="BW18" s="3" t="s">
        <v>351</v>
      </c>
      <c r="BX18" s="3" t="s">
        <v>352</v>
      </c>
      <c r="BY18" s="3" t="s">
        <v>355</v>
      </c>
      <c r="BZ18" s="3" t="s">
        <v>356</v>
      </c>
      <c r="CA18" s="3" t="s">
        <v>356</v>
      </c>
      <c r="CB18" s="3" t="s">
        <v>356</v>
      </c>
      <c r="CC18" s="3" t="s">
        <v>356</v>
      </c>
      <c r="CD18" s="3" t="s">
        <v>356</v>
      </c>
      <c r="CE18" s="3" t="s">
        <v>356</v>
      </c>
      <c r="CF18" s="3" t="s">
        <v>356</v>
      </c>
      <c r="CG18" s="3" t="s">
        <v>421</v>
      </c>
      <c r="CH18" s="3" t="s">
        <v>421</v>
      </c>
      <c r="CI18" s="3" t="s">
        <v>421</v>
      </c>
      <c r="CJ18" s="3"/>
      <c r="CK18" s="3" t="s">
        <v>391</v>
      </c>
      <c r="CL18" s="3" t="s">
        <v>345</v>
      </c>
      <c r="CM18" s="3" t="s">
        <v>345</v>
      </c>
      <c r="CN18" s="3" t="s">
        <v>344</v>
      </c>
      <c r="CO18" s="3" t="s">
        <v>345</v>
      </c>
      <c r="CP18" s="3" t="s">
        <v>345</v>
      </c>
      <c r="CQ18" s="3" t="s">
        <v>344</v>
      </c>
      <c r="CR18" s="3" t="s">
        <v>502</v>
      </c>
      <c r="CS18" s="3">
        <v>50</v>
      </c>
      <c r="CT18" s="3">
        <v>48</v>
      </c>
      <c r="CU18" s="3"/>
      <c r="CV18" s="3"/>
      <c r="CW18" s="3" t="s">
        <v>363</v>
      </c>
      <c r="CX18" s="3" t="s">
        <v>396</v>
      </c>
      <c r="CY18" s="3" t="s">
        <v>471</v>
      </c>
      <c r="CZ18" s="3" t="s">
        <v>397</v>
      </c>
      <c r="DA18" s="3" t="s">
        <v>397</v>
      </c>
      <c r="DB18" s="3" t="s">
        <v>397</v>
      </c>
      <c r="DC18" s="3" t="s">
        <v>397</v>
      </c>
      <c r="DD18" s="3" t="s">
        <v>397</v>
      </c>
      <c r="DE18" s="3"/>
      <c r="DF18" s="3"/>
      <c r="DG18" s="3"/>
      <c r="DH18" s="3"/>
      <c r="DI18" s="3"/>
      <c r="DJ18" s="3"/>
      <c r="DK18" s="3" t="s">
        <v>367</v>
      </c>
      <c r="DL18" s="3" t="s">
        <v>368</v>
      </c>
      <c r="DM18" s="3" t="s">
        <v>368</v>
      </c>
      <c r="DN18" s="3" t="s">
        <v>368</v>
      </c>
      <c r="DO18" s="3" t="s">
        <v>368</v>
      </c>
      <c r="DP18" s="3" t="s">
        <v>368</v>
      </c>
      <c r="DQ18" s="3" t="s">
        <v>368</v>
      </c>
      <c r="DR18" s="3" t="s">
        <v>368</v>
      </c>
      <c r="DS18" s="3" t="s">
        <v>345</v>
      </c>
      <c r="DT18" s="3" t="s">
        <v>345</v>
      </c>
      <c r="DU18" s="3" t="s">
        <v>344</v>
      </c>
      <c r="DV18" s="3" t="s">
        <v>344</v>
      </c>
      <c r="DW18" s="3" t="s">
        <v>344</v>
      </c>
      <c r="DX18" s="3" t="s">
        <v>370</v>
      </c>
      <c r="DY18" s="3" t="s">
        <v>370</v>
      </c>
      <c r="DZ18" s="3" t="s">
        <v>370</v>
      </c>
      <c r="EA18" s="3" t="s">
        <v>370</v>
      </c>
      <c r="EB18" s="3" t="s">
        <v>370</v>
      </c>
      <c r="EC18" s="3" t="s">
        <v>370</v>
      </c>
      <c r="ED18" s="3" t="s">
        <v>370</v>
      </c>
      <c r="EE18" s="3" t="s">
        <v>369</v>
      </c>
      <c r="EF18" s="3" t="s">
        <v>398</v>
      </c>
      <c r="EG18" s="3" t="s">
        <v>369</v>
      </c>
      <c r="EH18" s="3" t="s">
        <v>399</v>
      </c>
      <c r="EI18" s="3" t="s">
        <v>369</v>
      </c>
      <c r="EJ18" s="3" t="s">
        <v>369</v>
      </c>
      <c r="EK18" s="3" t="s">
        <v>369</v>
      </c>
      <c r="EL18" s="3" t="s">
        <v>373</v>
      </c>
      <c r="EM18" s="3" t="s">
        <v>372</v>
      </c>
      <c r="EN18" s="3" t="s">
        <v>374</v>
      </c>
      <c r="EO18" s="3"/>
      <c r="EP18" s="3"/>
      <c r="EQ18" s="3" t="s">
        <v>377</v>
      </c>
      <c r="ER18" s="3" t="s">
        <v>377</v>
      </c>
      <c r="ES18" s="3" t="s">
        <v>377</v>
      </c>
      <c r="ET18" s="3" t="s">
        <v>377</v>
      </c>
      <c r="EU18" s="3" t="s">
        <v>377</v>
      </c>
      <c r="EV18" s="3" t="s">
        <v>400</v>
      </c>
      <c r="EW18" s="3"/>
      <c r="EX18" s="3" t="s">
        <v>368</v>
      </c>
      <c r="EY18" s="3" t="s">
        <v>368</v>
      </c>
      <c r="EZ18" s="3" t="s">
        <v>368</v>
      </c>
      <c r="FA18" s="3" t="s">
        <v>345</v>
      </c>
      <c r="FB18" s="3" t="s">
        <v>401</v>
      </c>
      <c r="FC18" s="3"/>
      <c r="FD18" s="3" t="s">
        <v>401</v>
      </c>
      <c r="FE18" s="3"/>
      <c r="FF18" s="3" t="s">
        <v>382</v>
      </c>
      <c r="FG18" s="3" t="s">
        <v>402</v>
      </c>
      <c r="FH18" s="3" t="s">
        <v>432</v>
      </c>
      <c r="FI18" s="3" t="s">
        <v>385</v>
      </c>
      <c r="FJ18" s="3"/>
      <c r="FK18" s="3"/>
      <c r="FL18" s="3"/>
      <c r="FM18" s="3"/>
      <c r="FN18" s="3"/>
      <c r="FO18" s="3"/>
      <c r="FP18" s="3"/>
      <c r="FQ18" s="3"/>
      <c r="FR18" s="3"/>
      <c r="FS18" s="3"/>
      <c r="FT18" s="3"/>
      <c r="FU18" s="3"/>
      <c r="FV18" s="3"/>
      <c r="FW18" s="3"/>
      <c r="FX18" s="3"/>
      <c r="FY18" s="3"/>
      <c r="FZ18" s="3"/>
      <c r="GA18" s="3" t="s">
        <v>368</v>
      </c>
      <c r="GB18" s="3" t="s">
        <v>368</v>
      </c>
      <c r="GC18" s="3" t="s">
        <v>368</v>
      </c>
      <c r="GD18" s="3" t="s">
        <v>368</v>
      </c>
      <c r="GE18" s="3" t="s">
        <v>368</v>
      </c>
      <c r="GF18" s="3" t="s">
        <v>368</v>
      </c>
      <c r="GG18" s="3"/>
      <c r="GH18" s="3"/>
      <c r="GI18" s="3"/>
      <c r="GJ18" s="3"/>
      <c r="GK18" s="3"/>
      <c r="GL18" s="3" t="s">
        <v>344</v>
      </c>
      <c r="GM18" s="3" t="s">
        <v>344</v>
      </c>
      <c r="GN18" s="3" t="s">
        <v>344</v>
      </c>
      <c r="GO18" s="3" t="s">
        <v>344</v>
      </c>
      <c r="GP18" s="3" t="s">
        <v>344</v>
      </c>
      <c r="GQ18" s="3" t="s">
        <v>344</v>
      </c>
      <c r="GR18" s="3" t="s">
        <v>344</v>
      </c>
      <c r="GS18" s="3" t="s">
        <v>344</v>
      </c>
      <c r="GT18" s="3" t="s">
        <v>345</v>
      </c>
      <c r="GU18" s="3" t="s">
        <v>344</v>
      </c>
      <c r="GV18" s="3" t="s">
        <v>345</v>
      </c>
      <c r="GW18" s="3" t="s">
        <v>345</v>
      </c>
      <c r="GX18" s="3" t="s">
        <v>344</v>
      </c>
      <c r="GY18" s="3" t="s">
        <v>344</v>
      </c>
      <c r="GZ18" s="3" t="s">
        <v>344</v>
      </c>
      <c r="HA18" s="3"/>
      <c r="HB18" s="3" t="s">
        <v>345</v>
      </c>
      <c r="HC18" s="3" t="s">
        <v>503</v>
      </c>
      <c r="HD18" s="3" t="s">
        <v>345</v>
      </c>
      <c r="HE18" s="3" t="s">
        <v>504</v>
      </c>
      <c r="HF18" s="3" t="s">
        <v>345</v>
      </c>
      <c r="HG18" s="3" t="s">
        <v>505</v>
      </c>
      <c r="HH18" s="3" t="s">
        <v>345</v>
      </c>
      <c r="HI18" s="3" t="s">
        <v>506</v>
      </c>
      <c r="HJ18" s="3" t="s">
        <v>345</v>
      </c>
      <c r="HK18" s="3" t="s">
        <v>344</v>
      </c>
      <c r="HL18" s="3" t="s">
        <v>344</v>
      </c>
      <c r="HM18" s="3" t="s">
        <v>344</v>
      </c>
      <c r="HN18" s="3" t="s">
        <v>344</v>
      </c>
      <c r="HO18" s="3" t="s">
        <v>344</v>
      </c>
      <c r="HP18" s="3" t="s">
        <v>344</v>
      </c>
      <c r="HQ18" s="3" t="s">
        <v>344</v>
      </c>
      <c r="HR18" s="3" t="s">
        <v>344</v>
      </c>
      <c r="HS18" s="3" t="s">
        <v>344</v>
      </c>
      <c r="HT18" s="3" t="s">
        <v>344</v>
      </c>
      <c r="HU18" s="3" t="s">
        <v>344</v>
      </c>
      <c r="HV18" s="3" t="s">
        <v>344</v>
      </c>
      <c r="HW18" s="3" t="s">
        <v>344</v>
      </c>
      <c r="HX18" s="3" t="s">
        <v>344</v>
      </c>
      <c r="HY18" s="3"/>
      <c r="HZ18" s="3" t="s">
        <v>344</v>
      </c>
      <c r="IA18" s="3"/>
      <c r="IB18" s="3" t="s">
        <v>344</v>
      </c>
      <c r="IC18" s="3"/>
      <c r="ID18" s="3" t="s">
        <v>344</v>
      </c>
      <c r="IE18" s="3"/>
      <c r="IF18" s="3" t="s">
        <v>344</v>
      </c>
      <c r="IG18" s="3"/>
      <c r="IH18" s="3" t="s">
        <v>345</v>
      </c>
      <c r="II18" s="3" t="s">
        <v>345</v>
      </c>
      <c r="IJ18" s="3" t="s">
        <v>344</v>
      </c>
      <c r="IK18" s="3" t="s">
        <v>344</v>
      </c>
      <c r="IL18" s="3" t="s">
        <v>345</v>
      </c>
      <c r="IM18" s="3" t="s">
        <v>344</v>
      </c>
      <c r="IN18" s="3" t="s">
        <v>344</v>
      </c>
      <c r="IO18" s="3" t="s">
        <v>345</v>
      </c>
      <c r="IP18" s="3" t="s">
        <v>344</v>
      </c>
      <c r="IQ18" s="3" t="s">
        <v>344</v>
      </c>
      <c r="IR18" s="3" t="s">
        <v>344</v>
      </c>
      <c r="IS18" s="3" t="s">
        <v>345</v>
      </c>
      <c r="IT18" s="3"/>
      <c r="IU18" s="3" t="s">
        <v>507</v>
      </c>
      <c r="IV18" s="3"/>
      <c r="IW18" s="3"/>
      <c r="IX18" s="3"/>
      <c r="IY18" s="3"/>
      <c r="IZ18" s="3"/>
      <c r="JA18" s="3"/>
      <c r="JB18" s="3"/>
      <c r="JC18" s="3"/>
      <c r="JD18" s="3"/>
      <c r="JE18" s="3"/>
      <c r="JF18" s="3"/>
      <c r="JG18" s="3"/>
      <c r="JH18" s="3"/>
    </row>
    <row r="19" spans="1:268" x14ac:dyDescent="0.3">
      <c r="A19" s="2" t="s">
        <v>338</v>
      </c>
      <c r="B19" s="3">
        <v>71</v>
      </c>
      <c r="C19" s="3" t="s">
        <v>508</v>
      </c>
      <c r="D19" s="3">
        <v>14</v>
      </c>
      <c r="E19" s="3" t="s">
        <v>340</v>
      </c>
      <c r="F19" s="3">
        <v>1043038200</v>
      </c>
      <c r="G19" s="3" t="s">
        <v>509</v>
      </c>
      <c r="H19" s="3" t="s">
        <v>508</v>
      </c>
      <c r="I19" s="3" t="s">
        <v>469</v>
      </c>
      <c r="J19" s="3">
        <v>17</v>
      </c>
      <c r="K19" s="3" t="s">
        <v>389</v>
      </c>
      <c r="L19" s="3"/>
      <c r="M19" s="3" t="s">
        <v>345</v>
      </c>
      <c r="N19" s="3" t="s">
        <v>345</v>
      </c>
      <c r="O19" s="3" t="s">
        <v>344</v>
      </c>
      <c r="P19" s="3" t="s">
        <v>344</v>
      </c>
      <c r="Q19" s="3" t="s">
        <v>344</v>
      </c>
      <c r="R19" s="3"/>
      <c r="S19" s="3" t="s">
        <v>346</v>
      </c>
      <c r="T19" s="3"/>
      <c r="U19" s="3" t="s">
        <v>347</v>
      </c>
      <c r="V19" s="3"/>
      <c r="W19" s="3" t="s">
        <v>345</v>
      </c>
      <c r="X19" s="3" t="s">
        <v>344</v>
      </c>
      <c r="Y19" s="3" t="s">
        <v>345</v>
      </c>
      <c r="Z19" s="3" t="s">
        <v>344</v>
      </c>
      <c r="AA19" s="3" t="s">
        <v>344</v>
      </c>
      <c r="AB19" s="3" t="s">
        <v>344</v>
      </c>
      <c r="AC19" s="3" t="s">
        <v>344</v>
      </c>
      <c r="AD19" s="3" t="s">
        <v>345</v>
      </c>
      <c r="AE19" s="3" t="s">
        <v>345</v>
      </c>
      <c r="AF19" s="3" t="s">
        <v>345</v>
      </c>
      <c r="AG19" s="3" t="s">
        <v>344</v>
      </c>
      <c r="AH19" s="3" t="s">
        <v>345</v>
      </c>
      <c r="AI19" s="3" t="s">
        <v>344</v>
      </c>
      <c r="AJ19" s="3" t="s">
        <v>344</v>
      </c>
      <c r="AK19" s="3" t="s">
        <v>344</v>
      </c>
      <c r="AL19" s="3" t="s">
        <v>344</v>
      </c>
      <c r="AM19" s="3" t="s">
        <v>344</v>
      </c>
      <c r="AN19" s="3" t="s">
        <v>344</v>
      </c>
      <c r="AO19" s="3" t="s">
        <v>345</v>
      </c>
      <c r="AP19" s="3" t="s">
        <v>345</v>
      </c>
      <c r="AQ19" s="3" t="s">
        <v>344</v>
      </c>
      <c r="AR19" s="3" t="s">
        <v>345</v>
      </c>
      <c r="AS19" s="3" t="s">
        <v>345</v>
      </c>
      <c r="AT19" s="3" t="s">
        <v>345</v>
      </c>
      <c r="AU19" s="3" t="s">
        <v>345</v>
      </c>
      <c r="AV19" s="3" t="s">
        <v>344</v>
      </c>
      <c r="AW19" s="3" t="s">
        <v>344</v>
      </c>
      <c r="AX19" s="3" t="s">
        <v>344</v>
      </c>
      <c r="AY19" s="3"/>
      <c r="AZ19" s="3"/>
      <c r="BA19" s="3"/>
      <c r="BB19" s="3"/>
      <c r="BC19" s="3"/>
      <c r="BD19" s="3"/>
      <c r="BE19" s="3" t="s">
        <v>349</v>
      </c>
      <c r="BF19" s="3" t="s">
        <v>349</v>
      </c>
      <c r="BG19" s="3" t="s">
        <v>390</v>
      </c>
      <c r="BH19" s="3" t="s">
        <v>390</v>
      </c>
      <c r="BI19" s="3" t="s">
        <v>348</v>
      </c>
      <c r="BJ19" s="3" t="s">
        <v>391</v>
      </c>
      <c r="BK19" s="3" t="s">
        <v>391</v>
      </c>
      <c r="BL19" s="3" t="s">
        <v>391</v>
      </c>
      <c r="BM19" s="3" t="s">
        <v>391</v>
      </c>
      <c r="BN19" s="3" t="s">
        <v>391</v>
      </c>
      <c r="BO19" s="3" t="s">
        <v>391</v>
      </c>
      <c r="BP19" s="3" t="s">
        <v>391</v>
      </c>
      <c r="BQ19" s="3" t="s">
        <v>358</v>
      </c>
      <c r="BR19" s="3" t="s">
        <v>408</v>
      </c>
      <c r="BS19" s="3" t="s">
        <v>391</v>
      </c>
      <c r="BT19" s="3" t="s">
        <v>391</v>
      </c>
      <c r="BU19" s="3" t="s">
        <v>391</v>
      </c>
      <c r="BV19" s="3" t="s">
        <v>391</v>
      </c>
      <c r="BW19" s="3" t="s">
        <v>391</v>
      </c>
      <c r="BX19" s="3" t="s">
        <v>391</v>
      </c>
      <c r="BY19" s="3" t="s">
        <v>391</v>
      </c>
      <c r="BZ19" s="3" t="s">
        <v>391</v>
      </c>
      <c r="CA19" s="3" t="s">
        <v>391</v>
      </c>
      <c r="CB19" s="3" t="s">
        <v>391</v>
      </c>
      <c r="CC19" s="3" t="s">
        <v>391</v>
      </c>
      <c r="CD19" s="3" t="s">
        <v>391</v>
      </c>
      <c r="CE19" s="3" t="s">
        <v>391</v>
      </c>
      <c r="CF19" s="3" t="s">
        <v>391</v>
      </c>
      <c r="CG19" s="3" t="s">
        <v>360</v>
      </c>
      <c r="CH19" s="3" t="s">
        <v>421</v>
      </c>
      <c r="CI19" s="3" t="s">
        <v>360</v>
      </c>
      <c r="CJ19" s="3"/>
      <c r="CK19" s="3" t="s">
        <v>510</v>
      </c>
      <c r="CL19" s="3" t="s">
        <v>344</v>
      </c>
      <c r="CM19" s="3" t="s">
        <v>344</v>
      </c>
      <c r="CN19" s="3" t="s">
        <v>345</v>
      </c>
      <c r="CO19" s="3" t="s">
        <v>344</v>
      </c>
      <c r="CP19" s="3" t="s">
        <v>345</v>
      </c>
      <c r="CQ19" s="3" t="s">
        <v>345</v>
      </c>
      <c r="CR19" s="3" t="s">
        <v>410</v>
      </c>
      <c r="CS19" s="3">
        <v>20</v>
      </c>
      <c r="CT19" s="3">
        <v>90</v>
      </c>
      <c r="CU19" s="3">
        <v>100</v>
      </c>
      <c r="CV19" s="3">
        <v>10</v>
      </c>
      <c r="CW19" s="3" t="s">
        <v>396</v>
      </c>
      <c r="CX19" s="3" t="s">
        <v>396</v>
      </c>
      <c r="CY19" s="3" t="s">
        <v>396</v>
      </c>
      <c r="CZ19" s="3"/>
      <c r="DA19" s="3"/>
      <c r="DB19" s="3"/>
      <c r="DC19" s="3"/>
      <c r="DD19" s="3"/>
      <c r="DE19" s="3" t="s">
        <v>397</v>
      </c>
      <c r="DF19" s="3" t="s">
        <v>397</v>
      </c>
      <c r="DG19" s="3" t="s">
        <v>397</v>
      </c>
      <c r="DH19" s="3" t="s">
        <v>397</v>
      </c>
      <c r="DI19" s="3" t="s">
        <v>397</v>
      </c>
      <c r="DJ19" s="3"/>
      <c r="DK19" s="3" t="s">
        <v>367</v>
      </c>
      <c r="DL19" s="3" t="s">
        <v>368</v>
      </c>
      <c r="DM19" s="3" t="s">
        <v>368</v>
      </c>
      <c r="DN19" s="3" t="s">
        <v>368</v>
      </c>
      <c r="DO19" s="3" t="s">
        <v>368</v>
      </c>
      <c r="DP19" s="3" t="s">
        <v>344</v>
      </c>
      <c r="DQ19" s="3" t="s">
        <v>344</v>
      </c>
      <c r="DR19" s="3" t="s">
        <v>345</v>
      </c>
      <c r="DS19" s="3" t="s">
        <v>344</v>
      </c>
      <c r="DT19" s="3" t="s">
        <v>344</v>
      </c>
      <c r="DU19" s="3" t="s">
        <v>345</v>
      </c>
      <c r="DV19" s="3" t="s">
        <v>344</v>
      </c>
      <c r="DW19" s="3" t="s">
        <v>344</v>
      </c>
      <c r="DX19" s="3" t="s">
        <v>369</v>
      </c>
      <c r="DY19" s="3" t="s">
        <v>398</v>
      </c>
      <c r="DZ19" s="3" t="s">
        <v>369</v>
      </c>
      <c r="EA19" s="3" t="s">
        <v>369</v>
      </c>
      <c r="EB19" s="3" t="s">
        <v>369</v>
      </c>
      <c r="EC19" s="3" t="s">
        <v>369</v>
      </c>
      <c r="ED19" s="3" t="s">
        <v>370</v>
      </c>
      <c r="EE19" s="3" t="s">
        <v>370</v>
      </c>
      <c r="EF19" s="3" t="s">
        <v>370</v>
      </c>
      <c r="EG19" s="3" t="s">
        <v>370</v>
      </c>
      <c r="EH19" s="3" t="s">
        <v>370</v>
      </c>
      <c r="EI19" s="3" t="s">
        <v>370</v>
      </c>
      <c r="EJ19" s="3" t="s">
        <v>370</v>
      </c>
      <c r="EK19" s="3" t="s">
        <v>399</v>
      </c>
      <c r="EL19" s="3" t="s">
        <v>372</v>
      </c>
      <c r="EM19" s="3" t="s">
        <v>373</v>
      </c>
      <c r="EN19" s="3" t="s">
        <v>374</v>
      </c>
      <c r="EO19" s="3"/>
      <c r="EP19" s="3"/>
      <c r="EQ19" s="3" t="s">
        <v>376</v>
      </c>
      <c r="ER19" s="3" t="s">
        <v>375</v>
      </c>
      <c r="ES19" s="3" t="s">
        <v>378</v>
      </c>
      <c r="ET19" s="3" t="s">
        <v>378</v>
      </c>
      <c r="EU19" s="3" t="s">
        <v>377</v>
      </c>
      <c r="EV19" s="3" t="s">
        <v>400</v>
      </c>
      <c r="EW19" s="3"/>
      <c r="EX19" s="3" t="s">
        <v>368</v>
      </c>
      <c r="EY19" s="3" t="s">
        <v>368</v>
      </c>
      <c r="EZ19" s="3" t="s">
        <v>368</v>
      </c>
      <c r="FA19" s="3" t="s">
        <v>345</v>
      </c>
      <c r="FB19" s="3" t="s">
        <v>380</v>
      </c>
      <c r="FC19" s="3"/>
      <c r="FD19" s="3" t="s">
        <v>401</v>
      </c>
      <c r="FE19" s="3"/>
      <c r="FF19" s="3" t="s">
        <v>412</v>
      </c>
      <c r="FG19" s="3" t="s">
        <v>413</v>
      </c>
      <c r="FH19" s="3" t="s">
        <v>384</v>
      </c>
      <c r="FI19" s="3" t="s">
        <v>385</v>
      </c>
      <c r="FJ19" s="3"/>
      <c r="FK19" s="3"/>
      <c r="FL19" s="3"/>
      <c r="FM19" s="3"/>
      <c r="FN19" s="3"/>
      <c r="FO19" s="3"/>
      <c r="FP19" s="3"/>
      <c r="FQ19" s="3"/>
      <c r="FR19" s="3"/>
      <c r="FS19" s="3"/>
      <c r="FT19" s="3"/>
      <c r="FU19" s="3"/>
      <c r="FV19" s="3"/>
      <c r="FW19" s="3"/>
      <c r="FX19" s="3"/>
      <c r="FY19" s="3"/>
      <c r="FZ19" s="3"/>
      <c r="GA19" s="3" t="s">
        <v>368</v>
      </c>
      <c r="GB19" s="3" t="s">
        <v>368</v>
      </c>
      <c r="GC19" s="3" t="s">
        <v>368</v>
      </c>
      <c r="GD19" s="3" t="s">
        <v>368</v>
      </c>
      <c r="GE19" s="3" t="s">
        <v>368</v>
      </c>
      <c r="GF19" s="3" t="s">
        <v>368</v>
      </c>
      <c r="GG19" s="3"/>
      <c r="GH19" s="3"/>
      <c r="GI19" s="3"/>
      <c r="GJ19" s="3"/>
      <c r="GK19" s="3"/>
      <c r="GL19" s="3" t="s">
        <v>344</v>
      </c>
      <c r="GM19" s="3" t="s">
        <v>344</v>
      </c>
      <c r="GN19" s="3" t="s">
        <v>344</v>
      </c>
      <c r="GO19" s="3" t="s">
        <v>344</v>
      </c>
      <c r="GP19" s="3" t="s">
        <v>344</v>
      </c>
      <c r="GQ19" s="3" t="s">
        <v>344</v>
      </c>
      <c r="GR19" s="3" t="s">
        <v>344</v>
      </c>
      <c r="GS19" s="3" t="s">
        <v>344</v>
      </c>
      <c r="GT19" s="3" t="s">
        <v>344</v>
      </c>
      <c r="GU19" s="3" t="s">
        <v>344</v>
      </c>
      <c r="GV19" s="3" t="s">
        <v>344</v>
      </c>
      <c r="GW19" s="3" t="s">
        <v>344</v>
      </c>
      <c r="GX19" s="3" t="s">
        <v>344</v>
      </c>
      <c r="GY19" s="3" t="s">
        <v>344</v>
      </c>
      <c r="GZ19" s="3" t="s">
        <v>345</v>
      </c>
      <c r="HA19" s="3"/>
      <c r="HB19" s="3" t="s">
        <v>345</v>
      </c>
      <c r="HC19" s="3" t="s">
        <v>511</v>
      </c>
      <c r="HD19" s="3" t="s">
        <v>345</v>
      </c>
      <c r="HE19" s="3" t="s">
        <v>511</v>
      </c>
      <c r="HF19" s="3" t="s">
        <v>345</v>
      </c>
      <c r="HG19" s="3" t="s">
        <v>511</v>
      </c>
      <c r="HH19" s="3" t="s">
        <v>345</v>
      </c>
      <c r="HI19" s="3" t="s">
        <v>511</v>
      </c>
      <c r="HJ19" s="3" t="s">
        <v>344</v>
      </c>
      <c r="HK19" s="3" t="s">
        <v>344</v>
      </c>
      <c r="HL19" s="3" t="s">
        <v>344</v>
      </c>
      <c r="HM19" s="3" t="s">
        <v>344</v>
      </c>
      <c r="HN19" s="3" t="s">
        <v>344</v>
      </c>
      <c r="HO19" s="3" t="s">
        <v>344</v>
      </c>
      <c r="HP19" s="3" t="s">
        <v>344</v>
      </c>
      <c r="HQ19" s="3" t="s">
        <v>344</v>
      </c>
      <c r="HR19" s="3" t="s">
        <v>344</v>
      </c>
      <c r="HS19" s="3" t="s">
        <v>344</v>
      </c>
      <c r="HT19" s="3" t="s">
        <v>344</v>
      </c>
      <c r="HU19" s="3" t="s">
        <v>344</v>
      </c>
      <c r="HV19" s="3" t="s">
        <v>344</v>
      </c>
      <c r="HW19" s="3" t="s">
        <v>344</v>
      </c>
      <c r="HX19" s="3" t="s">
        <v>345</v>
      </c>
      <c r="HY19" s="3"/>
      <c r="HZ19" s="3" t="s">
        <v>345</v>
      </c>
      <c r="IA19" s="3" t="s">
        <v>511</v>
      </c>
      <c r="IB19" s="3" t="s">
        <v>345</v>
      </c>
      <c r="IC19" s="3" t="s">
        <v>511</v>
      </c>
      <c r="ID19" s="3" t="s">
        <v>345</v>
      </c>
      <c r="IE19" s="3" t="s">
        <v>511</v>
      </c>
      <c r="IF19" s="3" t="s">
        <v>345</v>
      </c>
      <c r="IG19" s="3" t="s">
        <v>511</v>
      </c>
      <c r="IH19" s="3" t="s">
        <v>345</v>
      </c>
      <c r="II19" s="3" t="s">
        <v>345</v>
      </c>
      <c r="IJ19" s="3" t="s">
        <v>344</v>
      </c>
      <c r="IK19" s="3" t="s">
        <v>345</v>
      </c>
      <c r="IL19" s="3" t="s">
        <v>345</v>
      </c>
      <c r="IM19" s="3" t="s">
        <v>345</v>
      </c>
      <c r="IN19" s="3" t="s">
        <v>344</v>
      </c>
      <c r="IO19" s="3" t="s">
        <v>345</v>
      </c>
      <c r="IP19" s="3" t="s">
        <v>344</v>
      </c>
      <c r="IQ19" s="3" t="s">
        <v>344</v>
      </c>
      <c r="IR19" s="3" t="s">
        <v>344</v>
      </c>
      <c r="IS19" s="3" t="s">
        <v>344</v>
      </c>
      <c r="IT19" s="3"/>
      <c r="IU19" s="3"/>
      <c r="IV19" s="3"/>
      <c r="IW19" s="3"/>
      <c r="IX19" s="3"/>
      <c r="IY19" s="3"/>
      <c r="IZ19" s="3"/>
      <c r="JA19" s="3"/>
      <c r="JB19" s="3"/>
      <c r="JC19" s="3"/>
      <c r="JD19" s="3"/>
      <c r="JE19" s="3"/>
      <c r="JF19" s="3"/>
      <c r="JG19" s="3"/>
      <c r="JH19" s="3"/>
    </row>
    <row r="20" spans="1:268" x14ac:dyDescent="0.3">
      <c r="A20" s="2" t="s">
        <v>338</v>
      </c>
      <c r="B20" s="3">
        <v>72</v>
      </c>
      <c r="C20" s="3" t="s">
        <v>512</v>
      </c>
      <c r="D20" s="3">
        <v>14</v>
      </c>
      <c r="E20" s="3" t="s">
        <v>340</v>
      </c>
      <c r="F20" s="3">
        <v>1621091107</v>
      </c>
      <c r="G20" s="3" t="s">
        <v>513</v>
      </c>
      <c r="H20" s="3" t="s">
        <v>512</v>
      </c>
      <c r="I20" s="3" t="s">
        <v>342</v>
      </c>
      <c r="J20" s="3">
        <v>18</v>
      </c>
      <c r="K20" s="3" t="s">
        <v>389</v>
      </c>
      <c r="L20" s="3"/>
      <c r="M20" s="3" t="s">
        <v>344</v>
      </c>
      <c r="N20" s="3" t="s">
        <v>345</v>
      </c>
      <c r="O20" s="3" t="s">
        <v>344</v>
      </c>
      <c r="P20" s="3" t="s">
        <v>344</v>
      </c>
      <c r="Q20" s="3" t="s">
        <v>344</v>
      </c>
      <c r="R20" s="3"/>
      <c r="S20" s="3" t="s">
        <v>346</v>
      </c>
      <c r="T20" s="3"/>
      <c r="U20" s="3" t="s">
        <v>347</v>
      </c>
      <c r="V20" s="3"/>
      <c r="W20" s="3" t="s">
        <v>368</v>
      </c>
      <c r="X20" s="3" t="s">
        <v>368</v>
      </c>
      <c r="Y20" s="3" t="s">
        <v>368</v>
      </c>
      <c r="Z20" s="3" t="s">
        <v>368</v>
      </c>
      <c r="AA20" s="3" t="s">
        <v>368</v>
      </c>
      <c r="AB20" s="3" t="s">
        <v>368</v>
      </c>
      <c r="AC20" s="3" t="s">
        <v>345</v>
      </c>
      <c r="AD20" s="3" t="s">
        <v>345</v>
      </c>
      <c r="AE20" s="3" t="s">
        <v>344</v>
      </c>
      <c r="AF20" s="3" t="s">
        <v>344</v>
      </c>
      <c r="AG20" s="3" t="s">
        <v>344</v>
      </c>
      <c r="AH20" s="3" t="s">
        <v>344</v>
      </c>
      <c r="AI20" s="3" t="s">
        <v>344</v>
      </c>
      <c r="AJ20" s="3" t="s">
        <v>344</v>
      </c>
      <c r="AK20" s="3" t="s">
        <v>368</v>
      </c>
      <c r="AL20" s="3" t="s">
        <v>368</v>
      </c>
      <c r="AM20" s="3" t="s">
        <v>368</v>
      </c>
      <c r="AN20" s="3" t="s">
        <v>368</v>
      </c>
      <c r="AO20" s="3" t="s">
        <v>368</v>
      </c>
      <c r="AP20" s="3" t="s">
        <v>368</v>
      </c>
      <c r="AQ20" s="3" t="s">
        <v>345</v>
      </c>
      <c r="AR20" s="3" t="s">
        <v>344</v>
      </c>
      <c r="AS20" s="3" t="s">
        <v>344</v>
      </c>
      <c r="AT20" s="3" t="s">
        <v>344</v>
      </c>
      <c r="AU20" s="3" t="s">
        <v>345</v>
      </c>
      <c r="AV20" s="3" t="s">
        <v>344</v>
      </c>
      <c r="AW20" s="3" t="s">
        <v>344</v>
      </c>
      <c r="AX20" s="3" t="s">
        <v>344</v>
      </c>
      <c r="AY20" s="3"/>
      <c r="AZ20" s="3"/>
      <c r="BA20" s="3"/>
      <c r="BB20" s="3"/>
      <c r="BC20" s="3"/>
      <c r="BD20" s="3"/>
      <c r="BE20" s="3" t="s">
        <v>348</v>
      </c>
      <c r="BF20" s="3" t="s">
        <v>350</v>
      </c>
      <c r="BG20" s="3" t="s">
        <v>390</v>
      </c>
      <c r="BH20" s="3" t="s">
        <v>390</v>
      </c>
      <c r="BI20" s="3" t="s">
        <v>390</v>
      </c>
      <c r="BJ20" s="3" t="s">
        <v>391</v>
      </c>
      <c r="BK20" s="3" t="s">
        <v>391</v>
      </c>
      <c r="BL20" s="3" t="s">
        <v>391</v>
      </c>
      <c r="BM20" s="3" t="s">
        <v>391</v>
      </c>
      <c r="BN20" s="3" t="s">
        <v>391</v>
      </c>
      <c r="BO20" s="3" t="s">
        <v>391</v>
      </c>
      <c r="BP20" s="3" t="s">
        <v>391</v>
      </c>
      <c r="BQ20" s="3" t="s">
        <v>407</v>
      </c>
      <c r="BR20" s="3" t="s">
        <v>367</v>
      </c>
      <c r="BS20" s="3" t="s">
        <v>391</v>
      </c>
      <c r="BT20" s="3" t="s">
        <v>391</v>
      </c>
      <c r="BU20" s="3" t="s">
        <v>391</v>
      </c>
      <c r="BV20" s="3" t="s">
        <v>391</v>
      </c>
      <c r="BW20" s="3" t="s">
        <v>391</v>
      </c>
      <c r="BX20" s="3" t="s">
        <v>391</v>
      </c>
      <c r="BY20" s="3" t="s">
        <v>391</v>
      </c>
      <c r="BZ20" s="3" t="s">
        <v>391</v>
      </c>
      <c r="CA20" s="3" t="s">
        <v>391</v>
      </c>
      <c r="CB20" s="3" t="s">
        <v>391</v>
      </c>
      <c r="CC20" s="3" t="s">
        <v>391</v>
      </c>
      <c r="CD20" s="3" t="s">
        <v>391</v>
      </c>
      <c r="CE20" s="3" t="s">
        <v>391</v>
      </c>
      <c r="CF20" s="3" t="s">
        <v>391</v>
      </c>
      <c r="CG20" s="3" t="s">
        <v>420</v>
      </c>
      <c r="CH20" s="3" t="s">
        <v>421</v>
      </c>
      <c r="CI20" s="3" t="s">
        <v>420</v>
      </c>
      <c r="CJ20" s="3"/>
      <c r="CK20" s="3" t="s">
        <v>514</v>
      </c>
      <c r="CL20" s="3" t="s">
        <v>344</v>
      </c>
      <c r="CM20" s="3" t="s">
        <v>344</v>
      </c>
      <c r="CN20" s="3" t="s">
        <v>344</v>
      </c>
      <c r="CO20" s="3" t="s">
        <v>345</v>
      </c>
      <c r="CP20" s="3" t="s">
        <v>345</v>
      </c>
      <c r="CQ20" s="3" t="s">
        <v>344</v>
      </c>
      <c r="CR20" s="3" t="s">
        <v>394</v>
      </c>
      <c r="CS20" s="3">
        <v>80</v>
      </c>
      <c r="CT20" s="3">
        <v>1</v>
      </c>
      <c r="CU20" s="3">
        <v>100</v>
      </c>
      <c r="CV20" s="3">
        <v>80</v>
      </c>
      <c r="CW20" s="3" t="s">
        <v>363</v>
      </c>
      <c r="CX20" s="3" t="s">
        <v>395</v>
      </c>
      <c r="CY20" s="3" t="s">
        <v>396</v>
      </c>
      <c r="CZ20" s="3"/>
      <c r="DA20" s="3"/>
      <c r="DB20" s="3"/>
      <c r="DC20" s="3"/>
      <c r="DD20" s="3"/>
      <c r="DE20" s="3" t="s">
        <v>366</v>
      </c>
      <c r="DF20" s="3" t="s">
        <v>365</v>
      </c>
      <c r="DG20" s="3" t="s">
        <v>397</v>
      </c>
      <c r="DH20" s="3" t="s">
        <v>397</v>
      </c>
      <c r="DI20" s="3" t="s">
        <v>365</v>
      </c>
      <c r="DJ20" s="3"/>
      <c r="DK20" s="3" t="s">
        <v>515</v>
      </c>
      <c r="DL20" s="3" t="s">
        <v>368</v>
      </c>
      <c r="DM20" s="3" t="s">
        <v>368</v>
      </c>
      <c r="DN20" s="3" t="s">
        <v>368</v>
      </c>
      <c r="DO20" s="3" t="s">
        <v>345</v>
      </c>
      <c r="DP20" s="3" t="s">
        <v>368</v>
      </c>
      <c r="DQ20" s="3" t="s">
        <v>368</v>
      </c>
      <c r="DR20" s="3" t="s">
        <v>368</v>
      </c>
      <c r="DS20" s="3" t="s">
        <v>345</v>
      </c>
      <c r="DT20" s="3" t="s">
        <v>368</v>
      </c>
      <c r="DU20" s="3" t="s">
        <v>368</v>
      </c>
      <c r="DV20" s="3" t="s">
        <v>368</v>
      </c>
      <c r="DW20" s="3" t="s">
        <v>345</v>
      </c>
      <c r="DX20" s="3" t="s">
        <v>369</v>
      </c>
      <c r="DY20" s="3" t="s">
        <v>399</v>
      </c>
      <c r="DZ20" s="3" t="s">
        <v>370</v>
      </c>
      <c r="EA20" s="3" t="s">
        <v>369</v>
      </c>
      <c r="EB20" s="3" t="s">
        <v>369</v>
      </c>
      <c r="EC20" s="3" t="s">
        <v>369</v>
      </c>
      <c r="ED20" s="3" t="s">
        <v>370</v>
      </c>
      <c r="EE20" s="3" t="s">
        <v>370</v>
      </c>
      <c r="EF20" s="3" t="s">
        <v>370</v>
      </c>
      <c r="EG20" s="3" t="s">
        <v>370</v>
      </c>
      <c r="EH20" s="3" t="s">
        <v>370</v>
      </c>
      <c r="EI20" s="3" t="s">
        <v>370</v>
      </c>
      <c r="EJ20" s="3" t="s">
        <v>370</v>
      </c>
      <c r="EK20" s="3" t="s">
        <v>370</v>
      </c>
      <c r="EL20" s="3" t="s">
        <v>440</v>
      </c>
      <c r="EM20" s="3" t="s">
        <v>373</v>
      </c>
      <c r="EN20" s="3" t="s">
        <v>374</v>
      </c>
      <c r="EO20" s="3"/>
      <c r="EP20" s="3"/>
      <c r="EQ20" s="3" t="s">
        <v>376</v>
      </c>
      <c r="ER20" s="3" t="s">
        <v>375</v>
      </c>
      <c r="ES20" s="3" t="s">
        <v>378</v>
      </c>
      <c r="ET20" s="3" t="s">
        <v>391</v>
      </c>
      <c r="EU20" s="3" t="s">
        <v>375</v>
      </c>
      <c r="EV20" s="3" t="s">
        <v>400</v>
      </c>
      <c r="EW20" s="3"/>
      <c r="EX20" s="3" t="s">
        <v>368</v>
      </c>
      <c r="EY20" s="3" t="s">
        <v>368</v>
      </c>
      <c r="EZ20" s="3" t="s">
        <v>368</v>
      </c>
      <c r="FA20" s="3" t="s">
        <v>345</v>
      </c>
      <c r="FB20" s="3" t="s">
        <v>380</v>
      </c>
      <c r="FC20" s="3"/>
      <c r="FD20" s="3" t="s">
        <v>401</v>
      </c>
      <c r="FE20" s="3"/>
      <c r="FF20" s="3" t="s">
        <v>382</v>
      </c>
      <c r="FG20" s="3" t="s">
        <v>383</v>
      </c>
      <c r="FH20" s="3" t="s">
        <v>451</v>
      </c>
      <c r="FI20" s="3" t="s">
        <v>403</v>
      </c>
      <c r="FJ20" s="3"/>
      <c r="FK20" s="3"/>
      <c r="FL20" s="3"/>
      <c r="FM20" s="3"/>
      <c r="FN20" s="3"/>
      <c r="FO20" s="3"/>
      <c r="FP20" s="3"/>
      <c r="FQ20" s="3"/>
      <c r="FR20" s="3"/>
      <c r="FS20" s="3"/>
      <c r="FT20" s="3"/>
      <c r="FU20" s="3"/>
      <c r="FV20" s="3"/>
      <c r="FW20" s="3"/>
      <c r="FX20" s="3"/>
      <c r="FY20" s="3"/>
      <c r="FZ20" s="3"/>
      <c r="GA20" s="3" t="s">
        <v>368</v>
      </c>
      <c r="GB20" s="3" t="s">
        <v>368</v>
      </c>
      <c r="GC20" s="3" t="s">
        <v>368</v>
      </c>
      <c r="GD20" s="3" t="s">
        <v>368</v>
      </c>
      <c r="GE20" s="3" t="s">
        <v>368</v>
      </c>
      <c r="GF20" s="3" t="s">
        <v>368</v>
      </c>
      <c r="GG20" s="3"/>
      <c r="GH20" s="3"/>
      <c r="GI20" s="3"/>
      <c r="GJ20" s="3"/>
      <c r="GK20" s="3"/>
      <c r="GL20" s="3" t="s">
        <v>344</v>
      </c>
      <c r="GM20" s="3" t="s">
        <v>344</v>
      </c>
      <c r="GN20" s="3" t="s">
        <v>344</v>
      </c>
      <c r="GO20" s="3" t="s">
        <v>344</v>
      </c>
      <c r="GP20" s="3" t="s">
        <v>344</v>
      </c>
      <c r="GQ20" s="3" t="s">
        <v>344</v>
      </c>
      <c r="GR20" s="3" t="s">
        <v>344</v>
      </c>
      <c r="GS20" s="3" t="s">
        <v>344</v>
      </c>
      <c r="GT20" s="3" t="s">
        <v>344</v>
      </c>
      <c r="GU20" s="3" t="s">
        <v>344</v>
      </c>
      <c r="GV20" s="3" t="s">
        <v>344</v>
      </c>
      <c r="GW20" s="3" t="s">
        <v>344</v>
      </c>
      <c r="GX20" s="3" t="s">
        <v>344</v>
      </c>
      <c r="GY20" s="3" t="s">
        <v>344</v>
      </c>
      <c r="GZ20" s="3" t="s">
        <v>345</v>
      </c>
      <c r="HA20" s="3"/>
      <c r="HB20" s="3" t="s">
        <v>344</v>
      </c>
      <c r="HC20" s="3"/>
      <c r="HD20" s="3" t="s">
        <v>344</v>
      </c>
      <c r="HE20" s="3"/>
      <c r="HF20" s="3" t="s">
        <v>344</v>
      </c>
      <c r="HG20" s="3"/>
      <c r="HH20" s="3" t="s">
        <v>344</v>
      </c>
      <c r="HI20" s="3"/>
      <c r="HJ20" s="3" t="s">
        <v>344</v>
      </c>
      <c r="HK20" s="3" t="s">
        <v>344</v>
      </c>
      <c r="HL20" s="3" t="s">
        <v>344</v>
      </c>
      <c r="HM20" s="3" t="s">
        <v>344</v>
      </c>
      <c r="HN20" s="3" t="s">
        <v>344</v>
      </c>
      <c r="HO20" s="3" t="s">
        <v>344</v>
      </c>
      <c r="HP20" s="3" t="s">
        <v>344</v>
      </c>
      <c r="HQ20" s="3" t="s">
        <v>344</v>
      </c>
      <c r="HR20" s="3" t="s">
        <v>344</v>
      </c>
      <c r="HS20" s="3" t="s">
        <v>344</v>
      </c>
      <c r="HT20" s="3" t="s">
        <v>344</v>
      </c>
      <c r="HU20" s="3" t="s">
        <v>344</v>
      </c>
      <c r="HV20" s="3" t="s">
        <v>344</v>
      </c>
      <c r="HW20" s="3" t="s">
        <v>344</v>
      </c>
      <c r="HX20" s="3" t="s">
        <v>345</v>
      </c>
      <c r="HY20" s="3"/>
      <c r="HZ20" s="3" t="s">
        <v>344</v>
      </c>
      <c r="IA20" s="3"/>
      <c r="IB20" s="3" t="s">
        <v>344</v>
      </c>
      <c r="IC20" s="3"/>
      <c r="ID20" s="3" t="s">
        <v>344</v>
      </c>
      <c r="IE20" s="3"/>
      <c r="IF20" s="3" t="s">
        <v>344</v>
      </c>
      <c r="IG20" s="3"/>
      <c r="IH20" s="3" t="s">
        <v>344</v>
      </c>
      <c r="II20" s="3" t="s">
        <v>345</v>
      </c>
      <c r="IJ20" s="3" t="s">
        <v>344</v>
      </c>
      <c r="IK20" s="3" t="s">
        <v>344</v>
      </c>
      <c r="IL20" s="3" t="s">
        <v>345</v>
      </c>
      <c r="IM20" s="3" t="s">
        <v>344</v>
      </c>
      <c r="IN20" s="3" t="s">
        <v>344</v>
      </c>
      <c r="IO20" s="3" t="s">
        <v>345</v>
      </c>
      <c r="IP20" s="3" t="s">
        <v>344</v>
      </c>
      <c r="IQ20" s="3" t="s">
        <v>344</v>
      </c>
      <c r="IR20" s="3" t="s">
        <v>344</v>
      </c>
      <c r="IS20" s="3" t="s">
        <v>344</v>
      </c>
      <c r="IT20" s="3"/>
      <c r="IU20" s="3" t="s">
        <v>516</v>
      </c>
      <c r="IV20" s="3"/>
      <c r="IW20" s="3"/>
      <c r="IX20" s="3"/>
      <c r="IY20" s="3"/>
      <c r="IZ20" s="3"/>
      <c r="JA20" s="3"/>
      <c r="JB20" s="3"/>
      <c r="JC20" s="3"/>
      <c r="JD20" s="3"/>
      <c r="JE20" s="3"/>
      <c r="JF20" s="3"/>
      <c r="JG20" s="3"/>
      <c r="JH20" s="3"/>
    </row>
    <row r="21" spans="1:268" x14ac:dyDescent="0.3">
      <c r="A21" s="2" t="s">
        <v>338</v>
      </c>
      <c r="B21" s="3">
        <v>73</v>
      </c>
      <c r="C21" s="3" t="s">
        <v>517</v>
      </c>
      <c r="D21" s="3">
        <v>14</v>
      </c>
      <c r="E21" s="3" t="s">
        <v>387</v>
      </c>
      <c r="F21" s="3">
        <v>2104383974</v>
      </c>
      <c r="G21" s="3" t="s">
        <v>518</v>
      </c>
      <c r="H21" s="3" t="s">
        <v>517</v>
      </c>
      <c r="I21" s="3" t="s">
        <v>342</v>
      </c>
      <c r="J21" s="3">
        <v>18</v>
      </c>
      <c r="K21" s="3" t="s">
        <v>389</v>
      </c>
      <c r="L21" s="3"/>
      <c r="M21" s="3" t="s">
        <v>345</v>
      </c>
      <c r="N21" s="3" t="s">
        <v>345</v>
      </c>
      <c r="O21" s="3" t="s">
        <v>344</v>
      </c>
      <c r="P21" s="3" t="s">
        <v>344</v>
      </c>
      <c r="Q21" s="3" t="s">
        <v>344</v>
      </c>
      <c r="R21" s="3"/>
      <c r="S21" s="3" t="s">
        <v>346</v>
      </c>
      <c r="T21" s="3"/>
      <c r="U21" s="3" t="s">
        <v>418</v>
      </c>
      <c r="V21" s="3"/>
      <c r="W21" s="3" t="s">
        <v>345</v>
      </c>
      <c r="X21" s="3" t="s">
        <v>345</v>
      </c>
      <c r="Y21" s="3" t="s">
        <v>344</v>
      </c>
      <c r="Z21" s="3" t="s">
        <v>345</v>
      </c>
      <c r="AA21" s="3" t="s">
        <v>344</v>
      </c>
      <c r="AB21" s="3" t="s">
        <v>344</v>
      </c>
      <c r="AC21" s="3" t="s">
        <v>344</v>
      </c>
      <c r="AD21" s="3" t="s">
        <v>345</v>
      </c>
      <c r="AE21" s="3" t="s">
        <v>344</v>
      </c>
      <c r="AF21" s="3" t="s">
        <v>345</v>
      </c>
      <c r="AG21" s="3" t="s">
        <v>344</v>
      </c>
      <c r="AH21" s="3" t="s">
        <v>345</v>
      </c>
      <c r="AI21" s="3" t="s">
        <v>345</v>
      </c>
      <c r="AJ21" s="3" t="s">
        <v>344</v>
      </c>
      <c r="AK21" s="3" t="s">
        <v>345</v>
      </c>
      <c r="AL21" s="3" t="s">
        <v>345</v>
      </c>
      <c r="AM21" s="3" t="s">
        <v>344</v>
      </c>
      <c r="AN21" s="3" t="s">
        <v>344</v>
      </c>
      <c r="AO21" s="3" t="s">
        <v>345</v>
      </c>
      <c r="AP21" s="3" t="s">
        <v>345</v>
      </c>
      <c r="AQ21" s="3" t="s">
        <v>344</v>
      </c>
      <c r="AR21" s="3" t="s">
        <v>345</v>
      </c>
      <c r="AS21" s="3" t="s">
        <v>345</v>
      </c>
      <c r="AT21" s="3" t="s">
        <v>344</v>
      </c>
      <c r="AU21" s="3" t="s">
        <v>345</v>
      </c>
      <c r="AV21" s="3" t="s">
        <v>344</v>
      </c>
      <c r="AW21" s="3" t="s">
        <v>345</v>
      </c>
      <c r="AX21" s="3" t="s">
        <v>344</v>
      </c>
      <c r="AY21" s="3"/>
      <c r="AZ21" s="3"/>
      <c r="BA21" s="3"/>
      <c r="BB21" s="3"/>
      <c r="BC21" s="3"/>
      <c r="BD21" s="3"/>
      <c r="BE21" s="3" t="s">
        <v>349</v>
      </c>
      <c r="BF21" s="3" t="s">
        <v>349</v>
      </c>
      <c r="BG21" s="3" t="s">
        <v>390</v>
      </c>
      <c r="BH21" s="3" t="s">
        <v>390</v>
      </c>
      <c r="BI21" s="3" t="s">
        <v>348</v>
      </c>
      <c r="BJ21" s="3" t="s">
        <v>351</v>
      </c>
      <c r="BK21" s="3" t="s">
        <v>356</v>
      </c>
      <c r="BL21" s="3" t="s">
        <v>352</v>
      </c>
      <c r="BM21" s="3" t="s">
        <v>357</v>
      </c>
      <c r="BN21" s="3" t="s">
        <v>353</v>
      </c>
      <c r="BO21" s="3" t="s">
        <v>355</v>
      </c>
      <c r="BP21" s="3" t="s">
        <v>354</v>
      </c>
      <c r="BQ21" s="3" t="s">
        <v>358</v>
      </c>
      <c r="BR21" s="3" t="s">
        <v>408</v>
      </c>
      <c r="BS21" s="3" t="s">
        <v>353</v>
      </c>
      <c r="BT21" s="3" t="s">
        <v>357</v>
      </c>
      <c r="BU21" s="3" t="s">
        <v>352</v>
      </c>
      <c r="BV21" s="3" t="s">
        <v>355</v>
      </c>
      <c r="BW21" s="3" t="s">
        <v>351</v>
      </c>
      <c r="BX21" s="3" t="s">
        <v>356</v>
      </c>
      <c r="BY21" s="3" t="s">
        <v>354</v>
      </c>
      <c r="BZ21" s="3" t="s">
        <v>354</v>
      </c>
      <c r="CA21" s="3" t="s">
        <v>355</v>
      </c>
      <c r="CB21" s="3" t="s">
        <v>357</v>
      </c>
      <c r="CC21" s="3" t="s">
        <v>351</v>
      </c>
      <c r="CD21" s="3" t="s">
        <v>356</v>
      </c>
      <c r="CE21" s="3" t="s">
        <v>353</v>
      </c>
      <c r="CF21" s="3" t="s">
        <v>352</v>
      </c>
      <c r="CG21" s="3" t="s">
        <v>420</v>
      </c>
      <c r="CH21" s="3" t="s">
        <v>421</v>
      </c>
      <c r="CI21" s="3" t="s">
        <v>420</v>
      </c>
      <c r="CJ21" s="3"/>
      <c r="CK21" s="3" t="s">
        <v>519</v>
      </c>
      <c r="CL21" s="3" t="s">
        <v>344</v>
      </c>
      <c r="CM21" s="3" t="s">
        <v>344</v>
      </c>
      <c r="CN21" s="3" t="s">
        <v>344</v>
      </c>
      <c r="CO21" s="3" t="s">
        <v>345</v>
      </c>
      <c r="CP21" s="3" t="s">
        <v>345</v>
      </c>
      <c r="CQ21" s="3" t="s">
        <v>344</v>
      </c>
      <c r="CR21" s="3" t="s">
        <v>362</v>
      </c>
      <c r="CS21" s="3">
        <v>20</v>
      </c>
      <c r="CT21" s="3">
        <v>100</v>
      </c>
      <c r="CU21" s="3">
        <v>65</v>
      </c>
      <c r="CV21" s="3">
        <v>1</v>
      </c>
      <c r="CW21" s="3" t="s">
        <v>395</v>
      </c>
      <c r="CX21" s="3" t="s">
        <v>395</v>
      </c>
      <c r="CY21" s="3" t="s">
        <v>396</v>
      </c>
      <c r="CZ21" s="3"/>
      <c r="DA21" s="3"/>
      <c r="DB21" s="3"/>
      <c r="DC21" s="3"/>
      <c r="DD21" s="3"/>
      <c r="DE21" s="3" t="s">
        <v>423</v>
      </c>
      <c r="DF21" s="3" t="s">
        <v>423</v>
      </c>
      <c r="DG21" s="3" t="s">
        <v>423</v>
      </c>
      <c r="DH21" s="3" t="s">
        <v>423</v>
      </c>
      <c r="DI21" s="3" t="s">
        <v>423</v>
      </c>
      <c r="DJ21" s="3"/>
      <c r="DK21" s="3" t="s">
        <v>367</v>
      </c>
      <c r="DL21" s="3" t="s">
        <v>368</v>
      </c>
      <c r="DM21" s="3" t="s">
        <v>368</v>
      </c>
      <c r="DN21" s="3" t="s">
        <v>368</v>
      </c>
      <c r="DO21" s="3" t="s">
        <v>368</v>
      </c>
      <c r="DP21" s="3" t="s">
        <v>345</v>
      </c>
      <c r="DQ21" s="3" t="s">
        <v>344</v>
      </c>
      <c r="DR21" s="3" t="s">
        <v>345</v>
      </c>
      <c r="DS21" s="3" t="s">
        <v>344</v>
      </c>
      <c r="DT21" s="3" t="s">
        <v>345</v>
      </c>
      <c r="DU21" s="3" t="s">
        <v>345</v>
      </c>
      <c r="DV21" s="3" t="s">
        <v>345</v>
      </c>
      <c r="DW21" s="3" t="s">
        <v>344</v>
      </c>
      <c r="DX21" s="3" t="s">
        <v>370</v>
      </c>
      <c r="DY21" s="3" t="s">
        <v>370</v>
      </c>
      <c r="DZ21" s="3" t="s">
        <v>370</v>
      </c>
      <c r="EA21" s="3" t="s">
        <v>370</v>
      </c>
      <c r="EB21" s="3" t="s">
        <v>370</v>
      </c>
      <c r="EC21" s="3" t="s">
        <v>370</v>
      </c>
      <c r="ED21" s="3" t="s">
        <v>370</v>
      </c>
      <c r="EE21" s="3" t="s">
        <v>399</v>
      </c>
      <c r="EF21" s="3" t="s">
        <v>370</v>
      </c>
      <c r="EG21" s="3" t="s">
        <v>371</v>
      </c>
      <c r="EH21" s="3" t="s">
        <v>370</v>
      </c>
      <c r="EI21" s="3" t="s">
        <v>370</v>
      </c>
      <c r="EJ21" s="3" t="s">
        <v>370</v>
      </c>
      <c r="EK21" s="3" t="s">
        <v>398</v>
      </c>
      <c r="EL21" s="3" t="s">
        <v>373</v>
      </c>
      <c r="EM21" s="3" t="s">
        <v>374</v>
      </c>
      <c r="EN21" s="3" t="s">
        <v>372</v>
      </c>
      <c r="EO21" s="3"/>
      <c r="EP21" s="3"/>
      <c r="EQ21" s="3" t="s">
        <v>375</v>
      </c>
      <c r="ER21" s="3" t="s">
        <v>376</v>
      </c>
      <c r="ES21" s="3" t="s">
        <v>411</v>
      </c>
      <c r="ET21" s="3" t="s">
        <v>378</v>
      </c>
      <c r="EU21" s="3" t="s">
        <v>378</v>
      </c>
      <c r="EV21" s="3" t="s">
        <v>400</v>
      </c>
      <c r="EW21" s="3"/>
      <c r="EX21" s="3" t="s">
        <v>368</v>
      </c>
      <c r="EY21" s="3" t="s">
        <v>368</v>
      </c>
      <c r="EZ21" s="3" t="s">
        <v>368</v>
      </c>
      <c r="FA21" s="3" t="s">
        <v>345</v>
      </c>
      <c r="FB21" s="3" t="s">
        <v>401</v>
      </c>
      <c r="FC21" s="3"/>
      <c r="FD21" s="3" t="s">
        <v>401</v>
      </c>
      <c r="FE21" s="3"/>
      <c r="FF21" s="3" t="s">
        <v>412</v>
      </c>
      <c r="FG21" s="3" t="s">
        <v>383</v>
      </c>
      <c r="FH21" s="3" t="s">
        <v>451</v>
      </c>
      <c r="FI21" s="3" t="s">
        <v>385</v>
      </c>
      <c r="FJ21" s="3"/>
      <c r="FK21" s="3"/>
      <c r="FL21" s="3"/>
      <c r="FM21" s="3"/>
      <c r="FN21" s="3"/>
      <c r="FO21" s="3"/>
      <c r="FP21" s="3"/>
      <c r="FQ21" s="3"/>
      <c r="FR21" s="3"/>
      <c r="FS21" s="3"/>
      <c r="FT21" s="3"/>
      <c r="FU21" s="3"/>
      <c r="FV21" s="3"/>
      <c r="FW21" s="3"/>
      <c r="FX21" s="3"/>
      <c r="FY21" s="3"/>
      <c r="FZ21" s="3"/>
      <c r="GA21" s="3" t="s">
        <v>368</v>
      </c>
      <c r="GB21" s="3" t="s">
        <v>368</v>
      </c>
      <c r="GC21" s="3" t="s">
        <v>368</v>
      </c>
      <c r="GD21" s="3" t="s">
        <v>368</v>
      </c>
      <c r="GE21" s="3" t="s">
        <v>368</v>
      </c>
      <c r="GF21" s="3" t="s">
        <v>368</v>
      </c>
      <c r="GG21" s="3"/>
      <c r="GH21" s="3"/>
      <c r="GI21" s="3"/>
      <c r="GJ21" s="3"/>
      <c r="GK21" s="3"/>
      <c r="GL21" s="3" t="s">
        <v>344</v>
      </c>
      <c r="GM21" s="3" t="s">
        <v>344</v>
      </c>
      <c r="GN21" s="3" t="s">
        <v>344</v>
      </c>
      <c r="GO21" s="3" t="s">
        <v>344</v>
      </c>
      <c r="GP21" s="3" t="s">
        <v>344</v>
      </c>
      <c r="GQ21" s="3" t="s">
        <v>344</v>
      </c>
      <c r="GR21" s="3" t="s">
        <v>344</v>
      </c>
      <c r="GS21" s="3" t="s">
        <v>344</v>
      </c>
      <c r="GT21" s="3" t="s">
        <v>344</v>
      </c>
      <c r="GU21" s="3" t="s">
        <v>344</v>
      </c>
      <c r="GV21" s="3" t="s">
        <v>344</v>
      </c>
      <c r="GW21" s="3" t="s">
        <v>345</v>
      </c>
      <c r="GX21" s="3" t="s">
        <v>344</v>
      </c>
      <c r="GY21" s="3" t="s">
        <v>344</v>
      </c>
      <c r="GZ21" s="3" t="s">
        <v>344</v>
      </c>
      <c r="HA21" s="3"/>
      <c r="HB21" s="3" t="s">
        <v>344</v>
      </c>
      <c r="HC21" s="3"/>
      <c r="HD21" s="3" t="s">
        <v>344</v>
      </c>
      <c r="HE21" s="3"/>
      <c r="HF21" s="3" t="s">
        <v>344</v>
      </c>
      <c r="HG21" s="3"/>
      <c r="HH21" s="3" t="s">
        <v>344</v>
      </c>
      <c r="HI21" s="3"/>
      <c r="HJ21" s="3" t="s">
        <v>344</v>
      </c>
      <c r="HK21" s="3" t="s">
        <v>344</v>
      </c>
      <c r="HL21" s="3" t="s">
        <v>344</v>
      </c>
      <c r="HM21" s="3" t="s">
        <v>345</v>
      </c>
      <c r="HN21" s="3" t="s">
        <v>344</v>
      </c>
      <c r="HO21" s="3" t="s">
        <v>344</v>
      </c>
      <c r="HP21" s="3" t="s">
        <v>344</v>
      </c>
      <c r="HQ21" s="3" t="s">
        <v>344</v>
      </c>
      <c r="HR21" s="3" t="s">
        <v>344</v>
      </c>
      <c r="HS21" s="3" t="s">
        <v>344</v>
      </c>
      <c r="HT21" s="3" t="s">
        <v>344</v>
      </c>
      <c r="HU21" s="3" t="s">
        <v>344</v>
      </c>
      <c r="HV21" s="3" t="s">
        <v>344</v>
      </c>
      <c r="HW21" s="3" t="s">
        <v>344</v>
      </c>
      <c r="HX21" s="3" t="s">
        <v>344</v>
      </c>
      <c r="HY21" s="3"/>
      <c r="HZ21" s="3" t="s">
        <v>345</v>
      </c>
      <c r="IA21" s="3" t="s">
        <v>520</v>
      </c>
      <c r="IB21" s="3" t="s">
        <v>344</v>
      </c>
      <c r="IC21" s="3"/>
      <c r="ID21" s="3" t="s">
        <v>344</v>
      </c>
      <c r="IE21" s="3"/>
      <c r="IF21" s="3" t="s">
        <v>344</v>
      </c>
      <c r="IG21" s="3"/>
      <c r="IH21" s="3" t="s">
        <v>345</v>
      </c>
      <c r="II21" s="3" t="s">
        <v>345</v>
      </c>
      <c r="IJ21" s="3" t="s">
        <v>344</v>
      </c>
      <c r="IK21" s="3" t="s">
        <v>344</v>
      </c>
      <c r="IL21" s="3" t="s">
        <v>345</v>
      </c>
      <c r="IM21" s="3" t="s">
        <v>345</v>
      </c>
      <c r="IN21" s="3" t="s">
        <v>344</v>
      </c>
      <c r="IO21" s="3" t="s">
        <v>345</v>
      </c>
      <c r="IP21" s="3" t="s">
        <v>345</v>
      </c>
      <c r="IQ21" s="3" t="s">
        <v>344</v>
      </c>
      <c r="IR21" s="3" t="s">
        <v>345</v>
      </c>
      <c r="IS21" s="3" t="s">
        <v>344</v>
      </c>
      <c r="IT21" s="3"/>
      <c r="IU21" s="3"/>
      <c r="IV21" s="3"/>
      <c r="IW21" s="3"/>
      <c r="IX21" s="3"/>
      <c r="IY21" s="3"/>
      <c r="IZ21" s="3"/>
      <c r="JA21" s="3"/>
      <c r="JB21" s="3"/>
      <c r="JC21" s="3"/>
      <c r="JD21" s="3"/>
      <c r="JE21" s="3"/>
      <c r="JF21" s="3"/>
      <c r="JG21" s="3"/>
      <c r="JH21" s="3"/>
    </row>
    <row r="22" spans="1:268" x14ac:dyDescent="0.3">
      <c r="A22" s="2" t="s">
        <v>338</v>
      </c>
      <c r="B22" s="3">
        <v>74</v>
      </c>
      <c r="C22" s="3" t="s">
        <v>480</v>
      </c>
      <c r="D22" s="3">
        <v>14</v>
      </c>
      <c r="E22" s="3" t="s">
        <v>387</v>
      </c>
      <c r="F22" s="3">
        <v>1257458035</v>
      </c>
      <c r="G22" s="3" t="s">
        <v>521</v>
      </c>
      <c r="H22" s="3" t="s">
        <v>480</v>
      </c>
      <c r="I22" s="3" t="s">
        <v>342</v>
      </c>
      <c r="J22" s="3">
        <v>18</v>
      </c>
      <c r="K22" s="3" t="s">
        <v>389</v>
      </c>
      <c r="L22" s="3"/>
      <c r="M22" s="3" t="s">
        <v>344</v>
      </c>
      <c r="N22" s="3" t="s">
        <v>345</v>
      </c>
      <c r="O22" s="3" t="s">
        <v>344</v>
      </c>
      <c r="P22" s="3" t="s">
        <v>344</v>
      </c>
      <c r="Q22" s="3" t="s">
        <v>344</v>
      </c>
      <c r="R22" s="3"/>
      <c r="S22" s="3" t="s">
        <v>522</v>
      </c>
      <c r="T22" s="3"/>
      <c r="U22" s="3" t="s">
        <v>523</v>
      </c>
      <c r="V22" s="3"/>
      <c r="W22" s="3" t="s">
        <v>345</v>
      </c>
      <c r="X22" s="3" t="s">
        <v>345</v>
      </c>
      <c r="Y22" s="3" t="s">
        <v>344</v>
      </c>
      <c r="Z22" s="3" t="s">
        <v>344</v>
      </c>
      <c r="AA22" s="3" t="s">
        <v>344</v>
      </c>
      <c r="AB22" s="3" t="s">
        <v>344</v>
      </c>
      <c r="AC22" s="3" t="s">
        <v>344</v>
      </c>
      <c r="AD22" s="3" t="s">
        <v>345</v>
      </c>
      <c r="AE22" s="3" t="s">
        <v>345</v>
      </c>
      <c r="AF22" s="3" t="s">
        <v>344</v>
      </c>
      <c r="AG22" s="3" t="s">
        <v>344</v>
      </c>
      <c r="AH22" s="3" t="s">
        <v>345</v>
      </c>
      <c r="AI22" s="3" t="s">
        <v>344</v>
      </c>
      <c r="AJ22" s="3" t="s">
        <v>344</v>
      </c>
      <c r="AK22" s="3" t="s">
        <v>368</v>
      </c>
      <c r="AL22" s="3" t="s">
        <v>368</v>
      </c>
      <c r="AM22" s="3" t="s">
        <v>368</v>
      </c>
      <c r="AN22" s="3" t="s">
        <v>368</v>
      </c>
      <c r="AO22" s="3" t="s">
        <v>368</v>
      </c>
      <c r="AP22" s="3" t="s">
        <v>368</v>
      </c>
      <c r="AQ22" s="3" t="s">
        <v>345</v>
      </c>
      <c r="AR22" s="3" t="s">
        <v>345</v>
      </c>
      <c r="AS22" s="3" t="s">
        <v>344</v>
      </c>
      <c r="AT22" s="3" t="s">
        <v>344</v>
      </c>
      <c r="AU22" s="3" t="s">
        <v>345</v>
      </c>
      <c r="AV22" s="3" t="s">
        <v>345</v>
      </c>
      <c r="AW22" s="3" t="s">
        <v>344</v>
      </c>
      <c r="AX22" s="3" t="s">
        <v>344</v>
      </c>
      <c r="AY22" s="3"/>
      <c r="AZ22" s="3"/>
      <c r="BA22" s="3"/>
      <c r="BB22" s="3"/>
      <c r="BC22" s="3"/>
      <c r="BD22" s="3"/>
      <c r="BE22" s="3" t="s">
        <v>348</v>
      </c>
      <c r="BF22" s="3" t="s">
        <v>390</v>
      </c>
      <c r="BG22" s="3" t="s">
        <v>390</v>
      </c>
      <c r="BH22" s="3" t="s">
        <v>390</v>
      </c>
      <c r="BI22" s="3" t="s">
        <v>349</v>
      </c>
      <c r="BJ22" s="3" t="s">
        <v>356</v>
      </c>
      <c r="BK22" s="3" t="s">
        <v>391</v>
      </c>
      <c r="BL22" s="3" t="s">
        <v>354</v>
      </c>
      <c r="BM22" s="3" t="s">
        <v>391</v>
      </c>
      <c r="BN22" s="3" t="s">
        <v>353</v>
      </c>
      <c r="BO22" s="3" t="s">
        <v>391</v>
      </c>
      <c r="BP22" s="3" t="s">
        <v>391</v>
      </c>
      <c r="BQ22" s="3" t="s">
        <v>419</v>
      </c>
      <c r="BR22" s="3" t="s">
        <v>408</v>
      </c>
      <c r="BS22" s="3" t="s">
        <v>353</v>
      </c>
      <c r="BT22" s="3" t="s">
        <v>354</v>
      </c>
      <c r="BU22" s="3" t="s">
        <v>351</v>
      </c>
      <c r="BV22" s="3" t="s">
        <v>351</v>
      </c>
      <c r="BW22" s="3" t="s">
        <v>351</v>
      </c>
      <c r="BX22" s="3" t="s">
        <v>356</v>
      </c>
      <c r="BY22" s="3" t="s">
        <v>357</v>
      </c>
      <c r="BZ22" s="3" t="s">
        <v>355</v>
      </c>
      <c r="CA22" s="3" t="s">
        <v>354</v>
      </c>
      <c r="CB22" s="3" t="s">
        <v>357</v>
      </c>
      <c r="CC22" s="3" t="s">
        <v>355</v>
      </c>
      <c r="CD22" s="3" t="s">
        <v>356</v>
      </c>
      <c r="CE22" s="3" t="s">
        <v>352</v>
      </c>
      <c r="CF22" s="3" t="s">
        <v>391</v>
      </c>
      <c r="CG22" s="3" t="s">
        <v>392</v>
      </c>
      <c r="CH22" s="3" t="s">
        <v>421</v>
      </c>
      <c r="CI22" s="3" t="s">
        <v>420</v>
      </c>
      <c r="CJ22" s="3"/>
      <c r="CK22" s="3" t="s">
        <v>391</v>
      </c>
      <c r="CL22" s="3" t="s">
        <v>344</v>
      </c>
      <c r="CM22" s="3" t="s">
        <v>344</v>
      </c>
      <c r="CN22" s="3" t="s">
        <v>344</v>
      </c>
      <c r="CO22" s="3" t="s">
        <v>345</v>
      </c>
      <c r="CP22" s="3" t="s">
        <v>345</v>
      </c>
      <c r="CQ22" s="3" t="s">
        <v>344</v>
      </c>
      <c r="CR22" s="3" t="s">
        <v>410</v>
      </c>
      <c r="CS22" s="3">
        <v>69</v>
      </c>
      <c r="CT22" s="3">
        <v>50</v>
      </c>
      <c r="CU22" s="3">
        <v>72</v>
      </c>
      <c r="CV22" s="3">
        <v>100</v>
      </c>
      <c r="CW22" s="3" t="s">
        <v>395</v>
      </c>
      <c r="CX22" s="3" t="s">
        <v>395</v>
      </c>
      <c r="CY22" s="3" t="s">
        <v>396</v>
      </c>
      <c r="CZ22" s="3"/>
      <c r="DA22" s="3"/>
      <c r="DB22" s="3"/>
      <c r="DC22" s="3"/>
      <c r="DD22" s="3"/>
      <c r="DE22" s="3" t="s">
        <v>423</v>
      </c>
      <c r="DF22" s="3" t="s">
        <v>365</v>
      </c>
      <c r="DG22" s="3" t="s">
        <v>366</v>
      </c>
      <c r="DH22" s="3" t="s">
        <v>397</v>
      </c>
      <c r="DI22" s="3" t="s">
        <v>365</v>
      </c>
      <c r="DJ22" s="3"/>
      <c r="DK22" s="3" t="s">
        <v>515</v>
      </c>
      <c r="DL22" s="3" t="s">
        <v>368</v>
      </c>
      <c r="DM22" s="3" t="s">
        <v>368</v>
      </c>
      <c r="DN22" s="3" t="s">
        <v>368</v>
      </c>
      <c r="DO22" s="3" t="s">
        <v>345</v>
      </c>
      <c r="DP22" s="3" t="s">
        <v>344</v>
      </c>
      <c r="DQ22" s="3" t="s">
        <v>345</v>
      </c>
      <c r="DR22" s="3" t="s">
        <v>344</v>
      </c>
      <c r="DS22" s="3" t="s">
        <v>344</v>
      </c>
      <c r="DT22" s="3" t="s">
        <v>368</v>
      </c>
      <c r="DU22" s="3" t="s">
        <v>368</v>
      </c>
      <c r="DV22" s="3" t="s">
        <v>368</v>
      </c>
      <c r="DW22" s="3" t="s">
        <v>345</v>
      </c>
      <c r="DX22" s="3" t="s">
        <v>369</v>
      </c>
      <c r="DY22" s="3" t="s">
        <v>370</v>
      </c>
      <c r="DZ22" s="3" t="s">
        <v>371</v>
      </c>
      <c r="EA22" s="3" t="s">
        <v>370</v>
      </c>
      <c r="EB22" s="3" t="s">
        <v>370</v>
      </c>
      <c r="EC22" s="3" t="s">
        <v>370</v>
      </c>
      <c r="ED22" s="3" t="s">
        <v>370</v>
      </c>
      <c r="EE22" s="3" t="s">
        <v>370</v>
      </c>
      <c r="EF22" s="3" t="s">
        <v>370</v>
      </c>
      <c r="EG22" s="3" t="s">
        <v>370</v>
      </c>
      <c r="EH22" s="3" t="s">
        <v>370</v>
      </c>
      <c r="EI22" s="3" t="s">
        <v>370</v>
      </c>
      <c r="EJ22" s="3" t="s">
        <v>370</v>
      </c>
      <c r="EK22" s="3" t="s">
        <v>370</v>
      </c>
      <c r="EL22" s="3" t="s">
        <v>440</v>
      </c>
      <c r="EM22" s="3" t="s">
        <v>424</v>
      </c>
      <c r="EN22" s="3" t="s">
        <v>373</v>
      </c>
      <c r="EO22" s="3"/>
      <c r="EP22" s="3"/>
      <c r="EQ22" s="3" t="s">
        <v>375</v>
      </c>
      <c r="ER22" s="3" t="s">
        <v>375</v>
      </c>
      <c r="ES22" s="3" t="s">
        <v>375</v>
      </c>
      <c r="ET22" s="3" t="s">
        <v>375</v>
      </c>
      <c r="EU22" s="3" t="s">
        <v>375</v>
      </c>
      <c r="EV22" s="3" t="s">
        <v>400</v>
      </c>
      <c r="EW22" s="3"/>
      <c r="EX22" s="3" t="s">
        <v>368</v>
      </c>
      <c r="EY22" s="3" t="s">
        <v>368</v>
      </c>
      <c r="EZ22" s="3" t="s">
        <v>368</v>
      </c>
      <c r="FA22" s="3" t="s">
        <v>345</v>
      </c>
      <c r="FB22" s="3" t="s">
        <v>401</v>
      </c>
      <c r="FC22" s="3"/>
      <c r="FD22" s="3" t="s">
        <v>401</v>
      </c>
      <c r="FE22" s="3"/>
      <c r="FF22" s="3" t="s">
        <v>412</v>
      </c>
      <c r="FG22" s="3" t="s">
        <v>413</v>
      </c>
      <c r="FH22" s="3" t="s">
        <v>384</v>
      </c>
      <c r="FI22" s="3" t="s">
        <v>385</v>
      </c>
      <c r="FJ22" s="3"/>
      <c r="FK22" s="3"/>
      <c r="FL22" s="3"/>
      <c r="FM22" s="3"/>
      <c r="FN22" s="3"/>
      <c r="FO22" s="3"/>
      <c r="FP22" s="3"/>
      <c r="FQ22" s="3"/>
      <c r="FR22" s="3"/>
      <c r="FS22" s="3"/>
      <c r="FT22" s="3"/>
      <c r="FU22" s="3"/>
      <c r="FV22" s="3"/>
      <c r="FW22" s="3"/>
      <c r="FX22" s="3"/>
      <c r="FY22" s="3"/>
      <c r="FZ22" s="3"/>
      <c r="GA22" s="3" t="s">
        <v>368</v>
      </c>
      <c r="GB22" s="3" t="s">
        <v>368</v>
      </c>
      <c r="GC22" s="3" t="s">
        <v>368</v>
      </c>
      <c r="GD22" s="3" t="s">
        <v>368</v>
      </c>
      <c r="GE22" s="3" t="s">
        <v>368</v>
      </c>
      <c r="GF22" s="3" t="s">
        <v>368</v>
      </c>
      <c r="GG22" s="3"/>
      <c r="GH22" s="3"/>
      <c r="GI22" s="3"/>
      <c r="GJ22" s="3"/>
      <c r="GK22" s="3"/>
      <c r="GL22" s="3" t="s">
        <v>344</v>
      </c>
      <c r="GM22" s="3" t="s">
        <v>344</v>
      </c>
      <c r="GN22" s="3" t="s">
        <v>344</v>
      </c>
      <c r="GO22" s="3" t="s">
        <v>344</v>
      </c>
      <c r="GP22" s="3" t="s">
        <v>344</v>
      </c>
      <c r="GQ22" s="3" t="s">
        <v>344</v>
      </c>
      <c r="GR22" s="3" t="s">
        <v>344</v>
      </c>
      <c r="GS22" s="3" t="s">
        <v>344</v>
      </c>
      <c r="GT22" s="3" t="s">
        <v>344</v>
      </c>
      <c r="GU22" s="3" t="s">
        <v>344</v>
      </c>
      <c r="GV22" s="3" t="s">
        <v>344</v>
      </c>
      <c r="GW22" s="3" t="s">
        <v>344</v>
      </c>
      <c r="GX22" s="3" t="s">
        <v>344</v>
      </c>
      <c r="GY22" s="3" t="s">
        <v>344</v>
      </c>
      <c r="GZ22" s="3" t="s">
        <v>345</v>
      </c>
      <c r="HA22" s="3"/>
      <c r="HB22" s="3" t="s">
        <v>344</v>
      </c>
      <c r="HC22" s="3"/>
      <c r="HD22" s="3" t="s">
        <v>344</v>
      </c>
      <c r="HE22" s="3"/>
      <c r="HF22" s="3" t="s">
        <v>344</v>
      </c>
      <c r="HG22" s="3"/>
      <c r="HH22" s="3" t="s">
        <v>344</v>
      </c>
      <c r="HI22" s="3"/>
      <c r="HJ22" s="3" t="s">
        <v>344</v>
      </c>
      <c r="HK22" s="3" t="s">
        <v>345</v>
      </c>
      <c r="HL22" s="3" t="s">
        <v>344</v>
      </c>
      <c r="HM22" s="3" t="s">
        <v>344</v>
      </c>
      <c r="HN22" s="3" t="s">
        <v>344</v>
      </c>
      <c r="HO22" s="3" t="s">
        <v>344</v>
      </c>
      <c r="HP22" s="3" t="s">
        <v>344</v>
      </c>
      <c r="HQ22" s="3" t="s">
        <v>344</v>
      </c>
      <c r="HR22" s="3" t="s">
        <v>344</v>
      </c>
      <c r="HS22" s="3" t="s">
        <v>344</v>
      </c>
      <c r="HT22" s="3" t="s">
        <v>344</v>
      </c>
      <c r="HU22" s="3" t="s">
        <v>345</v>
      </c>
      <c r="HV22" s="3" t="s">
        <v>344</v>
      </c>
      <c r="HW22" s="3" t="s">
        <v>344</v>
      </c>
      <c r="HX22" s="3" t="s">
        <v>344</v>
      </c>
      <c r="HY22" s="3"/>
      <c r="HZ22" s="3" t="s">
        <v>344</v>
      </c>
      <c r="IA22" s="3"/>
      <c r="IB22" s="3" t="s">
        <v>344</v>
      </c>
      <c r="IC22" s="3"/>
      <c r="ID22" s="3" t="s">
        <v>344</v>
      </c>
      <c r="IE22" s="3"/>
      <c r="IF22" s="3" t="s">
        <v>344</v>
      </c>
      <c r="IG22" s="3"/>
      <c r="IH22" s="3" t="s">
        <v>345</v>
      </c>
      <c r="II22" s="3" t="s">
        <v>345</v>
      </c>
      <c r="IJ22" s="3" t="s">
        <v>344</v>
      </c>
      <c r="IK22" s="3" t="s">
        <v>345</v>
      </c>
      <c r="IL22" s="3" t="s">
        <v>345</v>
      </c>
      <c r="IM22" s="3" t="s">
        <v>344</v>
      </c>
      <c r="IN22" s="3" t="s">
        <v>344</v>
      </c>
      <c r="IO22" s="3" t="s">
        <v>345</v>
      </c>
      <c r="IP22" s="3" t="s">
        <v>345</v>
      </c>
      <c r="IQ22" s="3" t="s">
        <v>344</v>
      </c>
      <c r="IR22" s="3" t="s">
        <v>345</v>
      </c>
      <c r="IS22" s="3" t="s">
        <v>344</v>
      </c>
      <c r="IT22" s="3"/>
      <c r="IU22" s="3"/>
      <c r="IV22" s="3"/>
      <c r="IW22" s="3"/>
      <c r="IX22" s="3"/>
      <c r="IY22" s="3"/>
      <c r="IZ22" s="3"/>
      <c r="JA22" s="3"/>
      <c r="JB22" s="3"/>
      <c r="JC22" s="3"/>
      <c r="JD22" s="3"/>
      <c r="JE22" s="3"/>
      <c r="JF22" s="3"/>
      <c r="JG22" s="3"/>
      <c r="JH22" s="3"/>
    </row>
    <row r="23" spans="1:268" x14ac:dyDescent="0.3">
      <c r="A23" s="2" t="s">
        <v>338</v>
      </c>
      <c r="B23" s="3">
        <v>75</v>
      </c>
      <c r="C23" s="3" t="s">
        <v>524</v>
      </c>
      <c r="D23" s="3">
        <v>14</v>
      </c>
      <c r="E23" s="3" t="s">
        <v>340</v>
      </c>
      <c r="F23" s="3">
        <v>557994468</v>
      </c>
      <c r="G23" s="3" t="s">
        <v>525</v>
      </c>
      <c r="H23" s="3" t="s">
        <v>524</v>
      </c>
      <c r="I23" s="3" t="s">
        <v>469</v>
      </c>
      <c r="J23" s="3">
        <v>18</v>
      </c>
      <c r="K23" s="3" t="s">
        <v>389</v>
      </c>
      <c r="L23" s="3"/>
      <c r="M23" s="3" t="s">
        <v>344</v>
      </c>
      <c r="N23" s="3" t="s">
        <v>345</v>
      </c>
      <c r="O23" s="3" t="s">
        <v>344</v>
      </c>
      <c r="P23" s="3" t="s">
        <v>344</v>
      </c>
      <c r="Q23" s="3" t="s">
        <v>344</v>
      </c>
      <c r="R23" s="3"/>
      <c r="S23" s="3" t="s">
        <v>346</v>
      </c>
      <c r="T23" s="3"/>
      <c r="U23" s="3" t="s">
        <v>418</v>
      </c>
      <c r="V23" s="3"/>
      <c r="W23" s="3" t="s">
        <v>368</v>
      </c>
      <c r="X23" s="3" t="s">
        <v>368</v>
      </c>
      <c r="Y23" s="3" t="s">
        <v>368</v>
      </c>
      <c r="Z23" s="3" t="s">
        <v>368</v>
      </c>
      <c r="AA23" s="3" t="s">
        <v>368</v>
      </c>
      <c r="AB23" s="3" t="s">
        <v>368</v>
      </c>
      <c r="AC23" s="3" t="s">
        <v>345</v>
      </c>
      <c r="AD23" s="3" t="s">
        <v>344</v>
      </c>
      <c r="AE23" s="3" t="s">
        <v>344</v>
      </c>
      <c r="AF23" s="3" t="s">
        <v>344</v>
      </c>
      <c r="AG23" s="3" t="s">
        <v>344</v>
      </c>
      <c r="AH23" s="3" t="s">
        <v>345</v>
      </c>
      <c r="AI23" s="3" t="s">
        <v>344</v>
      </c>
      <c r="AJ23" s="3" t="s">
        <v>344</v>
      </c>
      <c r="AK23" s="3" t="s">
        <v>344</v>
      </c>
      <c r="AL23" s="3" t="s">
        <v>345</v>
      </c>
      <c r="AM23" s="3" t="s">
        <v>344</v>
      </c>
      <c r="AN23" s="3" t="s">
        <v>344</v>
      </c>
      <c r="AO23" s="3" t="s">
        <v>344</v>
      </c>
      <c r="AP23" s="3" t="s">
        <v>344</v>
      </c>
      <c r="AQ23" s="3" t="s">
        <v>344</v>
      </c>
      <c r="AR23" s="3" t="s">
        <v>344</v>
      </c>
      <c r="AS23" s="3" t="s">
        <v>345</v>
      </c>
      <c r="AT23" s="3" t="s">
        <v>344</v>
      </c>
      <c r="AU23" s="3" t="s">
        <v>344</v>
      </c>
      <c r="AV23" s="3" t="s">
        <v>344</v>
      </c>
      <c r="AW23" s="3" t="s">
        <v>344</v>
      </c>
      <c r="AX23" s="3" t="s">
        <v>344</v>
      </c>
      <c r="AY23" s="3"/>
      <c r="AZ23" s="3"/>
      <c r="BA23" s="3"/>
      <c r="BB23" s="3"/>
      <c r="BC23" s="3"/>
      <c r="BD23" s="3"/>
      <c r="BE23" s="3" t="s">
        <v>390</v>
      </c>
      <c r="BF23" s="3" t="s">
        <v>390</v>
      </c>
      <c r="BG23" s="3" t="s">
        <v>390</v>
      </c>
      <c r="BH23" s="3" t="s">
        <v>390</v>
      </c>
      <c r="BI23" s="3" t="s">
        <v>390</v>
      </c>
      <c r="BJ23" s="3" t="s">
        <v>391</v>
      </c>
      <c r="BK23" s="3" t="s">
        <v>391</v>
      </c>
      <c r="BL23" s="3" t="s">
        <v>391</v>
      </c>
      <c r="BM23" s="3" t="s">
        <v>391</v>
      </c>
      <c r="BN23" s="3" t="s">
        <v>391</v>
      </c>
      <c r="BO23" s="3" t="s">
        <v>391</v>
      </c>
      <c r="BP23" s="3" t="s">
        <v>391</v>
      </c>
      <c r="BQ23" s="3" t="s">
        <v>419</v>
      </c>
      <c r="BR23" s="3" t="s">
        <v>429</v>
      </c>
      <c r="BS23" s="3" t="s">
        <v>391</v>
      </c>
      <c r="BT23" s="3" t="s">
        <v>391</v>
      </c>
      <c r="BU23" s="3" t="s">
        <v>391</v>
      </c>
      <c r="BV23" s="3" t="s">
        <v>391</v>
      </c>
      <c r="BW23" s="3" t="s">
        <v>391</v>
      </c>
      <c r="BX23" s="3" t="s">
        <v>391</v>
      </c>
      <c r="BY23" s="3" t="s">
        <v>391</v>
      </c>
      <c r="BZ23" s="3" t="s">
        <v>391</v>
      </c>
      <c r="CA23" s="3" t="s">
        <v>391</v>
      </c>
      <c r="CB23" s="3" t="s">
        <v>391</v>
      </c>
      <c r="CC23" s="3" t="s">
        <v>391</v>
      </c>
      <c r="CD23" s="3" t="s">
        <v>391</v>
      </c>
      <c r="CE23" s="3" t="s">
        <v>391</v>
      </c>
      <c r="CF23" s="3" t="s">
        <v>391</v>
      </c>
      <c r="CG23" s="3" t="s">
        <v>421</v>
      </c>
      <c r="CH23" s="3" t="s">
        <v>421</v>
      </c>
      <c r="CI23" s="3" t="s">
        <v>421</v>
      </c>
      <c r="CJ23" s="3"/>
      <c r="CK23" s="3" t="s">
        <v>510</v>
      </c>
      <c r="CL23" s="3" t="s">
        <v>344</v>
      </c>
      <c r="CM23" s="3" t="s">
        <v>344</v>
      </c>
      <c r="CN23" s="3" t="s">
        <v>344</v>
      </c>
      <c r="CO23" s="3" t="s">
        <v>344</v>
      </c>
      <c r="CP23" s="3" t="s">
        <v>345</v>
      </c>
      <c r="CQ23" s="3" t="s">
        <v>344</v>
      </c>
      <c r="CR23" s="3" t="s">
        <v>362</v>
      </c>
      <c r="CS23" s="3">
        <v>50</v>
      </c>
      <c r="CT23" s="3">
        <v>26</v>
      </c>
      <c r="CU23" s="3">
        <v>63</v>
      </c>
      <c r="CV23" s="3">
        <v>100</v>
      </c>
      <c r="CW23" s="3" t="s">
        <v>396</v>
      </c>
      <c r="CX23" s="3" t="s">
        <v>396</v>
      </c>
      <c r="CY23" s="3" t="s">
        <v>396</v>
      </c>
      <c r="CZ23" s="3"/>
      <c r="DA23" s="3"/>
      <c r="DB23" s="3"/>
      <c r="DC23" s="3"/>
      <c r="DD23" s="3"/>
      <c r="DE23" s="3" t="s">
        <v>423</v>
      </c>
      <c r="DF23" s="3" t="s">
        <v>423</v>
      </c>
      <c r="DG23" s="3" t="s">
        <v>365</v>
      </c>
      <c r="DH23" s="3" t="s">
        <v>423</v>
      </c>
      <c r="DI23" s="3" t="s">
        <v>423</v>
      </c>
      <c r="DJ23" s="3"/>
      <c r="DK23" s="3" t="s">
        <v>492</v>
      </c>
      <c r="DL23" s="3" t="s">
        <v>368</v>
      </c>
      <c r="DM23" s="3" t="s">
        <v>368</v>
      </c>
      <c r="DN23" s="3" t="s">
        <v>368</v>
      </c>
      <c r="DO23" s="3" t="s">
        <v>345</v>
      </c>
      <c r="DP23" s="3" t="s">
        <v>368</v>
      </c>
      <c r="DQ23" s="3" t="s">
        <v>368</v>
      </c>
      <c r="DR23" s="3" t="s">
        <v>368</v>
      </c>
      <c r="DS23" s="3" t="s">
        <v>345</v>
      </c>
      <c r="DT23" s="3" t="s">
        <v>368</v>
      </c>
      <c r="DU23" s="3" t="s">
        <v>368</v>
      </c>
      <c r="DV23" s="3" t="s">
        <v>368</v>
      </c>
      <c r="DW23" s="3" t="s">
        <v>345</v>
      </c>
      <c r="DX23" s="3" t="s">
        <v>369</v>
      </c>
      <c r="DY23" s="3" t="s">
        <v>399</v>
      </c>
      <c r="DZ23" s="3" t="s">
        <v>371</v>
      </c>
      <c r="EA23" s="3" t="s">
        <v>399</v>
      </c>
      <c r="EB23" s="3" t="s">
        <v>369</v>
      </c>
      <c r="EC23" s="3" t="s">
        <v>399</v>
      </c>
      <c r="ED23" s="3" t="s">
        <v>398</v>
      </c>
      <c r="EE23" s="3" t="s">
        <v>370</v>
      </c>
      <c r="EF23" s="3" t="s">
        <v>370</v>
      </c>
      <c r="EG23" s="3" t="s">
        <v>370</v>
      </c>
      <c r="EH23" s="3" t="s">
        <v>370</v>
      </c>
      <c r="EI23" s="3" t="s">
        <v>370</v>
      </c>
      <c r="EJ23" s="3" t="s">
        <v>370</v>
      </c>
      <c r="EK23" s="3" t="s">
        <v>370</v>
      </c>
      <c r="EL23" s="3" t="s">
        <v>373</v>
      </c>
      <c r="EM23" s="3" t="s">
        <v>372</v>
      </c>
      <c r="EN23" s="3" t="s">
        <v>374</v>
      </c>
      <c r="EO23" s="3"/>
      <c r="EP23" s="3"/>
      <c r="EQ23" s="3" t="s">
        <v>375</v>
      </c>
      <c r="ER23" s="3" t="s">
        <v>375</v>
      </c>
      <c r="ES23" s="3" t="s">
        <v>375</v>
      </c>
      <c r="ET23" s="3" t="s">
        <v>375</v>
      </c>
      <c r="EU23" s="3" t="s">
        <v>375</v>
      </c>
      <c r="EV23" s="3" t="s">
        <v>400</v>
      </c>
      <c r="EW23" s="3"/>
      <c r="EX23" s="3" t="s">
        <v>368</v>
      </c>
      <c r="EY23" s="3" t="s">
        <v>368</v>
      </c>
      <c r="EZ23" s="3" t="s">
        <v>368</v>
      </c>
      <c r="FA23" s="3" t="s">
        <v>345</v>
      </c>
      <c r="FB23" s="3" t="s">
        <v>380</v>
      </c>
      <c r="FC23" s="3"/>
      <c r="FD23" s="3" t="s">
        <v>401</v>
      </c>
      <c r="FE23" s="3"/>
      <c r="FF23" s="3" t="s">
        <v>382</v>
      </c>
      <c r="FG23" s="3" t="s">
        <v>383</v>
      </c>
      <c r="FH23" s="3" t="s">
        <v>451</v>
      </c>
      <c r="FI23" s="3" t="s">
        <v>403</v>
      </c>
      <c r="FJ23" s="3"/>
      <c r="FK23" s="3"/>
      <c r="FL23" s="3"/>
      <c r="FM23" s="3"/>
      <c r="FN23" s="3"/>
      <c r="FO23" s="3"/>
      <c r="FP23" s="3"/>
      <c r="FQ23" s="3"/>
      <c r="FR23" s="3"/>
      <c r="FS23" s="3"/>
      <c r="FT23" s="3"/>
      <c r="FU23" s="3"/>
      <c r="FV23" s="3"/>
      <c r="FW23" s="3"/>
      <c r="FX23" s="3"/>
      <c r="FY23" s="3"/>
      <c r="FZ23" s="3"/>
      <c r="GA23" s="3" t="s">
        <v>368</v>
      </c>
      <c r="GB23" s="3" t="s">
        <v>368</v>
      </c>
      <c r="GC23" s="3" t="s">
        <v>368</v>
      </c>
      <c r="GD23" s="3" t="s">
        <v>368</v>
      </c>
      <c r="GE23" s="3" t="s">
        <v>368</v>
      </c>
      <c r="GF23" s="3" t="s">
        <v>368</v>
      </c>
      <c r="GG23" s="3"/>
      <c r="GH23" s="3"/>
      <c r="GI23" s="3"/>
      <c r="GJ23" s="3"/>
      <c r="GK23" s="3"/>
      <c r="GL23" s="3" t="s">
        <v>344</v>
      </c>
      <c r="GM23" s="3" t="s">
        <v>344</v>
      </c>
      <c r="GN23" s="3" t="s">
        <v>344</v>
      </c>
      <c r="GO23" s="3" t="s">
        <v>344</v>
      </c>
      <c r="GP23" s="3" t="s">
        <v>344</v>
      </c>
      <c r="GQ23" s="3" t="s">
        <v>344</v>
      </c>
      <c r="GR23" s="3" t="s">
        <v>344</v>
      </c>
      <c r="GS23" s="3" t="s">
        <v>344</v>
      </c>
      <c r="GT23" s="3" t="s">
        <v>344</v>
      </c>
      <c r="GU23" s="3" t="s">
        <v>344</v>
      </c>
      <c r="GV23" s="3" t="s">
        <v>344</v>
      </c>
      <c r="GW23" s="3" t="s">
        <v>344</v>
      </c>
      <c r="GX23" s="3" t="s">
        <v>344</v>
      </c>
      <c r="GY23" s="3" t="s">
        <v>344</v>
      </c>
      <c r="GZ23" s="3" t="s">
        <v>345</v>
      </c>
      <c r="HA23" s="3"/>
      <c r="HB23" s="3" t="s">
        <v>345</v>
      </c>
      <c r="HC23" s="3" t="s">
        <v>511</v>
      </c>
      <c r="HD23" s="3" t="s">
        <v>345</v>
      </c>
      <c r="HE23" s="3" t="s">
        <v>511</v>
      </c>
      <c r="HF23" s="3" t="s">
        <v>345</v>
      </c>
      <c r="HG23" s="3" t="s">
        <v>511</v>
      </c>
      <c r="HH23" s="3" t="s">
        <v>345</v>
      </c>
      <c r="HI23" s="3" t="s">
        <v>511</v>
      </c>
      <c r="HJ23" s="3" t="s">
        <v>344</v>
      </c>
      <c r="HK23" s="3" t="s">
        <v>344</v>
      </c>
      <c r="HL23" s="3" t="s">
        <v>344</v>
      </c>
      <c r="HM23" s="3" t="s">
        <v>344</v>
      </c>
      <c r="HN23" s="3" t="s">
        <v>344</v>
      </c>
      <c r="HO23" s="3" t="s">
        <v>344</v>
      </c>
      <c r="HP23" s="3" t="s">
        <v>344</v>
      </c>
      <c r="HQ23" s="3" t="s">
        <v>344</v>
      </c>
      <c r="HR23" s="3" t="s">
        <v>344</v>
      </c>
      <c r="HS23" s="3" t="s">
        <v>344</v>
      </c>
      <c r="HT23" s="3" t="s">
        <v>344</v>
      </c>
      <c r="HU23" s="3" t="s">
        <v>344</v>
      </c>
      <c r="HV23" s="3" t="s">
        <v>344</v>
      </c>
      <c r="HW23" s="3" t="s">
        <v>344</v>
      </c>
      <c r="HX23" s="3" t="s">
        <v>345</v>
      </c>
      <c r="HY23" s="3"/>
      <c r="HZ23" s="3" t="s">
        <v>345</v>
      </c>
      <c r="IA23" s="3" t="s">
        <v>511</v>
      </c>
      <c r="IB23" s="3" t="s">
        <v>345</v>
      </c>
      <c r="IC23" s="3" t="s">
        <v>511</v>
      </c>
      <c r="ID23" s="3" t="s">
        <v>345</v>
      </c>
      <c r="IE23" s="3" t="s">
        <v>511</v>
      </c>
      <c r="IF23" s="3" t="s">
        <v>345</v>
      </c>
      <c r="IG23" s="3" t="s">
        <v>511</v>
      </c>
      <c r="IH23" s="3" t="s">
        <v>345</v>
      </c>
      <c r="II23" s="3" t="s">
        <v>345</v>
      </c>
      <c r="IJ23" s="3" t="s">
        <v>345</v>
      </c>
      <c r="IK23" s="3" t="s">
        <v>345</v>
      </c>
      <c r="IL23" s="3" t="s">
        <v>345</v>
      </c>
      <c r="IM23" s="3" t="s">
        <v>345</v>
      </c>
      <c r="IN23" s="3" t="s">
        <v>344</v>
      </c>
      <c r="IO23" s="3" t="s">
        <v>345</v>
      </c>
      <c r="IP23" s="3" t="s">
        <v>344</v>
      </c>
      <c r="IQ23" s="3" t="s">
        <v>344</v>
      </c>
      <c r="IR23" s="3" t="s">
        <v>344</v>
      </c>
      <c r="IS23" s="3" t="s">
        <v>344</v>
      </c>
      <c r="IT23" s="3"/>
      <c r="IU23" s="3" t="s">
        <v>511</v>
      </c>
      <c r="IV23" s="3"/>
      <c r="IW23" s="3"/>
      <c r="IX23" s="3"/>
      <c r="IY23" s="3"/>
      <c r="IZ23" s="3"/>
      <c r="JA23" s="3"/>
      <c r="JB23" s="3"/>
      <c r="JC23" s="3"/>
      <c r="JD23" s="3"/>
      <c r="JE23" s="3"/>
      <c r="JF23" s="3"/>
      <c r="JG23" s="3"/>
      <c r="JH23" s="3"/>
    </row>
    <row r="24" spans="1:268" x14ac:dyDescent="0.3">
      <c r="A24" s="2" t="s">
        <v>338</v>
      </c>
      <c r="B24" s="3">
        <v>76</v>
      </c>
      <c r="C24" s="3" t="s">
        <v>526</v>
      </c>
      <c r="D24" s="3">
        <v>14</v>
      </c>
      <c r="E24" s="3" t="s">
        <v>527</v>
      </c>
      <c r="F24" s="3">
        <v>1958465461</v>
      </c>
      <c r="G24" s="3" t="s">
        <v>528</v>
      </c>
      <c r="H24" s="3" t="s">
        <v>526</v>
      </c>
      <c r="I24" s="3" t="s">
        <v>342</v>
      </c>
      <c r="J24" s="3">
        <v>18</v>
      </c>
      <c r="K24" s="3" t="s">
        <v>389</v>
      </c>
      <c r="L24" s="3"/>
      <c r="M24" s="3" t="s">
        <v>345</v>
      </c>
      <c r="N24" s="3" t="s">
        <v>344</v>
      </c>
      <c r="O24" s="3" t="s">
        <v>344</v>
      </c>
      <c r="P24" s="3" t="s">
        <v>345</v>
      </c>
      <c r="Q24" s="3" t="s">
        <v>344</v>
      </c>
      <c r="R24" s="3"/>
      <c r="S24" s="3" t="s">
        <v>346</v>
      </c>
      <c r="T24" s="3"/>
      <c r="U24" s="3" t="s">
        <v>347</v>
      </c>
      <c r="V24" s="3"/>
      <c r="W24" s="3" t="s">
        <v>345</v>
      </c>
      <c r="X24" s="3" t="s">
        <v>344</v>
      </c>
      <c r="Y24" s="3" t="s">
        <v>344</v>
      </c>
      <c r="Z24" s="3" t="s">
        <v>344</v>
      </c>
      <c r="AA24" s="3" t="s">
        <v>344</v>
      </c>
      <c r="AB24" s="3" t="s">
        <v>344</v>
      </c>
      <c r="AC24" s="3" t="s">
        <v>344</v>
      </c>
      <c r="AD24" s="3" t="s">
        <v>344</v>
      </c>
      <c r="AE24" s="3" t="s">
        <v>344</v>
      </c>
      <c r="AF24" s="3" t="s">
        <v>344</v>
      </c>
      <c r="AG24" s="3" t="s">
        <v>344</v>
      </c>
      <c r="AH24" s="3" t="s">
        <v>344</v>
      </c>
      <c r="AI24" s="3" t="s">
        <v>345</v>
      </c>
      <c r="AJ24" s="3" t="s">
        <v>344</v>
      </c>
      <c r="AK24" s="3" t="s">
        <v>368</v>
      </c>
      <c r="AL24" s="3" t="s">
        <v>368</v>
      </c>
      <c r="AM24" s="3" t="s">
        <v>368</v>
      </c>
      <c r="AN24" s="3" t="s">
        <v>368</v>
      </c>
      <c r="AO24" s="3" t="s">
        <v>368</v>
      </c>
      <c r="AP24" s="3" t="s">
        <v>368</v>
      </c>
      <c r="AQ24" s="3" t="s">
        <v>345</v>
      </c>
      <c r="AR24" s="3" t="s">
        <v>368</v>
      </c>
      <c r="AS24" s="3" t="s">
        <v>368</v>
      </c>
      <c r="AT24" s="3" t="s">
        <v>368</v>
      </c>
      <c r="AU24" s="3" t="s">
        <v>368</v>
      </c>
      <c r="AV24" s="3" t="s">
        <v>368</v>
      </c>
      <c r="AW24" s="3" t="s">
        <v>368</v>
      </c>
      <c r="AX24" s="3" t="s">
        <v>345</v>
      </c>
      <c r="AY24" s="3"/>
      <c r="AZ24" s="3"/>
      <c r="BA24" s="3"/>
      <c r="BB24" s="3"/>
      <c r="BC24" s="3"/>
      <c r="BD24" s="3"/>
      <c r="BE24" s="3" t="s">
        <v>348</v>
      </c>
      <c r="BF24" s="3" t="s">
        <v>390</v>
      </c>
      <c r="BG24" s="3" t="s">
        <v>349</v>
      </c>
      <c r="BH24" s="3" t="s">
        <v>348</v>
      </c>
      <c r="BI24" s="3" t="s">
        <v>348</v>
      </c>
      <c r="BJ24" s="3" t="s">
        <v>391</v>
      </c>
      <c r="BK24" s="3" t="s">
        <v>391</v>
      </c>
      <c r="BL24" s="3" t="s">
        <v>391</v>
      </c>
      <c r="BM24" s="3" t="s">
        <v>391</v>
      </c>
      <c r="BN24" s="3" t="s">
        <v>391</v>
      </c>
      <c r="BO24" s="3" t="s">
        <v>391</v>
      </c>
      <c r="BP24" s="3" t="s">
        <v>391</v>
      </c>
      <c r="BQ24" s="3" t="s">
        <v>407</v>
      </c>
      <c r="BR24" s="3" t="s">
        <v>429</v>
      </c>
      <c r="BS24" s="3" t="s">
        <v>391</v>
      </c>
      <c r="BT24" s="3" t="s">
        <v>391</v>
      </c>
      <c r="BU24" s="3" t="s">
        <v>391</v>
      </c>
      <c r="BV24" s="3" t="s">
        <v>391</v>
      </c>
      <c r="BW24" s="3" t="s">
        <v>391</v>
      </c>
      <c r="BX24" s="3" t="s">
        <v>391</v>
      </c>
      <c r="BY24" s="3" t="s">
        <v>391</v>
      </c>
      <c r="BZ24" s="3" t="s">
        <v>391</v>
      </c>
      <c r="CA24" s="3" t="s">
        <v>391</v>
      </c>
      <c r="CB24" s="3" t="s">
        <v>391</v>
      </c>
      <c r="CC24" s="3" t="s">
        <v>391</v>
      </c>
      <c r="CD24" s="3" t="s">
        <v>391</v>
      </c>
      <c r="CE24" s="3" t="s">
        <v>391</v>
      </c>
      <c r="CF24" s="3" t="s">
        <v>391</v>
      </c>
      <c r="CG24" s="3" t="s">
        <v>420</v>
      </c>
      <c r="CH24" s="3" t="s">
        <v>421</v>
      </c>
      <c r="CI24" s="3" t="s">
        <v>393</v>
      </c>
      <c r="CJ24" s="3"/>
      <c r="CK24" s="3" t="s">
        <v>529</v>
      </c>
      <c r="CL24" s="3" t="s">
        <v>345</v>
      </c>
      <c r="CM24" s="3" t="s">
        <v>344</v>
      </c>
      <c r="CN24" s="3" t="s">
        <v>345</v>
      </c>
      <c r="CO24" s="3" t="s">
        <v>345</v>
      </c>
      <c r="CP24" s="3" t="s">
        <v>345</v>
      </c>
      <c r="CQ24" s="3" t="s">
        <v>345</v>
      </c>
      <c r="CR24" s="3" t="s">
        <v>362</v>
      </c>
      <c r="CS24" s="3">
        <v>100</v>
      </c>
      <c r="CT24" s="3">
        <v>100</v>
      </c>
      <c r="CU24" s="3"/>
      <c r="CV24" s="3"/>
      <c r="CW24" s="3" t="s">
        <v>395</v>
      </c>
      <c r="CX24" s="3" t="s">
        <v>396</v>
      </c>
      <c r="CY24" s="3" t="s">
        <v>471</v>
      </c>
      <c r="CZ24" s="3" t="s">
        <v>397</v>
      </c>
      <c r="DA24" s="3" t="s">
        <v>397</v>
      </c>
      <c r="DB24" s="3" t="s">
        <v>397</v>
      </c>
      <c r="DC24" s="3" t="s">
        <v>366</v>
      </c>
      <c r="DD24" s="3" t="s">
        <v>397</v>
      </c>
      <c r="DE24" s="3"/>
      <c r="DF24" s="3"/>
      <c r="DG24" s="3"/>
      <c r="DH24" s="3"/>
      <c r="DI24" s="3"/>
      <c r="DJ24" s="3"/>
      <c r="DK24" s="3" t="s">
        <v>367</v>
      </c>
      <c r="DL24" s="3" t="s">
        <v>368</v>
      </c>
      <c r="DM24" s="3" t="s">
        <v>368</v>
      </c>
      <c r="DN24" s="3" t="s">
        <v>368</v>
      </c>
      <c r="DO24" s="3" t="s">
        <v>368</v>
      </c>
      <c r="DP24" s="3" t="s">
        <v>368</v>
      </c>
      <c r="DQ24" s="3" t="s">
        <v>368</v>
      </c>
      <c r="DR24" s="3" t="s">
        <v>368</v>
      </c>
      <c r="DS24" s="3" t="s">
        <v>345</v>
      </c>
      <c r="DT24" s="3" t="s">
        <v>368</v>
      </c>
      <c r="DU24" s="3" t="s">
        <v>368</v>
      </c>
      <c r="DV24" s="3" t="s">
        <v>368</v>
      </c>
      <c r="DW24" s="3" t="s">
        <v>345</v>
      </c>
      <c r="DX24" s="3" t="s">
        <v>370</v>
      </c>
      <c r="DY24" s="3" t="s">
        <v>370</v>
      </c>
      <c r="DZ24" s="3" t="s">
        <v>369</v>
      </c>
      <c r="EA24" s="3" t="s">
        <v>398</v>
      </c>
      <c r="EB24" s="3" t="s">
        <v>369</v>
      </c>
      <c r="EC24" s="3" t="s">
        <v>399</v>
      </c>
      <c r="ED24" s="3" t="s">
        <v>371</v>
      </c>
      <c r="EE24" s="3" t="s">
        <v>369</v>
      </c>
      <c r="EF24" s="3" t="s">
        <v>369</v>
      </c>
      <c r="EG24" s="3" t="s">
        <v>369</v>
      </c>
      <c r="EH24" s="3" t="s">
        <v>369</v>
      </c>
      <c r="EI24" s="3" t="s">
        <v>369</v>
      </c>
      <c r="EJ24" s="3" t="s">
        <v>369</v>
      </c>
      <c r="EK24" s="3" t="s">
        <v>369</v>
      </c>
      <c r="EL24" s="3" t="s">
        <v>373</v>
      </c>
      <c r="EM24" s="3" t="s">
        <v>372</v>
      </c>
      <c r="EN24" s="3" t="s">
        <v>440</v>
      </c>
      <c r="EO24" s="3"/>
      <c r="EP24" s="3"/>
      <c r="EQ24" s="3" t="s">
        <v>376</v>
      </c>
      <c r="ER24" s="3" t="s">
        <v>376</v>
      </c>
      <c r="ES24" s="3" t="s">
        <v>375</v>
      </c>
      <c r="ET24" s="3" t="s">
        <v>376</v>
      </c>
      <c r="EU24" s="3" t="s">
        <v>375</v>
      </c>
      <c r="EV24" s="3" t="s">
        <v>400</v>
      </c>
      <c r="EW24" s="3"/>
      <c r="EX24" s="3" t="s">
        <v>368</v>
      </c>
      <c r="EY24" s="3" t="s">
        <v>368</v>
      </c>
      <c r="EZ24" s="3" t="s">
        <v>368</v>
      </c>
      <c r="FA24" s="3" t="s">
        <v>345</v>
      </c>
      <c r="FB24" s="3" t="s">
        <v>401</v>
      </c>
      <c r="FC24" s="3"/>
      <c r="FD24" s="3" t="s">
        <v>401</v>
      </c>
      <c r="FE24" s="3"/>
      <c r="FF24" s="3" t="s">
        <v>431</v>
      </c>
      <c r="FG24" s="3" t="s">
        <v>402</v>
      </c>
      <c r="FH24" s="3" t="s">
        <v>432</v>
      </c>
      <c r="FI24" s="3" t="s">
        <v>433</v>
      </c>
      <c r="FJ24" s="3"/>
      <c r="FK24" s="3"/>
      <c r="FL24" s="3"/>
      <c r="FM24" s="3"/>
      <c r="FN24" s="3"/>
      <c r="FO24" s="3"/>
      <c r="FP24" s="3"/>
      <c r="FQ24" s="3"/>
      <c r="FR24" s="3"/>
      <c r="FS24" s="3"/>
      <c r="FT24" s="3"/>
      <c r="FU24" s="3"/>
      <c r="FV24" s="3"/>
      <c r="FW24" s="3"/>
      <c r="FX24" s="3"/>
      <c r="FY24" s="3"/>
      <c r="FZ24" s="3"/>
      <c r="GA24" s="3" t="s">
        <v>368</v>
      </c>
      <c r="GB24" s="3" t="s">
        <v>368</v>
      </c>
      <c r="GC24" s="3" t="s">
        <v>368</v>
      </c>
      <c r="GD24" s="3" t="s">
        <v>368</v>
      </c>
      <c r="GE24" s="3" t="s">
        <v>368</v>
      </c>
      <c r="GF24" s="3" t="s">
        <v>368</v>
      </c>
      <c r="GG24" s="3"/>
      <c r="GH24" s="3"/>
      <c r="GI24" s="3"/>
      <c r="GJ24" s="3"/>
      <c r="GK24" s="3"/>
      <c r="GL24" s="3" t="s">
        <v>344</v>
      </c>
      <c r="GM24" s="3" t="s">
        <v>344</v>
      </c>
      <c r="GN24" s="3" t="s">
        <v>344</v>
      </c>
      <c r="GO24" s="3" t="s">
        <v>344</v>
      </c>
      <c r="GP24" s="3" t="s">
        <v>344</v>
      </c>
      <c r="GQ24" s="3" t="s">
        <v>344</v>
      </c>
      <c r="GR24" s="3" t="s">
        <v>344</v>
      </c>
      <c r="GS24" s="3" t="s">
        <v>344</v>
      </c>
      <c r="GT24" s="3" t="s">
        <v>344</v>
      </c>
      <c r="GU24" s="3" t="s">
        <v>344</v>
      </c>
      <c r="GV24" s="3" t="s">
        <v>344</v>
      </c>
      <c r="GW24" s="3" t="s">
        <v>344</v>
      </c>
      <c r="GX24" s="3" t="s">
        <v>344</v>
      </c>
      <c r="GY24" s="3" t="s">
        <v>344</v>
      </c>
      <c r="GZ24" s="3" t="s">
        <v>344</v>
      </c>
      <c r="HA24" s="3" t="s">
        <v>530</v>
      </c>
      <c r="HB24" s="3" t="s">
        <v>344</v>
      </c>
      <c r="HC24" s="3"/>
      <c r="HD24" s="3" t="s">
        <v>345</v>
      </c>
      <c r="HE24" s="3" t="s">
        <v>531</v>
      </c>
      <c r="HF24" s="3" t="s">
        <v>344</v>
      </c>
      <c r="HG24" s="3"/>
      <c r="HH24" s="3" t="s">
        <v>344</v>
      </c>
      <c r="HI24" s="3"/>
      <c r="HJ24" s="3" t="s">
        <v>344</v>
      </c>
      <c r="HK24" s="3" t="s">
        <v>344</v>
      </c>
      <c r="HL24" s="3" t="s">
        <v>344</v>
      </c>
      <c r="HM24" s="3" t="s">
        <v>344</v>
      </c>
      <c r="HN24" s="3" t="s">
        <v>344</v>
      </c>
      <c r="HO24" s="3" t="s">
        <v>344</v>
      </c>
      <c r="HP24" s="3" t="s">
        <v>344</v>
      </c>
      <c r="HQ24" s="3" t="s">
        <v>344</v>
      </c>
      <c r="HR24" s="3" t="s">
        <v>344</v>
      </c>
      <c r="HS24" s="3" t="s">
        <v>344</v>
      </c>
      <c r="HT24" s="3" t="s">
        <v>344</v>
      </c>
      <c r="HU24" s="3" t="s">
        <v>344</v>
      </c>
      <c r="HV24" s="3" t="s">
        <v>344</v>
      </c>
      <c r="HW24" s="3" t="s">
        <v>344</v>
      </c>
      <c r="HX24" s="3" t="s">
        <v>344</v>
      </c>
      <c r="HY24" s="3" t="s">
        <v>532</v>
      </c>
      <c r="HZ24" s="3" t="s">
        <v>345</v>
      </c>
      <c r="IA24" s="3" t="s">
        <v>533</v>
      </c>
      <c r="IB24" s="3" t="s">
        <v>345</v>
      </c>
      <c r="IC24" s="3" t="s">
        <v>533</v>
      </c>
      <c r="ID24" s="3" t="s">
        <v>345</v>
      </c>
      <c r="IE24" s="3" t="s">
        <v>533</v>
      </c>
      <c r="IF24" s="3" t="s">
        <v>345</v>
      </c>
      <c r="IG24" s="3" t="s">
        <v>533</v>
      </c>
      <c r="IH24" s="3" t="s">
        <v>344</v>
      </c>
      <c r="II24" s="3" t="s">
        <v>345</v>
      </c>
      <c r="IJ24" s="3" t="s">
        <v>344</v>
      </c>
      <c r="IK24" s="3" t="s">
        <v>344</v>
      </c>
      <c r="IL24" s="3" t="s">
        <v>345</v>
      </c>
      <c r="IM24" s="3" t="s">
        <v>345</v>
      </c>
      <c r="IN24" s="3" t="s">
        <v>344</v>
      </c>
      <c r="IO24" s="3" t="s">
        <v>345</v>
      </c>
      <c r="IP24" s="3" t="s">
        <v>345</v>
      </c>
      <c r="IQ24" s="3" t="s">
        <v>344</v>
      </c>
      <c r="IR24" s="3" t="s">
        <v>345</v>
      </c>
      <c r="IS24" s="3" t="s">
        <v>344</v>
      </c>
      <c r="IT24" s="3" t="s">
        <v>534</v>
      </c>
      <c r="IU24" s="3" t="s">
        <v>535</v>
      </c>
      <c r="IV24" s="3"/>
      <c r="IW24" s="3"/>
      <c r="IX24" s="3"/>
      <c r="IY24" s="3"/>
      <c r="IZ24" s="3"/>
      <c r="JA24" s="3"/>
      <c r="JB24" s="3"/>
      <c r="JC24" s="3"/>
      <c r="JD24" s="3"/>
      <c r="JE24" s="3"/>
      <c r="JF24" s="3"/>
      <c r="JG24" s="3"/>
      <c r="JH24" s="3"/>
    </row>
    <row r="25" spans="1:268" x14ac:dyDescent="0.3">
      <c r="A25" s="2" t="s">
        <v>338</v>
      </c>
      <c r="B25" s="3">
        <v>77</v>
      </c>
      <c r="C25" s="3" t="s">
        <v>536</v>
      </c>
      <c r="D25" s="3">
        <v>14</v>
      </c>
      <c r="E25" s="3" t="s">
        <v>387</v>
      </c>
      <c r="F25" s="3">
        <v>460646748</v>
      </c>
      <c r="G25" s="3" t="s">
        <v>537</v>
      </c>
      <c r="H25" s="3" t="s">
        <v>536</v>
      </c>
      <c r="I25" s="3" t="s">
        <v>342</v>
      </c>
      <c r="J25" s="3">
        <v>17</v>
      </c>
      <c r="K25" s="3" t="s">
        <v>389</v>
      </c>
      <c r="L25" s="3"/>
      <c r="M25" s="3" t="s">
        <v>345</v>
      </c>
      <c r="N25" s="3" t="s">
        <v>344</v>
      </c>
      <c r="O25" s="3" t="s">
        <v>344</v>
      </c>
      <c r="P25" s="3" t="s">
        <v>344</v>
      </c>
      <c r="Q25" s="3" t="s">
        <v>344</v>
      </c>
      <c r="R25" s="3"/>
      <c r="S25" s="3" t="s">
        <v>475</v>
      </c>
      <c r="T25" s="3"/>
      <c r="U25" s="3" t="s">
        <v>347</v>
      </c>
      <c r="V25" s="3"/>
      <c r="W25" s="3" t="s">
        <v>345</v>
      </c>
      <c r="X25" s="3" t="s">
        <v>344</v>
      </c>
      <c r="Y25" s="3" t="s">
        <v>345</v>
      </c>
      <c r="Z25" s="3" t="s">
        <v>345</v>
      </c>
      <c r="AA25" s="3" t="s">
        <v>345</v>
      </c>
      <c r="AB25" s="3" t="s">
        <v>345</v>
      </c>
      <c r="AC25" s="3" t="s">
        <v>344</v>
      </c>
      <c r="AD25" s="3" t="s">
        <v>345</v>
      </c>
      <c r="AE25" s="3" t="s">
        <v>345</v>
      </c>
      <c r="AF25" s="3" t="s">
        <v>345</v>
      </c>
      <c r="AG25" s="3" t="s">
        <v>344</v>
      </c>
      <c r="AH25" s="3" t="s">
        <v>345</v>
      </c>
      <c r="AI25" s="3" t="s">
        <v>344</v>
      </c>
      <c r="AJ25" s="3" t="s">
        <v>344</v>
      </c>
      <c r="AK25" s="3" t="s">
        <v>345</v>
      </c>
      <c r="AL25" s="3" t="s">
        <v>345</v>
      </c>
      <c r="AM25" s="3" t="s">
        <v>345</v>
      </c>
      <c r="AN25" s="3" t="s">
        <v>344</v>
      </c>
      <c r="AO25" s="3" t="s">
        <v>345</v>
      </c>
      <c r="AP25" s="3" t="s">
        <v>344</v>
      </c>
      <c r="AQ25" s="3" t="s">
        <v>344</v>
      </c>
      <c r="AR25" s="3" t="s">
        <v>345</v>
      </c>
      <c r="AS25" s="3" t="s">
        <v>345</v>
      </c>
      <c r="AT25" s="3" t="s">
        <v>345</v>
      </c>
      <c r="AU25" s="3" t="s">
        <v>345</v>
      </c>
      <c r="AV25" s="3" t="s">
        <v>345</v>
      </c>
      <c r="AW25" s="3" t="s">
        <v>345</v>
      </c>
      <c r="AX25" s="3" t="s">
        <v>344</v>
      </c>
      <c r="AY25" s="3"/>
      <c r="AZ25" s="3"/>
      <c r="BA25" s="3"/>
      <c r="BB25" s="3"/>
      <c r="BC25" s="3"/>
      <c r="BD25" s="3"/>
      <c r="BE25" s="3" t="s">
        <v>349</v>
      </c>
      <c r="BF25" s="3" t="s">
        <v>348</v>
      </c>
      <c r="BG25" s="3" t="s">
        <v>390</v>
      </c>
      <c r="BH25" s="3" t="s">
        <v>348</v>
      </c>
      <c r="BI25" s="3" t="s">
        <v>348</v>
      </c>
      <c r="BJ25" s="3" t="s">
        <v>352</v>
      </c>
      <c r="BK25" s="3" t="s">
        <v>356</v>
      </c>
      <c r="BL25" s="3" t="s">
        <v>353</v>
      </c>
      <c r="BM25" s="3" t="s">
        <v>357</v>
      </c>
      <c r="BN25" s="3" t="s">
        <v>355</v>
      </c>
      <c r="BO25" s="3" t="s">
        <v>354</v>
      </c>
      <c r="BP25" s="3" t="s">
        <v>351</v>
      </c>
      <c r="BQ25" s="3" t="s">
        <v>419</v>
      </c>
      <c r="BR25" s="3" t="s">
        <v>408</v>
      </c>
      <c r="BS25" s="3" t="s">
        <v>352</v>
      </c>
      <c r="BT25" s="3" t="s">
        <v>355</v>
      </c>
      <c r="BU25" s="3" t="s">
        <v>356</v>
      </c>
      <c r="BV25" s="3" t="s">
        <v>353</v>
      </c>
      <c r="BW25" s="3" t="s">
        <v>357</v>
      </c>
      <c r="BX25" s="3" t="s">
        <v>351</v>
      </c>
      <c r="BY25" s="3" t="s">
        <v>354</v>
      </c>
      <c r="BZ25" s="3" t="s">
        <v>352</v>
      </c>
      <c r="CA25" s="3" t="s">
        <v>356</v>
      </c>
      <c r="CB25" s="3" t="s">
        <v>355</v>
      </c>
      <c r="CC25" s="3" t="s">
        <v>353</v>
      </c>
      <c r="CD25" s="3" t="s">
        <v>351</v>
      </c>
      <c r="CE25" s="3" t="s">
        <v>357</v>
      </c>
      <c r="CF25" s="3" t="s">
        <v>354</v>
      </c>
      <c r="CG25" s="3" t="s">
        <v>393</v>
      </c>
      <c r="CH25" s="3" t="s">
        <v>393</v>
      </c>
      <c r="CI25" s="3" t="s">
        <v>393</v>
      </c>
      <c r="CJ25" s="3"/>
      <c r="CK25" s="3" t="s">
        <v>391</v>
      </c>
      <c r="CL25" s="3" t="s">
        <v>345</v>
      </c>
      <c r="CM25" s="3" t="s">
        <v>344</v>
      </c>
      <c r="CN25" s="3" t="s">
        <v>345</v>
      </c>
      <c r="CO25" s="3" t="s">
        <v>345</v>
      </c>
      <c r="CP25" s="3" t="s">
        <v>345</v>
      </c>
      <c r="CQ25" s="3" t="s">
        <v>345</v>
      </c>
      <c r="CR25" s="3" t="s">
        <v>362</v>
      </c>
      <c r="CS25" s="3">
        <v>25</v>
      </c>
      <c r="CT25" s="3">
        <v>99</v>
      </c>
      <c r="CU25" s="3"/>
      <c r="CV25" s="3"/>
      <c r="CW25" s="3" t="s">
        <v>363</v>
      </c>
      <c r="CX25" s="3" t="s">
        <v>395</v>
      </c>
      <c r="CY25" s="3" t="s">
        <v>363</v>
      </c>
      <c r="CZ25" s="3" t="s">
        <v>397</v>
      </c>
      <c r="DA25" s="3" t="s">
        <v>397</v>
      </c>
      <c r="DB25" s="3" t="s">
        <v>397</v>
      </c>
      <c r="DC25" s="3" t="s">
        <v>397</v>
      </c>
      <c r="DD25" s="3" t="s">
        <v>397</v>
      </c>
      <c r="DE25" s="3"/>
      <c r="DF25" s="3"/>
      <c r="DG25" s="3"/>
      <c r="DH25" s="3"/>
      <c r="DI25" s="3"/>
      <c r="DJ25" s="3"/>
      <c r="DK25" s="3" t="s">
        <v>367</v>
      </c>
      <c r="DL25" s="3" t="s">
        <v>368</v>
      </c>
      <c r="DM25" s="3" t="s">
        <v>368</v>
      </c>
      <c r="DN25" s="3" t="s">
        <v>368</v>
      </c>
      <c r="DO25" s="3" t="s">
        <v>368</v>
      </c>
      <c r="DP25" s="3" t="s">
        <v>345</v>
      </c>
      <c r="DQ25" s="3" t="s">
        <v>344</v>
      </c>
      <c r="DR25" s="3" t="s">
        <v>344</v>
      </c>
      <c r="DS25" s="3" t="s">
        <v>344</v>
      </c>
      <c r="DT25" s="3" t="s">
        <v>345</v>
      </c>
      <c r="DU25" s="3" t="s">
        <v>344</v>
      </c>
      <c r="DV25" s="3" t="s">
        <v>345</v>
      </c>
      <c r="DW25" s="3" t="s">
        <v>344</v>
      </c>
      <c r="DX25" s="3" t="s">
        <v>370</v>
      </c>
      <c r="DY25" s="3" t="s">
        <v>370</v>
      </c>
      <c r="DZ25" s="3" t="s">
        <v>370</v>
      </c>
      <c r="EA25" s="3" t="s">
        <v>370</v>
      </c>
      <c r="EB25" s="3" t="s">
        <v>370</v>
      </c>
      <c r="EC25" s="3" t="s">
        <v>370</v>
      </c>
      <c r="ED25" s="3" t="s">
        <v>370</v>
      </c>
      <c r="EE25" s="3" t="s">
        <v>369</v>
      </c>
      <c r="EF25" s="3" t="s">
        <v>369</v>
      </c>
      <c r="EG25" s="3" t="s">
        <v>369</v>
      </c>
      <c r="EH25" s="3" t="s">
        <v>369</v>
      </c>
      <c r="EI25" s="3" t="s">
        <v>369</v>
      </c>
      <c r="EJ25" s="3" t="s">
        <v>369</v>
      </c>
      <c r="EK25" s="3" t="s">
        <v>369</v>
      </c>
      <c r="EL25" s="3" t="s">
        <v>373</v>
      </c>
      <c r="EM25" s="3" t="s">
        <v>372</v>
      </c>
      <c r="EN25" s="3" t="s">
        <v>440</v>
      </c>
      <c r="EO25" s="3"/>
      <c r="EP25" s="3"/>
      <c r="EQ25" s="3" t="s">
        <v>376</v>
      </c>
      <c r="ER25" s="3" t="s">
        <v>376</v>
      </c>
      <c r="ES25" s="3" t="s">
        <v>411</v>
      </c>
      <c r="ET25" s="3" t="s">
        <v>391</v>
      </c>
      <c r="EU25" s="3" t="s">
        <v>376</v>
      </c>
      <c r="EV25" s="3" t="s">
        <v>400</v>
      </c>
      <c r="EW25" s="3"/>
      <c r="EX25" s="3" t="s">
        <v>368</v>
      </c>
      <c r="EY25" s="3" t="s">
        <v>368</v>
      </c>
      <c r="EZ25" s="3" t="s">
        <v>368</v>
      </c>
      <c r="FA25" s="3" t="s">
        <v>345</v>
      </c>
      <c r="FB25" s="3" t="s">
        <v>401</v>
      </c>
      <c r="FC25" s="3"/>
      <c r="FD25" s="3" t="s">
        <v>401</v>
      </c>
      <c r="FE25" s="3"/>
      <c r="FF25" s="3" t="s">
        <v>431</v>
      </c>
      <c r="FG25" s="3" t="s">
        <v>441</v>
      </c>
      <c r="FH25" s="3" t="s">
        <v>432</v>
      </c>
      <c r="FI25" s="3" t="s">
        <v>433</v>
      </c>
      <c r="FJ25" s="3"/>
      <c r="FK25" s="3"/>
      <c r="FL25" s="3"/>
      <c r="FM25" s="3"/>
      <c r="FN25" s="3"/>
      <c r="FO25" s="3"/>
      <c r="FP25" s="3"/>
      <c r="FQ25" s="3"/>
      <c r="FR25" s="3"/>
      <c r="FS25" s="3"/>
      <c r="FT25" s="3"/>
      <c r="FU25" s="3"/>
      <c r="FV25" s="3"/>
      <c r="FW25" s="3"/>
      <c r="FX25" s="3"/>
      <c r="FY25" s="3"/>
      <c r="FZ25" s="3"/>
      <c r="GA25" s="3" t="s">
        <v>368</v>
      </c>
      <c r="GB25" s="3" t="s">
        <v>368</v>
      </c>
      <c r="GC25" s="3" t="s">
        <v>368</v>
      </c>
      <c r="GD25" s="3" t="s">
        <v>368</v>
      </c>
      <c r="GE25" s="3" t="s">
        <v>368</v>
      </c>
      <c r="GF25" s="3" t="s">
        <v>368</v>
      </c>
      <c r="GG25" s="3"/>
      <c r="GH25" s="3"/>
      <c r="GI25" s="3"/>
      <c r="GJ25" s="3"/>
      <c r="GK25" s="3"/>
      <c r="GL25" s="3" t="s">
        <v>344</v>
      </c>
      <c r="GM25" s="3" t="s">
        <v>344</v>
      </c>
      <c r="GN25" s="3" t="s">
        <v>344</v>
      </c>
      <c r="GO25" s="3" t="s">
        <v>344</v>
      </c>
      <c r="GP25" s="3" t="s">
        <v>344</v>
      </c>
      <c r="GQ25" s="3" t="s">
        <v>344</v>
      </c>
      <c r="GR25" s="3" t="s">
        <v>344</v>
      </c>
      <c r="GS25" s="3" t="s">
        <v>344</v>
      </c>
      <c r="GT25" s="3" t="s">
        <v>344</v>
      </c>
      <c r="GU25" s="3" t="s">
        <v>344</v>
      </c>
      <c r="GV25" s="3" t="s">
        <v>345</v>
      </c>
      <c r="GW25" s="3" t="s">
        <v>344</v>
      </c>
      <c r="GX25" s="3" t="s">
        <v>344</v>
      </c>
      <c r="GY25" s="3" t="s">
        <v>344</v>
      </c>
      <c r="GZ25" s="3" t="s">
        <v>344</v>
      </c>
      <c r="HA25" s="3"/>
      <c r="HB25" s="3" t="s">
        <v>344</v>
      </c>
      <c r="HC25" s="3"/>
      <c r="HD25" s="3" t="s">
        <v>344</v>
      </c>
      <c r="HE25" s="3"/>
      <c r="HF25" s="3" t="s">
        <v>344</v>
      </c>
      <c r="HG25" s="3"/>
      <c r="HH25" s="3" t="s">
        <v>344</v>
      </c>
      <c r="HI25" s="3"/>
      <c r="HJ25" s="3" t="s">
        <v>344</v>
      </c>
      <c r="HK25" s="3" t="s">
        <v>344</v>
      </c>
      <c r="HL25" s="3" t="s">
        <v>344</v>
      </c>
      <c r="HM25" s="3" t="s">
        <v>344</v>
      </c>
      <c r="HN25" s="3" t="s">
        <v>344</v>
      </c>
      <c r="HO25" s="3" t="s">
        <v>344</v>
      </c>
      <c r="HP25" s="3" t="s">
        <v>344</v>
      </c>
      <c r="HQ25" s="3" t="s">
        <v>344</v>
      </c>
      <c r="HR25" s="3" t="s">
        <v>344</v>
      </c>
      <c r="HS25" s="3" t="s">
        <v>344</v>
      </c>
      <c r="HT25" s="3" t="s">
        <v>344</v>
      </c>
      <c r="HU25" s="3" t="s">
        <v>344</v>
      </c>
      <c r="HV25" s="3" t="s">
        <v>344</v>
      </c>
      <c r="HW25" s="3" t="s">
        <v>344</v>
      </c>
      <c r="HX25" s="3" t="s">
        <v>345</v>
      </c>
      <c r="HY25" s="3"/>
      <c r="HZ25" s="3" t="s">
        <v>344</v>
      </c>
      <c r="IA25" s="3"/>
      <c r="IB25" s="3" t="s">
        <v>344</v>
      </c>
      <c r="IC25" s="3"/>
      <c r="ID25" s="3" t="s">
        <v>344</v>
      </c>
      <c r="IE25" s="3"/>
      <c r="IF25" s="3" t="s">
        <v>344</v>
      </c>
      <c r="IG25" s="3"/>
      <c r="IH25" s="3" t="s">
        <v>345</v>
      </c>
      <c r="II25" s="3" t="s">
        <v>344</v>
      </c>
      <c r="IJ25" s="3" t="s">
        <v>344</v>
      </c>
      <c r="IK25" s="3" t="s">
        <v>344</v>
      </c>
      <c r="IL25" s="3" t="s">
        <v>345</v>
      </c>
      <c r="IM25" s="3" t="s">
        <v>345</v>
      </c>
      <c r="IN25" s="3" t="s">
        <v>344</v>
      </c>
      <c r="IO25" s="3" t="s">
        <v>345</v>
      </c>
      <c r="IP25" s="3" t="s">
        <v>345</v>
      </c>
      <c r="IQ25" s="3" t="s">
        <v>344</v>
      </c>
      <c r="IR25" s="3" t="s">
        <v>345</v>
      </c>
      <c r="IS25" s="3" t="s">
        <v>344</v>
      </c>
      <c r="IT25" s="3" t="s">
        <v>538</v>
      </c>
      <c r="IU25" s="3"/>
      <c r="IV25" s="3"/>
      <c r="IW25" s="3"/>
      <c r="IX25" s="3"/>
      <c r="IY25" s="3"/>
      <c r="IZ25" s="3"/>
      <c r="JA25" s="3"/>
      <c r="JB25" s="3"/>
      <c r="JC25" s="3"/>
      <c r="JD25" s="3"/>
      <c r="JE25" s="3"/>
      <c r="JF25" s="3"/>
      <c r="JG25" s="3"/>
      <c r="JH25" s="3"/>
    </row>
    <row r="26" spans="1:268" x14ac:dyDescent="0.3">
      <c r="A26" s="2" t="s">
        <v>338</v>
      </c>
      <c r="B26" s="3">
        <v>78</v>
      </c>
      <c r="C26" s="3" t="s">
        <v>539</v>
      </c>
      <c r="D26" s="3">
        <v>14</v>
      </c>
      <c r="E26" s="3" t="s">
        <v>387</v>
      </c>
      <c r="F26" s="3">
        <v>97980197</v>
      </c>
      <c r="G26" s="3" t="s">
        <v>540</v>
      </c>
      <c r="H26" s="3" t="s">
        <v>539</v>
      </c>
      <c r="I26" s="3" t="s">
        <v>342</v>
      </c>
      <c r="J26" s="3">
        <v>18</v>
      </c>
      <c r="K26" s="3" t="s">
        <v>389</v>
      </c>
      <c r="L26" s="3"/>
      <c r="M26" s="3" t="s">
        <v>345</v>
      </c>
      <c r="N26" s="3" t="s">
        <v>344</v>
      </c>
      <c r="O26" s="3" t="s">
        <v>344</v>
      </c>
      <c r="P26" s="3" t="s">
        <v>344</v>
      </c>
      <c r="Q26" s="3" t="s">
        <v>344</v>
      </c>
      <c r="R26" s="3"/>
      <c r="S26" s="3" t="s">
        <v>346</v>
      </c>
      <c r="T26" s="3"/>
      <c r="U26" s="3" t="s">
        <v>428</v>
      </c>
      <c r="V26" s="3"/>
      <c r="W26" s="3" t="s">
        <v>345</v>
      </c>
      <c r="X26" s="3" t="s">
        <v>345</v>
      </c>
      <c r="Y26" s="3" t="s">
        <v>344</v>
      </c>
      <c r="Z26" s="3" t="s">
        <v>344</v>
      </c>
      <c r="AA26" s="3" t="s">
        <v>344</v>
      </c>
      <c r="AB26" s="3" t="s">
        <v>344</v>
      </c>
      <c r="AC26" s="3" t="s">
        <v>344</v>
      </c>
      <c r="AD26" s="3" t="s">
        <v>345</v>
      </c>
      <c r="AE26" s="3" t="s">
        <v>345</v>
      </c>
      <c r="AF26" s="3" t="s">
        <v>345</v>
      </c>
      <c r="AG26" s="3" t="s">
        <v>344</v>
      </c>
      <c r="AH26" s="3" t="s">
        <v>344</v>
      </c>
      <c r="AI26" s="3" t="s">
        <v>344</v>
      </c>
      <c r="AJ26" s="3" t="s">
        <v>344</v>
      </c>
      <c r="AK26" s="3" t="s">
        <v>345</v>
      </c>
      <c r="AL26" s="3" t="s">
        <v>344</v>
      </c>
      <c r="AM26" s="3" t="s">
        <v>344</v>
      </c>
      <c r="AN26" s="3" t="s">
        <v>344</v>
      </c>
      <c r="AO26" s="3" t="s">
        <v>344</v>
      </c>
      <c r="AP26" s="3" t="s">
        <v>344</v>
      </c>
      <c r="AQ26" s="3" t="s">
        <v>344</v>
      </c>
      <c r="AR26" s="3" t="s">
        <v>368</v>
      </c>
      <c r="AS26" s="3" t="s">
        <v>368</v>
      </c>
      <c r="AT26" s="3" t="s">
        <v>368</v>
      </c>
      <c r="AU26" s="3" t="s">
        <v>368</v>
      </c>
      <c r="AV26" s="3" t="s">
        <v>368</v>
      </c>
      <c r="AW26" s="3" t="s">
        <v>368</v>
      </c>
      <c r="AX26" s="3" t="s">
        <v>345</v>
      </c>
      <c r="AY26" s="3"/>
      <c r="AZ26" s="3"/>
      <c r="BA26" s="3"/>
      <c r="BB26" s="3"/>
      <c r="BC26" s="3"/>
      <c r="BD26" s="3"/>
      <c r="BE26" s="3" t="s">
        <v>349</v>
      </c>
      <c r="BF26" s="3" t="s">
        <v>348</v>
      </c>
      <c r="BG26" s="3" t="s">
        <v>348</v>
      </c>
      <c r="BH26" s="3" t="s">
        <v>350</v>
      </c>
      <c r="BI26" s="3" t="s">
        <v>349</v>
      </c>
      <c r="BJ26" s="3" t="s">
        <v>354</v>
      </c>
      <c r="BK26" s="3" t="s">
        <v>391</v>
      </c>
      <c r="BL26" s="3" t="s">
        <v>357</v>
      </c>
      <c r="BM26" s="3" t="s">
        <v>351</v>
      </c>
      <c r="BN26" s="3" t="s">
        <v>391</v>
      </c>
      <c r="BO26" s="3" t="s">
        <v>356</v>
      </c>
      <c r="BP26" s="3" t="s">
        <v>351</v>
      </c>
      <c r="BQ26" s="3" t="s">
        <v>419</v>
      </c>
      <c r="BR26" s="3" t="s">
        <v>408</v>
      </c>
      <c r="BS26" s="3" t="s">
        <v>354</v>
      </c>
      <c r="BT26" s="3" t="s">
        <v>356</v>
      </c>
      <c r="BU26" s="3" t="s">
        <v>351</v>
      </c>
      <c r="BV26" s="3" t="s">
        <v>352</v>
      </c>
      <c r="BW26" s="3" t="s">
        <v>353</v>
      </c>
      <c r="BX26" s="3" t="s">
        <v>354</v>
      </c>
      <c r="BY26" s="3" t="s">
        <v>391</v>
      </c>
      <c r="BZ26" s="3" t="s">
        <v>354</v>
      </c>
      <c r="CA26" s="3" t="s">
        <v>355</v>
      </c>
      <c r="CB26" s="3" t="s">
        <v>353</v>
      </c>
      <c r="CC26" s="3" t="s">
        <v>351</v>
      </c>
      <c r="CD26" s="3" t="s">
        <v>355</v>
      </c>
      <c r="CE26" s="3" t="s">
        <v>354</v>
      </c>
      <c r="CF26" s="3" t="s">
        <v>357</v>
      </c>
      <c r="CG26" s="3" t="s">
        <v>360</v>
      </c>
      <c r="CH26" s="3" t="s">
        <v>421</v>
      </c>
      <c r="CI26" s="3" t="s">
        <v>392</v>
      </c>
      <c r="CJ26" s="3"/>
      <c r="CK26" s="3" t="s">
        <v>391</v>
      </c>
      <c r="CL26" s="3" t="s">
        <v>344</v>
      </c>
      <c r="CM26" s="3" t="s">
        <v>344</v>
      </c>
      <c r="CN26" s="3" t="s">
        <v>344</v>
      </c>
      <c r="CO26" s="3" t="s">
        <v>344</v>
      </c>
      <c r="CP26" s="3" t="s">
        <v>345</v>
      </c>
      <c r="CQ26" s="3" t="s">
        <v>344</v>
      </c>
      <c r="CR26" s="3" t="s">
        <v>394</v>
      </c>
      <c r="CS26" s="3">
        <v>100</v>
      </c>
      <c r="CT26" s="3">
        <v>100</v>
      </c>
      <c r="CU26" s="3"/>
      <c r="CV26" s="3"/>
      <c r="CW26" s="3" t="s">
        <v>363</v>
      </c>
      <c r="CX26" s="3" t="s">
        <v>396</v>
      </c>
      <c r="CY26" s="3" t="s">
        <v>364</v>
      </c>
      <c r="CZ26" s="3" t="s">
        <v>366</v>
      </c>
      <c r="DA26" s="3" t="s">
        <v>397</v>
      </c>
      <c r="DB26" s="3" t="s">
        <v>397</v>
      </c>
      <c r="DC26" s="3" t="s">
        <v>397</v>
      </c>
      <c r="DD26" s="3" t="s">
        <v>397</v>
      </c>
      <c r="DE26" s="3"/>
      <c r="DF26" s="3"/>
      <c r="DG26" s="3"/>
      <c r="DH26" s="3"/>
      <c r="DI26" s="3"/>
      <c r="DJ26" s="3"/>
      <c r="DK26" s="3" t="s">
        <v>367</v>
      </c>
      <c r="DL26" s="3" t="s">
        <v>368</v>
      </c>
      <c r="DM26" s="3" t="s">
        <v>368</v>
      </c>
      <c r="DN26" s="3" t="s">
        <v>368</v>
      </c>
      <c r="DO26" s="3" t="s">
        <v>368</v>
      </c>
      <c r="DP26" s="3" t="s">
        <v>368</v>
      </c>
      <c r="DQ26" s="3" t="s">
        <v>368</v>
      </c>
      <c r="DR26" s="3" t="s">
        <v>368</v>
      </c>
      <c r="DS26" s="3" t="s">
        <v>345</v>
      </c>
      <c r="DT26" s="3" t="s">
        <v>345</v>
      </c>
      <c r="DU26" s="3" t="s">
        <v>344</v>
      </c>
      <c r="DV26" s="3" t="s">
        <v>344</v>
      </c>
      <c r="DW26" s="3" t="s">
        <v>344</v>
      </c>
      <c r="DX26" s="3" t="s">
        <v>370</v>
      </c>
      <c r="DY26" s="3" t="s">
        <v>370</v>
      </c>
      <c r="DZ26" s="3" t="s">
        <v>369</v>
      </c>
      <c r="EA26" s="3" t="s">
        <v>370</v>
      </c>
      <c r="EB26" s="3" t="s">
        <v>370</v>
      </c>
      <c r="EC26" s="3" t="s">
        <v>370</v>
      </c>
      <c r="ED26" s="3" t="s">
        <v>370</v>
      </c>
      <c r="EE26" s="3" t="s">
        <v>369</v>
      </c>
      <c r="EF26" s="3" t="s">
        <v>369</v>
      </c>
      <c r="EG26" s="3" t="s">
        <v>369</v>
      </c>
      <c r="EH26" s="3" t="s">
        <v>369</v>
      </c>
      <c r="EI26" s="3" t="s">
        <v>369</v>
      </c>
      <c r="EJ26" s="3" t="s">
        <v>369</v>
      </c>
      <c r="EK26" s="3" t="s">
        <v>369</v>
      </c>
      <c r="EL26" s="3" t="s">
        <v>372</v>
      </c>
      <c r="EM26" s="3" t="s">
        <v>374</v>
      </c>
      <c r="EN26" s="3" t="s">
        <v>424</v>
      </c>
      <c r="EO26" s="3"/>
      <c r="EP26" s="3"/>
      <c r="EQ26" s="3" t="s">
        <v>375</v>
      </c>
      <c r="ER26" s="3" t="s">
        <v>375</v>
      </c>
      <c r="ES26" s="3" t="s">
        <v>375</v>
      </c>
      <c r="ET26" s="3" t="s">
        <v>375</v>
      </c>
      <c r="EU26" s="3" t="s">
        <v>378</v>
      </c>
      <c r="EV26" s="3" t="s">
        <v>379</v>
      </c>
      <c r="EW26" s="3"/>
      <c r="EX26" s="158" t="s">
        <v>345</v>
      </c>
      <c r="EY26" s="158" t="s">
        <v>345</v>
      </c>
      <c r="EZ26" s="158" t="s">
        <v>344</v>
      </c>
      <c r="FA26" s="3" t="s">
        <v>344</v>
      </c>
      <c r="FB26" s="3" t="s">
        <v>401</v>
      </c>
      <c r="FC26" s="3"/>
      <c r="FD26" s="3" t="s">
        <v>401</v>
      </c>
      <c r="FE26" s="3"/>
      <c r="FF26" s="3" t="s">
        <v>477</v>
      </c>
      <c r="FG26" s="3" t="s">
        <v>441</v>
      </c>
      <c r="FH26" s="3" t="s">
        <v>432</v>
      </c>
      <c r="FI26" s="3" t="s">
        <v>433</v>
      </c>
      <c r="FJ26" s="3"/>
      <c r="FK26" s="3"/>
      <c r="FL26" s="3"/>
      <c r="FM26" s="3"/>
      <c r="FN26" s="3"/>
      <c r="FO26" s="3"/>
      <c r="FP26" s="3"/>
      <c r="FQ26" s="3"/>
      <c r="FR26" s="3"/>
      <c r="FS26" s="3"/>
      <c r="FT26" s="3"/>
      <c r="FU26" s="3"/>
      <c r="FV26" s="3"/>
      <c r="FW26" s="3"/>
      <c r="FX26" s="3"/>
      <c r="FY26" s="3"/>
      <c r="FZ26" s="3"/>
      <c r="GA26" s="3" t="s">
        <v>368</v>
      </c>
      <c r="GB26" s="3" t="s">
        <v>368</v>
      </c>
      <c r="GC26" s="3" t="s">
        <v>368</v>
      </c>
      <c r="GD26" s="3" t="s">
        <v>368</v>
      </c>
      <c r="GE26" s="3" t="s">
        <v>368</v>
      </c>
      <c r="GF26" s="3" t="s">
        <v>368</v>
      </c>
      <c r="GG26" s="3"/>
      <c r="GH26" s="3"/>
      <c r="GI26" s="3"/>
      <c r="GJ26" s="3"/>
      <c r="GK26" s="3"/>
      <c r="GL26" s="3" t="s">
        <v>344</v>
      </c>
      <c r="GM26" s="3" t="s">
        <v>344</v>
      </c>
      <c r="GN26" s="3" t="s">
        <v>344</v>
      </c>
      <c r="GO26" s="3" t="s">
        <v>344</v>
      </c>
      <c r="GP26" s="3" t="s">
        <v>344</v>
      </c>
      <c r="GQ26" s="3" t="s">
        <v>344</v>
      </c>
      <c r="GR26" s="3" t="s">
        <v>344</v>
      </c>
      <c r="GS26" s="3" t="s">
        <v>344</v>
      </c>
      <c r="GT26" s="3" t="s">
        <v>344</v>
      </c>
      <c r="GU26" s="3" t="s">
        <v>344</v>
      </c>
      <c r="GV26" s="3" t="s">
        <v>344</v>
      </c>
      <c r="GW26" s="3" t="s">
        <v>345</v>
      </c>
      <c r="GX26" s="3" t="s">
        <v>344</v>
      </c>
      <c r="GY26" s="3" t="s">
        <v>344</v>
      </c>
      <c r="GZ26" s="3" t="s">
        <v>344</v>
      </c>
      <c r="HA26" s="3"/>
      <c r="HB26" s="3" t="s">
        <v>344</v>
      </c>
      <c r="HC26" s="3"/>
      <c r="HD26" s="3" t="s">
        <v>344</v>
      </c>
      <c r="HE26" s="3"/>
      <c r="HF26" s="3" t="s">
        <v>344</v>
      </c>
      <c r="HG26" s="3"/>
      <c r="HH26" s="3" t="s">
        <v>344</v>
      </c>
      <c r="HI26" s="3"/>
      <c r="HJ26" s="3" t="s">
        <v>344</v>
      </c>
      <c r="HK26" s="3" t="s">
        <v>344</v>
      </c>
      <c r="HL26" s="3" t="s">
        <v>344</v>
      </c>
      <c r="HM26" s="3" t="s">
        <v>344</v>
      </c>
      <c r="HN26" s="3" t="s">
        <v>344</v>
      </c>
      <c r="HO26" s="3" t="s">
        <v>344</v>
      </c>
      <c r="HP26" s="3" t="s">
        <v>344</v>
      </c>
      <c r="HQ26" s="3" t="s">
        <v>344</v>
      </c>
      <c r="HR26" s="3" t="s">
        <v>344</v>
      </c>
      <c r="HS26" s="3" t="s">
        <v>344</v>
      </c>
      <c r="HT26" s="3" t="s">
        <v>344</v>
      </c>
      <c r="HU26" s="3" t="s">
        <v>344</v>
      </c>
      <c r="HV26" s="3" t="s">
        <v>345</v>
      </c>
      <c r="HW26" s="3" t="s">
        <v>344</v>
      </c>
      <c r="HX26" s="3" t="s">
        <v>344</v>
      </c>
      <c r="HY26" s="3"/>
      <c r="HZ26" s="3" t="s">
        <v>344</v>
      </c>
      <c r="IA26" s="3"/>
      <c r="IB26" s="3" t="s">
        <v>344</v>
      </c>
      <c r="IC26" s="3"/>
      <c r="ID26" s="3" t="s">
        <v>344</v>
      </c>
      <c r="IE26" s="3"/>
      <c r="IF26" s="3" t="s">
        <v>344</v>
      </c>
      <c r="IG26" s="3"/>
      <c r="IH26" s="3" t="s">
        <v>344</v>
      </c>
      <c r="II26" s="3" t="s">
        <v>344</v>
      </c>
      <c r="IJ26" s="3" t="s">
        <v>344</v>
      </c>
      <c r="IK26" s="3" t="s">
        <v>344</v>
      </c>
      <c r="IL26" s="3" t="s">
        <v>344</v>
      </c>
      <c r="IM26" s="3" t="s">
        <v>344</v>
      </c>
      <c r="IN26" s="3" t="s">
        <v>344</v>
      </c>
      <c r="IO26" s="3" t="s">
        <v>344</v>
      </c>
      <c r="IP26" s="3" t="s">
        <v>344</v>
      </c>
      <c r="IQ26" s="3" t="s">
        <v>344</v>
      </c>
      <c r="IR26" s="3" t="s">
        <v>344</v>
      </c>
      <c r="IS26" s="3" t="s">
        <v>344</v>
      </c>
      <c r="IT26" s="3" t="s">
        <v>541</v>
      </c>
      <c r="IU26" s="3"/>
      <c r="IV26" s="3"/>
      <c r="IW26" s="3"/>
      <c r="IX26" s="3"/>
      <c r="IY26" s="3"/>
      <c r="IZ26" s="3"/>
      <c r="JA26" s="3"/>
      <c r="JB26" s="3"/>
      <c r="JC26" s="3"/>
      <c r="JD26" s="3"/>
      <c r="JE26" s="3"/>
      <c r="JF26" s="3"/>
      <c r="JG26" s="3"/>
      <c r="JH26" s="3"/>
    </row>
    <row r="27" spans="1:268" x14ac:dyDescent="0.3">
      <c r="A27" s="2" t="s">
        <v>338</v>
      </c>
      <c r="B27" s="3">
        <v>79</v>
      </c>
      <c r="C27" s="3" t="s">
        <v>542</v>
      </c>
      <c r="D27" s="3">
        <v>14</v>
      </c>
      <c r="E27" s="3" t="s">
        <v>387</v>
      </c>
      <c r="F27" s="3">
        <v>1688901238</v>
      </c>
      <c r="G27" s="3" t="s">
        <v>543</v>
      </c>
      <c r="H27" s="3" t="s">
        <v>542</v>
      </c>
      <c r="I27" s="3" t="s">
        <v>342</v>
      </c>
      <c r="J27" s="3">
        <v>18</v>
      </c>
      <c r="K27" s="3" t="s">
        <v>389</v>
      </c>
      <c r="L27" s="3"/>
      <c r="M27" s="3" t="s">
        <v>345</v>
      </c>
      <c r="N27" s="3" t="s">
        <v>344</v>
      </c>
      <c r="O27" s="3" t="s">
        <v>344</v>
      </c>
      <c r="P27" s="3" t="s">
        <v>344</v>
      </c>
      <c r="Q27" s="3" t="s">
        <v>344</v>
      </c>
      <c r="R27" s="3"/>
      <c r="S27" s="3" t="s">
        <v>482</v>
      </c>
      <c r="T27" s="3"/>
      <c r="U27" s="3" t="s">
        <v>347</v>
      </c>
      <c r="V27" s="3"/>
      <c r="W27" s="3" t="s">
        <v>345</v>
      </c>
      <c r="X27" s="3" t="s">
        <v>345</v>
      </c>
      <c r="Y27" s="3" t="s">
        <v>345</v>
      </c>
      <c r="Z27" s="3" t="s">
        <v>344</v>
      </c>
      <c r="AA27" s="3" t="s">
        <v>344</v>
      </c>
      <c r="AB27" s="3" t="s">
        <v>344</v>
      </c>
      <c r="AC27" s="3" t="s">
        <v>344</v>
      </c>
      <c r="AD27" s="3" t="s">
        <v>344</v>
      </c>
      <c r="AE27" s="3" t="s">
        <v>344</v>
      </c>
      <c r="AF27" s="3" t="s">
        <v>344</v>
      </c>
      <c r="AG27" s="3" t="s">
        <v>344</v>
      </c>
      <c r="AH27" s="3" t="s">
        <v>344</v>
      </c>
      <c r="AI27" s="3" t="s">
        <v>345</v>
      </c>
      <c r="AJ27" s="3" t="s">
        <v>344</v>
      </c>
      <c r="AK27" s="3" t="s">
        <v>344</v>
      </c>
      <c r="AL27" s="3" t="s">
        <v>344</v>
      </c>
      <c r="AM27" s="3" t="s">
        <v>345</v>
      </c>
      <c r="AN27" s="3" t="s">
        <v>344</v>
      </c>
      <c r="AO27" s="3" t="s">
        <v>345</v>
      </c>
      <c r="AP27" s="3" t="s">
        <v>344</v>
      </c>
      <c r="AQ27" s="3" t="s">
        <v>344</v>
      </c>
      <c r="AR27" s="3" t="s">
        <v>368</v>
      </c>
      <c r="AS27" s="3" t="s">
        <v>368</v>
      </c>
      <c r="AT27" s="3" t="s">
        <v>368</v>
      </c>
      <c r="AU27" s="3" t="s">
        <v>368</v>
      </c>
      <c r="AV27" s="3" t="s">
        <v>368</v>
      </c>
      <c r="AW27" s="3" t="s">
        <v>368</v>
      </c>
      <c r="AX27" s="3" t="s">
        <v>345</v>
      </c>
      <c r="AY27" s="3"/>
      <c r="AZ27" s="3"/>
      <c r="BA27" s="3"/>
      <c r="BB27" s="3"/>
      <c r="BC27" s="3"/>
      <c r="BD27" s="3"/>
      <c r="BE27" s="3" t="s">
        <v>349</v>
      </c>
      <c r="BF27" s="3" t="s">
        <v>349</v>
      </c>
      <c r="BG27" s="3" t="s">
        <v>348</v>
      </c>
      <c r="BH27" s="3" t="s">
        <v>349</v>
      </c>
      <c r="BI27" s="3" t="s">
        <v>349</v>
      </c>
      <c r="BJ27" s="3" t="s">
        <v>351</v>
      </c>
      <c r="BK27" s="3" t="s">
        <v>391</v>
      </c>
      <c r="BL27" s="3" t="s">
        <v>391</v>
      </c>
      <c r="BM27" s="3" t="s">
        <v>391</v>
      </c>
      <c r="BN27" s="3" t="s">
        <v>391</v>
      </c>
      <c r="BO27" s="3" t="s">
        <v>391</v>
      </c>
      <c r="BP27" s="3" t="s">
        <v>391</v>
      </c>
      <c r="BQ27" s="3" t="s">
        <v>455</v>
      </c>
      <c r="BR27" s="3" t="s">
        <v>359</v>
      </c>
      <c r="BS27" s="3" t="s">
        <v>391</v>
      </c>
      <c r="BT27" s="3" t="s">
        <v>391</v>
      </c>
      <c r="BU27" s="3" t="s">
        <v>351</v>
      </c>
      <c r="BV27" s="3" t="s">
        <v>356</v>
      </c>
      <c r="BW27" s="3" t="s">
        <v>352</v>
      </c>
      <c r="BX27" s="3" t="s">
        <v>351</v>
      </c>
      <c r="BY27" s="3" t="s">
        <v>391</v>
      </c>
      <c r="BZ27" s="3" t="s">
        <v>355</v>
      </c>
      <c r="CA27" s="3" t="s">
        <v>357</v>
      </c>
      <c r="CB27" s="3" t="s">
        <v>353</v>
      </c>
      <c r="CC27" s="3" t="s">
        <v>391</v>
      </c>
      <c r="CD27" s="3" t="s">
        <v>354</v>
      </c>
      <c r="CE27" s="3" t="s">
        <v>391</v>
      </c>
      <c r="CF27" s="3" t="s">
        <v>352</v>
      </c>
      <c r="CG27" s="3" t="s">
        <v>420</v>
      </c>
      <c r="CH27" s="3" t="s">
        <v>421</v>
      </c>
      <c r="CI27" s="3" t="s">
        <v>393</v>
      </c>
      <c r="CJ27" s="3"/>
      <c r="CK27" s="3" t="s">
        <v>391</v>
      </c>
      <c r="CL27" s="3" t="s">
        <v>345</v>
      </c>
      <c r="CM27" s="3" t="s">
        <v>344</v>
      </c>
      <c r="CN27" s="3" t="s">
        <v>344</v>
      </c>
      <c r="CO27" s="3" t="s">
        <v>345</v>
      </c>
      <c r="CP27" s="3" t="s">
        <v>345</v>
      </c>
      <c r="CQ27" s="3" t="s">
        <v>344</v>
      </c>
      <c r="CR27" s="3" t="s">
        <v>394</v>
      </c>
      <c r="CS27" s="3">
        <v>65</v>
      </c>
      <c r="CT27" s="3">
        <v>87</v>
      </c>
      <c r="CU27" s="3"/>
      <c r="CV27" s="3"/>
      <c r="CW27" s="3" t="s">
        <v>395</v>
      </c>
      <c r="CX27" s="3" t="s">
        <v>364</v>
      </c>
      <c r="CY27" s="3" t="s">
        <v>363</v>
      </c>
      <c r="CZ27" s="3" t="s">
        <v>397</v>
      </c>
      <c r="DA27" s="3" t="s">
        <v>366</v>
      </c>
      <c r="DB27" s="3" t="s">
        <v>397</v>
      </c>
      <c r="DC27" s="3" t="s">
        <v>397</v>
      </c>
      <c r="DD27" s="3" t="s">
        <v>366</v>
      </c>
      <c r="DE27" s="3"/>
      <c r="DF27" s="3"/>
      <c r="DG27" s="3"/>
      <c r="DH27" s="3"/>
      <c r="DI27" s="3"/>
      <c r="DJ27" s="3"/>
      <c r="DK27" s="3" t="s">
        <v>367</v>
      </c>
      <c r="DL27" s="3" t="s">
        <v>368</v>
      </c>
      <c r="DM27" s="3" t="s">
        <v>368</v>
      </c>
      <c r="DN27" s="3" t="s">
        <v>368</v>
      </c>
      <c r="DO27" s="3" t="s">
        <v>368</v>
      </c>
      <c r="DP27" s="3" t="s">
        <v>368</v>
      </c>
      <c r="DQ27" s="3" t="s">
        <v>368</v>
      </c>
      <c r="DR27" s="3" t="s">
        <v>368</v>
      </c>
      <c r="DS27" s="3" t="s">
        <v>345</v>
      </c>
      <c r="DT27" s="3" t="s">
        <v>345</v>
      </c>
      <c r="DU27" s="3" t="s">
        <v>344</v>
      </c>
      <c r="DV27" s="3" t="s">
        <v>344</v>
      </c>
      <c r="DW27" s="3" t="s">
        <v>344</v>
      </c>
      <c r="DX27" s="3" t="s">
        <v>370</v>
      </c>
      <c r="DY27" s="3" t="s">
        <v>370</v>
      </c>
      <c r="DZ27" s="3" t="s">
        <v>370</v>
      </c>
      <c r="EA27" s="3" t="s">
        <v>370</v>
      </c>
      <c r="EB27" s="3" t="s">
        <v>370</v>
      </c>
      <c r="EC27" s="3" t="s">
        <v>371</v>
      </c>
      <c r="ED27" s="3" t="s">
        <v>370</v>
      </c>
      <c r="EE27" s="3" t="s">
        <v>369</v>
      </c>
      <c r="EF27" s="3" t="s">
        <v>369</v>
      </c>
      <c r="EG27" s="3" t="s">
        <v>369</v>
      </c>
      <c r="EH27" s="3" t="s">
        <v>369</v>
      </c>
      <c r="EI27" s="3" t="s">
        <v>369</v>
      </c>
      <c r="EJ27" s="3" t="s">
        <v>369</v>
      </c>
      <c r="EK27" s="3" t="s">
        <v>369</v>
      </c>
      <c r="EL27" s="3" t="s">
        <v>424</v>
      </c>
      <c r="EM27" s="3" t="s">
        <v>374</v>
      </c>
      <c r="EN27" s="3" t="s">
        <v>372</v>
      </c>
      <c r="EO27" s="3"/>
      <c r="EP27" s="3"/>
      <c r="EQ27" s="3" t="s">
        <v>391</v>
      </c>
      <c r="ER27" s="3" t="s">
        <v>391</v>
      </c>
      <c r="ES27" s="3" t="s">
        <v>375</v>
      </c>
      <c r="ET27" s="3" t="s">
        <v>391</v>
      </c>
      <c r="EU27" s="3" t="s">
        <v>391</v>
      </c>
      <c r="EV27" s="3" t="s">
        <v>400</v>
      </c>
      <c r="EW27" s="3"/>
      <c r="EX27" s="3" t="s">
        <v>368</v>
      </c>
      <c r="EY27" s="3" t="s">
        <v>368</v>
      </c>
      <c r="EZ27" s="3" t="s">
        <v>368</v>
      </c>
      <c r="FA27" s="3" t="s">
        <v>345</v>
      </c>
      <c r="FB27" s="3" t="s">
        <v>401</v>
      </c>
      <c r="FC27" s="3"/>
      <c r="FD27" s="3" t="s">
        <v>401</v>
      </c>
      <c r="FE27" s="3"/>
      <c r="FF27" s="3" t="s">
        <v>431</v>
      </c>
      <c r="FG27" s="3" t="s">
        <v>441</v>
      </c>
      <c r="FH27" s="3" t="s">
        <v>451</v>
      </c>
      <c r="FI27" s="3" t="s">
        <v>433</v>
      </c>
      <c r="FJ27" s="3"/>
      <c r="FK27" s="3"/>
      <c r="FL27" s="3"/>
      <c r="FM27" s="3"/>
      <c r="FN27" s="3"/>
      <c r="FO27" s="3"/>
      <c r="FP27" s="3"/>
      <c r="FQ27" s="3"/>
      <c r="FR27" s="3"/>
      <c r="FS27" s="3"/>
      <c r="FT27" s="3"/>
      <c r="FU27" s="3"/>
      <c r="FV27" s="3"/>
      <c r="FW27" s="3"/>
      <c r="FX27" s="3"/>
      <c r="FY27" s="3"/>
      <c r="FZ27" s="3"/>
      <c r="GA27" s="3" t="s">
        <v>368</v>
      </c>
      <c r="GB27" s="3" t="s">
        <v>368</v>
      </c>
      <c r="GC27" s="3" t="s">
        <v>368</v>
      </c>
      <c r="GD27" s="3" t="s">
        <v>368</v>
      </c>
      <c r="GE27" s="3" t="s">
        <v>368</v>
      </c>
      <c r="GF27" s="3" t="s">
        <v>368</v>
      </c>
      <c r="GG27" s="3"/>
      <c r="GH27" s="3"/>
      <c r="GI27" s="3"/>
      <c r="GJ27" s="3"/>
      <c r="GK27" s="3"/>
      <c r="GL27" s="3" t="s">
        <v>344</v>
      </c>
      <c r="GM27" s="3" t="s">
        <v>344</v>
      </c>
      <c r="GN27" s="3" t="s">
        <v>344</v>
      </c>
      <c r="GO27" s="3" t="s">
        <v>344</v>
      </c>
      <c r="GP27" s="3" t="s">
        <v>344</v>
      </c>
      <c r="GQ27" s="3" t="s">
        <v>344</v>
      </c>
      <c r="GR27" s="3" t="s">
        <v>344</v>
      </c>
      <c r="GS27" s="3" t="s">
        <v>344</v>
      </c>
      <c r="GT27" s="3" t="s">
        <v>344</v>
      </c>
      <c r="GU27" s="3" t="s">
        <v>344</v>
      </c>
      <c r="GV27" s="3" t="s">
        <v>344</v>
      </c>
      <c r="GW27" s="3" t="s">
        <v>344</v>
      </c>
      <c r="GX27" s="3" t="s">
        <v>344</v>
      </c>
      <c r="GY27" s="3" t="s">
        <v>344</v>
      </c>
      <c r="GZ27" s="3" t="s">
        <v>344</v>
      </c>
      <c r="HA27" s="3" t="s">
        <v>544</v>
      </c>
      <c r="HB27" s="3" t="s">
        <v>344</v>
      </c>
      <c r="HC27" s="3"/>
      <c r="HD27" s="3" t="s">
        <v>344</v>
      </c>
      <c r="HE27" s="3"/>
      <c r="HF27" s="3" t="s">
        <v>344</v>
      </c>
      <c r="HG27" s="3"/>
      <c r="HH27" s="3" t="s">
        <v>344</v>
      </c>
      <c r="HI27" s="3"/>
      <c r="HJ27" s="3" t="s">
        <v>344</v>
      </c>
      <c r="HK27" s="3" t="s">
        <v>344</v>
      </c>
      <c r="HL27" s="3" t="s">
        <v>344</v>
      </c>
      <c r="HM27" s="3" t="s">
        <v>344</v>
      </c>
      <c r="HN27" s="3" t="s">
        <v>344</v>
      </c>
      <c r="HO27" s="3" t="s">
        <v>344</v>
      </c>
      <c r="HP27" s="3" t="s">
        <v>344</v>
      </c>
      <c r="HQ27" s="3" t="s">
        <v>344</v>
      </c>
      <c r="HR27" s="3" t="s">
        <v>344</v>
      </c>
      <c r="HS27" s="3" t="s">
        <v>344</v>
      </c>
      <c r="HT27" s="3" t="s">
        <v>344</v>
      </c>
      <c r="HU27" s="3" t="s">
        <v>344</v>
      </c>
      <c r="HV27" s="3" t="s">
        <v>344</v>
      </c>
      <c r="HW27" s="3" t="s">
        <v>344</v>
      </c>
      <c r="HX27" s="3" t="s">
        <v>345</v>
      </c>
      <c r="HY27" s="3"/>
      <c r="HZ27" s="3" t="s">
        <v>344</v>
      </c>
      <c r="IA27" s="3"/>
      <c r="IB27" s="3" t="s">
        <v>344</v>
      </c>
      <c r="IC27" s="3"/>
      <c r="ID27" s="3" t="s">
        <v>344</v>
      </c>
      <c r="IE27" s="3"/>
      <c r="IF27" s="3" t="s">
        <v>344</v>
      </c>
      <c r="IG27" s="3"/>
      <c r="IH27" s="3" t="s">
        <v>344</v>
      </c>
      <c r="II27" s="3" t="s">
        <v>344</v>
      </c>
      <c r="IJ27" s="3" t="s">
        <v>344</v>
      </c>
      <c r="IK27" s="3" t="s">
        <v>344</v>
      </c>
      <c r="IL27" s="3" t="s">
        <v>345</v>
      </c>
      <c r="IM27" s="3" t="s">
        <v>344</v>
      </c>
      <c r="IN27" s="3" t="s">
        <v>344</v>
      </c>
      <c r="IO27" s="3" t="s">
        <v>345</v>
      </c>
      <c r="IP27" s="3" t="s">
        <v>345</v>
      </c>
      <c r="IQ27" s="3" t="s">
        <v>344</v>
      </c>
      <c r="IR27" s="3" t="s">
        <v>344</v>
      </c>
      <c r="IS27" s="3" t="s">
        <v>344</v>
      </c>
      <c r="IT27" s="3"/>
      <c r="IU27" s="3"/>
      <c r="IV27" s="3"/>
      <c r="IW27" s="3"/>
      <c r="IX27" s="3"/>
      <c r="IY27" s="3"/>
      <c r="IZ27" s="3"/>
      <c r="JA27" s="3"/>
      <c r="JB27" s="3"/>
      <c r="JC27" s="3"/>
      <c r="JD27" s="3"/>
      <c r="JE27" s="3"/>
      <c r="JF27" s="3"/>
      <c r="JG27" s="3"/>
      <c r="JH27" s="3"/>
    </row>
    <row r="28" spans="1:268" x14ac:dyDescent="0.3">
      <c r="A28" s="2" t="s">
        <v>338</v>
      </c>
      <c r="B28" s="3">
        <v>80</v>
      </c>
      <c r="C28" s="3" t="s">
        <v>545</v>
      </c>
      <c r="D28" s="3">
        <v>14</v>
      </c>
      <c r="E28" s="3" t="s">
        <v>387</v>
      </c>
      <c r="F28" s="3">
        <v>1798527226</v>
      </c>
      <c r="G28" s="3" t="s">
        <v>546</v>
      </c>
      <c r="H28" s="3" t="s">
        <v>545</v>
      </c>
      <c r="I28" s="3" t="s">
        <v>342</v>
      </c>
      <c r="J28" s="3">
        <v>17</v>
      </c>
      <c r="K28" s="3" t="s">
        <v>389</v>
      </c>
      <c r="L28" s="3"/>
      <c r="M28" s="3" t="s">
        <v>345</v>
      </c>
      <c r="N28" s="3" t="s">
        <v>345</v>
      </c>
      <c r="O28" s="3" t="s">
        <v>344</v>
      </c>
      <c r="P28" s="3" t="s">
        <v>344</v>
      </c>
      <c r="Q28" s="3" t="s">
        <v>344</v>
      </c>
      <c r="R28" s="3"/>
      <c r="S28" s="3" t="s">
        <v>438</v>
      </c>
      <c r="T28" s="3"/>
      <c r="U28" s="3" t="s">
        <v>418</v>
      </c>
      <c r="V28" s="3"/>
      <c r="W28" s="3" t="s">
        <v>344</v>
      </c>
      <c r="X28" s="3" t="s">
        <v>345</v>
      </c>
      <c r="Y28" s="3" t="s">
        <v>344</v>
      </c>
      <c r="Z28" s="3" t="s">
        <v>344</v>
      </c>
      <c r="AA28" s="3" t="s">
        <v>344</v>
      </c>
      <c r="AB28" s="3" t="s">
        <v>344</v>
      </c>
      <c r="AC28" s="3" t="s">
        <v>344</v>
      </c>
      <c r="AD28" s="3" t="s">
        <v>344</v>
      </c>
      <c r="AE28" s="3" t="s">
        <v>345</v>
      </c>
      <c r="AF28" s="3" t="s">
        <v>345</v>
      </c>
      <c r="AG28" s="3" t="s">
        <v>344</v>
      </c>
      <c r="AH28" s="3" t="s">
        <v>344</v>
      </c>
      <c r="AI28" s="3" t="s">
        <v>344</v>
      </c>
      <c r="AJ28" s="3" t="s">
        <v>344</v>
      </c>
      <c r="AK28" s="3" t="s">
        <v>345</v>
      </c>
      <c r="AL28" s="3" t="s">
        <v>345</v>
      </c>
      <c r="AM28" s="3" t="s">
        <v>344</v>
      </c>
      <c r="AN28" s="3" t="s">
        <v>344</v>
      </c>
      <c r="AO28" s="3" t="s">
        <v>344</v>
      </c>
      <c r="AP28" s="3" t="s">
        <v>344</v>
      </c>
      <c r="AQ28" s="3" t="s">
        <v>344</v>
      </c>
      <c r="AR28" s="3" t="s">
        <v>344</v>
      </c>
      <c r="AS28" s="3" t="s">
        <v>345</v>
      </c>
      <c r="AT28" s="3" t="s">
        <v>345</v>
      </c>
      <c r="AU28" s="3" t="s">
        <v>344</v>
      </c>
      <c r="AV28" s="3" t="s">
        <v>344</v>
      </c>
      <c r="AW28" s="3" t="s">
        <v>344</v>
      </c>
      <c r="AX28" s="3" t="s">
        <v>344</v>
      </c>
      <c r="AY28" s="3"/>
      <c r="AZ28" s="3"/>
      <c r="BA28" s="3"/>
      <c r="BB28" s="3"/>
      <c r="BC28" s="3"/>
      <c r="BD28" s="3"/>
      <c r="BE28" s="3" t="s">
        <v>349</v>
      </c>
      <c r="BF28" s="3" t="s">
        <v>348</v>
      </c>
      <c r="BG28" s="3" t="s">
        <v>349</v>
      </c>
      <c r="BH28" s="3" t="s">
        <v>348</v>
      </c>
      <c r="BI28" s="3" t="s">
        <v>348</v>
      </c>
      <c r="BJ28" s="3" t="s">
        <v>391</v>
      </c>
      <c r="BK28" s="3" t="s">
        <v>391</v>
      </c>
      <c r="BL28" s="3" t="s">
        <v>391</v>
      </c>
      <c r="BM28" s="3" t="s">
        <v>391</v>
      </c>
      <c r="BN28" s="3" t="s">
        <v>391</v>
      </c>
      <c r="BO28" s="3" t="s">
        <v>391</v>
      </c>
      <c r="BP28" s="3" t="s">
        <v>391</v>
      </c>
      <c r="BQ28" s="3" t="s">
        <v>419</v>
      </c>
      <c r="BR28" s="3" t="s">
        <v>429</v>
      </c>
      <c r="BS28" s="3" t="s">
        <v>351</v>
      </c>
      <c r="BT28" s="3" t="s">
        <v>351</v>
      </c>
      <c r="BU28" s="3" t="s">
        <v>351</v>
      </c>
      <c r="BV28" s="3" t="s">
        <v>351</v>
      </c>
      <c r="BW28" s="3" t="s">
        <v>351</v>
      </c>
      <c r="BX28" s="3" t="s">
        <v>351</v>
      </c>
      <c r="BY28" s="3" t="s">
        <v>351</v>
      </c>
      <c r="BZ28" s="3" t="s">
        <v>391</v>
      </c>
      <c r="CA28" s="3" t="s">
        <v>391</v>
      </c>
      <c r="CB28" s="3" t="s">
        <v>391</v>
      </c>
      <c r="CC28" s="3" t="s">
        <v>391</v>
      </c>
      <c r="CD28" s="3" t="s">
        <v>391</v>
      </c>
      <c r="CE28" s="3" t="s">
        <v>391</v>
      </c>
      <c r="CF28" s="3" t="s">
        <v>391</v>
      </c>
      <c r="CG28" s="3" t="s">
        <v>420</v>
      </c>
      <c r="CH28" s="3" t="s">
        <v>421</v>
      </c>
      <c r="CI28" s="3" t="s">
        <v>393</v>
      </c>
      <c r="CJ28" s="3"/>
      <c r="CK28" s="3" t="s">
        <v>547</v>
      </c>
      <c r="CL28" s="3" t="s">
        <v>344</v>
      </c>
      <c r="CM28" s="3" t="s">
        <v>344</v>
      </c>
      <c r="CN28" s="3" t="s">
        <v>344</v>
      </c>
      <c r="CO28" s="3" t="s">
        <v>345</v>
      </c>
      <c r="CP28" s="3" t="s">
        <v>345</v>
      </c>
      <c r="CQ28" s="3" t="s">
        <v>344</v>
      </c>
      <c r="CR28" s="3" t="s">
        <v>362</v>
      </c>
      <c r="CS28" s="3">
        <v>5</v>
      </c>
      <c r="CT28" s="3">
        <v>85</v>
      </c>
      <c r="CU28" s="3">
        <v>90</v>
      </c>
      <c r="CV28" s="3">
        <v>60</v>
      </c>
      <c r="CW28" s="3" t="s">
        <v>363</v>
      </c>
      <c r="CX28" s="3" t="s">
        <v>395</v>
      </c>
      <c r="CY28" s="3" t="s">
        <v>396</v>
      </c>
      <c r="CZ28" s="3"/>
      <c r="DA28" s="3"/>
      <c r="DB28" s="3"/>
      <c r="DC28" s="3"/>
      <c r="DD28" s="3"/>
      <c r="DE28" s="3" t="s">
        <v>397</v>
      </c>
      <c r="DF28" s="3" t="s">
        <v>397</v>
      </c>
      <c r="DG28" s="3" t="s">
        <v>397</v>
      </c>
      <c r="DH28" s="3" t="s">
        <v>397</v>
      </c>
      <c r="DI28" s="3" t="s">
        <v>397</v>
      </c>
      <c r="DJ28" s="3"/>
      <c r="DK28" s="3" t="s">
        <v>367</v>
      </c>
      <c r="DL28" s="3" t="s">
        <v>368</v>
      </c>
      <c r="DM28" s="3" t="s">
        <v>368</v>
      </c>
      <c r="DN28" s="3" t="s">
        <v>368</v>
      </c>
      <c r="DO28" s="3" t="s">
        <v>368</v>
      </c>
      <c r="DP28" s="3" t="s">
        <v>345</v>
      </c>
      <c r="DQ28" s="3" t="s">
        <v>345</v>
      </c>
      <c r="DR28" s="3" t="s">
        <v>345</v>
      </c>
      <c r="DS28" s="3" t="s">
        <v>344</v>
      </c>
      <c r="DT28" s="3" t="s">
        <v>368</v>
      </c>
      <c r="DU28" s="3" t="s">
        <v>368</v>
      </c>
      <c r="DV28" s="3" t="s">
        <v>368</v>
      </c>
      <c r="DW28" s="3" t="s">
        <v>345</v>
      </c>
      <c r="DX28" s="3" t="s">
        <v>398</v>
      </c>
      <c r="DY28" s="3" t="s">
        <v>370</v>
      </c>
      <c r="DZ28" s="3" t="s">
        <v>370</v>
      </c>
      <c r="EA28" s="3" t="s">
        <v>370</v>
      </c>
      <c r="EB28" s="3" t="s">
        <v>370</v>
      </c>
      <c r="EC28" s="3" t="s">
        <v>370</v>
      </c>
      <c r="ED28" s="3" t="s">
        <v>370</v>
      </c>
      <c r="EE28" s="3" t="s">
        <v>370</v>
      </c>
      <c r="EF28" s="3" t="s">
        <v>370</v>
      </c>
      <c r="EG28" s="3" t="s">
        <v>371</v>
      </c>
      <c r="EH28" s="3" t="s">
        <v>371</v>
      </c>
      <c r="EI28" s="3" t="s">
        <v>370</v>
      </c>
      <c r="EJ28" s="3" t="s">
        <v>370</v>
      </c>
      <c r="EK28" s="3" t="s">
        <v>371</v>
      </c>
      <c r="EL28" s="3" t="s">
        <v>372</v>
      </c>
      <c r="EM28" s="3" t="s">
        <v>373</v>
      </c>
      <c r="EN28" s="3" t="s">
        <v>374</v>
      </c>
      <c r="EO28" s="3"/>
      <c r="EP28" s="3"/>
      <c r="EQ28" s="3" t="s">
        <v>376</v>
      </c>
      <c r="ER28" s="3" t="s">
        <v>375</v>
      </c>
      <c r="ES28" s="3" t="s">
        <v>411</v>
      </c>
      <c r="ET28" s="3" t="s">
        <v>375</v>
      </c>
      <c r="EU28" s="3" t="s">
        <v>375</v>
      </c>
      <c r="EV28" s="3" t="s">
        <v>400</v>
      </c>
      <c r="EW28" s="3"/>
      <c r="EX28" s="3" t="s">
        <v>368</v>
      </c>
      <c r="EY28" s="3" t="s">
        <v>368</v>
      </c>
      <c r="EZ28" s="3" t="s">
        <v>368</v>
      </c>
      <c r="FA28" s="3" t="s">
        <v>345</v>
      </c>
      <c r="FB28" s="3" t="s">
        <v>401</v>
      </c>
      <c r="FC28" s="3"/>
      <c r="FD28" s="3" t="s">
        <v>401</v>
      </c>
      <c r="FE28" s="3"/>
      <c r="FF28" s="3" t="s">
        <v>412</v>
      </c>
      <c r="FG28" s="3" t="s">
        <v>413</v>
      </c>
      <c r="FH28" s="3" t="s">
        <v>384</v>
      </c>
      <c r="FI28" s="3" t="s">
        <v>385</v>
      </c>
      <c r="FJ28" s="3"/>
      <c r="FK28" s="3"/>
      <c r="FL28" s="3"/>
      <c r="FM28" s="3"/>
      <c r="FN28" s="3"/>
      <c r="FO28" s="3"/>
      <c r="FP28" s="3"/>
      <c r="FQ28" s="3"/>
      <c r="FR28" s="3"/>
      <c r="FS28" s="3"/>
      <c r="FT28" s="3"/>
      <c r="FU28" s="3"/>
      <c r="FV28" s="3"/>
      <c r="FW28" s="3"/>
      <c r="FX28" s="3"/>
      <c r="FY28" s="3"/>
      <c r="FZ28" s="3"/>
      <c r="GA28" s="3" t="s">
        <v>368</v>
      </c>
      <c r="GB28" s="3" t="s">
        <v>368</v>
      </c>
      <c r="GC28" s="3" t="s">
        <v>368</v>
      </c>
      <c r="GD28" s="3" t="s">
        <v>368</v>
      </c>
      <c r="GE28" s="3" t="s">
        <v>368</v>
      </c>
      <c r="GF28" s="3" t="s">
        <v>368</v>
      </c>
      <c r="GG28" s="3"/>
      <c r="GH28" s="3"/>
      <c r="GI28" s="3"/>
      <c r="GJ28" s="3"/>
      <c r="GK28" s="3"/>
      <c r="GL28" s="3" t="s">
        <v>344</v>
      </c>
      <c r="GM28" s="3" t="s">
        <v>344</v>
      </c>
      <c r="GN28" s="3" t="s">
        <v>344</v>
      </c>
      <c r="GO28" s="3" t="s">
        <v>345</v>
      </c>
      <c r="GP28" s="3" t="s">
        <v>344</v>
      </c>
      <c r="GQ28" s="3" t="s">
        <v>344</v>
      </c>
      <c r="GR28" s="3" t="s">
        <v>345</v>
      </c>
      <c r="GS28" s="3" t="s">
        <v>344</v>
      </c>
      <c r="GT28" s="3" t="s">
        <v>344</v>
      </c>
      <c r="GU28" s="3" t="s">
        <v>345</v>
      </c>
      <c r="GV28" s="3" t="s">
        <v>345</v>
      </c>
      <c r="GW28" s="3" t="s">
        <v>344</v>
      </c>
      <c r="GX28" s="3" t="s">
        <v>345</v>
      </c>
      <c r="GY28" s="3" t="s">
        <v>344</v>
      </c>
      <c r="GZ28" s="3" t="s">
        <v>344</v>
      </c>
      <c r="HA28" s="3"/>
      <c r="HB28" s="3" t="s">
        <v>344</v>
      </c>
      <c r="HC28" s="3"/>
      <c r="HD28" s="3" t="s">
        <v>344</v>
      </c>
      <c r="HE28" s="3"/>
      <c r="HF28" s="3" t="s">
        <v>344</v>
      </c>
      <c r="HG28" s="3"/>
      <c r="HH28" s="3" t="s">
        <v>344</v>
      </c>
      <c r="HI28" s="3"/>
      <c r="HJ28" s="3" t="s">
        <v>344</v>
      </c>
      <c r="HK28" s="3" t="s">
        <v>344</v>
      </c>
      <c r="HL28" s="3" t="s">
        <v>344</v>
      </c>
      <c r="HM28" s="3" t="s">
        <v>345</v>
      </c>
      <c r="HN28" s="3" t="s">
        <v>344</v>
      </c>
      <c r="HO28" s="3" t="s">
        <v>344</v>
      </c>
      <c r="HP28" s="3" t="s">
        <v>345</v>
      </c>
      <c r="HQ28" s="3" t="s">
        <v>344</v>
      </c>
      <c r="HR28" s="3" t="s">
        <v>344</v>
      </c>
      <c r="HS28" s="3" t="s">
        <v>344</v>
      </c>
      <c r="HT28" s="3" t="s">
        <v>344</v>
      </c>
      <c r="HU28" s="3" t="s">
        <v>345</v>
      </c>
      <c r="HV28" s="3" t="s">
        <v>345</v>
      </c>
      <c r="HW28" s="3" t="s">
        <v>344</v>
      </c>
      <c r="HX28" s="3" t="s">
        <v>344</v>
      </c>
      <c r="HY28" s="3"/>
      <c r="HZ28" s="3" t="s">
        <v>344</v>
      </c>
      <c r="IA28" s="3"/>
      <c r="IB28" s="3" t="s">
        <v>344</v>
      </c>
      <c r="IC28" s="3"/>
      <c r="ID28" s="3" t="s">
        <v>344</v>
      </c>
      <c r="IE28" s="3"/>
      <c r="IF28" s="3" t="s">
        <v>344</v>
      </c>
      <c r="IG28" s="3"/>
      <c r="IH28" s="3" t="s">
        <v>344</v>
      </c>
      <c r="II28" s="3" t="s">
        <v>345</v>
      </c>
      <c r="IJ28" s="3" t="s">
        <v>344</v>
      </c>
      <c r="IK28" s="3" t="s">
        <v>344</v>
      </c>
      <c r="IL28" s="3" t="s">
        <v>345</v>
      </c>
      <c r="IM28" s="3" t="s">
        <v>345</v>
      </c>
      <c r="IN28" s="3" t="s">
        <v>344</v>
      </c>
      <c r="IO28" s="3" t="s">
        <v>345</v>
      </c>
      <c r="IP28" s="3" t="s">
        <v>344</v>
      </c>
      <c r="IQ28" s="3" t="s">
        <v>344</v>
      </c>
      <c r="IR28" s="3" t="s">
        <v>345</v>
      </c>
      <c r="IS28" s="3" t="s">
        <v>344</v>
      </c>
      <c r="IT28" s="3"/>
      <c r="IU28" s="3"/>
      <c r="IV28" s="3"/>
      <c r="IW28" s="3"/>
      <c r="IX28" s="3"/>
      <c r="IY28" s="3"/>
      <c r="IZ28" s="3"/>
      <c r="JA28" s="3"/>
      <c r="JB28" s="3"/>
      <c r="JC28" s="3"/>
      <c r="JD28" s="3"/>
      <c r="JE28" s="3"/>
      <c r="JF28" s="3"/>
      <c r="JG28" s="3"/>
      <c r="JH28" s="3"/>
    </row>
    <row r="29" spans="1:268" x14ac:dyDescent="0.3">
      <c r="A29" s="2" t="s">
        <v>338</v>
      </c>
      <c r="B29" s="3">
        <v>81</v>
      </c>
      <c r="C29" s="3" t="s">
        <v>548</v>
      </c>
      <c r="D29" s="3">
        <v>14</v>
      </c>
      <c r="E29" s="3" t="s">
        <v>387</v>
      </c>
      <c r="F29" s="3">
        <v>1614585431</v>
      </c>
      <c r="G29" s="3" t="s">
        <v>549</v>
      </c>
      <c r="H29" s="3" t="s">
        <v>548</v>
      </c>
      <c r="I29" s="3" t="s">
        <v>342</v>
      </c>
      <c r="J29" s="3">
        <v>17</v>
      </c>
      <c r="K29" s="3" t="s">
        <v>389</v>
      </c>
      <c r="L29" s="3"/>
      <c r="M29" s="3" t="s">
        <v>345</v>
      </c>
      <c r="N29" s="3" t="s">
        <v>344</v>
      </c>
      <c r="O29" s="3" t="s">
        <v>344</v>
      </c>
      <c r="P29" s="3" t="s">
        <v>344</v>
      </c>
      <c r="Q29" s="3" t="s">
        <v>344</v>
      </c>
      <c r="R29" s="3"/>
      <c r="S29" s="3" t="s">
        <v>438</v>
      </c>
      <c r="T29" s="3"/>
      <c r="U29" s="3" t="s">
        <v>428</v>
      </c>
      <c r="V29" s="3"/>
      <c r="W29" s="3" t="s">
        <v>344</v>
      </c>
      <c r="X29" s="3" t="s">
        <v>345</v>
      </c>
      <c r="Y29" s="3" t="s">
        <v>344</v>
      </c>
      <c r="Z29" s="3" t="s">
        <v>344</v>
      </c>
      <c r="AA29" s="3" t="s">
        <v>344</v>
      </c>
      <c r="AB29" s="3" t="s">
        <v>344</v>
      </c>
      <c r="AC29" s="3" t="s">
        <v>344</v>
      </c>
      <c r="AD29" s="3" t="s">
        <v>344</v>
      </c>
      <c r="AE29" s="3" t="s">
        <v>345</v>
      </c>
      <c r="AF29" s="3" t="s">
        <v>344</v>
      </c>
      <c r="AG29" s="3" t="s">
        <v>344</v>
      </c>
      <c r="AH29" s="3" t="s">
        <v>344</v>
      </c>
      <c r="AI29" s="3" t="s">
        <v>344</v>
      </c>
      <c r="AJ29" s="3" t="s">
        <v>344</v>
      </c>
      <c r="AK29" s="3" t="s">
        <v>368</v>
      </c>
      <c r="AL29" s="3" t="s">
        <v>368</v>
      </c>
      <c r="AM29" s="3" t="s">
        <v>368</v>
      </c>
      <c r="AN29" s="3" t="s">
        <v>368</v>
      </c>
      <c r="AO29" s="3" t="s">
        <v>368</v>
      </c>
      <c r="AP29" s="3" t="s">
        <v>368</v>
      </c>
      <c r="AQ29" s="3" t="s">
        <v>345</v>
      </c>
      <c r="AR29" s="3" t="s">
        <v>344</v>
      </c>
      <c r="AS29" s="3" t="s">
        <v>345</v>
      </c>
      <c r="AT29" s="3" t="s">
        <v>344</v>
      </c>
      <c r="AU29" s="3" t="s">
        <v>344</v>
      </c>
      <c r="AV29" s="3" t="s">
        <v>344</v>
      </c>
      <c r="AW29" s="3" t="s">
        <v>344</v>
      </c>
      <c r="AX29" s="3" t="s">
        <v>344</v>
      </c>
      <c r="AY29" s="3"/>
      <c r="AZ29" s="3"/>
      <c r="BA29" s="3"/>
      <c r="BB29" s="3"/>
      <c r="BC29" s="3"/>
      <c r="BD29" s="3"/>
      <c r="BE29" s="3" t="s">
        <v>349</v>
      </c>
      <c r="BF29" s="3" t="s">
        <v>348</v>
      </c>
      <c r="BG29" s="3" t="s">
        <v>390</v>
      </c>
      <c r="BH29" s="3" t="s">
        <v>390</v>
      </c>
      <c r="BI29" s="3" t="s">
        <v>349</v>
      </c>
      <c r="BJ29" s="3" t="s">
        <v>391</v>
      </c>
      <c r="BK29" s="3" t="s">
        <v>391</v>
      </c>
      <c r="BL29" s="3" t="s">
        <v>391</v>
      </c>
      <c r="BM29" s="3" t="s">
        <v>391</v>
      </c>
      <c r="BN29" s="3" t="s">
        <v>391</v>
      </c>
      <c r="BO29" s="3" t="s">
        <v>391</v>
      </c>
      <c r="BP29" s="3" t="s">
        <v>391</v>
      </c>
      <c r="BQ29" s="3" t="s">
        <v>407</v>
      </c>
      <c r="BR29" s="3" t="s">
        <v>408</v>
      </c>
      <c r="BS29" s="3" t="s">
        <v>391</v>
      </c>
      <c r="BT29" s="3" t="s">
        <v>391</v>
      </c>
      <c r="BU29" s="3" t="s">
        <v>391</v>
      </c>
      <c r="BV29" s="3" t="s">
        <v>391</v>
      </c>
      <c r="BW29" s="3" t="s">
        <v>391</v>
      </c>
      <c r="BX29" s="3" t="s">
        <v>391</v>
      </c>
      <c r="BY29" s="3" t="s">
        <v>391</v>
      </c>
      <c r="BZ29" s="3" t="s">
        <v>391</v>
      </c>
      <c r="CA29" s="3" t="s">
        <v>391</v>
      </c>
      <c r="CB29" s="3" t="s">
        <v>391</v>
      </c>
      <c r="CC29" s="3" t="s">
        <v>391</v>
      </c>
      <c r="CD29" s="3" t="s">
        <v>391</v>
      </c>
      <c r="CE29" s="3" t="s">
        <v>391</v>
      </c>
      <c r="CF29" s="3" t="s">
        <v>391</v>
      </c>
      <c r="CG29" s="3" t="s">
        <v>420</v>
      </c>
      <c r="CH29" s="3" t="s">
        <v>393</v>
      </c>
      <c r="CI29" s="3" t="s">
        <v>420</v>
      </c>
      <c r="CJ29" s="3"/>
      <c r="CK29" s="3" t="s">
        <v>550</v>
      </c>
      <c r="CL29" s="3" t="s">
        <v>344</v>
      </c>
      <c r="CM29" s="3" t="s">
        <v>344</v>
      </c>
      <c r="CN29" s="3" t="s">
        <v>344</v>
      </c>
      <c r="CO29" s="3" t="s">
        <v>345</v>
      </c>
      <c r="CP29" s="3" t="s">
        <v>345</v>
      </c>
      <c r="CQ29" s="3" t="s">
        <v>344</v>
      </c>
      <c r="CR29" s="3" t="s">
        <v>362</v>
      </c>
      <c r="CS29" s="3">
        <v>80</v>
      </c>
      <c r="CT29" s="3">
        <v>100</v>
      </c>
      <c r="CU29" s="3"/>
      <c r="CV29" s="3"/>
      <c r="CW29" s="3" t="s">
        <v>395</v>
      </c>
      <c r="CX29" s="3" t="s">
        <v>396</v>
      </c>
      <c r="CY29" s="3" t="s">
        <v>396</v>
      </c>
      <c r="CZ29" s="3" t="s">
        <v>397</v>
      </c>
      <c r="DA29" s="3" t="s">
        <v>397</v>
      </c>
      <c r="DB29" s="3" t="s">
        <v>397</v>
      </c>
      <c r="DC29" s="3" t="s">
        <v>397</v>
      </c>
      <c r="DD29" s="3" t="s">
        <v>397</v>
      </c>
      <c r="DE29" s="3"/>
      <c r="DF29" s="3"/>
      <c r="DG29" s="3"/>
      <c r="DH29" s="3"/>
      <c r="DI29" s="3"/>
      <c r="DJ29" s="3"/>
      <c r="DK29" s="3" t="s">
        <v>367</v>
      </c>
      <c r="DL29" s="3" t="s">
        <v>368</v>
      </c>
      <c r="DM29" s="3" t="s">
        <v>368</v>
      </c>
      <c r="DN29" s="3" t="s">
        <v>368</v>
      </c>
      <c r="DO29" s="3" t="s">
        <v>368</v>
      </c>
      <c r="DP29" s="3" t="s">
        <v>368</v>
      </c>
      <c r="DQ29" s="3" t="s">
        <v>368</v>
      </c>
      <c r="DR29" s="3" t="s">
        <v>368</v>
      </c>
      <c r="DS29" s="3" t="s">
        <v>345</v>
      </c>
      <c r="DT29" s="3" t="s">
        <v>345</v>
      </c>
      <c r="DU29" s="3" t="s">
        <v>344</v>
      </c>
      <c r="DV29" s="3" t="s">
        <v>344</v>
      </c>
      <c r="DW29" s="3" t="s">
        <v>344</v>
      </c>
      <c r="DX29" s="3" t="s">
        <v>370</v>
      </c>
      <c r="DY29" s="3" t="s">
        <v>370</v>
      </c>
      <c r="DZ29" s="3" t="s">
        <v>370</v>
      </c>
      <c r="EA29" s="3" t="s">
        <v>370</v>
      </c>
      <c r="EB29" s="3" t="s">
        <v>370</v>
      </c>
      <c r="EC29" s="3" t="s">
        <v>370</v>
      </c>
      <c r="ED29" s="3" t="s">
        <v>370</v>
      </c>
      <c r="EE29" s="3" t="s">
        <v>369</v>
      </c>
      <c r="EF29" s="3" t="s">
        <v>369</v>
      </c>
      <c r="EG29" s="3" t="s">
        <v>369</v>
      </c>
      <c r="EH29" s="3" t="s">
        <v>369</v>
      </c>
      <c r="EI29" s="3" t="s">
        <v>369</v>
      </c>
      <c r="EJ29" s="3" t="s">
        <v>369</v>
      </c>
      <c r="EK29" s="3" t="s">
        <v>369</v>
      </c>
      <c r="EL29" s="3" t="s">
        <v>373</v>
      </c>
      <c r="EM29" s="3" t="s">
        <v>440</v>
      </c>
      <c r="EN29" s="3" t="s">
        <v>374</v>
      </c>
      <c r="EO29" s="3"/>
      <c r="EP29" s="3"/>
      <c r="EQ29" s="3" t="s">
        <v>376</v>
      </c>
      <c r="ER29" s="3" t="s">
        <v>376</v>
      </c>
      <c r="ES29" s="3" t="s">
        <v>375</v>
      </c>
      <c r="ET29" s="3" t="s">
        <v>375</v>
      </c>
      <c r="EU29" s="3" t="s">
        <v>375</v>
      </c>
      <c r="EV29" s="3" t="s">
        <v>400</v>
      </c>
      <c r="EW29" s="3"/>
      <c r="EX29" s="3" t="s">
        <v>368</v>
      </c>
      <c r="EY29" s="3" t="s">
        <v>368</v>
      </c>
      <c r="EZ29" s="3" t="s">
        <v>368</v>
      </c>
      <c r="FA29" s="3" t="s">
        <v>345</v>
      </c>
      <c r="FB29" s="3" t="s">
        <v>401</v>
      </c>
      <c r="FC29" s="3"/>
      <c r="FD29" s="3" t="s">
        <v>401</v>
      </c>
      <c r="FE29" s="3"/>
      <c r="FF29" s="3" t="s">
        <v>382</v>
      </c>
      <c r="FG29" s="3" t="s">
        <v>402</v>
      </c>
      <c r="FH29" s="3" t="s">
        <v>432</v>
      </c>
      <c r="FI29" s="3" t="s">
        <v>433</v>
      </c>
      <c r="FJ29" s="3"/>
      <c r="FK29" s="3"/>
      <c r="FL29" s="3"/>
      <c r="FM29" s="3"/>
      <c r="FN29" s="3"/>
      <c r="FO29" s="3"/>
      <c r="FP29" s="3"/>
      <c r="FQ29" s="3"/>
      <c r="FR29" s="3"/>
      <c r="FS29" s="3"/>
      <c r="FT29" s="3"/>
      <c r="FU29" s="3"/>
      <c r="FV29" s="3"/>
      <c r="FW29" s="3"/>
      <c r="FX29" s="3"/>
      <c r="FY29" s="3"/>
      <c r="FZ29" s="3"/>
      <c r="GA29" s="3" t="s">
        <v>368</v>
      </c>
      <c r="GB29" s="3" t="s">
        <v>368</v>
      </c>
      <c r="GC29" s="3" t="s">
        <v>368</v>
      </c>
      <c r="GD29" s="3" t="s">
        <v>368</v>
      </c>
      <c r="GE29" s="3" t="s">
        <v>368</v>
      </c>
      <c r="GF29" s="3" t="s">
        <v>368</v>
      </c>
      <c r="GG29" s="3"/>
      <c r="GH29" s="3"/>
      <c r="GI29" s="3"/>
      <c r="GJ29" s="3"/>
      <c r="GK29" s="3"/>
      <c r="GL29" s="3" t="s">
        <v>344</v>
      </c>
      <c r="GM29" s="3" t="s">
        <v>344</v>
      </c>
      <c r="GN29" s="3" t="s">
        <v>344</v>
      </c>
      <c r="GO29" s="3" t="s">
        <v>344</v>
      </c>
      <c r="GP29" s="3" t="s">
        <v>344</v>
      </c>
      <c r="GQ29" s="3" t="s">
        <v>344</v>
      </c>
      <c r="GR29" s="3" t="s">
        <v>344</v>
      </c>
      <c r="GS29" s="3" t="s">
        <v>344</v>
      </c>
      <c r="GT29" s="3" t="s">
        <v>344</v>
      </c>
      <c r="GU29" s="3" t="s">
        <v>344</v>
      </c>
      <c r="GV29" s="3" t="s">
        <v>344</v>
      </c>
      <c r="GW29" s="3" t="s">
        <v>345</v>
      </c>
      <c r="GX29" s="3" t="s">
        <v>344</v>
      </c>
      <c r="GY29" s="3" t="s">
        <v>344</v>
      </c>
      <c r="GZ29" s="3" t="s">
        <v>344</v>
      </c>
      <c r="HA29" s="3" t="s">
        <v>551</v>
      </c>
      <c r="HB29" s="3" t="s">
        <v>345</v>
      </c>
      <c r="HC29" s="3" t="s">
        <v>443</v>
      </c>
      <c r="HD29" s="3" t="s">
        <v>345</v>
      </c>
      <c r="HE29" s="3" t="s">
        <v>552</v>
      </c>
      <c r="HF29" s="3" t="s">
        <v>344</v>
      </c>
      <c r="HG29" s="3"/>
      <c r="HH29" s="3" t="s">
        <v>344</v>
      </c>
      <c r="HI29" s="3"/>
      <c r="HJ29" s="3" t="s">
        <v>344</v>
      </c>
      <c r="HK29" s="3" t="s">
        <v>344</v>
      </c>
      <c r="HL29" s="3" t="s">
        <v>344</v>
      </c>
      <c r="HM29" s="3" t="s">
        <v>344</v>
      </c>
      <c r="HN29" s="3" t="s">
        <v>344</v>
      </c>
      <c r="HO29" s="3" t="s">
        <v>344</v>
      </c>
      <c r="HP29" s="3" t="s">
        <v>344</v>
      </c>
      <c r="HQ29" s="3" t="s">
        <v>344</v>
      </c>
      <c r="HR29" s="3" t="s">
        <v>344</v>
      </c>
      <c r="HS29" s="3" t="s">
        <v>344</v>
      </c>
      <c r="HT29" s="3" t="s">
        <v>344</v>
      </c>
      <c r="HU29" s="3" t="s">
        <v>344</v>
      </c>
      <c r="HV29" s="3" t="s">
        <v>344</v>
      </c>
      <c r="HW29" s="3" t="s">
        <v>344</v>
      </c>
      <c r="HX29" s="3" t="s">
        <v>345</v>
      </c>
      <c r="HY29" s="3"/>
      <c r="HZ29" s="3" t="s">
        <v>344</v>
      </c>
      <c r="IA29" s="3"/>
      <c r="IB29" s="3" t="s">
        <v>344</v>
      </c>
      <c r="IC29" s="3"/>
      <c r="ID29" s="3" t="s">
        <v>344</v>
      </c>
      <c r="IE29" s="3"/>
      <c r="IF29" s="3" t="s">
        <v>344</v>
      </c>
      <c r="IG29" s="3"/>
      <c r="IH29" s="3" t="s">
        <v>345</v>
      </c>
      <c r="II29" s="3" t="s">
        <v>345</v>
      </c>
      <c r="IJ29" s="3" t="s">
        <v>344</v>
      </c>
      <c r="IK29" s="3" t="s">
        <v>344</v>
      </c>
      <c r="IL29" s="3" t="s">
        <v>345</v>
      </c>
      <c r="IM29" s="3" t="s">
        <v>344</v>
      </c>
      <c r="IN29" s="3" t="s">
        <v>344</v>
      </c>
      <c r="IO29" s="3" t="s">
        <v>345</v>
      </c>
      <c r="IP29" s="3" t="s">
        <v>344</v>
      </c>
      <c r="IQ29" s="3" t="s">
        <v>344</v>
      </c>
      <c r="IR29" s="3" t="s">
        <v>344</v>
      </c>
      <c r="IS29" s="3" t="s">
        <v>344</v>
      </c>
      <c r="IT29" s="3"/>
      <c r="IU29" s="3"/>
      <c r="IV29" s="3"/>
      <c r="IW29" s="3"/>
      <c r="IX29" s="3"/>
      <c r="IY29" s="3"/>
      <c r="IZ29" s="3"/>
      <c r="JA29" s="3"/>
      <c r="JB29" s="3"/>
      <c r="JC29" s="3"/>
      <c r="JD29" s="3"/>
      <c r="JE29" s="3"/>
      <c r="JF29" s="3"/>
      <c r="JG29" s="3"/>
      <c r="JH29" s="3"/>
    </row>
    <row r="30" spans="1:268" x14ac:dyDescent="0.3">
      <c r="A30" s="2" t="s">
        <v>338</v>
      </c>
      <c r="B30" s="3">
        <v>82</v>
      </c>
      <c r="C30" s="3" t="s">
        <v>553</v>
      </c>
      <c r="D30" s="3">
        <v>14</v>
      </c>
      <c r="E30" s="3" t="s">
        <v>387</v>
      </c>
      <c r="F30" s="3">
        <v>1551493016</v>
      </c>
      <c r="G30" s="3" t="s">
        <v>554</v>
      </c>
      <c r="H30" s="3" t="s">
        <v>553</v>
      </c>
      <c r="I30" s="3" t="s">
        <v>342</v>
      </c>
      <c r="J30" s="3">
        <v>17</v>
      </c>
      <c r="K30" s="3" t="s">
        <v>389</v>
      </c>
      <c r="L30" s="3"/>
      <c r="M30" s="3" t="s">
        <v>345</v>
      </c>
      <c r="N30" s="3" t="s">
        <v>344</v>
      </c>
      <c r="O30" s="3" t="s">
        <v>344</v>
      </c>
      <c r="P30" s="3" t="s">
        <v>344</v>
      </c>
      <c r="Q30" s="3" t="s">
        <v>344</v>
      </c>
      <c r="R30" s="3"/>
      <c r="S30" s="3" t="s">
        <v>346</v>
      </c>
      <c r="T30" s="3"/>
      <c r="U30" s="3" t="s">
        <v>418</v>
      </c>
      <c r="V30" s="3"/>
      <c r="W30" s="3" t="s">
        <v>345</v>
      </c>
      <c r="X30" s="3" t="s">
        <v>345</v>
      </c>
      <c r="Y30" s="3" t="s">
        <v>344</v>
      </c>
      <c r="Z30" s="3" t="s">
        <v>344</v>
      </c>
      <c r="AA30" s="3" t="s">
        <v>344</v>
      </c>
      <c r="AB30" s="3" t="s">
        <v>344</v>
      </c>
      <c r="AC30" s="3" t="s">
        <v>344</v>
      </c>
      <c r="AD30" s="3" t="s">
        <v>345</v>
      </c>
      <c r="AE30" s="3" t="s">
        <v>345</v>
      </c>
      <c r="AF30" s="3" t="s">
        <v>344</v>
      </c>
      <c r="AG30" s="3" t="s">
        <v>344</v>
      </c>
      <c r="AH30" s="3" t="s">
        <v>345</v>
      </c>
      <c r="AI30" s="3" t="s">
        <v>344</v>
      </c>
      <c r="AJ30" s="3" t="s">
        <v>344</v>
      </c>
      <c r="AK30" s="3" t="s">
        <v>345</v>
      </c>
      <c r="AL30" s="3" t="s">
        <v>345</v>
      </c>
      <c r="AM30" s="3" t="s">
        <v>344</v>
      </c>
      <c r="AN30" s="3" t="s">
        <v>344</v>
      </c>
      <c r="AO30" s="3" t="s">
        <v>344</v>
      </c>
      <c r="AP30" s="3" t="s">
        <v>344</v>
      </c>
      <c r="AQ30" s="3" t="s">
        <v>344</v>
      </c>
      <c r="AR30" s="3" t="s">
        <v>345</v>
      </c>
      <c r="AS30" s="3" t="s">
        <v>345</v>
      </c>
      <c r="AT30" s="3" t="s">
        <v>345</v>
      </c>
      <c r="AU30" s="3" t="s">
        <v>345</v>
      </c>
      <c r="AV30" s="3" t="s">
        <v>345</v>
      </c>
      <c r="AW30" s="3" t="s">
        <v>344</v>
      </c>
      <c r="AX30" s="3" t="s">
        <v>344</v>
      </c>
      <c r="AY30" s="3"/>
      <c r="AZ30" s="3"/>
      <c r="BA30" s="3"/>
      <c r="BB30" s="3"/>
      <c r="BC30" s="3"/>
      <c r="BD30" s="3"/>
      <c r="BE30" s="3" t="s">
        <v>350</v>
      </c>
      <c r="BF30" s="3" t="s">
        <v>390</v>
      </c>
      <c r="BG30" s="3" t="s">
        <v>390</v>
      </c>
      <c r="BH30" s="3" t="s">
        <v>350</v>
      </c>
      <c r="BI30" s="3" t="s">
        <v>350</v>
      </c>
      <c r="BJ30" s="3" t="s">
        <v>354</v>
      </c>
      <c r="BK30" s="3" t="s">
        <v>355</v>
      </c>
      <c r="BL30" s="3" t="s">
        <v>357</v>
      </c>
      <c r="BM30" s="3" t="s">
        <v>391</v>
      </c>
      <c r="BN30" s="3" t="s">
        <v>352</v>
      </c>
      <c r="BO30" s="3" t="s">
        <v>351</v>
      </c>
      <c r="BP30" s="3" t="s">
        <v>391</v>
      </c>
      <c r="BQ30" s="3" t="s">
        <v>358</v>
      </c>
      <c r="BR30" s="3" t="s">
        <v>359</v>
      </c>
      <c r="BS30" s="3" t="s">
        <v>357</v>
      </c>
      <c r="BT30" s="3" t="s">
        <v>354</v>
      </c>
      <c r="BU30" s="3" t="s">
        <v>353</v>
      </c>
      <c r="BV30" s="3" t="s">
        <v>351</v>
      </c>
      <c r="BW30" s="3" t="s">
        <v>353</v>
      </c>
      <c r="BX30" s="3" t="s">
        <v>351</v>
      </c>
      <c r="BY30" s="3" t="s">
        <v>355</v>
      </c>
      <c r="BZ30" s="3" t="s">
        <v>391</v>
      </c>
      <c r="CA30" s="3" t="s">
        <v>391</v>
      </c>
      <c r="CB30" s="3" t="s">
        <v>391</v>
      </c>
      <c r="CC30" s="3" t="s">
        <v>391</v>
      </c>
      <c r="CD30" s="3" t="s">
        <v>391</v>
      </c>
      <c r="CE30" s="3" t="s">
        <v>391</v>
      </c>
      <c r="CF30" s="3" t="s">
        <v>391</v>
      </c>
      <c r="CG30" s="3" t="s">
        <v>421</v>
      </c>
      <c r="CH30" s="3" t="s">
        <v>421</v>
      </c>
      <c r="CI30" s="3" t="s">
        <v>360</v>
      </c>
      <c r="CJ30" s="3"/>
      <c r="CK30" s="3" t="s">
        <v>555</v>
      </c>
      <c r="CL30" s="3" t="s">
        <v>344</v>
      </c>
      <c r="CM30" s="3" t="s">
        <v>344</v>
      </c>
      <c r="CN30" s="3" t="s">
        <v>344</v>
      </c>
      <c r="CO30" s="3" t="s">
        <v>345</v>
      </c>
      <c r="CP30" s="3" t="s">
        <v>345</v>
      </c>
      <c r="CQ30" s="3" t="s">
        <v>344</v>
      </c>
      <c r="CR30" s="3" t="s">
        <v>362</v>
      </c>
      <c r="CS30" s="3">
        <v>1</v>
      </c>
      <c r="CT30" s="3">
        <v>100</v>
      </c>
      <c r="CU30" s="3"/>
      <c r="CV30" s="3"/>
      <c r="CW30" s="3" t="s">
        <v>364</v>
      </c>
      <c r="CX30" s="3" t="s">
        <v>396</v>
      </c>
      <c r="CY30" s="3" t="s">
        <v>396</v>
      </c>
      <c r="CZ30" s="3" t="s">
        <v>397</v>
      </c>
      <c r="DA30" s="3" t="s">
        <v>397</v>
      </c>
      <c r="DB30" s="3" t="s">
        <v>397</v>
      </c>
      <c r="DC30" s="3" t="s">
        <v>397</v>
      </c>
      <c r="DD30" s="3" t="s">
        <v>365</v>
      </c>
      <c r="DE30" s="3"/>
      <c r="DF30" s="3"/>
      <c r="DG30" s="3"/>
      <c r="DH30" s="3"/>
      <c r="DI30" s="3"/>
      <c r="DJ30" s="3"/>
      <c r="DK30" s="3" t="s">
        <v>367</v>
      </c>
      <c r="DL30" s="3" t="s">
        <v>368</v>
      </c>
      <c r="DM30" s="3" t="s">
        <v>368</v>
      </c>
      <c r="DN30" s="3" t="s">
        <v>368</v>
      </c>
      <c r="DO30" s="3" t="s">
        <v>368</v>
      </c>
      <c r="DP30" s="3" t="s">
        <v>368</v>
      </c>
      <c r="DQ30" s="3" t="s">
        <v>368</v>
      </c>
      <c r="DR30" s="3" t="s">
        <v>368</v>
      </c>
      <c r="DS30" s="3" t="s">
        <v>345</v>
      </c>
      <c r="DT30" s="3" t="s">
        <v>345</v>
      </c>
      <c r="DU30" s="3" t="s">
        <v>344</v>
      </c>
      <c r="DV30" s="3" t="s">
        <v>345</v>
      </c>
      <c r="DW30" s="3" t="s">
        <v>344</v>
      </c>
      <c r="DX30" s="3" t="s">
        <v>370</v>
      </c>
      <c r="DY30" s="3" t="s">
        <v>370</v>
      </c>
      <c r="DZ30" s="3" t="s">
        <v>370</v>
      </c>
      <c r="EA30" s="3" t="s">
        <v>370</v>
      </c>
      <c r="EB30" s="3" t="s">
        <v>370</v>
      </c>
      <c r="EC30" s="3" t="s">
        <v>370</v>
      </c>
      <c r="ED30" s="3" t="s">
        <v>370</v>
      </c>
      <c r="EE30" s="3" t="s">
        <v>369</v>
      </c>
      <c r="EF30" s="3" t="s">
        <v>369</v>
      </c>
      <c r="EG30" s="3" t="s">
        <v>369</v>
      </c>
      <c r="EH30" s="3" t="s">
        <v>369</v>
      </c>
      <c r="EI30" s="3" t="s">
        <v>369</v>
      </c>
      <c r="EJ30" s="3" t="s">
        <v>369</v>
      </c>
      <c r="EK30" s="3" t="s">
        <v>369</v>
      </c>
      <c r="EL30" s="3" t="s">
        <v>372</v>
      </c>
      <c r="EM30" s="3" t="s">
        <v>373</v>
      </c>
      <c r="EN30" s="3" t="s">
        <v>374</v>
      </c>
      <c r="EO30" s="3"/>
      <c r="EP30" s="3"/>
      <c r="EQ30" s="3" t="s">
        <v>375</v>
      </c>
      <c r="ER30" s="3" t="s">
        <v>376</v>
      </c>
      <c r="ES30" s="3" t="s">
        <v>377</v>
      </c>
      <c r="ET30" s="3" t="s">
        <v>377</v>
      </c>
      <c r="EU30" s="3" t="s">
        <v>377</v>
      </c>
      <c r="EV30" s="3" t="s">
        <v>400</v>
      </c>
      <c r="EW30" s="3"/>
      <c r="EX30" s="3" t="s">
        <v>368</v>
      </c>
      <c r="EY30" s="3" t="s">
        <v>368</v>
      </c>
      <c r="EZ30" s="3" t="s">
        <v>368</v>
      </c>
      <c r="FA30" s="3" t="s">
        <v>345</v>
      </c>
      <c r="FB30" s="3" t="s">
        <v>401</v>
      </c>
      <c r="FC30" s="3"/>
      <c r="FD30" s="3" t="s">
        <v>401</v>
      </c>
      <c r="FE30" s="3"/>
      <c r="FF30" s="3" t="s">
        <v>431</v>
      </c>
      <c r="FG30" s="3" t="s">
        <v>441</v>
      </c>
      <c r="FH30" s="3" t="s">
        <v>460</v>
      </c>
      <c r="FI30" s="3" t="s">
        <v>433</v>
      </c>
      <c r="FJ30" s="3"/>
      <c r="FK30" s="3"/>
      <c r="FL30" s="3"/>
      <c r="FM30" s="3"/>
      <c r="FN30" s="3"/>
      <c r="FO30" s="3"/>
      <c r="FP30" s="3"/>
      <c r="FQ30" s="3"/>
      <c r="FR30" s="3"/>
      <c r="FS30" s="3"/>
      <c r="FT30" s="3"/>
      <c r="FU30" s="3"/>
      <c r="FV30" s="3"/>
      <c r="FW30" s="3"/>
      <c r="FX30" s="3"/>
      <c r="FY30" s="3"/>
      <c r="FZ30" s="3"/>
      <c r="GA30" s="3" t="s">
        <v>368</v>
      </c>
      <c r="GB30" s="3" t="s">
        <v>368</v>
      </c>
      <c r="GC30" s="3" t="s">
        <v>368</v>
      </c>
      <c r="GD30" s="3" t="s">
        <v>368</v>
      </c>
      <c r="GE30" s="3" t="s">
        <v>368</v>
      </c>
      <c r="GF30" s="3" t="s">
        <v>368</v>
      </c>
      <c r="GG30" s="3"/>
      <c r="GH30" s="3"/>
      <c r="GI30" s="3"/>
      <c r="GJ30" s="3"/>
      <c r="GK30" s="3"/>
      <c r="GL30" s="3" t="s">
        <v>344</v>
      </c>
      <c r="GM30" s="3" t="s">
        <v>344</v>
      </c>
      <c r="GN30" s="3" t="s">
        <v>344</v>
      </c>
      <c r="GO30" s="3" t="s">
        <v>344</v>
      </c>
      <c r="GP30" s="3" t="s">
        <v>344</v>
      </c>
      <c r="GQ30" s="3" t="s">
        <v>344</v>
      </c>
      <c r="GR30" s="3" t="s">
        <v>344</v>
      </c>
      <c r="GS30" s="3" t="s">
        <v>344</v>
      </c>
      <c r="GT30" s="3" t="s">
        <v>344</v>
      </c>
      <c r="GU30" s="3" t="s">
        <v>344</v>
      </c>
      <c r="GV30" s="3" t="s">
        <v>344</v>
      </c>
      <c r="GW30" s="3" t="s">
        <v>344</v>
      </c>
      <c r="GX30" s="3" t="s">
        <v>344</v>
      </c>
      <c r="GY30" s="3" t="s">
        <v>344</v>
      </c>
      <c r="GZ30" s="3" t="s">
        <v>344</v>
      </c>
      <c r="HA30" s="3" t="s">
        <v>556</v>
      </c>
      <c r="HB30" s="3" t="s">
        <v>345</v>
      </c>
      <c r="HC30" s="3" t="s">
        <v>557</v>
      </c>
      <c r="HD30" s="3" t="s">
        <v>344</v>
      </c>
      <c r="HE30" s="3"/>
      <c r="HF30" s="3" t="s">
        <v>344</v>
      </c>
      <c r="HG30" s="3"/>
      <c r="HH30" s="3" t="s">
        <v>344</v>
      </c>
      <c r="HI30" s="3"/>
      <c r="HJ30" s="3" t="s">
        <v>344</v>
      </c>
      <c r="HK30" s="3" t="s">
        <v>344</v>
      </c>
      <c r="HL30" s="3" t="s">
        <v>344</v>
      </c>
      <c r="HM30" s="3" t="s">
        <v>344</v>
      </c>
      <c r="HN30" s="3" t="s">
        <v>344</v>
      </c>
      <c r="HO30" s="3" t="s">
        <v>344</v>
      </c>
      <c r="HP30" s="3" t="s">
        <v>344</v>
      </c>
      <c r="HQ30" s="3" t="s">
        <v>344</v>
      </c>
      <c r="HR30" s="3" t="s">
        <v>344</v>
      </c>
      <c r="HS30" s="3" t="s">
        <v>344</v>
      </c>
      <c r="HT30" s="3" t="s">
        <v>344</v>
      </c>
      <c r="HU30" s="3" t="s">
        <v>345</v>
      </c>
      <c r="HV30" s="3" t="s">
        <v>344</v>
      </c>
      <c r="HW30" s="3" t="s">
        <v>344</v>
      </c>
      <c r="HX30" s="3" t="s">
        <v>344</v>
      </c>
      <c r="HY30" s="3"/>
      <c r="HZ30" s="3" t="s">
        <v>345</v>
      </c>
      <c r="IA30" s="3"/>
      <c r="IB30" s="3" t="s">
        <v>344</v>
      </c>
      <c r="IC30" s="3"/>
      <c r="ID30" s="3" t="s">
        <v>344</v>
      </c>
      <c r="IE30" s="3"/>
      <c r="IF30" s="3" t="s">
        <v>344</v>
      </c>
      <c r="IG30" s="3"/>
      <c r="IH30" s="3" t="s">
        <v>345</v>
      </c>
      <c r="II30" s="3" t="s">
        <v>345</v>
      </c>
      <c r="IJ30" s="3" t="s">
        <v>344</v>
      </c>
      <c r="IK30" s="3" t="s">
        <v>344</v>
      </c>
      <c r="IL30" s="3" t="s">
        <v>345</v>
      </c>
      <c r="IM30" s="3" t="s">
        <v>344</v>
      </c>
      <c r="IN30" s="3" t="s">
        <v>344</v>
      </c>
      <c r="IO30" s="3" t="s">
        <v>345</v>
      </c>
      <c r="IP30" s="3" t="s">
        <v>344</v>
      </c>
      <c r="IQ30" s="3" t="s">
        <v>344</v>
      </c>
      <c r="IR30" s="3" t="s">
        <v>345</v>
      </c>
      <c r="IS30" s="3" t="s">
        <v>344</v>
      </c>
      <c r="IT30" s="3"/>
      <c r="IU30" s="3"/>
      <c r="IV30" s="3"/>
      <c r="IW30" s="3"/>
      <c r="IX30" s="3"/>
      <c r="IY30" s="3"/>
      <c r="IZ30" s="3"/>
      <c r="JA30" s="3"/>
      <c r="JB30" s="3"/>
      <c r="JC30" s="3"/>
      <c r="JD30" s="3"/>
      <c r="JE30" s="3"/>
      <c r="JF30" s="3"/>
      <c r="JG30" s="3"/>
      <c r="JH30" s="3"/>
    </row>
    <row r="31" spans="1:268" x14ac:dyDescent="0.3">
      <c r="A31" s="2" t="s">
        <v>338</v>
      </c>
      <c r="B31" s="3">
        <v>83</v>
      </c>
      <c r="C31" s="3" t="s">
        <v>558</v>
      </c>
      <c r="D31" s="3">
        <v>14</v>
      </c>
      <c r="E31" s="3" t="s">
        <v>387</v>
      </c>
      <c r="F31" s="3">
        <v>1031279398</v>
      </c>
      <c r="G31" s="3" t="s">
        <v>559</v>
      </c>
      <c r="H31" s="3" t="s">
        <v>558</v>
      </c>
      <c r="I31" s="3" t="s">
        <v>342</v>
      </c>
      <c r="J31" s="3">
        <v>16</v>
      </c>
      <c r="K31" s="3" t="s">
        <v>389</v>
      </c>
      <c r="L31" s="3"/>
      <c r="M31" s="3" t="s">
        <v>345</v>
      </c>
      <c r="N31" s="3" t="s">
        <v>345</v>
      </c>
      <c r="O31" s="3" t="s">
        <v>344</v>
      </c>
      <c r="P31" s="3" t="s">
        <v>344</v>
      </c>
      <c r="Q31" s="3" t="s">
        <v>344</v>
      </c>
      <c r="R31" s="3"/>
      <c r="S31" s="3" t="s">
        <v>522</v>
      </c>
      <c r="T31" s="3"/>
      <c r="U31" s="3" t="s">
        <v>347</v>
      </c>
      <c r="V31" s="3"/>
      <c r="W31" s="3" t="s">
        <v>368</v>
      </c>
      <c r="X31" s="3" t="s">
        <v>368</v>
      </c>
      <c r="Y31" s="3" t="s">
        <v>368</v>
      </c>
      <c r="Z31" s="3" t="s">
        <v>368</v>
      </c>
      <c r="AA31" s="3" t="s">
        <v>368</v>
      </c>
      <c r="AB31" s="3" t="s">
        <v>368</v>
      </c>
      <c r="AC31" s="3" t="s">
        <v>345</v>
      </c>
      <c r="AD31" s="3" t="s">
        <v>344</v>
      </c>
      <c r="AE31" s="3" t="s">
        <v>344</v>
      </c>
      <c r="AF31" s="3" t="s">
        <v>344</v>
      </c>
      <c r="AG31" s="3" t="s">
        <v>344</v>
      </c>
      <c r="AH31" s="3" t="s">
        <v>345</v>
      </c>
      <c r="AI31" s="3" t="s">
        <v>344</v>
      </c>
      <c r="AJ31" s="3" t="s">
        <v>344</v>
      </c>
      <c r="AK31" s="3" t="s">
        <v>368</v>
      </c>
      <c r="AL31" s="3" t="s">
        <v>368</v>
      </c>
      <c r="AM31" s="3" t="s">
        <v>368</v>
      </c>
      <c r="AN31" s="3" t="s">
        <v>368</v>
      </c>
      <c r="AO31" s="3" t="s">
        <v>368</v>
      </c>
      <c r="AP31" s="3" t="s">
        <v>368</v>
      </c>
      <c r="AQ31" s="3" t="s">
        <v>345</v>
      </c>
      <c r="AR31" s="3" t="s">
        <v>344</v>
      </c>
      <c r="AS31" s="3" t="s">
        <v>344</v>
      </c>
      <c r="AT31" s="3" t="s">
        <v>345</v>
      </c>
      <c r="AU31" s="3" t="s">
        <v>345</v>
      </c>
      <c r="AV31" s="3" t="s">
        <v>345</v>
      </c>
      <c r="AW31" s="3" t="s">
        <v>344</v>
      </c>
      <c r="AX31" s="3" t="s">
        <v>344</v>
      </c>
      <c r="AY31" s="3"/>
      <c r="AZ31" s="3"/>
      <c r="BA31" s="3"/>
      <c r="BB31" s="3"/>
      <c r="BC31" s="3"/>
      <c r="BD31" s="3"/>
      <c r="BE31" s="3" t="s">
        <v>349</v>
      </c>
      <c r="BF31" s="3" t="s">
        <v>390</v>
      </c>
      <c r="BG31" s="3" t="s">
        <v>390</v>
      </c>
      <c r="BH31" s="3" t="s">
        <v>349</v>
      </c>
      <c r="BI31" s="3" t="s">
        <v>349</v>
      </c>
      <c r="BJ31" s="3" t="s">
        <v>391</v>
      </c>
      <c r="BK31" s="3" t="s">
        <v>391</v>
      </c>
      <c r="BL31" s="3" t="s">
        <v>391</v>
      </c>
      <c r="BM31" s="3" t="s">
        <v>391</v>
      </c>
      <c r="BN31" s="3" t="s">
        <v>391</v>
      </c>
      <c r="BO31" s="3" t="s">
        <v>391</v>
      </c>
      <c r="BP31" s="3" t="s">
        <v>391</v>
      </c>
      <c r="BQ31" s="3" t="s">
        <v>455</v>
      </c>
      <c r="BR31" s="3" t="s">
        <v>429</v>
      </c>
      <c r="BS31" s="3" t="s">
        <v>391</v>
      </c>
      <c r="BT31" s="3" t="s">
        <v>391</v>
      </c>
      <c r="BU31" s="3" t="s">
        <v>391</v>
      </c>
      <c r="BV31" s="3" t="s">
        <v>391</v>
      </c>
      <c r="BW31" s="3" t="s">
        <v>391</v>
      </c>
      <c r="BX31" s="3" t="s">
        <v>391</v>
      </c>
      <c r="BY31" s="3" t="s">
        <v>391</v>
      </c>
      <c r="BZ31" s="3" t="s">
        <v>391</v>
      </c>
      <c r="CA31" s="3" t="s">
        <v>391</v>
      </c>
      <c r="CB31" s="3" t="s">
        <v>391</v>
      </c>
      <c r="CC31" s="3" t="s">
        <v>391</v>
      </c>
      <c r="CD31" s="3" t="s">
        <v>391</v>
      </c>
      <c r="CE31" s="3" t="s">
        <v>391</v>
      </c>
      <c r="CF31" s="3" t="s">
        <v>391</v>
      </c>
      <c r="CG31" s="3" t="s">
        <v>420</v>
      </c>
      <c r="CH31" s="3" t="s">
        <v>393</v>
      </c>
      <c r="CI31" s="3" t="s">
        <v>420</v>
      </c>
      <c r="CJ31" s="3"/>
      <c r="CK31" s="3" t="s">
        <v>560</v>
      </c>
      <c r="CL31" s="3" t="s">
        <v>345</v>
      </c>
      <c r="CM31" s="3" t="s">
        <v>344</v>
      </c>
      <c r="CN31" s="3" t="s">
        <v>344</v>
      </c>
      <c r="CO31" s="3" t="s">
        <v>345</v>
      </c>
      <c r="CP31" s="3" t="s">
        <v>345</v>
      </c>
      <c r="CQ31" s="3" t="s">
        <v>344</v>
      </c>
      <c r="CR31" s="3" t="s">
        <v>457</v>
      </c>
      <c r="CS31" s="3">
        <v>5</v>
      </c>
      <c r="CT31" s="3">
        <v>85</v>
      </c>
      <c r="CU31" s="3">
        <v>85</v>
      </c>
      <c r="CV31" s="3">
        <v>85</v>
      </c>
      <c r="CW31" s="3" t="s">
        <v>363</v>
      </c>
      <c r="CX31" s="3" t="s">
        <v>395</v>
      </c>
      <c r="CY31" s="3" t="s">
        <v>396</v>
      </c>
      <c r="CZ31" s="3"/>
      <c r="DA31" s="3"/>
      <c r="DB31" s="3"/>
      <c r="DC31" s="3"/>
      <c r="DD31" s="3"/>
      <c r="DE31" s="3" t="s">
        <v>397</v>
      </c>
      <c r="DF31" s="3" t="s">
        <v>397</v>
      </c>
      <c r="DG31" s="3" t="s">
        <v>397</v>
      </c>
      <c r="DH31" s="3" t="s">
        <v>397</v>
      </c>
      <c r="DI31" s="3" t="s">
        <v>397</v>
      </c>
      <c r="DJ31" s="3"/>
      <c r="DK31" s="3" t="s">
        <v>367</v>
      </c>
      <c r="DL31" s="3" t="s">
        <v>368</v>
      </c>
      <c r="DM31" s="3" t="s">
        <v>368</v>
      </c>
      <c r="DN31" s="3" t="s">
        <v>368</v>
      </c>
      <c r="DO31" s="3" t="s">
        <v>368</v>
      </c>
      <c r="DP31" s="3" t="s">
        <v>368</v>
      </c>
      <c r="DQ31" s="3" t="s">
        <v>368</v>
      </c>
      <c r="DR31" s="3" t="s">
        <v>368</v>
      </c>
      <c r="DS31" s="3" t="s">
        <v>345</v>
      </c>
      <c r="DT31" s="3" t="s">
        <v>345</v>
      </c>
      <c r="DU31" s="3" t="s">
        <v>344</v>
      </c>
      <c r="DV31" s="3" t="s">
        <v>344</v>
      </c>
      <c r="DW31" s="3" t="s">
        <v>344</v>
      </c>
      <c r="DX31" s="3" t="s">
        <v>370</v>
      </c>
      <c r="DY31" s="3" t="s">
        <v>370</v>
      </c>
      <c r="DZ31" s="3" t="s">
        <v>369</v>
      </c>
      <c r="EA31" s="3" t="s">
        <v>370</v>
      </c>
      <c r="EB31" s="3" t="s">
        <v>371</v>
      </c>
      <c r="EC31" s="3" t="s">
        <v>371</v>
      </c>
      <c r="ED31" s="3" t="s">
        <v>371</v>
      </c>
      <c r="EE31" s="3" t="s">
        <v>370</v>
      </c>
      <c r="EF31" s="3" t="s">
        <v>370</v>
      </c>
      <c r="EG31" s="3" t="s">
        <v>369</v>
      </c>
      <c r="EH31" s="3" t="s">
        <v>370</v>
      </c>
      <c r="EI31" s="3" t="s">
        <v>399</v>
      </c>
      <c r="EJ31" s="3" t="s">
        <v>399</v>
      </c>
      <c r="EK31" s="3" t="s">
        <v>399</v>
      </c>
      <c r="EL31" s="3" t="s">
        <v>374</v>
      </c>
      <c r="EM31" s="3" t="s">
        <v>372</v>
      </c>
      <c r="EN31" s="3" t="s">
        <v>424</v>
      </c>
      <c r="EO31" s="3"/>
      <c r="EP31" s="3"/>
      <c r="EQ31" s="3" t="s">
        <v>411</v>
      </c>
      <c r="ER31" s="3" t="s">
        <v>376</v>
      </c>
      <c r="ES31" s="3" t="s">
        <v>411</v>
      </c>
      <c r="ET31" s="3" t="s">
        <v>376</v>
      </c>
      <c r="EU31" s="3" t="s">
        <v>376</v>
      </c>
      <c r="EV31" s="3" t="s">
        <v>400</v>
      </c>
      <c r="EW31" s="3"/>
      <c r="EX31" s="3" t="s">
        <v>368</v>
      </c>
      <c r="EY31" s="3" t="s">
        <v>368</v>
      </c>
      <c r="EZ31" s="3" t="s">
        <v>368</v>
      </c>
      <c r="FA31" s="3" t="s">
        <v>345</v>
      </c>
      <c r="FB31" s="3" t="s">
        <v>401</v>
      </c>
      <c r="FC31" s="3"/>
      <c r="FD31" s="3" t="s">
        <v>17996</v>
      </c>
      <c r="FE31" s="3"/>
      <c r="FF31" s="3" t="s">
        <v>412</v>
      </c>
      <c r="FG31" s="3" t="s">
        <v>402</v>
      </c>
      <c r="FH31" s="3" t="s">
        <v>384</v>
      </c>
      <c r="FI31" s="3" t="s">
        <v>403</v>
      </c>
      <c r="FJ31" s="3"/>
      <c r="FK31" s="3"/>
      <c r="FL31" s="3"/>
      <c r="FM31" s="3"/>
      <c r="FN31" s="3"/>
      <c r="FO31" s="3"/>
      <c r="FP31" s="3"/>
      <c r="FQ31" s="3"/>
      <c r="FR31" s="3"/>
      <c r="FS31" s="3"/>
      <c r="FT31" s="3"/>
      <c r="FU31" s="3"/>
      <c r="FV31" s="3"/>
      <c r="FW31" s="3"/>
      <c r="FX31" s="3"/>
      <c r="FY31" s="3"/>
      <c r="FZ31" s="3"/>
      <c r="GA31" s="3" t="s">
        <v>368</v>
      </c>
      <c r="GB31" s="3" t="s">
        <v>368</v>
      </c>
      <c r="GC31" s="3" t="s">
        <v>368</v>
      </c>
      <c r="GD31" s="3" t="s">
        <v>368</v>
      </c>
      <c r="GE31" s="3" t="s">
        <v>368</v>
      </c>
      <c r="GF31" s="3" t="s">
        <v>368</v>
      </c>
      <c r="GG31" s="3"/>
      <c r="GH31" s="3"/>
      <c r="GI31" s="3"/>
      <c r="GJ31" s="3"/>
      <c r="GK31" s="3"/>
      <c r="GL31" s="3" t="s">
        <v>344</v>
      </c>
      <c r="GM31" s="3" t="s">
        <v>344</v>
      </c>
      <c r="GN31" s="3" t="s">
        <v>345</v>
      </c>
      <c r="GO31" s="3" t="s">
        <v>344</v>
      </c>
      <c r="GP31" s="3" t="s">
        <v>344</v>
      </c>
      <c r="GQ31" s="3" t="s">
        <v>344</v>
      </c>
      <c r="GR31" s="3" t="s">
        <v>345</v>
      </c>
      <c r="GS31" s="3" t="s">
        <v>344</v>
      </c>
      <c r="GT31" s="3" t="s">
        <v>344</v>
      </c>
      <c r="GU31" s="3" t="s">
        <v>344</v>
      </c>
      <c r="GV31" s="3" t="s">
        <v>344</v>
      </c>
      <c r="GW31" s="3" t="s">
        <v>344</v>
      </c>
      <c r="GX31" s="3" t="s">
        <v>344</v>
      </c>
      <c r="GY31" s="3" t="s">
        <v>344</v>
      </c>
      <c r="GZ31" s="3" t="s">
        <v>344</v>
      </c>
      <c r="HA31" s="3"/>
      <c r="HB31" s="3" t="s">
        <v>344</v>
      </c>
      <c r="HC31" s="3"/>
      <c r="HD31" s="3" t="s">
        <v>344</v>
      </c>
      <c r="HE31" s="3"/>
      <c r="HF31" s="3" t="s">
        <v>344</v>
      </c>
      <c r="HG31" s="3"/>
      <c r="HH31" s="3" t="s">
        <v>344</v>
      </c>
      <c r="HI31" s="3"/>
      <c r="HJ31" s="3" t="s">
        <v>344</v>
      </c>
      <c r="HK31" s="3" t="s">
        <v>344</v>
      </c>
      <c r="HL31" s="3" t="s">
        <v>344</v>
      </c>
      <c r="HM31" s="3" t="s">
        <v>344</v>
      </c>
      <c r="HN31" s="3" t="s">
        <v>344</v>
      </c>
      <c r="HO31" s="3" t="s">
        <v>344</v>
      </c>
      <c r="HP31" s="3" t="s">
        <v>344</v>
      </c>
      <c r="HQ31" s="3" t="s">
        <v>344</v>
      </c>
      <c r="HR31" s="3" t="s">
        <v>344</v>
      </c>
      <c r="HS31" s="3" t="s">
        <v>344</v>
      </c>
      <c r="HT31" s="3" t="s">
        <v>344</v>
      </c>
      <c r="HU31" s="3" t="s">
        <v>344</v>
      </c>
      <c r="HV31" s="3" t="s">
        <v>344</v>
      </c>
      <c r="HW31" s="3" t="s">
        <v>344</v>
      </c>
      <c r="HX31" s="3" t="s">
        <v>345</v>
      </c>
      <c r="HY31" s="3"/>
      <c r="HZ31" s="3" t="s">
        <v>344</v>
      </c>
      <c r="IA31" s="3"/>
      <c r="IB31" s="3" t="s">
        <v>344</v>
      </c>
      <c r="IC31" s="3"/>
      <c r="ID31" s="3" t="s">
        <v>344</v>
      </c>
      <c r="IE31" s="3"/>
      <c r="IF31" s="3" t="s">
        <v>344</v>
      </c>
      <c r="IG31" s="3"/>
      <c r="IH31" s="3" t="s">
        <v>344</v>
      </c>
      <c r="II31" s="3" t="s">
        <v>345</v>
      </c>
      <c r="IJ31" s="3" t="s">
        <v>344</v>
      </c>
      <c r="IK31" s="3" t="s">
        <v>344</v>
      </c>
      <c r="IL31" s="3" t="s">
        <v>345</v>
      </c>
      <c r="IM31" s="3" t="s">
        <v>344</v>
      </c>
      <c r="IN31" s="3" t="s">
        <v>344</v>
      </c>
      <c r="IO31" s="3" t="s">
        <v>344</v>
      </c>
      <c r="IP31" s="3" t="s">
        <v>344</v>
      </c>
      <c r="IQ31" s="3" t="s">
        <v>344</v>
      </c>
      <c r="IR31" s="3" t="s">
        <v>344</v>
      </c>
      <c r="IS31" s="3" t="s">
        <v>344</v>
      </c>
      <c r="IT31" s="3"/>
      <c r="IU31" s="3" t="s">
        <v>561</v>
      </c>
      <c r="IV31" s="3"/>
      <c r="IW31" s="3"/>
      <c r="IX31" s="3"/>
      <c r="IY31" s="3"/>
      <c r="IZ31" s="3"/>
      <c r="JA31" s="3"/>
      <c r="JB31" s="3"/>
      <c r="JC31" s="3"/>
      <c r="JD31" s="3"/>
      <c r="JE31" s="3"/>
      <c r="JF31" s="3"/>
      <c r="JG31" s="3"/>
      <c r="JH31" s="3"/>
    </row>
    <row r="32" spans="1:268" x14ac:dyDescent="0.3">
      <c r="A32" s="2" t="s">
        <v>338</v>
      </c>
      <c r="B32" s="3">
        <v>84</v>
      </c>
      <c r="C32" s="3" t="s">
        <v>562</v>
      </c>
      <c r="D32" s="3">
        <v>14</v>
      </c>
      <c r="E32" s="3" t="s">
        <v>387</v>
      </c>
      <c r="F32" s="3">
        <v>990120136</v>
      </c>
      <c r="G32" s="3" t="s">
        <v>563</v>
      </c>
      <c r="H32" s="3" t="s">
        <v>562</v>
      </c>
      <c r="I32" s="3" t="s">
        <v>342</v>
      </c>
      <c r="J32" s="3">
        <v>18</v>
      </c>
      <c r="K32" s="3" t="s">
        <v>389</v>
      </c>
      <c r="L32" s="3"/>
      <c r="M32" s="3" t="s">
        <v>345</v>
      </c>
      <c r="N32" s="3" t="s">
        <v>344</v>
      </c>
      <c r="O32" s="3" t="s">
        <v>344</v>
      </c>
      <c r="P32" s="3" t="s">
        <v>344</v>
      </c>
      <c r="Q32" s="3" t="s">
        <v>344</v>
      </c>
      <c r="R32" s="3"/>
      <c r="S32" s="3" t="s">
        <v>482</v>
      </c>
      <c r="T32" s="3"/>
      <c r="U32" s="3" t="s">
        <v>347</v>
      </c>
      <c r="V32" s="3"/>
      <c r="W32" s="3" t="s">
        <v>344</v>
      </c>
      <c r="X32" s="3" t="s">
        <v>345</v>
      </c>
      <c r="Y32" s="3" t="s">
        <v>344</v>
      </c>
      <c r="Z32" s="3" t="s">
        <v>344</v>
      </c>
      <c r="AA32" s="3" t="s">
        <v>344</v>
      </c>
      <c r="AB32" s="3" t="s">
        <v>344</v>
      </c>
      <c r="AC32" s="3" t="s">
        <v>344</v>
      </c>
      <c r="AD32" s="3" t="s">
        <v>344</v>
      </c>
      <c r="AE32" s="3" t="s">
        <v>345</v>
      </c>
      <c r="AF32" s="3" t="s">
        <v>344</v>
      </c>
      <c r="AG32" s="3" t="s">
        <v>344</v>
      </c>
      <c r="AH32" s="3" t="s">
        <v>344</v>
      </c>
      <c r="AI32" s="3" t="s">
        <v>344</v>
      </c>
      <c r="AJ32" s="3" t="s">
        <v>344</v>
      </c>
      <c r="AK32" s="3" t="s">
        <v>344</v>
      </c>
      <c r="AL32" s="3" t="s">
        <v>344</v>
      </c>
      <c r="AM32" s="3" t="s">
        <v>345</v>
      </c>
      <c r="AN32" s="3" t="s">
        <v>344</v>
      </c>
      <c r="AO32" s="3" t="s">
        <v>344</v>
      </c>
      <c r="AP32" s="3" t="s">
        <v>344</v>
      </c>
      <c r="AQ32" s="3" t="s">
        <v>344</v>
      </c>
      <c r="AR32" s="3" t="s">
        <v>344</v>
      </c>
      <c r="AS32" s="3" t="s">
        <v>344</v>
      </c>
      <c r="AT32" s="3" t="s">
        <v>344</v>
      </c>
      <c r="AU32" s="3" t="s">
        <v>345</v>
      </c>
      <c r="AV32" s="3" t="s">
        <v>344</v>
      </c>
      <c r="AW32" s="3" t="s">
        <v>344</v>
      </c>
      <c r="AX32" s="3" t="s">
        <v>344</v>
      </c>
      <c r="AY32" s="3"/>
      <c r="AZ32" s="3"/>
      <c r="BA32" s="3"/>
      <c r="BB32" s="3"/>
      <c r="BC32" s="3"/>
      <c r="BD32" s="3"/>
      <c r="BE32" s="3" t="s">
        <v>348</v>
      </c>
      <c r="BF32" s="3" t="s">
        <v>349</v>
      </c>
      <c r="BG32" s="3" t="s">
        <v>390</v>
      </c>
      <c r="BH32" s="3" t="s">
        <v>390</v>
      </c>
      <c r="BI32" s="3" t="s">
        <v>390</v>
      </c>
      <c r="BJ32" s="3" t="s">
        <v>391</v>
      </c>
      <c r="BK32" s="3" t="s">
        <v>391</v>
      </c>
      <c r="BL32" s="3" t="s">
        <v>391</v>
      </c>
      <c r="BM32" s="3" t="s">
        <v>391</v>
      </c>
      <c r="BN32" s="3" t="s">
        <v>391</v>
      </c>
      <c r="BO32" s="3" t="s">
        <v>391</v>
      </c>
      <c r="BP32" s="3" t="s">
        <v>391</v>
      </c>
      <c r="BQ32" s="3" t="s">
        <v>407</v>
      </c>
      <c r="BR32" s="3" t="s">
        <v>408</v>
      </c>
      <c r="BS32" s="3" t="s">
        <v>351</v>
      </c>
      <c r="BT32" s="3" t="s">
        <v>354</v>
      </c>
      <c r="BU32" s="3" t="s">
        <v>353</v>
      </c>
      <c r="BV32" s="3" t="s">
        <v>352</v>
      </c>
      <c r="BW32" s="3" t="s">
        <v>356</v>
      </c>
      <c r="BX32" s="3" t="s">
        <v>357</v>
      </c>
      <c r="BY32" s="3" t="s">
        <v>391</v>
      </c>
      <c r="BZ32" s="3" t="s">
        <v>357</v>
      </c>
      <c r="CA32" s="3" t="s">
        <v>356</v>
      </c>
      <c r="CB32" s="3" t="s">
        <v>352</v>
      </c>
      <c r="CC32" s="3" t="s">
        <v>353</v>
      </c>
      <c r="CD32" s="3" t="s">
        <v>354</v>
      </c>
      <c r="CE32" s="3" t="s">
        <v>351</v>
      </c>
      <c r="CF32" s="3" t="s">
        <v>355</v>
      </c>
      <c r="CG32" s="3" t="s">
        <v>420</v>
      </c>
      <c r="CH32" s="3" t="s">
        <v>421</v>
      </c>
      <c r="CI32" s="3" t="s">
        <v>360</v>
      </c>
      <c r="CJ32" s="3"/>
      <c r="CK32" s="3" t="s">
        <v>564</v>
      </c>
      <c r="CL32" s="3" t="s">
        <v>344</v>
      </c>
      <c r="CM32" s="3" t="s">
        <v>344</v>
      </c>
      <c r="CN32" s="3" t="s">
        <v>344</v>
      </c>
      <c r="CO32" s="3" t="s">
        <v>345</v>
      </c>
      <c r="CP32" s="3" t="s">
        <v>345</v>
      </c>
      <c r="CQ32" s="3" t="s">
        <v>344</v>
      </c>
      <c r="CR32" s="3" t="s">
        <v>362</v>
      </c>
      <c r="CS32" s="3">
        <v>36</v>
      </c>
      <c r="CT32" s="3">
        <v>88</v>
      </c>
      <c r="CU32" s="3"/>
      <c r="CV32" s="3"/>
      <c r="CW32" s="3" t="s">
        <v>363</v>
      </c>
      <c r="CX32" s="3" t="s">
        <v>395</v>
      </c>
      <c r="CY32" s="3" t="s">
        <v>396</v>
      </c>
      <c r="CZ32" s="3" t="s">
        <v>397</v>
      </c>
      <c r="DA32" s="3" t="s">
        <v>397</v>
      </c>
      <c r="DB32" s="3" t="s">
        <v>397</v>
      </c>
      <c r="DC32" s="3" t="s">
        <v>397</v>
      </c>
      <c r="DD32" s="3" t="s">
        <v>366</v>
      </c>
      <c r="DE32" s="3"/>
      <c r="DF32" s="3"/>
      <c r="DG32" s="3"/>
      <c r="DH32" s="3"/>
      <c r="DI32" s="3"/>
      <c r="DJ32" s="3"/>
      <c r="DK32" s="3" t="s">
        <v>367</v>
      </c>
      <c r="DL32" s="3" t="s">
        <v>368</v>
      </c>
      <c r="DM32" s="3" t="s">
        <v>368</v>
      </c>
      <c r="DN32" s="3" t="s">
        <v>368</v>
      </c>
      <c r="DO32" s="3" t="s">
        <v>368</v>
      </c>
      <c r="DP32" s="3" t="s">
        <v>345</v>
      </c>
      <c r="DQ32" s="3" t="s">
        <v>345</v>
      </c>
      <c r="DR32" s="3" t="s">
        <v>344</v>
      </c>
      <c r="DS32" s="3" t="s">
        <v>344</v>
      </c>
      <c r="DT32" s="3" t="s">
        <v>345</v>
      </c>
      <c r="DU32" s="3" t="s">
        <v>344</v>
      </c>
      <c r="DV32" s="3" t="s">
        <v>345</v>
      </c>
      <c r="DW32" s="3" t="s">
        <v>344</v>
      </c>
      <c r="DX32" s="3" t="s">
        <v>370</v>
      </c>
      <c r="DY32" s="3" t="s">
        <v>370</v>
      </c>
      <c r="DZ32" s="3" t="s">
        <v>370</v>
      </c>
      <c r="EA32" s="3" t="s">
        <v>370</v>
      </c>
      <c r="EB32" s="3" t="s">
        <v>370</v>
      </c>
      <c r="EC32" s="3" t="s">
        <v>370</v>
      </c>
      <c r="ED32" s="3" t="s">
        <v>370</v>
      </c>
      <c r="EE32" s="3" t="s">
        <v>369</v>
      </c>
      <c r="EF32" s="3" t="s">
        <v>398</v>
      </c>
      <c r="EG32" s="3" t="s">
        <v>371</v>
      </c>
      <c r="EH32" s="3" t="s">
        <v>371</v>
      </c>
      <c r="EI32" s="3" t="s">
        <v>369</v>
      </c>
      <c r="EJ32" s="3" t="s">
        <v>399</v>
      </c>
      <c r="EK32" s="3" t="s">
        <v>369</v>
      </c>
      <c r="EL32" s="3" t="s">
        <v>373</v>
      </c>
      <c r="EM32" s="3" t="s">
        <v>374</v>
      </c>
      <c r="EN32" s="3" t="s">
        <v>372</v>
      </c>
      <c r="EO32" s="3"/>
      <c r="EP32" s="3"/>
      <c r="EQ32" s="3" t="s">
        <v>376</v>
      </c>
      <c r="ER32" s="3" t="s">
        <v>411</v>
      </c>
      <c r="ES32" s="3" t="s">
        <v>376</v>
      </c>
      <c r="ET32" s="3" t="s">
        <v>411</v>
      </c>
      <c r="EU32" s="3" t="s">
        <v>376</v>
      </c>
      <c r="EV32" s="3" t="s">
        <v>400</v>
      </c>
      <c r="EW32" s="3"/>
      <c r="EX32" s="3" t="s">
        <v>368</v>
      </c>
      <c r="EY32" s="3" t="s">
        <v>368</v>
      </c>
      <c r="EZ32" s="3" t="s">
        <v>368</v>
      </c>
      <c r="FA32" s="3" t="s">
        <v>345</v>
      </c>
      <c r="FB32" s="3" t="s">
        <v>401</v>
      </c>
      <c r="FC32" s="3"/>
      <c r="FD32" s="3" t="s">
        <v>401</v>
      </c>
      <c r="FE32" s="3"/>
      <c r="FF32" s="3" t="s">
        <v>382</v>
      </c>
      <c r="FG32" s="3" t="s">
        <v>402</v>
      </c>
      <c r="FH32" s="3" t="s">
        <v>432</v>
      </c>
      <c r="FI32" s="3" t="s">
        <v>403</v>
      </c>
      <c r="FJ32" s="3"/>
      <c r="FK32" s="3"/>
      <c r="FL32" s="3"/>
      <c r="FM32" s="3"/>
      <c r="FN32" s="3"/>
      <c r="FO32" s="3"/>
      <c r="FP32" s="3"/>
      <c r="FQ32" s="3"/>
      <c r="FR32" s="3"/>
      <c r="FS32" s="3"/>
      <c r="FT32" s="3"/>
      <c r="FU32" s="3"/>
      <c r="FV32" s="3"/>
      <c r="FW32" s="3"/>
      <c r="FX32" s="3"/>
      <c r="FY32" s="3"/>
      <c r="FZ32" s="3"/>
      <c r="GA32" s="3" t="s">
        <v>368</v>
      </c>
      <c r="GB32" s="3" t="s">
        <v>368</v>
      </c>
      <c r="GC32" s="3" t="s">
        <v>368</v>
      </c>
      <c r="GD32" s="3" t="s">
        <v>368</v>
      </c>
      <c r="GE32" s="3" t="s">
        <v>368</v>
      </c>
      <c r="GF32" s="3" t="s">
        <v>368</v>
      </c>
      <c r="GG32" s="3"/>
      <c r="GH32" s="3"/>
      <c r="GI32" s="3"/>
      <c r="GJ32" s="3"/>
      <c r="GK32" s="3"/>
      <c r="GL32" s="3" t="s">
        <v>344</v>
      </c>
      <c r="GM32" s="3" t="s">
        <v>344</v>
      </c>
      <c r="GN32" s="3" t="s">
        <v>344</v>
      </c>
      <c r="GO32" s="3" t="s">
        <v>344</v>
      </c>
      <c r="GP32" s="3" t="s">
        <v>344</v>
      </c>
      <c r="GQ32" s="3" t="s">
        <v>344</v>
      </c>
      <c r="GR32" s="3" t="s">
        <v>344</v>
      </c>
      <c r="GS32" s="3" t="s">
        <v>344</v>
      </c>
      <c r="GT32" s="3" t="s">
        <v>344</v>
      </c>
      <c r="GU32" s="3" t="s">
        <v>344</v>
      </c>
      <c r="GV32" s="3" t="s">
        <v>344</v>
      </c>
      <c r="GW32" s="3" t="s">
        <v>344</v>
      </c>
      <c r="GX32" s="3" t="s">
        <v>344</v>
      </c>
      <c r="GY32" s="3" t="s">
        <v>344</v>
      </c>
      <c r="GZ32" s="3" t="s">
        <v>344</v>
      </c>
      <c r="HA32" s="3" t="s">
        <v>544</v>
      </c>
      <c r="HB32" s="3" t="s">
        <v>344</v>
      </c>
      <c r="HC32" s="3"/>
      <c r="HD32" s="3" t="s">
        <v>344</v>
      </c>
      <c r="HE32" s="3"/>
      <c r="HF32" s="3" t="s">
        <v>344</v>
      </c>
      <c r="HG32" s="3"/>
      <c r="HH32" s="3" t="s">
        <v>344</v>
      </c>
      <c r="HI32" s="3"/>
      <c r="HJ32" s="3" t="s">
        <v>344</v>
      </c>
      <c r="HK32" s="3" t="s">
        <v>344</v>
      </c>
      <c r="HL32" s="3" t="s">
        <v>344</v>
      </c>
      <c r="HM32" s="3" t="s">
        <v>344</v>
      </c>
      <c r="HN32" s="3" t="s">
        <v>344</v>
      </c>
      <c r="HO32" s="3" t="s">
        <v>344</v>
      </c>
      <c r="HP32" s="3" t="s">
        <v>344</v>
      </c>
      <c r="HQ32" s="3" t="s">
        <v>344</v>
      </c>
      <c r="HR32" s="3" t="s">
        <v>344</v>
      </c>
      <c r="HS32" s="3" t="s">
        <v>344</v>
      </c>
      <c r="HT32" s="3" t="s">
        <v>344</v>
      </c>
      <c r="HU32" s="3" t="s">
        <v>344</v>
      </c>
      <c r="HV32" s="3" t="s">
        <v>345</v>
      </c>
      <c r="HW32" s="3" t="s">
        <v>344</v>
      </c>
      <c r="HX32" s="3" t="s">
        <v>344</v>
      </c>
      <c r="HY32" s="3"/>
      <c r="HZ32" s="3" t="s">
        <v>344</v>
      </c>
      <c r="IA32" s="3"/>
      <c r="IB32" s="3" t="s">
        <v>344</v>
      </c>
      <c r="IC32" s="3"/>
      <c r="ID32" s="3" t="s">
        <v>344</v>
      </c>
      <c r="IE32" s="3"/>
      <c r="IF32" s="3" t="s">
        <v>344</v>
      </c>
      <c r="IG32" s="3"/>
      <c r="IH32" s="3" t="s">
        <v>345</v>
      </c>
      <c r="II32" s="3" t="s">
        <v>345</v>
      </c>
      <c r="IJ32" s="3" t="s">
        <v>344</v>
      </c>
      <c r="IK32" s="3" t="s">
        <v>344</v>
      </c>
      <c r="IL32" s="3" t="s">
        <v>344</v>
      </c>
      <c r="IM32" s="3" t="s">
        <v>345</v>
      </c>
      <c r="IN32" s="3" t="s">
        <v>344</v>
      </c>
      <c r="IO32" s="3" t="s">
        <v>345</v>
      </c>
      <c r="IP32" s="3" t="s">
        <v>345</v>
      </c>
      <c r="IQ32" s="3" t="s">
        <v>344</v>
      </c>
      <c r="IR32" s="3" t="s">
        <v>344</v>
      </c>
      <c r="IS32" s="3" t="s">
        <v>344</v>
      </c>
      <c r="IT32" s="3"/>
      <c r="IU32" s="3"/>
      <c r="IV32" s="3"/>
      <c r="IW32" s="3"/>
      <c r="IX32" s="3"/>
      <c r="IY32" s="3"/>
      <c r="IZ32" s="3"/>
      <c r="JA32" s="3"/>
      <c r="JB32" s="3"/>
      <c r="JC32" s="3"/>
      <c r="JD32" s="3"/>
      <c r="JE32" s="3"/>
      <c r="JF32" s="3"/>
      <c r="JG32" s="3"/>
      <c r="JH32" s="3"/>
    </row>
    <row r="33" spans="1:268" x14ac:dyDescent="0.3">
      <c r="A33" s="2" t="s">
        <v>338</v>
      </c>
      <c r="B33" s="3">
        <v>85</v>
      </c>
      <c r="C33" s="3" t="s">
        <v>565</v>
      </c>
      <c r="D33" s="3">
        <v>14</v>
      </c>
      <c r="E33" s="3" t="s">
        <v>340</v>
      </c>
      <c r="F33" s="3">
        <v>1806152044</v>
      </c>
      <c r="G33" s="3" t="s">
        <v>566</v>
      </c>
      <c r="H33" s="3" t="s">
        <v>565</v>
      </c>
      <c r="I33" s="3" t="s">
        <v>469</v>
      </c>
      <c r="J33" s="3">
        <v>16</v>
      </c>
      <c r="K33" s="3" t="s">
        <v>389</v>
      </c>
      <c r="L33" s="3"/>
      <c r="M33" s="3" t="s">
        <v>344</v>
      </c>
      <c r="N33" s="3" t="s">
        <v>345</v>
      </c>
      <c r="O33" s="3" t="s">
        <v>344</v>
      </c>
      <c r="P33" s="3" t="s">
        <v>344</v>
      </c>
      <c r="Q33" s="3" t="s">
        <v>344</v>
      </c>
      <c r="R33" s="3"/>
      <c r="S33" s="3" t="s">
        <v>346</v>
      </c>
      <c r="T33" s="3"/>
      <c r="U33" s="3" t="s">
        <v>347</v>
      </c>
      <c r="V33" s="3"/>
      <c r="W33" s="3" t="s">
        <v>344</v>
      </c>
      <c r="X33" s="3" t="s">
        <v>344</v>
      </c>
      <c r="Y33" s="3" t="s">
        <v>345</v>
      </c>
      <c r="Z33" s="3" t="s">
        <v>344</v>
      </c>
      <c r="AA33" s="3" t="s">
        <v>344</v>
      </c>
      <c r="AB33" s="3" t="s">
        <v>344</v>
      </c>
      <c r="AC33" s="3" t="s">
        <v>344</v>
      </c>
      <c r="AD33" s="3" t="s">
        <v>345</v>
      </c>
      <c r="AE33" s="3" t="s">
        <v>345</v>
      </c>
      <c r="AF33" s="3" t="s">
        <v>344</v>
      </c>
      <c r="AG33" s="3" t="s">
        <v>344</v>
      </c>
      <c r="AH33" s="3" t="s">
        <v>345</v>
      </c>
      <c r="AI33" s="3" t="s">
        <v>344</v>
      </c>
      <c r="AJ33" s="3" t="s">
        <v>344</v>
      </c>
      <c r="AK33" s="3" t="s">
        <v>344</v>
      </c>
      <c r="AL33" s="3" t="s">
        <v>344</v>
      </c>
      <c r="AM33" s="3" t="s">
        <v>344</v>
      </c>
      <c r="AN33" s="3" t="s">
        <v>344</v>
      </c>
      <c r="AO33" s="3" t="s">
        <v>345</v>
      </c>
      <c r="AP33" s="3" t="s">
        <v>345</v>
      </c>
      <c r="AQ33" s="3" t="s">
        <v>344</v>
      </c>
      <c r="AR33" s="3" t="s">
        <v>344</v>
      </c>
      <c r="AS33" s="3" t="s">
        <v>344</v>
      </c>
      <c r="AT33" s="3" t="s">
        <v>345</v>
      </c>
      <c r="AU33" s="3" t="s">
        <v>345</v>
      </c>
      <c r="AV33" s="3" t="s">
        <v>345</v>
      </c>
      <c r="AW33" s="3" t="s">
        <v>344</v>
      </c>
      <c r="AX33" s="3" t="s">
        <v>344</v>
      </c>
      <c r="AY33" s="3"/>
      <c r="AZ33" s="3"/>
      <c r="BA33" s="3"/>
      <c r="BB33" s="3"/>
      <c r="BC33" s="3"/>
      <c r="BD33" s="3"/>
      <c r="BE33" s="3" t="s">
        <v>349</v>
      </c>
      <c r="BF33" s="3" t="s">
        <v>349</v>
      </c>
      <c r="BG33" s="3" t="s">
        <v>390</v>
      </c>
      <c r="BH33" s="3" t="s">
        <v>349</v>
      </c>
      <c r="BI33" s="3" t="s">
        <v>390</v>
      </c>
      <c r="BJ33" s="3" t="s">
        <v>391</v>
      </c>
      <c r="BK33" s="3" t="s">
        <v>356</v>
      </c>
      <c r="BL33" s="3" t="s">
        <v>391</v>
      </c>
      <c r="BM33" s="3" t="s">
        <v>356</v>
      </c>
      <c r="BN33" s="3" t="s">
        <v>391</v>
      </c>
      <c r="BO33" s="3" t="s">
        <v>391</v>
      </c>
      <c r="BP33" s="3" t="s">
        <v>391</v>
      </c>
      <c r="BQ33" s="3" t="s">
        <v>358</v>
      </c>
      <c r="BR33" s="3" t="s">
        <v>367</v>
      </c>
      <c r="BS33" s="3" t="s">
        <v>391</v>
      </c>
      <c r="BT33" s="3" t="s">
        <v>391</v>
      </c>
      <c r="BU33" s="3" t="s">
        <v>391</v>
      </c>
      <c r="BV33" s="3" t="s">
        <v>391</v>
      </c>
      <c r="BW33" s="3" t="s">
        <v>391</v>
      </c>
      <c r="BX33" s="3" t="s">
        <v>391</v>
      </c>
      <c r="BY33" s="3" t="s">
        <v>391</v>
      </c>
      <c r="BZ33" s="3" t="s">
        <v>391</v>
      </c>
      <c r="CA33" s="3" t="s">
        <v>391</v>
      </c>
      <c r="CB33" s="3" t="s">
        <v>391</v>
      </c>
      <c r="CC33" s="3" t="s">
        <v>391</v>
      </c>
      <c r="CD33" s="3" t="s">
        <v>391</v>
      </c>
      <c r="CE33" s="3" t="s">
        <v>391</v>
      </c>
      <c r="CF33" s="3" t="s">
        <v>391</v>
      </c>
      <c r="CG33" s="3" t="s">
        <v>360</v>
      </c>
      <c r="CH33" s="3" t="s">
        <v>360</v>
      </c>
      <c r="CI33" s="3" t="s">
        <v>360</v>
      </c>
      <c r="CJ33" s="3"/>
      <c r="CK33" s="3" t="s">
        <v>567</v>
      </c>
      <c r="CL33" s="3" t="s">
        <v>344</v>
      </c>
      <c r="CM33" s="3" t="s">
        <v>344</v>
      </c>
      <c r="CN33" s="3" t="s">
        <v>344</v>
      </c>
      <c r="CO33" s="3" t="s">
        <v>344</v>
      </c>
      <c r="CP33" s="3" t="s">
        <v>344</v>
      </c>
      <c r="CQ33" s="3" t="s">
        <v>345</v>
      </c>
      <c r="CR33" s="3" t="s">
        <v>362</v>
      </c>
      <c r="CS33" s="3">
        <v>1</v>
      </c>
      <c r="CT33" s="3">
        <v>34</v>
      </c>
      <c r="CU33" s="3">
        <v>100</v>
      </c>
      <c r="CV33" s="3">
        <v>1</v>
      </c>
      <c r="CW33" s="3" t="s">
        <v>395</v>
      </c>
      <c r="CX33" s="3" t="s">
        <v>395</v>
      </c>
      <c r="CY33" s="3" t="s">
        <v>471</v>
      </c>
      <c r="CZ33" s="3"/>
      <c r="DA33" s="3"/>
      <c r="DB33" s="3"/>
      <c r="DC33" s="3"/>
      <c r="DD33" s="3"/>
      <c r="DE33" s="3" t="s">
        <v>366</v>
      </c>
      <c r="DF33" s="3" t="s">
        <v>365</v>
      </c>
      <c r="DG33" s="3" t="s">
        <v>365</v>
      </c>
      <c r="DH33" s="3" t="s">
        <v>366</v>
      </c>
      <c r="DI33" s="3" t="s">
        <v>365</v>
      </c>
      <c r="DJ33" s="3"/>
      <c r="DK33" s="3" t="s">
        <v>367</v>
      </c>
      <c r="DL33" s="3" t="s">
        <v>368</v>
      </c>
      <c r="DM33" s="3" t="s">
        <v>368</v>
      </c>
      <c r="DN33" s="3" t="s">
        <v>368</v>
      </c>
      <c r="DO33" s="3" t="s">
        <v>368</v>
      </c>
      <c r="DP33" s="3" t="s">
        <v>368</v>
      </c>
      <c r="DQ33" s="3" t="s">
        <v>368</v>
      </c>
      <c r="DR33" s="3" t="s">
        <v>368</v>
      </c>
      <c r="DS33" s="3" t="s">
        <v>345</v>
      </c>
      <c r="DT33" s="3" t="s">
        <v>345</v>
      </c>
      <c r="DU33" s="3" t="s">
        <v>345</v>
      </c>
      <c r="DV33" s="3" t="s">
        <v>344</v>
      </c>
      <c r="DW33" s="3" t="s">
        <v>344</v>
      </c>
      <c r="DX33" s="3" t="s">
        <v>369</v>
      </c>
      <c r="DY33" s="3" t="s">
        <v>398</v>
      </c>
      <c r="DZ33" s="3" t="s">
        <v>369</v>
      </c>
      <c r="EA33" s="3" t="s">
        <v>369</v>
      </c>
      <c r="EB33" s="3" t="s">
        <v>369</v>
      </c>
      <c r="EC33" s="3" t="s">
        <v>369</v>
      </c>
      <c r="ED33" s="3" t="s">
        <v>369</v>
      </c>
      <c r="EE33" s="3" t="s">
        <v>370</v>
      </c>
      <c r="EF33" s="3" t="s">
        <v>370</v>
      </c>
      <c r="EG33" s="3" t="s">
        <v>370</v>
      </c>
      <c r="EH33" s="3" t="s">
        <v>370</v>
      </c>
      <c r="EI33" s="3" t="s">
        <v>370</v>
      </c>
      <c r="EJ33" s="3" t="s">
        <v>370</v>
      </c>
      <c r="EK33" s="3" t="s">
        <v>371</v>
      </c>
      <c r="EL33" s="3" t="s">
        <v>372</v>
      </c>
      <c r="EM33" s="3" t="s">
        <v>374</v>
      </c>
      <c r="EN33" s="3" t="s">
        <v>373</v>
      </c>
      <c r="EO33" s="3"/>
      <c r="EP33" s="3"/>
      <c r="EQ33" s="3" t="s">
        <v>378</v>
      </c>
      <c r="ER33" s="3" t="s">
        <v>378</v>
      </c>
      <c r="ES33" s="3" t="s">
        <v>376</v>
      </c>
      <c r="ET33" s="3" t="s">
        <v>375</v>
      </c>
      <c r="EU33" s="3" t="s">
        <v>378</v>
      </c>
      <c r="EV33" s="3" t="s">
        <v>400</v>
      </c>
      <c r="EW33" s="3"/>
      <c r="EX33" s="3" t="s">
        <v>368</v>
      </c>
      <c r="EY33" s="3" t="s">
        <v>368</v>
      </c>
      <c r="EZ33" s="3" t="s">
        <v>368</v>
      </c>
      <c r="FA33" s="3" t="s">
        <v>345</v>
      </c>
      <c r="FB33" s="3" t="s">
        <v>380</v>
      </c>
      <c r="FC33" s="3"/>
      <c r="FD33" s="3" t="s">
        <v>401</v>
      </c>
      <c r="FE33" s="3"/>
      <c r="FF33" s="3" t="s">
        <v>477</v>
      </c>
      <c r="FG33" s="3" t="s">
        <v>402</v>
      </c>
      <c r="FH33" s="3" t="s">
        <v>451</v>
      </c>
      <c r="FI33" s="3" t="s">
        <v>403</v>
      </c>
      <c r="FJ33" s="3"/>
      <c r="FK33" s="3"/>
      <c r="FL33" s="3"/>
      <c r="FM33" s="3"/>
      <c r="FN33" s="3"/>
      <c r="FO33" s="3"/>
      <c r="FP33" s="3"/>
      <c r="FQ33" s="3"/>
      <c r="FR33" s="3"/>
      <c r="FS33" s="3"/>
      <c r="FT33" s="3"/>
      <c r="FU33" s="3"/>
      <c r="FV33" s="3"/>
      <c r="FW33" s="3"/>
      <c r="FX33" s="3"/>
      <c r="FY33" s="3"/>
      <c r="FZ33" s="3"/>
      <c r="GA33" s="3" t="s">
        <v>368</v>
      </c>
      <c r="GB33" s="3" t="s">
        <v>368</v>
      </c>
      <c r="GC33" s="3" t="s">
        <v>368</v>
      </c>
      <c r="GD33" s="3" t="s">
        <v>368</v>
      </c>
      <c r="GE33" s="3" t="s">
        <v>368</v>
      </c>
      <c r="GF33" s="3" t="s">
        <v>368</v>
      </c>
      <c r="GG33" s="3"/>
      <c r="GH33" s="3"/>
      <c r="GI33" s="3"/>
      <c r="GJ33" s="3"/>
      <c r="GK33" s="3"/>
      <c r="GL33" s="3" t="s">
        <v>344</v>
      </c>
      <c r="GM33" s="3" t="s">
        <v>345</v>
      </c>
      <c r="GN33" s="3" t="s">
        <v>344</v>
      </c>
      <c r="GO33" s="3" t="s">
        <v>345</v>
      </c>
      <c r="GP33" s="3" t="s">
        <v>344</v>
      </c>
      <c r="GQ33" s="3" t="s">
        <v>344</v>
      </c>
      <c r="GR33" s="3" t="s">
        <v>344</v>
      </c>
      <c r="GS33" s="3" t="s">
        <v>344</v>
      </c>
      <c r="GT33" s="3" t="s">
        <v>344</v>
      </c>
      <c r="GU33" s="3" t="s">
        <v>344</v>
      </c>
      <c r="GV33" s="3" t="s">
        <v>344</v>
      </c>
      <c r="GW33" s="3" t="s">
        <v>344</v>
      </c>
      <c r="GX33" s="3" t="s">
        <v>344</v>
      </c>
      <c r="GY33" s="3" t="s">
        <v>344</v>
      </c>
      <c r="GZ33" s="3" t="s">
        <v>344</v>
      </c>
      <c r="HA33" s="3"/>
      <c r="HB33" s="3" t="s">
        <v>344</v>
      </c>
      <c r="HC33" s="3"/>
      <c r="HD33" s="3" t="s">
        <v>344</v>
      </c>
      <c r="HE33" s="3"/>
      <c r="HF33" s="3" t="s">
        <v>344</v>
      </c>
      <c r="HG33" s="3"/>
      <c r="HH33" s="3" t="s">
        <v>344</v>
      </c>
      <c r="HI33" s="3"/>
      <c r="HJ33" s="3" t="s">
        <v>344</v>
      </c>
      <c r="HK33" s="3" t="s">
        <v>344</v>
      </c>
      <c r="HL33" s="3" t="s">
        <v>344</v>
      </c>
      <c r="HM33" s="3" t="s">
        <v>344</v>
      </c>
      <c r="HN33" s="3" t="s">
        <v>344</v>
      </c>
      <c r="HO33" s="3" t="s">
        <v>344</v>
      </c>
      <c r="HP33" s="3" t="s">
        <v>344</v>
      </c>
      <c r="HQ33" s="3" t="s">
        <v>344</v>
      </c>
      <c r="HR33" s="3" t="s">
        <v>344</v>
      </c>
      <c r="HS33" s="3" t="s">
        <v>344</v>
      </c>
      <c r="HT33" s="3" t="s">
        <v>344</v>
      </c>
      <c r="HU33" s="3" t="s">
        <v>344</v>
      </c>
      <c r="HV33" s="3" t="s">
        <v>344</v>
      </c>
      <c r="HW33" s="3" t="s">
        <v>344</v>
      </c>
      <c r="HX33" s="3" t="s">
        <v>345</v>
      </c>
      <c r="HY33" s="3"/>
      <c r="HZ33" s="3" t="s">
        <v>344</v>
      </c>
      <c r="IA33" s="3"/>
      <c r="IB33" s="3" t="s">
        <v>344</v>
      </c>
      <c r="IC33" s="3"/>
      <c r="ID33" s="3" t="s">
        <v>344</v>
      </c>
      <c r="IE33" s="3"/>
      <c r="IF33" s="3" t="s">
        <v>344</v>
      </c>
      <c r="IG33" s="3"/>
      <c r="IH33" s="3" t="s">
        <v>345</v>
      </c>
      <c r="II33" s="3" t="s">
        <v>345</v>
      </c>
      <c r="IJ33" s="3" t="s">
        <v>344</v>
      </c>
      <c r="IK33" s="3" t="s">
        <v>344</v>
      </c>
      <c r="IL33" s="3" t="s">
        <v>345</v>
      </c>
      <c r="IM33" s="3" t="s">
        <v>345</v>
      </c>
      <c r="IN33" s="3" t="s">
        <v>344</v>
      </c>
      <c r="IO33" s="3" t="s">
        <v>345</v>
      </c>
      <c r="IP33" s="3" t="s">
        <v>344</v>
      </c>
      <c r="IQ33" s="3" t="s">
        <v>344</v>
      </c>
      <c r="IR33" s="3" t="s">
        <v>345</v>
      </c>
      <c r="IS33" s="3" t="s">
        <v>344</v>
      </c>
      <c r="IT33" s="3"/>
      <c r="IU33" s="3" t="s">
        <v>568</v>
      </c>
      <c r="IV33" s="3"/>
      <c r="IW33" s="3"/>
      <c r="IX33" s="3"/>
      <c r="IY33" s="3"/>
      <c r="IZ33" s="3"/>
      <c r="JA33" s="3"/>
      <c r="JB33" s="3"/>
      <c r="JC33" s="3"/>
      <c r="JD33" s="3"/>
      <c r="JE33" s="3"/>
      <c r="JF33" s="3"/>
      <c r="JG33" s="3"/>
      <c r="JH33" s="3"/>
    </row>
    <row r="34" spans="1:268" x14ac:dyDescent="0.3">
      <c r="A34" s="2" t="s">
        <v>338</v>
      </c>
      <c r="B34" s="3">
        <v>86</v>
      </c>
      <c r="C34" s="3" t="s">
        <v>569</v>
      </c>
      <c r="D34" s="3">
        <v>14</v>
      </c>
      <c r="E34" s="3" t="s">
        <v>387</v>
      </c>
      <c r="F34" s="3">
        <v>1251529375</v>
      </c>
      <c r="G34" s="3" t="s">
        <v>570</v>
      </c>
      <c r="H34" s="3" t="s">
        <v>569</v>
      </c>
      <c r="I34" s="3" t="s">
        <v>342</v>
      </c>
      <c r="J34" s="3">
        <v>18</v>
      </c>
      <c r="K34" s="3" t="s">
        <v>389</v>
      </c>
      <c r="L34" s="3"/>
      <c r="M34" s="3" t="s">
        <v>345</v>
      </c>
      <c r="N34" s="3" t="s">
        <v>344</v>
      </c>
      <c r="O34" s="3" t="s">
        <v>344</v>
      </c>
      <c r="P34" s="3" t="s">
        <v>344</v>
      </c>
      <c r="Q34" s="3" t="s">
        <v>344</v>
      </c>
      <c r="R34" s="3"/>
      <c r="S34" s="3" t="s">
        <v>482</v>
      </c>
      <c r="T34" s="3"/>
      <c r="U34" s="3" t="s">
        <v>571</v>
      </c>
      <c r="V34" s="3"/>
      <c r="W34" s="3" t="s">
        <v>345</v>
      </c>
      <c r="X34" s="3" t="s">
        <v>345</v>
      </c>
      <c r="Y34" s="3" t="s">
        <v>345</v>
      </c>
      <c r="Z34" s="3" t="s">
        <v>345</v>
      </c>
      <c r="AA34" s="3" t="s">
        <v>344</v>
      </c>
      <c r="AB34" s="3" t="s">
        <v>344</v>
      </c>
      <c r="AC34" s="3" t="s">
        <v>344</v>
      </c>
      <c r="AD34" s="3" t="s">
        <v>345</v>
      </c>
      <c r="AE34" s="3" t="s">
        <v>345</v>
      </c>
      <c r="AF34" s="3" t="s">
        <v>345</v>
      </c>
      <c r="AG34" s="3" t="s">
        <v>344</v>
      </c>
      <c r="AH34" s="3" t="s">
        <v>345</v>
      </c>
      <c r="AI34" s="3" t="s">
        <v>344</v>
      </c>
      <c r="AJ34" s="3" t="s">
        <v>344</v>
      </c>
      <c r="AK34" s="3" t="s">
        <v>344</v>
      </c>
      <c r="AL34" s="3" t="s">
        <v>345</v>
      </c>
      <c r="AM34" s="3" t="s">
        <v>345</v>
      </c>
      <c r="AN34" s="3" t="s">
        <v>344</v>
      </c>
      <c r="AO34" s="3" t="s">
        <v>344</v>
      </c>
      <c r="AP34" s="3" t="s">
        <v>345</v>
      </c>
      <c r="AQ34" s="3" t="s">
        <v>344</v>
      </c>
      <c r="AR34" s="3" t="s">
        <v>345</v>
      </c>
      <c r="AS34" s="3" t="s">
        <v>345</v>
      </c>
      <c r="AT34" s="3" t="s">
        <v>345</v>
      </c>
      <c r="AU34" s="3" t="s">
        <v>344</v>
      </c>
      <c r="AV34" s="3" t="s">
        <v>345</v>
      </c>
      <c r="AW34" s="3" t="s">
        <v>345</v>
      </c>
      <c r="AX34" s="3" t="s">
        <v>344</v>
      </c>
      <c r="AY34" s="3"/>
      <c r="AZ34" s="3"/>
      <c r="BA34" s="3"/>
      <c r="BB34" s="3"/>
      <c r="BC34" s="3"/>
      <c r="BD34" s="3"/>
      <c r="BE34" s="3" t="s">
        <v>349</v>
      </c>
      <c r="BF34" s="3" t="s">
        <v>348</v>
      </c>
      <c r="BG34" s="3" t="s">
        <v>349</v>
      </c>
      <c r="BH34" s="3" t="s">
        <v>350</v>
      </c>
      <c r="BI34" s="3" t="s">
        <v>349</v>
      </c>
      <c r="BJ34" s="3" t="s">
        <v>351</v>
      </c>
      <c r="BK34" s="3" t="s">
        <v>356</v>
      </c>
      <c r="BL34" s="3" t="s">
        <v>357</v>
      </c>
      <c r="BM34" s="3" t="s">
        <v>357</v>
      </c>
      <c r="BN34" s="3" t="s">
        <v>357</v>
      </c>
      <c r="BO34" s="3" t="s">
        <v>356</v>
      </c>
      <c r="BP34" s="3" t="s">
        <v>357</v>
      </c>
      <c r="BQ34" s="3" t="s">
        <v>407</v>
      </c>
      <c r="BR34" s="3" t="s">
        <v>429</v>
      </c>
      <c r="BS34" s="3" t="s">
        <v>391</v>
      </c>
      <c r="BT34" s="3" t="s">
        <v>356</v>
      </c>
      <c r="BU34" s="3" t="s">
        <v>391</v>
      </c>
      <c r="BV34" s="3" t="s">
        <v>351</v>
      </c>
      <c r="BW34" s="3" t="s">
        <v>354</v>
      </c>
      <c r="BX34" s="3" t="s">
        <v>351</v>
      </c>
      <c r="BY34" s="3" t="s">
        <v>352</v>
      </c>
      <c r="BZ34" s="3" t="s">
        <v>354</v>
      </c>
      <c r="CA34" s="3" t="s">
        <v>356</v>
      </c>
      <c r="CB34" s="3" t="s">
        <v>357</v>
      </c>
      <c r="CC34" s="3" t="s">
        <v>351</v>
      </c>
      <c r="CD34" s="3" t="s">
        <v>353</v>
      </c>
      <c r="CE34" s="3" t="s">
        <v>352</v>
      </c>
      <c r="CF34" s="3" t="s">
        <v>391</v>
      </c>
      <c r="CG34" s="3" t="s">
        <v>393</v>
      </c>
      <c r="CH34" s="3" t="s">
        <v>393</v>
      </c>
      <c r="CI34" s="3" t="s">
        <v>420</v>
      </c>
      <c r="CJ34" s="3"/>
      <c r="CK34" s="3" t="s">
        <v>572</v>
      </c>
      <c r="CL34" s="3" t="s">
        <v>345</v>
      </c>
      <c r="CM34" s="3" t="s">
        <v>344</v>
      </c>
      <c r="CN34" s="3" t="s">
        <v>345</v>
      </c>
      <c r="CO34" s="3" t="s">
        <v>345</v>
      </c>
      <c r="CP34" s="3" t="s">
        <v>345</v>
      </c>
      <c r="CQ34" s="3" t="s">
        <v>344</v>
      </c>
      <c r="CR34" s="3" t="s">
        <v>362</v>
      </c>
      <c r="CS34" s="3">
        <v>51</v>
      </c>
      <c r="CT34" s="3">
        <v>100</v>
      </c>
      <c r="CU34" s="3"/>
      <c r="CV34" s="3"/>
      <c r="CW34" s="3" t="s">
        <v>395</v>
      </c>
      <c r="CX34" s="3" t="s">
        <v>395</v>
      </c>
      <c r="CY34" s="3" t="s">
        <v>396</v>
      </c>
      <c r="CZ34" s="3" t="s">
        <v>366</v>
      </c>
      <c r="DA34" s="3" t="s">
        <v>366</v>
      </c>
      <c r="DB34" s="3" t="s">
        <v>366</v>
      </c>
      <c r="DC34" s="3" t="s">
        <v>397</v>
      </c>
      <c r="DD34" s="3" t="s">
        <v>365</v>
      </c>
      <c r="DE34" s="3"/>
      <c r="DF34" s="3"/>
      <c r="DG34" s="3"/>
      <c r="DH34" s="3"/>
      <c r="DI34" s="3"/>
      <c r="DJ34" s="3"/>
      <c r="DK34" s="3" t="s">
        <v>367</v>
      </c>
      <c r="DL34" s="3" t="s">
        <v>368</v>
      </c>
      <c r="DM34" s="3" t="s">
        <v>368</v>
      </c>
      <c r="DN34" s="3" t="s">
        <v>368</v>
      </c>
      <c r="DO34" s="3" t="s">
        <v>368</v>
      </c>
      <c r="DP34" s="3" t="s">
        <v>345</v>
      </c>
      <c r="DQ34" s="3" t="s">
        <v>345</v>
      </c>
      <c r="DR34" s="3" t="s">
        <v>345</v>
      </c>
      <c r="DS34" s="3" t="s">
        <v>344</v>
      </c>
      <c r="DT34" s="3" t="s">
        <v>345</v>
      </c>
      <c r="DU34" s="3" t="s">
        <v>345</v>
      </c>
      <c r="DV34" s="3" t="s">
        <v>345</v>
      </c>
      <c r="DW34" s="3" t="s">
        <v>344</v>
      </c>
      <c r="DX34" s="3" t="s">
        <v>370</v>
      </c>
      <c r="DY34" s="3" t="s">
        <v>370</v>
      </c>
      <c r="DZ34" s="3" t="s">
        <v>370</v>
      </c>
      <c r="EA34" s="3" t="s">
        <v>370</v>
      </c>
      <c r="EB34" s="3" t="s">
        <v>370</v>
      </c>
      <c r="EC34" s="3" t="s">
        <v>370</v>
      </c>
      <c r="ED34" s="3" t="s">
        <v>370</v>
      </c>
      <c r="EE34" s="3" t="s">
        <v>369</v>
      </c>
      <c r="EF34" s="3" t="s">
        <v>369</v>
      </c>
      <c r="EG34" s="3" t="s">
        <v>369</v>
      </c>
      <c r="EH34" s="3" t="s">
        <v>369</v>
      </c>
      <c r="EI34" s="3" t="s">
        <v>369</v>
      </c>
      <c r="EJ34" s="3" t="s">
        <v>369</v>
      </c>
      <c r="EK34" s="3" t="s">
        <v>399</v>
      </c>
      <c r="EL34" s="3" t="s">
        <v>373</v>
      </c>
      <c r="EM34" s="3" t="s">
        <v>372</v>
      </c>
      <c r="EN34" s="3" t="s">
        <v>374</v>
      </c>
      <c r="EO34" s="3"/>
      <c r="EP34" s="3"/>
      <c r="EQ34" s="3" t="s">
        <v>376</v>
      </c>
      <c r="ER34" s="3" t="s">
        <v>376</v>
      </c>
      <c r="ES34" s="3" t="s">
        <v>375</v>
      </c>
      <c r="ET34" s="3" t="s">
        <v>375</v>
      </c>
      <c r="EU34" s="3" t="s">
        <v>378</v>
      </c>
      <c r="EV34" s="3" t="s">
        <v>400</v>
      </c>
      <c r="EW34" s="3"/>
      <c r="EX34" s="3" t="s">
        <v>368</v>
      </c>
      <c r="EY34" s="3" t="s">
        <v>368</v>
      </c>
      <c r="EZ34" s="3" t="s">
        <v>368</v>
      </c>
      <c r="FA34" s="3" t="s">
        <v>345</v>
      </c>
      <c r="FB34" s="3" t="s">
        <v>401</v>
      </c>
      <c r="FC34" s="3"/>
      <c r="FD34" s="3" t="s">
        <v>450</v>
      </c>
      <c r="FE34" s="3"/>
      <c r="FF34" s="3" t="s">
        <v>431</v>
      </c>
      <c r="FG34" s="3" t="s">
        <v>441</v>
      </c>
      <c r="FH34" s="3" t="s">
        <v>432</v>
      </c>
      <c r="FI34" s="3" t="s">
        <v>433</v>
      </c>
      <c r="FJ34" s="3"/>
      <c r="FK34" s="3"/>
      <c r="FL34" s="3"/>
      <c r="FM34" s="3"/>
      <c r="FN34" s="3"/>
      <c r="FO34" s="3"/>
      <c r="FP34" s="3"/>
      <c r="FQ34" s="3"/>
      <c r="FR34" s="3"/>
      <c r="FS34" s="3"/>
      <c r="FT34" s="3"/>
      <c r="FU34" s="3"/>
      <c r="FV34" s="3"/>
      <c r="FW34" s="3"/>
      <c r="FX34" s="3"/>
      <c r="FY34" s="3"/>
      <c r="FZ34" s="3"/>
      <c r="GA34" s="3" t="s">
        <v>368</v>
      </c>
      <c r="GB34" s="3" t="s">
        <v>368</v>
      </c>
      <c r="GC34" s="3" t="s">
        <v>368</v>
      </c>
      <c r="GD34" s="3" t="s">
        <v>368</v>
      </c>
      <c r="GE34" s="3" t="s">
        <v>368</v>
      </c>
      <c r="GF34" s="3" t="s">
        <v>368</v>
      </c>
      <c r="GG34" s="3"/>
      <c r="GH34" s="3"/>
      <c r="GI34" s="3"/>
      <c r="GJ34" s="3"/>
      <c r="GK34" s="3"/>
      <c r="GL34" s="3" t="s">
        <v>344</v>
      </c>
      <c r="GM34" s="3" t="s">
        <v>344</v>
      </c>
      <c r="GN34" s="3" t="s">
        <v>345</v>
      </c>
      <c r="GO34" s="3" t="s">
        <v>345</v>
      </c>
      <c r="GP34" s="3" t="s">
        <v>344</v>
      </c>
      <c r="GQ34" s="3" t="s">
        <v>344</v>
      </c>
      <c r="GR34" s="3" t="s">
        <v>344</v>
      </c>
      <c r="GS34" s="3" t="s">
        <v>344</v>
      </c>
      <c r="GT34" s="3" t="s">
        <v>344</v>
      </c>
      <c r="GU34" s="3" t="s">
        <v>344</v>
      </c>
      <c r="GV34" s="3" t="s">
        <v>345</v>
      </c>
      <c r="GW34" s="3" t="s">
        <v>344</v>
      </c>
      <c r="GX34" s="3" t="s">
        <v>344</v>
      </c>
      <c r="GY34" s="3" t="s">
        <v>344</v>
      </c>
      <c r="GZ34" s="3" t="s">
        <v>344</v>
      </c>
      <c r="HA34" s="3"/>
      <c r="HB34" s="3" t="s">
        <v>344</v>
      </c>
      <c r="HC34" s="3"/>
      <c r="HD34" s="3" t="s">
        <v>345</v>
      </c>
      <c r="HE34" s="3" t="s">
        <v>573</v>
      </c>
      <c r="HF34" s="3" t="s">
        <v>344</v>
      </c>
      <c r="HG34" s="3"/>
      <c r="HH34" s="3" t="s">
        <v>344</v>
      </c>
      <c r="HI34" s="3"/>
      <c r="HJ34" s="3" t="s">
        <v>345</v>
      </c>
      <c r="HK34" s="3" t="s">
        <v>344</v>
      </c>
      <c r="HL34" s="3" t="s">
        <v>344</v>
      </c>
      <c r="HM34" s="3" t="s">
        <v>344</v>
      </c>
      <c r="HN34" s="3" t="s">
        <v>344</v>
      </c>
      <c r="HO34" s="3" t="s">
        <v>344</v>
      </c>
      <c r="HP34" s="3" t="s">
        <v>344</v>
      </c>
      <c r="HQ34" s="3" t="s">
        <v>344</v>
      </c>
      <c r="HR34" s="3" t="s">
        <v>344</v>
      </c>
      <c r="HS34" s="3" t="s">
        <v>344</v>
      </c>
      <c r="HT34" s="3" t="s">
        <v>344</v>
      </c>
      <c r="HU34" s="3" t="s">
        <v>345</v>
      </c>
      <c r="HV34" s="3" t="s">
        <v>344</v>
      </c>
      <c r="HW34" s="3" t="s">
        <v>344</v>
      </c>
      <c r="HX34" s="3" t="s">
        <v>344</v>
      </c>
      <c r="HY34" s="3"/>
      <c r="HZ34" s="3" t="s">
        <v>345</v>
      </c>
      <c r="IA34" s="3" t="s">
        <v>574</v>
      </c>
      <c r="IB34" s="3" t="s">
        <v>345</v>
      </c>
      <c r="IC34" s="3" t="s">
        <v>575</v>
      </c>
      <c r="ID34" s="3" t="s">
        <v>344</v>
      </c>
      <c r="IE34" s="3"/>
      <c r="IF34" s="3" t="s">
        <v>344</v>
      </c>
      <c r="IG34" s="3"/>
      <c r="IH34" s="3" t="s">
        <v>344</v>
      </c>
      <c r="II34" s="3" t="s">
        <v>345</v>
      </c>
      <c r="IJ34" s="3" t="s">
        <v>345</v>
      </c>
      <c r="IK34" s="3" t="s">
        <v>344</v>
      </c>
      <c r="IL34" s="3" t="s">
        <v>345</v>
      </c>
      <c r="IM34" s="3" t="s">
        <v>344</v>
      </c>
      <c r="IN34" s="3" t="s">
        <v>344</v>
      </c>
      <c r="IO34" s="3" t="s">
        <v>345</v>
      </c>
      <c r="IP34" s="3" t="s">
        <v>344</v>
      </c>
      <c r="IQ34" s="3" t="s">
        <v>344</v>
      </c>
      <c r="IR34" s="3" t="s">
        <v>345</v>
      </c>
      <c r="IS34" s="3" t="s">
        <v>344</v>
      </c>
      <c r="IT34" s="3"/>
      <c r="IU34" s="3"/>
      <c r="IV34" s="3"/>
      <c r="IW34" s="3"/>
      <c r="IX34" s="3"/>
      <c r="IY34" s="3"/>
      <c r="IZ34" s="3"/>
      <c r="JA34" s="3"/>
      <c r="JB34" s="3"/>
      <c r="JC34" s="3"/>
      <c r="JD34" s="3"/>
      <c r="JE34" s="3"/>
      <c r="JF34" s="3"/>
      <c r="JG34" s="3"/>
      <c r="JH34" s="3"/>
    </row>
    <row r="35" spans="1:268" x14ac:dyDescent="0.3">
      <c r="A35" s="2" t="s">
        <v>338</v>
      </c>
      <c r="B35" s="3">
        <v>87</v>
      </c>
      <c r="C35" s="3" t="s">
        <v>576</v>
      </c>
      <c r="D35" s="3">
        <v>14</v>
      </c>
      <c r="E35" s="3" t="s">
        <v>387</v>
      </c>
      <c r="F35" s="3">
        <v>299609256</v>
      </c>
      <c r="G35" s="3" t="s">
        <v>577</v>
      </c>
      <c r="H35" s="3" t="s">
        <v>576</v>
      </c>
      <c r="I35" s="3" t="s">
        <v>342</v>
      </c>
      <c r="J35" s="3">
        <v>17</v>
      </c>
      <c r="K35" s="3" t="s">
        <v>389</v>
      </c>
      <c r="L35" s="3"/>
      <c r="M35" s="3" t="s">
        <v>345</v>
      </c>
      <c r="N35" s="3" t="s">
        <v>344</v>
      </c>
      <c r="O35" s="3" t="s">
        <v>344</v>
      </c>
      <c r="P35" s="3" t="s">
        <v>344</v>
      </c>
      <c r="Q35" s="3" t="s">
        <v>344</v>
      </c>
      <c r="R35" s="3"/>
      <c r="S35" s="3" t="s">
        <v>346</v>
      </c>
      <c r="T35" s="3"/>
      <c r="U35" s="3" t="s">
        <v>347</v>
      </c>
      <c r="V35" s="3"/>
      <c r="W35" s="3" t="s">
        <v>368</v>
      </c>
      <c r="X35" s="3" t="s">
        <v>368</v>
      </c>
      <c r="Y35" s="3" t="s">
        <v>368</v>
      </c>
      <c r="Z35" s="3" t="s">
        <v>368</v>
      </c>
      <c r="AA35" s="3" t="s">
        <v>368</v>
      </c>
      <c r="AB35" s="3" t="s">
        <v>368</v>
      </c>
      <c r="AC35" s="3" t="s">
        <v>345</v>
      </c>
      <c r="AD35" s="3" t="s">
        <v>344</v>
      </c>
      <c r="AE35" s="3" t="s">
        <v>345</v>
      </c>
      <c r="AF35" s="3" t="s">
        <v>344</v>
      </c>
      <c r="AG35" s="3" t="s">
        <v>344</v>
      </c>
      <c r="AH35" s="3" t="s">
        <v>345</v>
      </c>
      <c r="AI35" s="3" t="s">
        <v>345</v>
      </c>
      <c r="AJ35" s="3" t="s">
        <v>344</v>
      </c>
      <c r="AK35" s="3" t="s">
        <v>345</v>
      </c>
      <c r="AL35" s="3" t="s">
        <v>344</v>
      </c>
      <c r="AM35" s="3" t="s">
        <v>345</v>
      </c>
      <c r="AN35" s="3" t="s">
        <v>344</v>
      </c>
      <c r="AO35" s="3" t="s">
        <v>344</v>
      </c>
      <c r="AP35" s="3" t="s">
        <v>345</v>
      </c>
      <c r="AQ35" s="3" t="s">
        <v>344</v>
      </c>
      <c r="AR35" s="3" t="s">
        <v>345</v>
      </c>
      <c r="AS35" s="3" t="s">
        <v>344</v>
      </c>
      <c r="AT35" s="3" t="s">
        <v>344</v>
      </c>
      <c r="AU35" s="3" t="s">
        <v>344</v>
      </c>
      <c r="AV35" s="3" t="s">
        <v>345</v>
      </c>
      <c r="AW35" s="3" t="s">
        <v>345</v>
      </c>
      <c r="AX35" s="3" t="s">
        <v>344</v>
      </c>
      <c r="AY35" s="3"/>
      <c r="AZ35" s="3"/>
      <c r="BA35" s="3"/>
      <c r="BB35" s="3"/>
      <c r="BC35" s="3"/>
      <c r="BD35" s="3"/>
      <c r="BE35" s="3" t="s">
        <v>390</v>
      </c>
      <c r="BF35" s="3" t="s">
        <v>348</v>
      </c>
      <c r="BG35" s="3" t="s">
        <v>350</v>
      </c>
      <c r="BH35" s="3" t="s">
        <v>350</v>
      </c>
      <c r="BI35" s="3" t="s">
        <v>350</v>
      </c>
      <c r="BJ35" s="3" t="s">
        <v>354</v>
      </c>
      <c r="BK35" s="3" t="s">
        <v>351</v>
      </c>
      <c r="BL35" s="3" t="s">
        <v>353</v>
      </c>
      <c r="BM35" s="3" t="s">
        <v>391</v>
      </c>
      <c r="BN35" s="3" t="s">
        <v>355</v>
      </c>
      <c r="BO35" s="3" t="s">
        <v>357</v>
      </c>
      <c r="BP35" s="3" t="s">
        <v>352</v>
      </c>
      <c r="BQ35" s="3" t="s">
        <v>358</v>
      </c>
      <c r="BR35" s="3" t="s">
        <v>408</v>
      </c>
      <c r="BS35" s="3" t="s">
        <v>354</v>
      </c>
      <c r="BT35" s="3" t="s">
        <v>391</v>
      </c>
      <c r="BU35" s="3" t="s">
        <v>355</v>
      </c>
      <c r="BV35" s="3" t="s">
        <v>356</v>
      </c>
      <c r="BW35" s="3" t="s">
        <v>351</v>
      </c>
      <c r="BX35" s="3" t="s">
        <v>352</v>
      </c>
      <c r="BY35" s="3" t="s">
        <v>357</v>
      </c>
      <c r="BZ35" s="3" t="s">
        <v>356</v>
      </c>
      <c r="CA35" s="3" t="s">
        <v>357</v>
      </c>
      <c r="CB35" s="3" t="s">
        <v>352</v>
      </c>
      <c r="CC35" s="3" t="s">
        <v>354</v>
      </c>
      <c r="CD35" s="3" t="s">
        <v>355</v>
      </c>
      <c r="CE35" s="3" t="s">
        <v>391</v>
      </c>
      <c r="CF35" s="3" t="s">
        <v>354</v>
      </c>
      <c r="CG35" s="3" t="s">
        <v>393</v>
      </c>
      <c r="CH35" s="3" t="s">
        <v>393</v>
      </c>
      <c r="CI35" s="3" t="s">
        <v>393</v>
      </c>
      <c r="CJ35" s="3"/>
      <c r="CK35" s="3" t="s">
        <v>391</v>
      </c>
      <c r="CL35" s="3" t="s">
        <v>345</v>
      </c>
      <c r="CM35" s="3" t="s">
        <v>344</v>
      </c>
      <c r="CN35" s="3" t="s">
        <v>344</v>
      </c>
      <c r="CO35" s="3" t="s">
        <v>345</v>
      </c>
      <c r="CP35" s="3" t="s">
        <v>345</v>
      </c>
      <c r="CQ35" s="3" t="s">
        <v>344</v>
      </c>
      <c r="CR35" s="3" t="s">
        <v>457</v>
      </c>
      <c r="CS35" s="3">
        <v>60</v>
      </c>
      <c r="CT35" s="3">
        <v>100</v>
      </c>
      <c r="CU35" s="3"/>
      <c r="CV35" s="3"/>
      <c r="CW35" s="3" t="s">
        <v>364</v>
      </c>
      <c r="CX35" s="3" t="s">
        <v>363</v>
      </c>
      <c r="CY35" s="3" t="s">
        <v>395</v>
      </c>
      <c r="CZ35" s="3" t="s">
        <v>423</v>
      </c>
      <c r="DA35" s="3" t="s">
        <v>366</v>
      </c>
      <c r="DB35" s="3" t="s">
        <v>423</v>
      </c>
      <c r="DC35" s="3" t="s">
        <v>397</v>
      </c>
      <c r="DD35" s="3" t="s">
        <v>423</v>
      </c>
      <c r="DE35" s="3"/>
      <c r="DF35" s="3"/>
      <c r="DG35" s="3"/>
      <c r="DH35" s="3"/>
      <c r="DI35" s="3"/>
      <c r="DJ35" s="3"/>
      <c r="DK35" s="3" t="s">
        <v>367</v>
      </c>
      <c r="DL35" s="3" t="s">
        <v>368</v>
      </c>
      <c r="DM35" s="3" t="s">
        <v>368</v>
      </c>
      <c r="DN35" s="3" t="s">
        <v>368</v>
      </c>
      <c r="DO35" s="3" t="s">
        <v>368</v>
      </c>
      <c r="DP35" s="3" t="s">
        <v>368</v>
      </c>
      <c r="DQ35" s="3" t="s">
        <v>368</v>
      </c>
      <c r="DR35" s="3" t="s">
        <v>368</v>
      </c>
      <c r="DS35" s="3" t="s">
        <v>345</v>
      </c>
      <c r="DT35" s="3" t="s">
        <v>344</v>
      </c>
      <c r="DU35" s="3" t="s">
        <v>344</v>
      </c>
      <c r="DV35" s="3" t="s">
        <v>345</v>
      </c>
      <c r="DW35" s="3" t="s">
        <v>344</v>
      </c>
      <c r="DX35" s="3" t="s">
        <v>370</v>
      </c>
      <c r="DY35" s="3" t="s">
        <v>370</v>
      </c>
      <c r="DZ35" s="3" t="s">
        <v>370</v>
      </c>
      <c r="EA35" s="3" t="s">
        <v>370</v>
      </c>
      <c r="EB35" s="3" t="s">
        <v>370</v>
      </c>
      <c r="EC35" s="3" t="s">
        <v>370</v>
      </c>
      <c r="ED35" s="3" t="s">
        <v>370</v>
      </c>
      <c r="EE35" s="3" t="s">
        <v>399</v>
      </c>
      <c r="EF35" s="3" t="s">
        <v>398</v>
      </c>
      <c r="EG35" s="3" t="s">
        <v>369</v>
      </c>
      <c r="EH35" s="3" t="s">
        <v>398</v>
      </c>
      <c r="EI35" s="3" t="s">
        <v>398</v>
      </c>
      <c r="EJ35" s="3" t="s">
        <v>398</v>
      </c>
      <c r="EK35" s="3" t="s">
        <v>398</v>
      </c>
      <c r="EL35" s="3" t="s">
        <v>372</v>
      </c>
      <c r="EM35" s="3" t="s">
        <v>440</v>
      </c>
      <c r="EN35" s="3" t="s">
        <v>374</v>
      </c>
      <c r="EO35" s="3"/>
      <c r="EP35" s="3"/>
      <c r="EQ35" s="3" t="s">
        <v>411</v>
      </c>
      <c r="ER35" s="3" t="s">
        <v>411</v>
      </c>
      <c r="ES35" s="3" t="s">
        <v>411</v>
      </c>
      <c r="ET35" s="3" t="s">
        <v>411</v>
      </c>
      <c r="EU35" s="3" t="s">
        <v>411</v>
      </c>
      <c r="EV35" s="3" t="s">
        <v>400</v>
      </c>
      <c r="EW35" s="3"/>
      <c r="EX35" s="158" t="s">
        <v>344</v>
      </c>
      <c r="EY35" s="158" t="s">
        <v>345</v>
      </c>
      <c r="EZ35" s="158" t="s">
        <v>344</v>
      </c>
      <c r="FA35" s="3" t="s">
        <v>344</v>
      </c>
      <c r="FB35" s="3" t="s">
        <v>401</v>
      </c>
      <c r="FC35" s="3"/>
      <c r="FD35" s="3" t="s">
        <v>401</v>
      </c>
      <c r="FE35" s="3"/>
      <c r="FF35" s="3" t="s">
        <v>412</v>
      </c>
      <c r="FG35" s="3" t="s">
        <v>402</v>
      </c>
      <c r="FH35" s="3" t="s">
        <v>432</v>
      </c>
      <c r="FI35" s="3" t="s">
        <v>433</v>
      </c>
      <c r="FJ35" s="3"/>
      <c r="FK35" s="3"/>
      <c r="FL35" s="3"/>
      <c r="FM35" s="3"/>
      <c r="FN35" s="3"/>
      <c r="FO35" s="3"/>
      <c r="FP35" s="3"/>
      <c r="FQ35" s="3"/>
      <c r="FR35" s="3"/>
      <c r="FS35" s="3"/>
      <c r="FT35" s="3"/>
      <c r="FU35" s="3"/>
      <c r="FV35" s="3"/>
      <c r="FW35" s="3"/>
      <c r="FX35" s="3"/>
      <c r="FY35" s="3"/>
      <c r="FZ35" s="3"/>
      <c r="GA35" s="3" t="s">
        <v>368</v>
      </c>
      <c r="GB35" s="3" t="s">
        <v>368</v>
      </c>
      <c r="GC35" s="3" t="s">
        <v>368</v>
      </c>
      <c r="GD35" s="3" t="s">
        <v>368</v>
      </c>
      <c r="GE35" s="3" t="s">
        <v>368</v>
      </c>
      <c r="GF35" s="3" t="s">
        <v>368</v>
      </c>
      <c r="GG35" s="3"/>
      <c r="GH35" s="3"/>
      <c r="GI35" s="3"/>
      <c r="GJ35" s="3"/>
      <c r="GK35" s="3"/>
      <c r="GL35" s="3" t="s">
        <v>344</v>
      </c>
      <c r="GM35" s="3" t="s">
        <v>344</v>
      </c>
      <c r="GN35" s="3" t="s">
        <v>344</v>
      </c>
      <c r="GO35" s="3" t="s">
        <v>345</v>
      </c>
      <c r="GP35" s="3" t="s">
        <v>344</v>
      </c>
      <c r="GQ35" s="3" t="s">
        <v>344</v>
      </c>
      <c r="GR35" s="3" t="s">
        <v>344</v>
      </c>
      <c r="GS35" s="3" t="s">
        <v>344</v>
      </c>
      <c r="GT35" s="3" t="s">
        <v>344</v>
      </c>
      <c r="GU35" s="3" t="s">
        <v>344</v>
      </c>
      <c r="GV35" s="3" t="s">
        <v>344</v>
      </c>
      <c r="GW35" s="3" t="s">
        <v>345</v>
      </c>
      <c r="GX35" s="3" t="s">
        <v>344</v>
      </c>
      <c r="GY35" s="3" t="s">
        <v>344</v>
      </c>
      <c r="GZ35" s="3" t="s">
        <v>344</v>
      </c>
      <c r="HA35" s="3" t="s">
        <v>578</v>
      </c>
      <c r="HB35" s="3" t="s">
        <v>345</v>
      </c>
      <c r="HC35" s="3" t="s">
        <v>579</v>
      </c>
      <c r="HD35" s="3" t="s">
        <v>344</v>
      </c>
      <c r="HE35" s="3"/>
      <c r="HF35" s="3" t="s">
        <v>344</v>
      </c>
      <c r="HG35" s="3"/>
      <c r="HH35" s="3" t="s">
        <v>344</v>
      </c>
      <c r="HI35" s="3"/>
      <c r="HJ35" s="3" t="s">
        <v>344</v>
      </c>
      <c r="HK35" s="3" t="s">
        <v>344</v>
      </c>
      <c r="HL35" s="3" t="s">
        <v>344</v>
      </c>
      <c r="HM35" s="3" t="s">
        <v>345</v>
      </c>
      <c r="HN35" s="3" t="s">
        <v>344</v>
      </c>
      <c r="HO35" s="3" t="s">
        <v>344</v>
      </c>
      <c r="HP35" s="3" t="s">
        <v>344</v>
      </c>
      <c r="HQ35" s="3" t="s">
        <v>344</v>
      </c>
      <c r="HR35" s="3" t="s">
        <v>344</v>
      </c>
      <c r="HS35" s="3" t="s">
        <v>344</v>
      </c>
      <c r="HT35" s="3" t="s">
        <v>344</v>
      </c>
      <c r="HU35" s="3" t="s">
        <v>345</v>
      </c>
      <c r="HV35" s="3" t="s">
        <v>344</v>
      </c>
      <c r="HW35" s="3" t="s">
        <v>344</v>
      </c>
      <c r="HX35" s="3" t="s">
        <v>344</v>
      </c>
      <c r="HY35" s="3"/>
      <c r="HZ35" s="3" t="s">
        <v>345</v>
      </c>
      <c r="IA35" s="3" t="s">
        <v>580</v>
      </c>
      <c r="IB35" s="3" t="s">
        <v>344</v>
      </c>
      <c r="IC35" s="3"/>
      <c r="ID35" s="3" t="s">
        <v>344</v>
      </c>
      <c r="IE35" s="3"/>
      <c r="IF35" s="3" t="s">
        <v>344</v>
      </c>
      <c r="IG35" s="3"/>
      <c r="IH35" s="3" t="s">
        <v>345</v>
      </c>
      <c r="II35" s="3" t="s">
        <v>345</v>
      </c>
      <c r="IJ35" s="3" t="s">
        <v>345</v>
      </c>
      <c r="IK35" s="3" t="s">
        <v>344</v>
      </c>
      <c r="IL35" s="3" t="s">
        <v>345</v>
      </c>
      <c r="IM35" s="3" t="s">
        <v>345</v>
      </c>
      <c r="IN35" s="3" t="s">
        <v>344</v>
      </c>
      <c r="IO35" s="3" t="s">
        <v>345</v>
      </c>
      <c r="IP35" s="3" t="s">
        <v>344</v>
      </c>
      <c r="IQ35" s="3" t="s">
        <v>344</v>
      </c>
      <c r="IR35" s="3" t="s">
        <v>345</v>
      </c>
      <c r="IS35" s="3" t="s">
        <v>344</v>
      </c>
      <c r="IT35" s="3"/>
      <c r="IU35" s="3" t="s">
        <v>581</v>
      </c>
      <c r="IV35" s="3"/>
      <c r="IW35" s="3"/>
      <c r="IX35" s="3"/>
      <c r="IY35" s="3"/>
      <c r="IZ35" s="3"/>
      <c r="JA35" s="3"/>
      <c r="JB35" s="3"/>
      <c r="JC35" s="3"/>
      <c r="JD35" s="3"/>
      <c r="JE35" s="3"/>
      <c r="JF35" s="3"/>
      <c r="JG35" s="3"/>
      <c r="JH35" s="3"/>
    </row>
    <row r="36" spans="1:268" x14ac:dyDescent="0.3">
      <c r="A36" s="2" t="s">
        <v>338</v>
      </c>
      <c r="B36" s="3">
        <v>88</v>
      </c>
      <c r="C36" s="3" t="s">
        <v>582</v>
      </c>
      <c r="D36" s="3">
        <v>14</v>
      </c>
      <c r="E36" s="3" t="s">
        <v>387</v>
      </c>
      <c r="F36" s="3">
        <v>870064209</v>
      </c>
      <c r="G36" s="3" t="s">
        <v>583</v>
      </c>
      <c r="H36" s="3" t="s">
        <v>582</v>
      </c>
      <c r="I36" s="3" t="s">
        <v>342</v>
      </c>
      <c r="J36" s="3">
        <v>18</v>
      </c>
      <c r="K36" s="3" t="s">
        <v>389</v>
      </c>
      <c r="L36" s="3"/>
      <c r="M36" s="3" t="s">
        <v>345</v>
      </c>
      <c r="N36" s="3" t="s">
        <v>344</v>
      </c>
      <c r="O36" s="3" t="s">
        <v>344</v>
      </c>
      <c r="P36" s="3" t="s">
        <v>344</v>
      </c>
      <c r="Q36" s="3" t="s">
        <v>344</v>
      </c>
      <c r="R36" s="3"/>
      <c r="S36" s="3" t="s">
        <v>438</v>
      </c>
      <c r="T36" s="3"/>
      <c r="U36" s="3" t="s">
        <v>347</v>
      </c>
      <c r="V36" s="3"/>
      <c r="W36" s="3" t="s">
        <v>344</v>
      </c>
      <c r="X36" s="3" t="s">
        <v>344</v>
      </c>
      <c r="Y36" s="3" t="s">
        <v>344</v>
      </c>
      <c r="Z36" s="3" t="s">
        <v>344</v>
      </c>
      <c r="AA36" s="3" t="s">
        <v>345</v>
      </c>
      <c r="AB36" s="3" t="s">
        <v>344</v>
      </c>
      <c r="AC36" s="3" t="s">
        <v>344</v>
      </c>
      <c r="AD36" s="3" t="s">
        <v>344</v>
      </c>
      <c r="AE36" s="3" t="s">
        <v>344</v>
      </c>
      <c r="AF36" s="3" t="s">
        <v>344</v>
      </c>
      <c r="AG36" s="3" t="s">
        <v>344</v>
      </c>
      <c r="AH36" s="3" t="s">
        <v>344</v>
      </c>
      <c r="AI36" s="3" t="s">
        <v>345</v>
      </c>
      <c r="AJ36" s="3" t="s">
        <v>344</v>
      </c>
      <c r="AK36" s="3" t="s">
        <v>344</v>
      </c>
      <c r="AL36" s="3" t="s">
        <v>344</v>
      </c>
      <c r="AM36" s="3" t="s">
        <v>344</v>
      </c>
      <c r="AN36" s="3" t="s">
        <v>344</v>
      </c>
      <c r="AO36" s="3" t="s">
        <v>345</v>
      </c>
      <c r="AP36" s="3" t="s">
        <v>345</v>
      </c>
      <c r="AQ36" s="3" t="s">
        <v>344</v>
      </c>
      <c r="AR36" s="3" t="s">
        <v>344</v>
      </c>
      <c r="AS36" s="3" t="s">
        <v>344</v>
      </c>
      <c r="AT36" s="3" t="s">
        <v>345</v>
      </c>
      <c r="AU36" s="3" t="s">
        <v>344</v>
      </c>
      <c r="AV36" s="3" t="s">
        <v>344</v>
      </c>
      <c r="AW36" s="3" t="s">
        <v>344</v>
      </c>
      <c r="AX36" s="3" t="s">
        <v>344</v>
      </c>
      <c r="AY36" s="3"/>
      <c r="AZ36" s="3"/>
      <c r="BA36" s="3"/>
      <c r="BB36" s="3"/>
      <c r="BC36" s="3"/>
      <c r="BD36" s="3"/>
      <c r="BE36" s="3" t="s">
        <v>350</v>
      </c>
      <c r="BF36" s="3" t="s">
        <v>350</v>
      </c>
      <c r="BG36" s="3" t="s">
        <v>350</v>
      </c>
      <c r="BH36" s="3" t="s">
        <v>350</v>
      </c>
      <c r="BI36" s="3" t="s">
        <v>350</v>
      </c>
      <c r="BJ36" s="3" t="s">
        <v>391</v>
      </c>
      <c r="BK36" s="3" t="s">
        <v>354</v>
      </c>
      <c r="BL36" s="3" t="s">
        <v>353</v>
      </c>
      <c r="BM36" s="3" t="s">
        <v>357</v>
      </c>
      <c r="BN36" s="3" t="s">
        <v>351</v>
      </c>
      <c r="BO36" s="3" t="s">
        <v>356</v>
      </c>
      <c r="BP36" s="3" t="s">
        <v>352</v>
      </c>
      <c r="BQ36" s="3" t="s">
        <v>358</v>
      </c>
      <c r="BR36" s="3" t="s">
        <v>408</v>
      </c>
      <c r="BS36" s="3" t="s">
        <v>391</v>
      </c>
      <c r="BT36" s="3" t="s">
        <v>391</v>
      </c>
      <c r="BU36" s="3" t="s">
        <v>391</v>
      </c>
      <c r="BV36" s="3" t="s">
        <v>391</v>
      </c>
      <c r="BW36" s="3" t="s">
        <v>391</v>
      </c>
      <c r="BX36" s="3" t="s">
        <v>391</v>
      </c>
      <c r="BY36" s="3" t="s">
        <v>391</v>
      </c>
      <c r="BZ36" s="3" t="s">
        <v>391</v>
      </c>
      <c r="CA36" s="3" t="s">
        <v>391</v>
      </c>
      <c r="CB36" s="3" t="s">
        <v>391</v>
      </c>
      <c r="CC36" s="3" t="s">
        <v>391</v>
      </c>
      <c r="CD36" s="3" t="s">
        <v>391</v>
      </c>
      <c r="CE36" s="3" t="s">
        <v>391</v>
      </c>
      <c r="CF36" s="3" t="s">
        <v>391</v>
      </c>
      <c r="CG36" s="3" t="s">
        <v>392</v>
      </c>
      <c r="CH36" s="3" t="s">
        <v>393</v>
      </c>
      <c r="CI36" s="3" t="s">
        <v>393</v>
      </c>
      <c r="CJ36" s="3"/>
      <c r="CK36" s="3" t="s">
        <v>391</v>
      </c>
      <c r="CL36" s="3" t="s">
        <v>345</v>
      </c>
      <c r="CM36" s="3" t="s">
        <v>344</v>
      </c>
      <c r="CN36" s="3" t="s">
        <v>345</v>
      </c>
      <c r="CO36" s="3" t="s">
        <v>345</v>
      </c>
      <c r="CP36" s="3" t="s">
        <v>345</v>
      </c>
      <c r="CQ36" s="3" t="s">
        <v>344</v>
      </c>
      <c r="CR36" s="3" t="s">
        <v>362</v>
      </c>
      <c r="CS36" s="3">
        <v>100</v>
      </c>
      <c r="CT36" s="3">
        <v>100</v>
      </c>
      <c r="CU36" s="3"/>
      <c r="CV36" s="3"/>
      <c r="CW36" s="3" t="s">
        <v>364</v>
      </c>
      <c r="CX36" s="3" t="s">
        <v>364</v>
      </c>
      <c r="CY36" s="3" t="s">
        <v>364</v>
      </c>
      <c r="CZ36" s="3" t="s">
        <v>423</v>
      </c>
      <c r="DA36" s="3" t="s">
        <v>423</v>
      </c>
      <c r="DB36" s="3" t="s">
        <v>397</v>
      </c>
      <c r="DC36" s="3" t="s">
        <v>423</v>
      </c>
      <c r="DD36" s="3" t="s">
        <v>423</v>
      </c>
      <c r="DE36" s="3"/>
      <c r="DF36" s="3"/>
      <c r="DG36" s="3"/>
      <c r="DH36" s="3"/>
      <c r="DI36" s="3"/>
      <c r="DJ36" s="3"/>
      <c r="DK36" s="3" t="s">
        <v>367</v>
      </c>
      <c r="DL36" s="3" t="s">
        <v>368</v>
      </c>
      <c r="DM36" s="3" t="s">
        <v>368</v>
      </c>
      <c r="DN36" s="3" t="s">
        <v>368</v>
      </c>
      <c r="DO36" s="3" t="s">
        <v>368</v>
      </c>
      <c r="DP36" s="3" t="s">
        <v>344</v>
      </c>
      <c r="DQ36" s="3" t="s">
        <v>345</v>
      </c>
      <c r="DR36" s="3" t="s">
        <v>345</v>
      </c>
      <c r="DS36" s="3" t="s">
        <v>344</v>
      </c>
      <c r="DT36" s="3" t="s">
        <v>344</v>
      </c>
      <c r="DU36" s="3" t="s">
        <v>344</v>
      </c>
      <c r="DV36" s="3" t="s">
        <v>345</v>
      </c>
      <c r="DW36" s="3" t="s">
        <v>344</v>
      </c>
      <c r="DX36" s="3" t="s">
        <v>370</v>
      </c>
      <c r="DY36" s="3" t="s">
        <v>370</v>
      </c>
      <c r="DZ36" s="3" t="s">
        <v>370</v>
      </c>
      <c r="EA36" s="3" t="s">
        <v>370</v>
      </c>
      <c r="EB36" s="3" t="s">
        <v>370</v>
      </c>
      <c r="EC36" s="3" t="s">
        <v>370</v>
      </c>
      <c r="ED36" s="3" t="s">
        <v>370</v>
      </c>
      <c r="EE36" s="3" t="s">
        <v>369</v>
      </c>
      <c r="EF36" s="3" t="s">
        <v>369</v>
      </c>
      <c r="EG36" s="3" t="s">
        <v>369</v>
      </c>
      <c r="EH36" s="3" t="s">
        <v>369</v>
      </c>
      <c r="EI36" s="3" t="s">
        <v>369</v>
      </c>
      <c r="EJ36" s="3" t="s">
        <v>369</v>
      </c>
      <c r="EK36" s="3" t="s">
        <v>369</v>
      </c>
      <c r="EL36" s="3" t="s">
        <v>372</v>
      </c>
      <c r="EM36" s="3" t="s">
        <v>373</v>
      </c>
      <c r="EN36" s="3" t="s">
        <v>374</v>
      </c>
      <c r="EO36" s="3"/>
      <c r="EP36" s="3"/>
      <c r="EQ36" s="3" t="s">
        <v>375</v>
      </c>
      <c r="ER36" s="3" t="s">
        <v>376</v>
      </c>
      <c r="ES36" s="3" t="s">
        <v>376</v>
      </c>
      <c r="ET36" s="3" t="s">
        <v>375</v>
      </c>
      <c r="EU36" s="3" t="s">
        <v>391</v>
      </c>
      <c r="EV36" s="3" t="s">
        <v>400</v>
      </c>
      <c r="EW36" s="3"/>
      <c r="EX36" s="3" t="s">
        <v>368</v>
      </c>
      <c r="EY36" s="3" t="s">
        <v>368</v>
      </c>
      <c r="EZ36" s="3" t="s">
        <v>368</v>
      </c>
      <c r="FA36" s="3" t="s">
        <v>345</v>
      </c>
      <c r="FB36" s="3" t="s">
        <v>401</v>
      </c>
      <c r="FC36" s="3"/>
      <c r="FD36" s="3" t="s">
        <v>401</v>
      </c>
      <c r="FE36" s="3"/>
      <c r="FF36" s="3" t="s">
        <v>431</v>
      </c>
      <c r="FG36" s="3" t="s">
        <v>441</v>
      </c>
      <c r="FH36" s="3" t="s">
        <v>460</v>
      </c>
      <c r="FI36" s="3" t="s">
        <v>442</v>
      </c>
      <c r="FJ36" s="3"/>
      <c r="FK36" s="3"/>
      <c r="FL36" s="3"/>
      <c r="FM36" s="3"/>
      <c r="FN36" s="3"/>
      <c r="FO36" s="3"/>
      <c r="FP36" s="3"/>
      <c r="FQ36" s="3"/>
      <c r="FR36" s="3"/>
      <c r="FS36" s="3"/>
      <c r="FT36" s="3"/>
      <c r="FU36" s="3"/>
      <c r="FV36" s="3"/>
      <c r="FW36" s="3"/>
      <c r="FX36" s="3"/>
      <c r="FY36" s="3"/>
      <c r="FZ36" s="3"/>
      <c r="GA36" s="3" t="s">
        <v>368</v>
      </c>
      <c r="GB36" s="3" t="s">
        <v>368</v>
      </c>
      <c r="GC36" s="3" t="s">
        <v>368</v>
      </c>
      <c r="GD36" s="3" t="s">
        <v>368</v>
      </c>
      <c r="GE36" s="3" t="s">
        <v>368</v>
      </c>
      <c r="GF36" s="3" t="s">
        <v>368</v>
      </c>
      <c r="GG36" s="3"/>
      <c r="GH36" s="3"/>
      <c r="GI36" s="3"/>
      <c r="GJ36" s="3"/>
      <c r="GK36" s="3"/>
      <c r="GL36" s="3" t="s">
        <v>344</v>
      </c>
      <c r="GM36" s="3" t="s">
        <v>344</v>
      </c>
      <c r="GN36" s="3" t="s">
        <v>344</v>
      </c>
      <c r="GO36" s="3" t="s">
        <v>344</v>
      </c>
      <c r="GP36" s="3" t="s">
        <v>344</v>
      </c>
      <c r="GQ36" s="3" t="s">
        <v>344</v>
      </c>
      <c r="GR36" s="3" t="s">
        <v>344</v>
      </c>
      <c r="GS36" s="3" t="s">
        <v>344</v>
      </c>
      <c r="GT36" s="3" t="s">
        <v>345</v>
      </c>
      <c r="GU36" s="3" t="s">
        <v>344</v>
      </c>
      <c r="GV36" s="3" t="s">
        <v>344</v>
      </c>
      <c r="GW36" s="3" t="s">
        <v>345</v>
      </c>
      <c r="GX36" s="3" t="s">
        <v>344</v>
      </c>
      <c r="GY36" s="3" t="s">
        <v>344</v>
      </c>
      <c r="GZ36" s="3" t="s">
        <v>344</v>
      </c>
      <c r="HA36" s="3"/>
      <c r="HB36" s="3" t="s">
        <v>344</v>
      </c>
      <c r="HC36" s="3"/>
      <c r="HD36" s="3" t="s">
        <v>344</v>
      </c>
      <c r="HE36" s="3"/>
      <c r="HF36" s="3" t="s">
        <v>344</v>
      </c>
      <c r="HG36" s="3"/>
      <c r="HH36" s="3" t="s">
        <v>344</v>
      </c>
      <c r="HI36" s="3"/>
      <c r="HJ36" s="3" t="s">
        <v>344</v>
      </c>
      <c r="HK36" s="3" t="s">
        <v>344</v>
      </c>
      <c r="HL36" s="3" t="s">
        <v>344</v>
      </c>
      <c r="HM36" s="3" t="s">
        <v>344</v>
      </c>
      <c r="HN36" s="3" t="s">
        <v>344</v>
      </c>
      <c r="HO36" s="3" t="s">
        <v>344</v>
      </c>
      <c r="HP36" s="3" t="s">
        <v>344</v>
      </c>
      <c r="HQ36" s="3" t="s">
        <v>344</v>
      </c>
      <c r="HR36" s="3" t="s">
        <v>344</v>
      </c>
      <c r="HS36" s="3" t="s">
        <v>344</v>
      </c>
      <c r="HT36" s="3" t="s">
        <v>344</v>
      </c>
      <c r="HU36" s="3" t="s">
        <v>344</v>
      </c>
      <c r="HV36" s="3" t="s">
        <v>344</v>
      </c>
      <c r="HW36" s="3" t="s">
        <v>344</v>
      </c>
      <c r="HX36" s="3" t="s">
        <v>345</v>
      </c>
      <c r="HY36" s="3"/>
      <c r="HZ36" s="3" t="s">
        <v>344</v>
      </c>
      <c r="IA36" s="3"/>
      <c r="IB36" s="3" t="s">
        <v>344</v>
      </c>
      <c r="IC36" s="3"/>
      <c r="ID36" s="3" t="s">
        <v>344</v>
      </c>
      <c r="IE36" s="3"/>
      <c r="IF36" s="3" t="s">
        <v>344</v>
      </c>
      <c r="IG36" s="3"/>
      <c r="IH36" s="3" t="s">
        <v>344</v>
      </c>
      <c r="II36" s="3" t="s">
        <v>344</v>
      </c>
      <c r="IJ36" s="3" t="s">
        <v>344</v>
      </c>
      <c r="IK36" s="3" t="s">
        <v>344</v>
      </c>
      <c r="IL36" s="3" t="s">
        <v>345</v>
      </c>
      <c r="IM36" s="3" t="s">
        <v>345</v>
      </c>
      <c r="IN36" s="3" t="s">
        <v>344</v>
      </c>
      <c r="IO36" s="3" t="s">
        <v>345</v>
      </c>
      <c r="IP36" s="3" t="s">
        <v>345</v>
      </c>
      <c r="IQ36" s="3" t="s">
        <v>344</v>
      </c>
      <c r="IR36" s="3" t="s">
        <v>344</v>
      </c>
      <c r="IS36" s="3" t="s">
        <v>344</v>
      </c>
      <c r="IT36" s="3"/>
      <c r="IU36" s="3" t="s">
        <v>584</v>
      </c>
      <c r="IV36" s="3"/>
      <c r="IW36" s="3"/>
      <c r="IX36" s="3"/>
      <c r="IY36" s="3"/>
      <c r="IZ36" s="3"/>
      <c r="JA36" s="3"/>
      <c r="JB36" s="3"/>
      <c r="JC36" s="3"/>
      <c r="JD36" s="3"/>
      <c r="JE36" s="3"/>
      <c r="JF36" s="3"/>
      <c r="JG36" s="3"/>
      <c r="JH36" s="3"/>
    </row>
    <row r="37" spans="1:268" x14ac:dyDescent="0.3">
      <c r="A37" s="2" t="s">
        <v>338</v>
      </c>
      <c r="B37" s="3">
        <v>89</v>
      </c>
      <c r="C37" s="3" t="s">
        <v>585</v>
      </c>
      <c r="D37" s="3">
        <v>14</v>
      </c>
      <c r="E37" s="3" t="s">
        <v>340</v>
      </c>
      <c r="F37" s="3">
        <v>1812146756</v>
      </c>
      <c r="G37" s="3" t="s">
        <v>586</v>
      </c>
      <c r="H37" s="3" t="s">
        <v>585</v>
      </c>
      <c r="I37" s="3" t="s">
        <v>469</v>
      </c>
      <c r="J37" s="3">
        <v>17</v>
      </c>
      <c r="K37" s="3" t="s">
        <v>389</v>
      </c>
      <c r="L37" s="3"/>
      <c r="M37" s="3" t="s">
        <v>344</v>
      </c>
      <c r="N37" s="3" t="s">
        <v>345</v>
      </c>
      <c r="O37" s="3" t="s">
        <v>344</v>
      </c>
      <c r="P37" s="3" t="s">
        <v>344</v>
      </c>
      <c r="Q37" s="3" t="s">
        <v>344</v>
      </c>
      <c r="R37" s="3"/>
      <c r="S37" s="3" t="s">
        <v>346</v>
      </c>
      <c r="T37" s="3"/>
      <c r="U37" s="3" t="s">
        <v>347</v>
      </c>
      <c r="V37" s="3"/>
      <c r="W37" s="3" t="s">
        <v>344</v>
      </c>
      <c r="X37" s="3" t="s">
        <v>344</v>
      </c>
      <c r="Y37" s="3" t="s">
        <v>345</v>
      </c>
      <c r="Z37" s="3" t="s">
        <v>344</v>
      </c>
      <c r="AA37" s="3" t="s">
        <v>344</v>
      </c>
      <c r="AB37" s="3" t="s">
        <v>344</v>
      </c>
      <c r="AC37" s="3" t="s">
        <v>344</v>
      </c>
      <c r="AD37" s="3" t="s">
        <v>345</v>
      </c>
      <c r="AE37" s="3" t="s">
        <v>345</v>
      </c>
      <c r="AF37" s="3" t="s">
        <v>345</v>
      </c>
      <c r="AG37" s="3" t="s">
        <v>344</v>
      </c>
      <c r="AH37" s="3" t="s">
        <v>345</v>
      </c>
      <c r="AI37" s="3" t="s">
        <v>344</v>
      </c>
      <c r="AJ37" s="3" t="s">
        <v>344</v>
      </c>
      <c r="AK37" s="3" t="s">
        <v>344</v>
      </c>
      <c r="AL37" s="3" t="s">
        <v>344</v>
      </c>
      <c r="AM37" s="3" t="s">
        <v>344</v>
      </c>
      <c r="AN37" s="3" t="s">
        <v>345</v>
      </c>
      <c r="AO37" s="3" t="s">
        <v>344</v>
      </c>
      <c r="AP37" s="3" t="s">
        <v>344</v>
      </c>
      <c r="AQ37" s="3" t="s">
        <v>344</v>
      </c>
      <c r="AR37" s="3" t="s">
        <v>345</v>
      </c>
      <c r="AS37" s="3" t="s">
        <v>345</v>
      </c>
      <c r="AT37" s="3" t="s">
        <v>345</v>
      </c>
      <c r="AU37" s="3" t="s">
        <v>345</v>
      </c>
      <c r="AV37" s="3" t="s">
        <v>345</v>
      </c>
      <c r="AW37" s="3" t="s">
        <v>345</v>
      </c>
      <c r="AX37" s="3" t="s">
        <v>344</v>
      </c>
      <c r="AY37" s="3"/>
      <c r="AZ37" s="3"/>
      <c r="BA37" s="3"/>
      <c r="BB37" s="3"/>
      <c r="BC37" s="3"/>
      <c r="BD37" s="3"/>
      <c r="BE37" s="3" t="s">
        <v>390</v>
      </c>
      <c r="BF37" s="3" t="s">
        <v>349</v>
      </c>
      <c r="BG37" s="3" t="s">
        <v>348</v>
      </c>
      <c r="BH37" s="3" t="s">
        <v>349</v>
      </c>
      <c r="BI37" s="3" t="s">
        <v>350</v>
      </c>
      <c r="BJ37" s="3" t="s">
        <v>391</v>
      </c>
      <c r="BK37" s="3" t="s">
        <v>356</v>
      </c>
      <c r="BL37" s="3" t="s">
        <v>357</v>
      </c>
      <c r="BM37" s="3" t="s">
        <v>351</v>
      </c>
      <c r="BN37" s="3" t="s">
        <v>351</v>
      </c>
      <c r="BO37" s="3" t="s">
        <v>354</v>
      </c>
      <c r="BP37" s="3" t="s">
        <v>391</v>
      </c>
      <c r="BQ37" s="3" t="s">
        <v>358</v>
      </c>
      <c r="BR37" s="3" t="s">
        <v>429</v>
      </c>
      <c r="BS37" s="3" t="s">
        <v>357</v>
      </c>
      <c r="BT37" s="3" t="s">
        <v>354</v>
      </c>
      <c r="BU37" s="3" t="s">
        <v>351</v>
      </c>
      <c r="BV37" s="3" t="s">
        <v>352</v>
      </c>
      <c r="BW37" s="3" t="s">
        <v>391</v>
      </c>
      <c r="BX37" s="3" t="s">
        <v>351</v>
      </c>
      <c r="BY37" s="3" t="s">
        <v>353</v>
      </c>
      <c r="BZ37" s="3" t="s">
        <v>354</v>
      </c>
      <c r="CA37" s="3" t="s">
        <v>353</v>
      </c>
      <c r="CB37" s="3" t="s">
        <v>351</v>
      </c>
      <c r="CC37" s="3" t="s">
        <v>356</v>
      </c>
      <c r="CD37" s="3" t="s">
        <v>353</v>
      </c>
      <c r="CE37" s="3" t="s">
        <v>354</v>
      </c>
      <c r="CF37" s="3" t="s">
        <v>352</v>
      </c>
      <c r="CG37" s="3" t="s">
        <v>392</v>
      </c>
      <c r="CH37" s="3" t="s">
        <v>393</v>
      </c>
      <c r="CI37" s="3" t="s">
        <v>392</v>
      </c>
      <c r="CJ37" s="3"/>
      <c r="CK37" s="3" t="s">
        <v>510</v>
      </c>
      <c r="CL37" s="3" t="s">
        <v>344</v>
      </c>
      <c r="CM37" s="3" t="s">
        <v>344</v>
      </c>
      <c r="CN37" s="3" t="s">
        <v>345</v>
      </c>
      <c r="CO37" s="3" t="s">
        <v>344</v>
      </c>
      <c r="CP37" s="3" t="s">
        <v>344</v>
      </c>
      <c r="CQ37" s="3" t="s">
        <v>344</v>
      </c>
      <c r="CR37" s="3" t="s">
        <v>362</v>
      </c>
      <c r="CS37" s="3">
        <v>90</v>
      </c>
      <c r="CT37" s="3">
        <v>20</v>
      </c>
      <c r="CU37" s="3">
        <v>95</v>
      </c>
      <c r="CV37" s="3">
        <v>70</v>
      </c>
      <c r="CW37" s="3" t="s">
        <v>364</v>
      </c>
      <c r="CX37" s="3" t="s">
        <v>395</v>
      </c>
      <c r="CY37" s="3" t="s">
        <v>396</v>
      </c>
      <c r="CZ37" s="3"/>
      <c r="DA37" s="3"/>
      <c r="DB37" s="3"/>
      <c r="DC37" s="3"/>
      <c r="DD37" s="3"/>
      <c r="DE37" s="3" t="s">
        <v>366</v>
      </c>
      <c r="DF37" s="3" t="s">
        <v>397</v>
      </c>
      <c r="DG37" s="3" t="s">
        <v>397</v>
      </c>
      <c r="DH37" s="3" t="s">
        <v>365</v>
      </c>
      <c r="DI37" s="3" t="s">
        <v>423</v>
      </c>
      <c r="DJ37" s="3"/>
      <c r="DK37" s="3" t="s">
        <v>367</v>
      </c>
      <c r="DL37" s="3" t="s">
        <v>368</v>
      </c>
      <c r="DM37" s="3" t="s">
        <v>368</v>
      </c>
      <c r="DN37" s="3" t="s">
        <v>368</v>
      </c>
      <c r="DO37" s="3" t="s">
        <v>368</v>
      </c>
      <c r="DP37" s="3" t="s">
        <v>345</v>
      </c>
      <c r="DQ37" s="3" t="s">
        <v>344</v>
      </c>
      <c r="DR37" s="3" t="s">
        <v>344</v>
      </c>
      <c r="DS37" s="3" t="s">
        <v>344</v>
      </c>
      <c r="DT37" s="3" t="s">
        <v>344</v>
      </c>
      <c r="DU37" s="3" t="s">
        <v>344</v>
      </c>
      <c r="DV37" s="3" t="s">
        <v>345</v>
      </c>
      <c r="DW37" s="3" t="s">
        <v>344</v>
      </c>
      <c r="DX37" s="3" t="s">
        <v>369</v>
      </c>
      <c r="DY37" s="3" t="s">
        <v>399</v>
      </c>
      <c r="DZ37" s="3" t="s">
        <v>370</v>
      </c>
      <c r="EA37" s="3" t="s">
        <v>369</v>
      </c>
      <c r="EB37" s="3" t="s">
        <v>399</v>
      </c>
      <c r="EC37" s="3" t="s">
        <v>369</v>
      </c>
      <c r="ED37" s="3" t="s">
        <v>370</v>
      </c>
      <c r="EE37" s="3" t="s">
        <v>370</v>
      </c>
      <c r="EF37" s="3" t="s">
        <v>370</v>
      </c>
      <c r="EG37" s="3" t="s">
        <v>398</v>
      </c>
      <c r="EH37" s="3" t="s">
        <v>370</v>
      </c>
      <c r="EI37" s="3" t="s">
        <v>371</v>
      </c>
      <c r="EJ37" s="3" t="s">
        <v>370</v>
      </c>
      <c r="EK37" s="3" t="s">
        <v>370</v>
      </c>
      <c r="EL37" s="3" t="s">
        <v>373</v>
      </c>
      <c r="EM37" s="3" t="s">
        <v>424</v>
      </c>
      <c r="EN37" s="3" t="s">
        <v>372</v>
      </c>
      <c r="EO37" s="3"/>
      <c r="EP37" s="3"/>
      <c r="EQ37" s="3" t="s">
        <v>377</v>
      </c>
      <c r="ER37" s="3" t="s">
        <v>378</v>
      </c>
      <c r="ES37" s="3" t="s">
        <v>375</v>
      </c>
      <c r="ET37" s="3" t="s">
        <v>375</v>
      </c>
      <c r="EU37" s="3" t="s">
        <v>376</v>
      </c>
      <c r="EV37" s="3" t="s">
        <v>400</v>
      </c>
      <c r="EW37" s="3"/>
      <c r="EX37" s="3" t="s">
        <v>368</v>
      </c>
      <c r="EY37" s="3" t="s">
        <v>368</v>
      </c>
      <c r="EZ37" s="3" t="s">
        <v>368</v>
      </c>
      <c r="FA37" s="3" t="s">
        <v>345</v>
      </c>
      <c r="FB37" s="3" t="s">
        <v>381</v>
      </c>
      <c r="FC37" s="3"/>
      <c r="FD37" s="3" t="s">
        <v>380</v>
      </c>
      <c r="FE37" s="3"/>
      <c r="FF37" s="3" t="s">
        <v>382</v>
      </c>
      <c r="FG37" s="3" t="s">
        <v>383</v>
      </c>
      <c r="FH37" s="3" t="s">
        <v>384</v>
      </c>
      <c r="FI37" s="3" t="s">
        <v>385</v>
      </c>
      <c r="FJ37" s="3"/>
      <c r="FK37" s="3"/>
      <c r="FL37" s="3"/>
      <c r="FM37" s="3"/>
      <c r="FN37" s="3"/>
      <c r="FO37" s="3"/>
      <c r="FP37" s="3"/>
      <c r="FQ37" s="3"/>
      <c r="FR37" s="3"/>
      <c r="FS37" s="3"/>
      <c r="FT37" s="3"/>
      <c r="FU37" s="3"/>
      <c r="FV37" s="3"/>
      <c r="FW37" s="3"/>
      <c r="FX37" s="3"/>
      <c r="FY37" s="3"/>
      <c r="FZ37" s="3"/>
      <c r="GA37" s="3" t="s">
        <v>368</v>
      </c>
      <c r="GB37" s="3" t="s">
        <v>368</v>
      </c>
      <c r="GC37" s="3" t="s">
        <v>368</v>
      </c>
      <c r="GD37" s="3" t="s">
        <v>368</v>
      </c>
      <c r="GE37" s="3" t="s">
        <v>368</v>
      </c>
      <c r="GF37" s="3" t="s">
        <v>368</v>
      </c>
      <c r="GG37" s="3"/>
      <c r="GH37" s="3"/>
      <c r="GI37" s="3"/>
      <c r="GJ37" s="3"/>
      <c r="GK37" s="3"/>
      <c r="GL37" s="3" t="s">
        <v>344</v>
      </c>
      <c r="GM37" s="3" t="s">
        <v>344</v>
      </c>
      <c r="GN37" s="3" t="s">
        <v>344</v>
      </c>
      <c r="GO37" s="3" t="s">
        <v>344</v>
      </c>
      <c r="GP37" s="3" t="s">
        <v>344</v>
      </c>
      <c r="GQ37" s="3" t="s">
        <v>344</v>
      </c>
      <c r="GR37" s="3" t="s">
        <v>344</v>
      </c>
      <c r="GS37" s="3" t="s">
        <v>344</v>
      </c>
      <c r="GT37" s="3" t="s">
        <v>344</v>
      </c>
      <c r="GU37" s="3" t="s">
        <v>344</v>
      </c>
      <c r="GV37" s="3" t="s">
        <v>345</v>
      </c>
      <c r="GW37" s="3" t="s">
        <v>344</v>
      </c>
      <c r="GX37" s="3" t="s">
        <v>344</v>
      </c>
      <c r="GY37" s="3" t="s">
        <v>344</v>
      </c>
      <c r="GZ37" s="3" t="s">
        <v>345</v>
      </c>
      <c r="HA37" s="3"/>
      <c r="HB37" s="3" t="s">
        <v>344</v>
      </c>
      <c r="HC37" s="3"/>
      <c r="HD37" s="3" t="s">
        <v>344</v>
      </c>
      <c r="HE37" s="3"/>
      <c r="HF37" s="3" t="s">
        <v>344</v>
      </c>
      <c r="HG37" s="3"/>
      <c r="HH37" s="3" t="s">
        <v>344</v>
      </c>
      <c r="HI37" s="3"/>
      <c r="HJ37" s="3" t="s">
        <v>344</v>
      </c>
      <c r="HK37" s="3" t="s">
        <v>344</v>
      </c>
      <c r="HL37" s="3" t="s">
        <v>344</v>
      </c>
      <c r="HM37" s="3" t="s">
        <v>344</v>
      </c>
      <c r="HN37" s="3" t="s">
        <v>344</v>
      </c>
      <c r="HO37" s="3" t="s">
        <v>344</v>
      </c>
      <c r="HP37" s="3" t="s">
        <v>344</v>
      </c>
      <c r="HQ37" s="3" t="s">
        <v>344</v>
      </c>
      <c r="HR37" s="3" t="s">
        <v>344</v>
      </c>
      <c r="HS37" s="3" t="s">
        <v>344</v>
      </c>
      <c r="HT37" s="3" t="s">
        <v>344</v>
      </c>
      <c r="HU37" s="3" t="s">
        <v>344</v>
      </c>
      <c r="HV37" s="3" t="s">
        <v>344</v>
      </c>
      <c r="HW37" s="3" t="s">
        <v>344</v>
      </c>
      <c r="HX37" s="3" t="s">
        <v>345</v>
      </c>
      <c r="HY37" s="3"/>
      <c r="HZ37" s="3" t="s">
        <v>344</v>
      </c>
      <c r="IA37" s="3"/>
      <c r="IB37" s="3" t="s">
        <v>344</v>
      </c>
      <c r="IC37" s="3"/>
      <c r="ID37" s="3" t="s">
        <v>344</v>
      </c>
      <c r="IE37" s="3"/>
      <c r="IF37" s="3" t="s">
        <v>344</v>
      </c>
      <c r="IG37" s="3"/>
      <c r="IH37" s="3" t="s">
        <v>345</v>
      </c>
      <c r="II37" s="3" t="s">
        <v>345</v>
      </c>
      <c r="IJ37" s="3" t="s">
        <v>345</v>
      </c>
      <c r="IK37" s="3" t="s">
        <v>344</v>
      </c>
      <c r="IL37" s="3" t="s">
        <v>345</v>
      </c>
      <c r="IM37" s="3" t="s">
        <v>345</v>
      </c>
      <c r="IN37" s="3" t="s">
        <v>344</v>
      </c>
      <c r="IO37" s="3" t="s">
        <v>345</v>
      </c>
      <c r="IP37" s="3" t="s">
        <v>344</v>
      </c>
      <c r="IQ37" s="3" t="s">
        <v>344</v>
      </c>
      <c r="IR37" s="3" t="s">
        <v>345</v>
      </c>
      <c r="IS37" s="3" t="s">
        <v>344</v>
      </c>
      <c r="IT37" s="3"/>
      <c r="IU37" s="3"/>
      <c r="IV37" s="3"/>
      <c r="IW37" s="3"/>
      <c r="IX37" s="3"/>
      <c r="IY37" s="3"/>
      <c r="IZ37" s="3"/>
      <c r="JA37" s="3"/>
      <c r="JB37" s="3"/>
      <c r="JC37" s="3"/>
      <c r="JD37" s="3"/>
      <c r="JE37" s="3"/>
      <c r="JF37" s="3"/>
      <c r="JG37" s="3"/>
      <c r="JH37" s="3"/>
    </row>
    <row r="38" spans="1:268" x14ac:dyDescent="0.3">
      <c r="A38" s="2" t="s">
        <v>338</v>
      </c>
      <c r="B38" s="3">
        <v>90</v>
      </c>
      <c r="C38" s="3" t="s">
        <v>587</v>
      </c>
      <c r="D38" s="3">
        <v>14</v>
      </c>
      <c r="E38" s="3" t="s">
        <v>340</v>
      </c>
      <c r="F38" s="3">
        <v>1426248721</v>
      </c>
      <c r="G38" s="3" t="s">
        <v>588</v>
      </c>
      <c r="H38" s="3" t="s">
        <v>587</v>
      </c>
      <c r="I38" s="3" t="s">
        <v>469</v>
      </c>
      <c r="J38" s="3">
        <v>17</v>
      </c>
      <c r="K38" s="3" t="s">
        <v>389</v>
      </c>
      <c r="L38" s="3"/>
      <c r="M38" s="3" t="s">
        <v>344</v>
      </c>
      <c r="N38" s="3" t="s">
        <v>345</v>
      </c>
      <c r="O38" s="3" t="s">
        <v>344</v>
      </c>
      <c r="P38" s="3" t="s">
        <v>344</v>
      </c>
      <c r="Q38" s="3" t="s">
        <v>344</v>
      </c>
      <c r="R38" s="3"/>
      <c r="S38" s="3" t="s">
        <v>346</v>
      </c>
      <c r="T38" s="3"/>
      <c r="U38" s="3" t="s">
        <v>418</v>
      </c>
      <c r="V38" s="3"/>
      <c r="W38" s="3" t="s">
        <v>344</v>
      </c>
      <c r="X38" s="3" t="s">
        <v>344</v>
      </c>
      <c r="Y38" s="3" t="s">
        <v>345</v>
      </c>
      <c r="Z38" s="3" t="s">
        <v>345</v>
      </c>
      <c r="AA38" s="3" t="s">
        <v>344</v>
      </c>
      <c r="AB38" s="3" t="s">
        <v>345</v>
      </c>
      <c r="AC38" s="3" t="s">
        <v>344</v>
      </c>
      <c r="AD38" s="3" t="s">
        <v>345</v>
      </c>
      <c r="AE38" s="3" t="s">
        <v>344</v>
      </c>
      <c r="AF38" s="3" t="s">
        <v>344</v>
      </c>
      <c r="AG38" s="3" t="s">
        <v>344</v>
      </c>
      <c r="AH38" s="3" t="s">
        <v>345</v>
      </c>
      <c r="AI38" s="3" t="s">
        <v>345</v>
      </c>
      <c r="AJ38" s="3" t="s">
        <v>344</v>
      </c>
      <c r="AK38" s="3" t="s">
        <v>344</v>
      </c>
      <c r="AL38" s="3" t="s">
        <v>344</v>
      </c>
      <c r="AM38" s="3" t="s">
        <v>344</v>
      </c>
      <c r="AN38" s="3" t="s">
        <v>345</v>
      </c>
      <c r="AO38" s="3" t="s">
        <v>344</v>
      </c>
      <c r="AP38" s="3" t="s">
        <v>344</v>
      </c>
      <c r="AQ38" s="3" t="s">
        <v>344</v>
      </c>
      <c r="AR38" s="3" t="s">
        <v>344</v>
      </c>
      <c r="AS38" s="3" t="s">
        <v>345</v>
      </c>
      <c r="AT38" s="3" t="s">
        <v>344</v>
      </c>
      <c r="AU38" s="3" t="s">
        <v>344</v>
      </c>
      <c r="AV38" s="3" t="s">
        <v>344</v>
      </c>
      <c r="AW38" s="3" t="s">
        <v>344</v>
      </c>
      <c r="AX38" s="3" t="s">
        <v>344</v>
      </c>
      <c r="AY38" s="3"/>
      <c r="AZ38" s="3"/>
      <c r="BA38" s="3"/>
      <c r="BB38" s="3"/>
      <c r="BC38" s="3"/>
      <c r="BD38" s="3"/>
      <c r="BE38" s="3" t="s">
        <v>349</v>
      </c>
      <c r="BF38" s="3" t="s">
        <v>390</v>
      </c>
      <c r="BG38" s="3" t="s">
        <v>349</v>
      </c>
      <c r="BH38" s="3" t="s">
        <v>350</v>
      </c>
      <c r="BI38" s="3" t="s">
        <v>348</v>
      </c>
      <c r="BJ38" s="3" t="s">
        <v>391</v>
      </c>
      <c r="BK38" s="3" t="s">
        <v>356</v>
      </c>
      <c r="BL38" s="3" t="s">
        <v>357</v>
      </c>
      <c r="BM38" s="3" t="s">
        <v>351</v>
      </c>
      <c r="BN38" s="3" t="s">
        <v>351</v>
      </c>
      <c r="BO38" s="3" t="s">
        <v>354</v>
      </c>
      <c r="BP38" s="3" t="s">
        <v>391</v>
      </c>
      <c r="BQ38" s="3" t="s">
        <v>455</v>
      </c>
      <c r="BR38" s="3" t="s">
        <v>408</v>
      </c>
      <c r="BS38" s="3" t="s">
        <v>391</v>
      </c>
      <c r="BT38" s="3" t="s">
        <v>354</v>
      </c>
      <c r="BU38" s="3" t="s">
        <v>353</v>
      </c>
      <c r="BV38" s="3" t="s">
        <v>353</v>
      </c>
      <c r="BW38" s="3" t="s">
        <v>357</v>
      </c>
      <c r="BX38" s="3" t="s">
        <v>351</v>
      </c>
      <c r="BY38" s="3" t="s">
        <v>352</v>
      </c>
      <c r="BZ38" s="3" t="s">
        <v>357</v>
      </c>
      <c r="CA38" s="3" t="s">
        <v>355</v>
      </c>
      <c r="CB38" s="3" t="s">
        <v>351</v>
      </c>
      <c r="CC38" s="3" t="s">
        <v>354</v>
      </c>
      <c r="CD38" s="3" t="s">
        <v>353</v>
      </c>
      <c r="CE38" s="3" t="s">
        <v>391</v>
      </c>
      <c r="CF38" s="3" t="s">
        <v>356</v>
      </c>
      <c r="CG38" s="3" t="s">
        <v>420</v>
      </c>
      <c r="CH38" s="3" t="s">
        <v>393</v>
      </c>
      <c r="CI38" s="3" t="s">
        <v>420</v>
      </c>
      <c r="CJ38" s="3"/>
      <c r="CK38" s="3" t="s">
        <v>589</v>
      </c>
      <c r="CL38" s="3" t="s">
        <v>344</v>
      </c>
      <c r="CM38" s="3" t="s">
        <v>344</v>
      </c>
      <c r="CN38" s="3" t="s">
        <v>344</v>
      </c>
      <c r="CO38" s="3" t="s">
        <v>345</v>
      </c>
      <c r="CP38" s="3" t="s">
        <v>345</v>
      </c>
      <c r="CQ38" s="3" t="s">
        <v>344</v>
      </c>
      <c r="CR38" s="3" t="s">
        <v>362</v>
      </c>
      <c r="CS38" s="3">
        <v>10</v>
      </c>
      <c r="CT38" s="3">
        <v>60</v>
      </c>
      <c r="CU38" s="3">
        <v>100</v>
      </c>
      <c r="CV38" s="3">
        <v>10</v>
      </c>
      <c r="CW38" s="3" t="s">
        <v>363</v>
      </c>
      <c r="CX38" s="3" t="s">
        <v>395</v>
      </c>
      <c r="CY38" s="3" t="s">
        <v>396</v>
      </c>
      <c r="CZ38" s="3"/>
      <c r="DA38" s="3"/>
      <c r="DB38" s="3"/>
      <c r="DC38" s="3"/>
      <c r="DD38" s="3"/>
      <c r="DE38" s="3" t="s">
        <v>397</v>
      </c>
      <c r="DF38" s="3" t="s">
        <v>397</v>
      </c>
      <c r="DG38" s="3" t="s">
        <v>397</v>
      </c>
      <c r="DH38" s="3" t="s">
        <v>366</v>
      </c>
      <c r="DI38" s="3" t="s">
        <v>366</v>
      </c>
      <c r="DJ38" s="3"/>
      <c r="DK38" s="3" t="s">
        <v>367</v>
      </c>
      <c r="DL38" s="3" t="s">
        <v>368</v>
      </c>
      <c r="DM38" s="3" t="s">
        <v>368</v>
      </c>
      <c r="DN38" s="3" t="s">
        <v>368</v>
      </c>
      <c r="DO38" s="3" t="s">
        <v>368</v>
      </c>
      <c r="DP38" s="3" t="s">
        <v>368</v>
      </c>
      <c r="DQ38" s="3" t="s">
        <v>368</v>
      </c>
      <c r="DR38" s="3" t="s">
        <v>368</v>
      </c>
      <c r="DS38" s="3" t="s">
        <v>345</v>
      </c>
      <c r="DT38" s="3" t="s">
        <v>345</v>
      </c>
      <c r="DU38" s="3" t="s">
        <v>344</v>
      </c>
      <c r="DV38" s="3" t="s">
        <v>345</v>
      </c>
      <c r="DW38" s="3" t="s">
        <v>344</v>
      </c>
      <c r="DX38" s="3" t="s">
        <v>371</v>
      </c>
      <c r="DY38" s="3" t="s">
        <v>370</v>
      </c>
      <c r="DZ38" s="3" t="s">
        <v>370</v>
      </c>
      <c r="EA38" s="3" t="s">
        <v>370</v>
      </c>
      <c r="EB38" s="3" t="s">
        <v>398</v>
      </c>
      <c r="EC38" s="3" t="s">
        <v>370</v>
      </c>
      <c r="ED38" s="3" t="s">
        <v>370</v>
      </c>
      <c r="EE38" s="3" t="s">
        <v>370</v>
      </c>
      <c r="EF38" s="3" t="s">
        <v>370</v>
      </c>
      <c r="EG38" s="3" t="s">
        <v>370</v>
      </c>
      <c r="EH38" s="3" t="s">
        <v>370</v>
      </c>
      <c r="EI38" s="3" t="s">
        <v>370</v>
      </c>
      <c r="EJ38" s="3" t="s">
        <v>370</v>
      </c>
      <c r="EK38" s="3" t="s">
        <v>370</v>
      </c>
      <c r="EL38" s="3" t="s">
        <v>373</v>
      </c>
      <c r="EM38" s="3" t="s">
        <v>424</v>
      </c>
      <c r="EN38" s="3" t="s">
        <v>374</v>
      </c>
      <c r="EO38" s="3"/>
      <c r="EP38" s="3"/>
      <c r="EQ38" s="3" t="s">
        <v>375</v>
      </c>
      <c r="ER38" s="3" t="s">
        <v>378</v>
      </c>
      <c r="ES38" s="3" t="s">
        <v>411</v>
      </c>
      <c r="ET38" s="3" t="s">
        <v>378</v>
      </c>
      <c r="EU38" s="3" t="s">
        <v>376</v>
      </c>
      <c r="EV38" s="3" t="s">
        <v>400</v>
      </c>
      <c r="EW38" s="3"/>
      <c r="EX38" s="3" t="s">
        <v>368</v>
      </c>
      <c r="EY38" s="3" t="s">
        <v>368</v>
      </c>
      <c r="EZ38" s="3" t="s">
        <v>368</v>
      </c>
      <c r="FA38" s="3" t="s">
        <v>345</v>
      </c>
      <c r="FB38" s="3" t="s">
        <v>381</v>
      </c>
      <c r="FC38" s="3"/>
      <c r="FD38" s="3" t="s">
        <v>380</v>
      </c>
      <c r="FE38" s="3"/>
      <c r="FF38" s="3" t="s">
        <v>382</v>
      </c>
      <c r="FG38" s="3" t="s">
        <v>383</v>
      </c>
      <c r="FH38" s="3" t="s">
        <v>451</v>
      </c>
      <c r="FI38" s="3" t="s">
        <v>403</v>
      </c>
      <c r="FJ38" s="3"/>
      <c r="FK38" s="3"/>
      <c r="FL38" s="3"/>
      <c r="FM38" s="3"/>
      <c r="FN38" s="3"/>
      <c r="FO38" s="3"/>
      <c r="FP38" s="3"/>
      <c r="FQ38" s="3"/>
      <c r="FR38" s="3"/>
      <c r="FS38" s="3"/>
      <c r="FT38" s="3"/>
      <c r="FU38" s="3"/>
      <c r="FV38" s="3"/>
      <c r="FW38" s="3"/>
      <c r="FX38" s="3"/>
      <c r="FY38" s="3"/>
      <c r="FZ38" s="3"/>
      <c r="GA38" s="3" t="s">
        <v>368</v>
      </c>
      <c r="GB38" s="3" t="s">
        <v>368</v>
      </c>
      <c r="GC38" s="3" t="s">
        <v>368</v>
      </c>
      <c r="GD38" s="3" t="s">
        <v>368</v>
      </c>
      <c r="GE38" s="3" t="s">
        <v>368</v>
      </c>
      <c r="GF38" s="3" t="s">
        <v>368</v>
      </c>
      <c r="GG38" s="3"/>
      <c r="GH38" s="3"/>
      <c r="GI38" s="3"/>
      <c r="GJ38" s="3"/>
      <c r="GK38" s="3"/>
      <c r="GL38" s="3" t="s">
        <v>344</v>
      </c>
      <c r="GM38" s="3" t="s">
        <v>344</v>
      </c>
      <c r="GN38" s="3" t="s">
        <v>344</v>
      </c>
      <c r="GO38" s="3" t="s">
        <v>344</v>
      </c>
      <c r="GP38" s="3" t="s">
        <v>344</v>
      </c>
      <c r="GQ38" s="3" t="s">
        <v>344</v>
      </c>
      <c r="GR38" s="3" t="s">
        <v>344</v>
      </c>
      <c r="GS38" s="3" t="s">
        <v>344</v>
      </c>
      <c r="GT38" s="3" t="s">
        <v>344</v>
      </c>
      <c r="GU38" s="3" t="s">
        <v>344</v>
      </c>
      <c r="GV38" s="3" t="s">
        <v>345</v>
      </c>
      <c r="GW38" s="3" t="s">
        <v>344</v>
      </c>
      <c r="GX38" s="3" t="s">
        <v>344</v>
      </c>
      <c r="GY38" s="3" t="s">
        <v>344</v>
      </c>
      <c r="GZ38" s="3" t="s">
        <v>344</v>
      </c>
      <c r="HA38" s="3"/>
      <c r="HB38" s="3" t="s">
        <v>344</v>
      </c>
      <c r="HC38" s="3"/>
      <c r="HD38" s="3" t="s">
        <v>344</v>
      </c>
      <c r="HE38" s="3"/>
      <c r="HF38" s="3" t="s">
        <v>344</v>
      </c>
      <c r="HG38" s="3"/>
      <c r="HH38" s="3" t="s">
        <v>344</v>
      </c>
      <c r="HI38" s="3"/>
      <c r="HJ38" s="3" t="s">
        <v>344</v>
      </c>
      <c r="HK38" s="3" t="s">
        <v>344</v>
      </c>
      <c r="HL38" s="3" t="s">
        <v>344</v>
      </c>
      <c r="HM38" s="3" t="s">
        <v>344</v>
      </c>
      <c r="HN38" s="3" t="s">
        <v>344</v>
      </c>
      <c r="HO38" s="3" t="s">
        <v>344</v>
      </c>
      <c r="HP38" s="3" t="s">
        <v>344</v>
      </c>
      <c r="HQ38" s="3" t="s">
        <v>344</v>
      </c>
      <c r="HR38" s="3" t="s">
        <v>344</v>
      </c>
      <c r="HS38" s="3" t="s">
        <v>344</v>
      </c>
      <c r="HT38" s="3" t="s">
        <v>344</v>
      </c>
      <c r="HU38" s="3" t="s">
        <v>344</v>
      </c>
      <c r="HV38" s="3" t="s">
        <v>344</v>
      </c>
      <c r="HW38" s="3" t="s">
        <v>344</v>
      </c>
      <c r="HX38" s="3" t="s">
        <v>345</v>
      </c>
      <c r="HY38" s="3"/>
      <c r="HZ38" s="3" t="s">
        <v>344</v>
      </c>
      <c r="IA38" s="3"/>
      <c r="IB38" s="3" t="s">
        <v>344</v>
      </c>
      <c r="IC38" s="3"/>
      <c r="ID38" s="3" t="s">
        <v>344</v>
      </c>
      <c r="IE38" s="3"/>
      <c r="IF38" s="3" t="s">
        <v>344</v>
      </c>
      <c r="IG38" s="3"/>
      <c r="IH38" s="3" t="s">
        <v>345</v>
      </c>
      <c r="II38" s="3" t="s">
        <v>345</v>
      </c>
      <c r="IJ38" s="3" t="s">
        <v>344</v>
      </c>
      <c r="IK38" s="3" t="s">
        <v>344</v>
      </c>
      <c r="IL38" s="3" t="s">
        <v>345</v>
      </c>
      <c r="IM38" s="3" t="s">
        <v>345</v>
      </c>
      <c r="IN38" s="3" t="s">
        <v>344</v>
      </c>
      <c r="IO38" s="3" t="s">
        <v>345</v>
      </c>
      <c r="IP38" s="3" t="s">
        <v>345</v>
      </c>
      <c r="IQ38" s="3" t="s">
        <v>344</v>
      </c>
      <c r="IR38" s="3" t="s">
        <v>344</v>
      </c>
      <c r="IS38" s="3" t="s">
        <v>344</v>
      </c>
      <c r="IT38" s="3"/>
      <c r="IU38" s="3" t="s">
        <v>590</v>
      </c>
      <c r="IV38" s="3"/>
      <c r="IW38" s="3"/>
      <c r="IX38" s="3"/>
      <c r="IY38" s="3"/>
      <c r="IZ38" s="3"/>
      <c r="JA38" s="3"/>
      <c r="JB38" s="3"/>
      <c r="JC38" s="3"/>
      <c r="JD38" s="3"/>
      <c r="JE38" s="3"/>
      <c r="JF38" s="3"/>
      <c r="JG38" s="3"/>
      <c r="JH38" s="3"/>
    </row>
    <row r="39" spans="1:268" x14ac:dyDescent="0.3">
      <c r="A39" s="2" t="s">
        <v>338</v>
      </c>
      <c r="B39" s="3">
        <v>91</v>
      </c>
      <c r="C39" s="3" t="s">
        <v>591</v>
      </c>
      <c r="D39" s="3">
        <v>14</v>
      </c>
      <c r="E39" s="3" t="s">
        <v>387</v>
      </c>
      <c r="F39" s="3">
        <v>1987539242</v>
      </c>
      <c r="G39" s="3" t="s">
        <v>592</v>
      </c>
      <c r="H39" s="3" t="s">
        <v>591</v>
      </c>
      <c r="I39" s="3" t="s">
        <v>342</v>
      </c>
      <c r="J39" s="3">
        <v>17</v>
      </c>
      <c r="K39" s="3" t="s">
        <v>389</v>
      </c>
      <c r="L39" s="3"/>
      <c r="M39" s="3" t="s">
        <v>345</v>
      </c>
      <c r="N39" s="3" t="s">
        <v>344</v>
      </c>
      <c r="O39" s="3" t="s">
        <v>344</v>
      </c>
      <c r="P39" s="3" t="s">
        <v>344</v>
      </c>
      <c r="Q39" s="3" t="s">
        <v>344</v>
      </c>
      <c r="R39" s="3"/>
      <c r="S39" s="3" t="s">
        <v>475</v>
      </c>
      <c r="T39" s="3"/>
      <c r="U39" s="3" t="s">
        <v>347</v>
      </c>
      <c r="V39" s="3"/>
      <c r="W39" s="3" t="s">
        <v>345</v>
      </c>
      <c r="X39" s="3" t="s">
        <v>345</v>
      </c>
      <c r="Y39" s="3" t="s">
        <v>344</v>
      </c>
      <c r="Z39" s="3" t="s">
        <v>344</v>
      </c>
      <c r="AA39" s="3" t="s">
        <v>344</v>
      </c>
      <c r="AB39" s="3" t="s">
        <v>344</v>
      </c>
      <c r="AC39" s="3" t="s">
        <v>344</v>
      </c>
      <c r="AD39" s="3" t="s">
        <v>368</v>
      </c>
      <c r="AE39" s="3" t="s">
        <v>368</v>
      </c>
      <c r="AF39" s="3" t="s">
        <v>368</v>
      </c>
      <c r="AG39" s="3" t="s">
        <v>368</v>
      </c>
      <c r="AH39" s="3" t="s">
        <v>368</v>
      </c>
      <c r="AI39" s="3" t="s">
        <v>368</v>
      </c>
      <c r="AJ39" s="3" t="s">
        <v>345</v>
      </c>
      <c r="AK39" s="3" t="s">
        <v>345</v>
      </c>
      <c r="AL39" s="3" t="s">
        <v>344</v>
      </c>
      <c r="AM39" s="3" t="s">
        <v>344</v>
      </c>
      <c r="AN39" s="3" t="s">
        <v>344</v>
      </c>
      <c r="AO39" s="3" t="s">
        <v>344</v>
      </c>
      <c r="AP39" s="3" t="s">
        <v>344</v>
      </c>
      <c r="AQ39" s="3" t="s">
        <v>344</v>
      </c>
      <c r="AR39" s="3" t="s">
        <v>345</v>
      </c>
      <c r="AS39" s="3" t="s">
        <v>345</v>
      </c>
      <c r="AT39" s="3" t="s">
        <v>344</v>
      </c>
      <c r="AU39" s="3" t="s">
        <v>344</v>
      </c>
      <c r="AV39" s="3" t="s">
        <v>344</v>
      </c>
      <c r="AW39" s="3" t="s">
        <v>344</v>
      </c>
      <c r="AX39" s="3" t="s">
        <v>344</v>
      </c>
      <c r="AY39" s="3"/>
      <c r="AZ39" s="3"/>
      <c r="BA39" s="3"/>
      <c r="BB39" s="3"/>
      <c r="BC39" s="3"/>
      <c r="BD39" s="3"/>
      <c r="BE39" s="3" t="s">
        <v>348</v>
      </c>
      <c r="BF39" s="3" t="s">
        <v>349</v>
      </c>
      <c r="BG39" s="3" t="s">
        <v>390</v>
      </c>
      <c r="BH39" s="3" t="s">
        <v>349</v>
      </c>
      <c r="BI39" s="3" t="s">
        <v>349</v>
      </c>
      <c r="BJ39" s="3" t="s">
        <v>391</v>
      </c>
      <c r="BK39" s="3" t="s">
        <v>356</v>
      </c>
      <c r="BL39" s="3" t="s">
        <v>352</v>
      </c>
      <c r="BM39" s="3" t="s">
        <v>352</v>
      </c>
      <c r="BN39" s="3" t="s">
        <v>391</v>
      </c>
      <c r="BO39" s="3" t="s">
        <v>356</v>
      </c>
      <c r="BP39" s="3" t="s">
        <v>391</v>
      </c>
      <c r="BQ39" s="3" t="s">
        <v>455</v>
      </c>
      <c r="BR39" s="3" t="s">
        <v>429</v>
      </c>
      <c r="BS39" s="3" t="s">
        <v>391</v>
      </c>
      <c r="BT39" s="3" t="s">
        <v>391</v>
      </c>
      <c r="BU39" s="3" t="s">
        <v>391</v>
      </c>
      <c r="BV39" s="3" t="s">
        <v>391</v>
      </c>
      <c r="BW39" s="3" t="s">
        <v>391</v>
      </c>
      <c r="BX39" s="3" t="s">
        <v>391</v>
      </c>
      <c r="BY39" s="3" t="s">
        <v>391</v>
      </c>
      <c r="BZ39" s="3" t="s">
        <v>391</v>
      </c>
      <c r="CA39" s="3" t="s">
        <v>391</v>
      </c>
      <c r="CB39" s="3" t="s">
        <v>391</v>
      </c>
      <c r="CC39" s="3" t="s">
        <v>391</v>
      </c>
      <c r="CD39" s="3" t="s">
        <v>391</v>
      </c>
      <c r="CE39" s="3" t="s">
        <v>391</v>
      </c>
      <c r="CF39" s="3" t="s">
        <v>391</v>
      </c>
      <c r="CG39" s="3" t="s">
        <v>420</v>
      </c>
      <c r="CH39" s="3" t="s">
        <v>421</v>
      </c>
      <c r="CI39" s="3" t="s">
        <v>420</v>
      </c>
      <c r="CJ39" s="3"/>
      <c r="CK39" s="3" t="s">
        <v>391</v>
      </c>
      <c r="CL39" s="3" t="s">
        <v>344</v>
      </c>
      <c r="CM39" s="3" t="s">
        <v>344</v>
      </c>
      <c r="CN39" s="3" t="s">
        <v>344</v>
      </c>
      <c r="CO39" s="3" t="s">
        <v>345</v>
      </c>
      <c r="CP39" s="3" t="s">
        <v>345</v>
      </c>
      <c r="CQ39" s="3" t="s">
        <v>344</v>
      </c>
      <c r="CR39" s="3" t="s">
        <v>362</v>
      </c>
      <c r="CS39" s="3">
        <v>100</v>
      </c>
      <c r="CT39" s="3">
        <v>100</v>
      </c>
      <c r="CU39" s="3"/>
      <c r="CV39" s="3"/>
      <c r="CW39" s="3" t="s">
        <v>363</v>
      </c>
      <c r="CX39" s="3" t="s">
        <v>396</v>
      </c>
      <c r="CY39" s="3" t="s">
        <v>364</v>
      </c>
      <c r="CZ39" s="3" t="s">
        <v>397</v>
      </c>
      <c r="DA39" s="3" t="s">
        <v>397</v>
      </c>
      <c r="DB39" s="3" t="s">
        <v>397</v>
      </c>
      <c r="DC39" s="3" t="s">
        <v>397</v>
      </c>
      <c r="DD39" s="3" t="s">
        <v>397</v>
      </c>
      <c r="DE39" s="3"/>
      <c r="DF39" s="3"/>
      <c r="DG39" s="3"/>
      <c r="DH39" s="3"/>
      <c r="DI39" s="3"/>
      <c r="DJ39" s="3"/>
      <c r="DK39" s="3" t="s">
        <v>367</v>
      </c>
      <c r="DL39" s="3" t="s">
        <v>368</v>
      </c>
      <c r="DM39" s="3" t="s">
        <v>368</v>
      </c>
      <c r="DN39" s="3" t="s">
        <v>368</v>
      </c>
      <c r="DO39" s="3" t="s">
        <v>368</v>
      </c>
      <c r="DP39" s="3" t="s">
        <v>368</v>
      </c>
      <c r="DQ39" s="3" t="s">
        <v>368</v>
      </c>
      <c r="DR39" s="3" t="s">
        <v>368</v>
      </c>
      <c r="DS39" s="3" t="s">
        <v>345</v>
      </c>
      <c r="DT39" s="3" t="s">
        <v>345</v>
      </c>
      <c r="DU39" s="3" t="s">
        <v>344</v>
      </c>
      <c r="DV39" s="3" t="s">
        <v>345</v>
      </c>
      <c r="DW39" s="3" t="s">
        <v>344</v>
      </c>
      <c r="DX39" s="3" t="s">
        <v>370</v>
      </c>
      <c r="DY39" s="3" t="s">
        <v>370</v>
      </c>
      <c r="DZ39" s="3" t="s">
        <v>370</v>
      </c>
      <c r="EA39" s="3" t="s">
        <v>370</v>
      </c>
      <c r="EB39" s="3" t="s">
        <v>370</v>
      </c>
      <c r="EC39" s="3" t="s">
        <v>370</v>
      </c>
      <c r="ED39" s="3" t="s">
        <v>370</v>
      </c>
      <c r="EE39" s="3" t="s">
        <v>369</v>
      </c>
      <c r="EF39" s="3" t="s">
        <v>369</v>
      </c>
      <c r="EG39" s="3" t="s">
        <v>369</v>
      </c>
      <c r="EH39" s="3" t="s">
        <v>369</v>
      </c>
      <c r="EI39" s="3" t="s">
        <v>369</v>
      </c>
      <c r="EJ39" s="3" t="s">
        <v>369</v>
      </c>
      <c r="EK39" s="3" t="s">
        <v>369</v>
      </c>
      <c r="EL39" s="3" t="s">
        <v>373</v>
      </c>
      <c r="EM39" s="3" t="s">
        <v>372</v>
      </c>
      <c r="EN39" s="3" t="s">
        <v>374</v>
      </c>
      <c r="EO39" s="3"/>
      <c r="EP39" s="3"/>
      <c r="EQ39" s="3" t="s">
        <v>391</v>
      </c>
      <c r="ER39" s="3" t="s">
        <v>391</v>
      </c>
      <c r="ES39" s="3" t="s">
        <v>391</v>
      </c>
      <c r="ET39" s="3" t="s">
        <v>391</v>
      </c>
      <c r="EU39" s="3" t="s">
        <v>391</v>
      </c>
      <c r="EV39" s="3" t="s">
        <v>400</v>
      </c>
      <c r="EW39" s="3"/>
      <c r="EX39" s="3" t="s">
        <v>368</v>
      </c>
      <c r="EY39" s="3" t="s">
        <v>368</v>
      </c>
      <c r="EZ39" s="3" t="s">
        <v>368</v>
      </c>
      <c r="FA39" s="3" t="s">
        <v>345</v>
      </c>
      <c r="FB39" s="3" t="s">
        <v>401</v>
      </c>
      <c r="FC39" s="3"/>
      <c r="FD39" s="3" t="s">
        <v>401</v>
      </c>
      <c r="FE39" s="3"/>
      <c r="FF39" s="3" t="s">
        <v>431</v>
      </c>
      <c r="FG39" s="3" t="s">
        <v>441</v>
      </c>
      <c r="FH39" s="3" t="s">
        <v>460</v>
      </c>
      <c r="FI39" s="3" t="s">
        <v>442</v>
      </c>
      <c r="FJ39" s="3"/>
      <c r="FK39" s="3"/>
      <c r="FL39" s="3"/>
      <c r="FM39" s="3"/>
      <c r="FN39" s="3"/>
      <c r="FO39" s="3"/>
      <c r="FP39" s="3"/>
      <c r="FQ39" s="3"/>
      <c r="FR39" s="3"/>
      <c r="FS39" s="3"/>
      <c r="FT39" s="3"/>
      <c r="FU39" s="3"/>
      <c r="FV39" s="3"/>
      <c r="FW39" s="3"/>
      <c r="FX39" s="3"/>
      <c r="FY39" s="3"/>
      <c r="FZ39" s="3"/>
      <c r="GA39" s="3" t="s">
        <v>368</v>
      </c>
      <c r="GB39" s="3" t="s">
        <v>368</v>
      </c>
      <c r="GC39" s="3" t="s">
        <v>368</v>
      </c>
      <c r="GD39" s="3" t="s">
        <v>368</v>
      </c>
      <c r="GE39" s="3" t="s">
        <v>368</v>
      </c>
      <c r="GF39" s="3" t="s">
        <v>368</v>
      </c>
      <c r="GG39" s="3"/>
      <c r="GH39" s="3"/>
      <c r="GI39" s="3"/>
      <c r="GJ39" s="3"/>
      <c r="GK39" s="3"/>
      <c r="GL39" s="3" t="s">
        <v>344</v>
      </c>
      <c r="GM39" s="3" t="s">
        <v>344</v>
      </c>
      <c r="GN39" s="3" t="s">
        <v>345</v>
      </c>
      <c r="GO39" s="3" t="s">
        <v>345</v>
      </c>
      <c r="GP39" s="3" t="s">
        <v>344</v>
      </c>
      <c r="GQ39" s="3" t="s">
        <v>344</v>
      </c>
      <c r="GR39" s="3" t="s">
        <v>344</v>
      </c>
      <c r="GS39" s="3" t="s">
        <v>344</v>
      </c>
      <c r="GT39" s="3" t="s">
        <v>344</v>
      </c>
      <c r="GU39" s="3" t="s">
        <v>344</v>
      </c>
      <c r="GV39" s="3" t="s">
        <v>344</v>
      </c>
      <c r="GW39" s="3" t="s">
        <v>345</v>
      </c>
      <c r="GX39" s="3" t="s">
        <v>344</v>
      </c>
      <c r="GY39" s="3" t="s">
        <v>344</v>
      </c>
      <c r="GZ39" s="3" t="s">
        <v>344</v>
      </c>
      <c r="HA39" s="3"/>
      <c r="HB39" s="3" t="s">
        <v>344</v>
      </c>
      <c r="HC39" s="3"/>
      <c r="HD39" s="3" t="s">
        <v>344</v>
      </c>
      <c r="HE39" s="3"/>
      <c r="HF39" s="3" t="s">
        <v>344</v>
      </c>
      <c r="HG39" s="3"/>
      <c r="HH39" s="3" t="s">
        <v>344</v>
      </c>
      <c r="HI39" s="3"/>
      <c r="HJ39" s="3" t="s">
        <v>345</v>
      </c>
      <c r="HK39" s="3" t="s">
        <v>345</v>
      </c>
      <c r="HL39" s="3" t="s">
        <v>344</v>
      </c>
      <c r="HM39" s="3" t="s">
        <v>344</v>
      </c>
      <c r="HN39" s="3" t="s">
        <v>344</v>
      </c>
      <c r="HO39" s="3" t="s">
        <v>344</v>
      </c>
      <c r="HP39" s="3" t="s">
        <v>344</v>
      </c>
      <c r="HQ39" s="3" t="s">
        <v>344</v>
      </c>
      <c r="HR39" s="3" t="s">
        <v>344</v>
      </c>
      <c r="HS39" s="3" t="s">
        <v>344</v>
      </c>
      <c r="HT39" s="3" t="s">
        <v>344</v>
      </c>
      <c r="HU39" s="3" t="s">
        <v>344</v>
      </c>
      <c r="HV39" s="3" t="s">
        <v>344</v>
      </c>
      <c r="HW39" s="3" t="s">
        <v>344</v>
      </c>
      <c r="HX39" s="3" t="s">
        <v>344</v>
      </c>
      <c r="HY39" s="3"/>
      <c r="HZ39" s="3" t="s">
        <v>344</v>
      </c>
      <c r="IA39" s="3"/>
      <c r="IB39" s="3" t="s">
        <v>344</v>
      </c>
      <c r="IC39" s="3"/>
      <c r="ID39" s="3" t="s">
        <v>344</v>
      </c>
      <c r="IE39" s="3"/>
      <c r="IF39" s="3" t="s">
        <v>344</v>
      </c>
      <c r="IG39" s="3"/>
      <c r="IH39" s="3" t="s">
        <v>344</v>
      </c>
      <c r="II39" s="3" t="s">
        <v>345</v>
      </c>
      <c r="IJ39" s="3" t="s">
        <v>344</v>
      </c>
      <c r="IK39" s="3" t="s">
        <v>344</v>
      </c>
      <c r="IL39" s="3" t="s">
        <v>345</v>
      </c>
      <c r="IM39" s="3" t="s">
        <v>345</v>
      </c>
      <c r="IN39" s="3" t="s">
        <v>344</v>
      </c>
      <c r="IO39" s="3" t="s">
        <v>345</v>
      </c>
      <c r="IP39" s="3" t="s">
        <v>345</v>
      </c>
      <c r="IQ39" s="3" t="s">
        <v>345</v>
      </c>
      <c r="IR39" s="3" t="s">
        <v>344</v>
      </c>
      <c r="IS39" s="3" t="s">
        <v>344</v>
      </c>
      <c r="IT39" s="3"/>
      <c r="IU39" s="3" t="s">
        <v>593</v>
      </c>
      <c r="IV39" s="3"/>
      <c r="IW39" s="3"/>
      <c r="IX39" s="3"/>
      <c r="IY39" s="3"/>
      <c r="IZ39" s="3"/>
      <c r="JA39" s="3"/>
      <c r="JB39" s="3"/>
      <c r="JC39" s="3"/>
      <c r="JD39" s="3"/>
      <c r="JE39" s="3"/>
      <c r="JF39" s="3"/>
      <c r="JG39" s="3"/>
      <c r="JH39" s="3"/>
    </row>
    <row r="40" spans="1:268" x14ac:dyDescent="0.3">
      <c r="A40" s="2" t="s">
        <v>338</v>
      </c>
      <c r="B40" s="3">
        <v>92</v>
      </c>
      <c r="C40" s="3" t="s">
        <v>594</v>
      </c>
      <c r="D40" s="3">
        <v>14</v>
      </c>
      <c r="E40" s="3" t="s">
        <v>387</v>
      </c>
      <c r="F40" s="3">
        <v>1582298548</v>
      </c>
      <c r="G40" s="3" t="s">
        <v>595</v>
      </c>
      <c r="H40" s="3" t="s">
        <v>594</v>
      </c>
      <c r="I40" s="3" t="s">
        <v>342</v>
      </c>
      <c r="J40" s="3">
        <v>17</v>
      </c>
      <c r="K40" s="3" t="s">
        <v>389</v>
      </c>
      <c r="L40" s="3"/>
      <c r="M40" s="3" t="s">
        <v>345</v>
      </c>
      <c r="N40" s="3" t="s">
        <v>344</v>
      </c>
      <c r="O40" s="3" t="s">
        <v>344</v>
      </c>
      <c r="P40" s="3" t="s">
        <v>344</v>
      </c>
      <c r="Q40" s="3" t="s">
        <v>344</v>
      </c>
      <c r="R40" s="3"/>
      <c r="S40" s="3" t="s">
        <v>438</v>
      </c>
      <c r="T40" s="3"/>
      <c r="U40" s="3" t="s">
        <v>418</v>
      </c>
      <c r="V40" s="3"/>
      <c r="W40" s="3" t="s">
        <v>344</v>
      </c>
      <c r="X40" s="3" t="s">
        <v>345</v>
      </c>
      <c r="Y40" s="3" t="s">
        <v>344</v>
      </c>
      <c r="Z40" s="3" t="s">
        <v>345</v>
      </c>
      <c r="AA40" s="3" t="s">
        <v>345</v>
      </c>
      <c r="AB40" s="3" t="s">
        <v>344</v>
      </c>
      <c r="AC40" s="3" t="s">
        <v>344</v>
      </c>
      <c r="AD40" s="3" t="s">
        <v>344</v>
      </c>
      <c r="AE40" s="3" t="s">
        <v>345</v>
      </c>
      <c r="AF40" s="3" t="s">
        <v>344</v>
      </c>
      <c r="AG40" s="3" t="s">
        <v>344</v>
      </c>
      <c r="AH40" s="3" t="s">
        <v>345</v>
      </c>
      <c r="AI40" s="3" t="s">
        <v>344</v>
      </c>
      <c r="AJ40" s="3" t="s">
        <v>344</v>
      </c>
      <c r="AK40" s="3" t="s">
        <v>345</v>
      </c>
      <c r="AL40" s="3" t="s">
        <v>344</v>
      </c>
      <c r="AM40" s="3" t="s">
        <v>344</v>
      </c>
      <c r="AN40" s="3" t="s">
        <v>344</v>
      </c>
      <c r="AO40" s="3" t="s">
        <v>345</v>
      </c>
      <c r="AP40" s="3" t="s">
        <v>344</v>
      </c>
      <c r="AQ40" s="3" t="s">
        <v>344</v>
      </c>
      <c r="AR40" s="3" t="s">
        <v>345</v>
      </c>
      <c r="AS40" s="3" t="s">
        <v>344</v>
      </c>
      <c r="AT40" s="3" t="s">
        <v>345</v>
      </c>
      <c r="AU40" s="3" t="s">
        <v>344</v>
      </c>
      <c r="AV40" s="3" t="s">
        <v>344</v>
      </c>
      <c r="AW40" s="3" t="s">
        <v>344</v>
      </c>
      <c r="AX40" s="3" t="s">
        <v>344</v>
      </c>
      <c r="AY40" s="3"/>
      <c r="AZ40" s="3"/>
      <c r="BA40" s="3"/>
      <c r="BB40" s="3"/>
      <c r="BC40" s="3"/>
      <c r="BD40" s="3"/>
      <c r="BE40" s="3" t="s">
        <v>349</v>
      </c>
      <c r="BF40" s="3" t="s">
        <v>348</v>
      </c>
      <c r="BG40" s="3" t="s">
        <v>348</v>
      </c>
      <c r="BH40" s="3" t="s">
        <v>350</v>
      </c>
      <c r="BI40" s="3" t="s">
        <v>350</v>
      </c>
      <c r="BJ40" s="3" t="s">
        <v>353</v>
      </c>
      <c r="BK40" s="3" t="s">
        <v>354</v>
      </c>
      <c r="BL40" s="3" t="s">
        <v>357</v>
      </c>
      <c r="BM40" s="3" t="s">
        <v>356</v>
      </c>
      <c r="BN40" s="3" t="s">
        <v>352</v>
      </c>
      <c r="BO40" s="3" t="s">
        <v>356</v>
      </c>
      <c r="BP40" s="3" t="s">
        <v>355</v>
      </c>
      <c r="BQ40" s="3" t="s">
        <v>358</v>
      </c>
      <c r="BR40" s="3" t="s">
        <v>429</v>
      </c>
      <c r="BS40" s="3" t="s">
        <v>357</v>
      </c>
      <c r="BT40" s="3" t="s">
        <v>353</v>
      </c>
      <c r="BU40" s="3" t="s">
        <v>351</v>
      </c>
      <c r="BV40" s="3" t="s">
        <v>353</v>
      </c>
      <c r="BW40" s="3" t="s">
        <v>391</v>
      </c>
      <c r="BX40" s="3" t="s">
        <v>357</v>
      </c>
      <c r="BY40" s="3" t="s">
        <v>355</v>
      </c>
      <c r="BZ40" s="3" t="s">
        <v>352</v>
      </c>
      <c r="CA40" s="3" t="s">
        <v>353</v>
      </c>
      <c r="CB40" s="3" t="s">
        <v>351</v>
      </c>
      <c r="CC40" s="3" t="s">
        <v>354</v>
      </c>
      <c r="CD40" s="3" t="s">
        <v>357</v>
      </c>
      <c r="CE40" s="3" t="s">
        <v>355</v>
      </c>
      <c r="CF40" s="3" t="s">
        <v>356</v>
      </c>
      <c r="CG40" s="3" t="s">
        <v>420</v>
      </c>
      <c r="CH40" s="3" t="s">
        <v>421</v>
      </c>
      <c r="CI40" s="3" t="s">
        <v>392</v>
      </c>
      <c r="CJ40" s="3"/>
      <c r="CK40" s="3" t="s">
        <v>596</v>
      </c>
      <c r="CL40" s="3" t="s">
        <v>344</v>
      </c>
      <c r="CM40" s="3" t="s">
        <v>345</v>
      </c>
      <c r="CN40" s="3" t="s">
        <v>344</v>
      </c>
      <c r="CO40" s="3" t="s">
        <v>345</v>
      </c>
      <c r="CP40" s="3" t="s">
        <v>345</v>
      </c>
      <c r="CQ40" s="3" t="s">
        <v>344</v>
      </c>
      <c r="CR40" s="3" t="s">
        <v>362</v>
      </c>
      <c r="CS40" s="3">
        <v>80</v>
      </c>
      <c r="CT40" s="3">
        <v>100</v>
      </c>
      <c r="CU40" s="3"/>
      <c r="CV40" s="3"/>
      <c r="CW40" s="3" t="s">
        <v>363</v>
      </c>
      <c r="CX40" s="3" t="s">
        <v>395</v>
      </c>
      <c r="CY40" s="3" t="s">
        <v>363</v>
      </c>
      <c r="CZ40" s="3" t="s">
        <v>397</v>
      </c>
      <c r="DA40" s="3" t="s">
        <v>397</v>
      </c>
      <c r="DB40" s="3" t="s">
        <v>397</v>
      </c>
      <c r="DC40" s="3" t="s">
        <v>397</v>
      </c>
      <c r="DD40" s="3" t="s">
        <v>366</v>
      </c>
      <c r="DE40" s="3"/>
      <c r="DF40" s="3"/>
      <c r="DG40" s="3"/>
      <c r="DH40" s="3"/>
      <c r="DI40" s="3"/>
      <c r="DJ40" s="3"/>
      <c r="DK40" s="3" t="s">
        <v>367</v>
      </c>
      <c r="DL40" s="3" t="s">
        <v>368</v>
      </c>
      <c r="DM40" s="3" t="s">
        <v>368</v>
      </c>
      <c r="DN40" s="3" t="s">
        <v>368</v>
      </c>
      <c r="DO40" s="3" t="s">
        <v>368</v>
      </c>
      <c r="DP40" s="3" t="s">
        <v>345</v>
      </c>
      <c r="DQ40" s="3" t="s">
        <v>345</v>
      </c>
      <c r="DR40" s="3" t="s">
        <v>344</v>
      </c>
      <c r="DS40" s="3" t="s">
        <v>344</v>
      </c>
      <c r="DT40" s="3" t="s">
        <v>345</v>
      </c>
      <c r="DU40" s="3" t="s">
        <v>344</v>
      </c>
      <c r="DV40" s="3" t="s">
        <v>345</v>
      </c>
      <c r="DW40" s="3" t="s">
        <v>344</v>
      </c>
      <c r="DX40" s="3" t="s">
        <v>370</v>
      </c>
      <c r="DY40" s="3" t="s">
        <v>370</v>
      </c>
      <c r="DZ40" s="3" t="s">
        <v>370</v>
      </c>
      <c r="EA40" s="3" t="s">
        <v>370</v>
      </c>
      <c r="EB40" s="3" t="s">
        <v>370</v>
      </c>
      <c r="EC40" s="3" t="s">
        <v>370</v>
      </c>
      <c r="ED40" s="3" t="s">
        <v>370</v>
      </c>
      <c r="EE40" s="3" t="s">
        <v>369</v>
      </c>
      <c r="EF40" s="3" t="s">
        <v>399</v>
      </c>
      <c r="EG40" s="3" t="s">
        <v>399</v>
      </c>
      <c r="EH40" s="3" t="s">
        <v>399</v>
      </c>
      <c r="EI40" s="3" t="s">
        <v>369</v>
      </c>
      <c r="EJ40" s="3" t="s">
        <v>369</v>
      </c>
      <c r="EK40" s="3" t="s">
        <v>399</v>
      </c>
      <c r="EL40" s="3" t="s">
        <v>374</v>
      </c>
      <c r="EM40" s="3" t="s">
        <v>424</v>
      </c>
      <c r="EN40" s="3" t="s">
        <v>372</v>
      </c>
      <c r="EO40" s="3"/>
      <c r="EP40" s="3"/>
      <c r="EQ40" s="3" t="s">
        <v>375</v>
      </c>
      <c r="ER40" s="3" t="s">
        <v>375</v>
      </c>
      <c r="ES40" s="3" t="s">
        <v>375</v>
      </c>
      <c r="ET40" s="3" t="s">
        <v>375</v>
      </c>
      <c r="EU40" s="3" t="s">
        <v>376</v>
      </c>
      <c r="EV40" s="3" t="s">
        <v>400</v>
      </c>
      <c r="EW40" s="3"/>
      <c r="EX40" s="3" t="s">
        <v>368</v>
      </c>
      <c r="EY40" s="3" t="s">
        <v>368</v>
      </c>
      <c r="EZ40" s="3" t="s">
        <v>368</v>
      </c>
      <c r="FA40" s="3" t="s">
        <v>345</v>
      </c>
      <c r="FB40" s="3" t="s">
        <v>401</v>
      </c>
      <c r="FC40" s="3"/>
      <c r="FD40" s="3" t="s">
        <v>401</v>
      </c>
      <c r="FE40" s="3"/>
      <c r="FF40" s="3" t="s">
        <v>431</v>
      </c>
      <c r="FG40" s="3" t="s">
        <v>402</v>
      </c>
      <c r="FH40" s="3" t="s">
        <v>432</v>
      </c>
      <c r="FI40" s="3" t="s">
        <v>442</v>
      </c>
      <c r="FJ40" s="3"/>
      <c r="FK40" s="3"/>
      <c r="FL40" s="3"/>
      <c r="FM40" s="3"/>
      <c r="FN40" s="3"/>
      <c r="FO40" s="3"/>
      <c r="FP40" s="3"/>
      <c r="FQ40" s="3"/>
      <c r="FR40" s="3"/>
      <c r="FS40" s="3"/>
      <c r="FT40" s="3"/>
      <c r="FU40" s="3"/>
      <c r="FV40" s="3"/>
      <c r="FW40" s="3"/>
      <c r="FX40" s="3"/>
      <c r="FY40" s="3"/>
      <c r="FZ40" s="3"/>
      <c r="GA40" s="3" t="s">
        <v>368</v>
      </c>
      <c r="GB40" s="3" t="s">
        <v>368</v>
      </c>
      <c r="GC40" s="3" t="s">
        <v>368</v>
      </c>
      <c r="GD40" s="3" t="s">
        <v>368</v>
      </c>
      <c r="GE40" s="3" t="s">
        <v>368</v>
      </c>
      <c r="GF40" s="3" t="s">
        <v>368</v>
      </c>
      <c r="GG40" s="3"/>
      <c r="GH40" s="3"/>
      <c r="GI40" s="3"/>
      <c r="GJ40" s="3"/>
      <c r="GK40" s="3"/>
      <c r="GL40" s="3" t="s">
        <v>344</v>
      </c>
      <c r="GM40" s="3" t="s">
        <v>344</v>
      </c>
      <c r="GN40" s="3" t="s">
        <v>344</v>
      </c>
      <c r="GO40" s="3" t="s">
        <v>345</v>
      </c>
      <c r="GP40" s="3" t="s">
        <v>344</v>
      </c>
      <c r="GQ40" s="3" t="s">
        <v>344</v>
      </c>
      <c r="GR40" s="3" t="s">
        <v>344</v>
      </c>
      <c r="GS40" s="3" t="s">
        <v>344</v>
      </c>
      <c r="GT40" s="3" t="s">
        <v>344</v>
      </c>
      <c r="GU40" s="3" t="s">
        <v>344</v>
      </c>
      <c r="GV40" s="3" t="s">
        <v>345</v>
      </c>
      <c r="GW40" s="3" t="s">
        <v>345</v>
      </c>
      <c r="GX40" s="3" t="s">
        <v>344</v>
      </c>
      <c r="GY40" s="3" t="s">
        <v>344</v>
      </c>
      <c r="GZ40" s="3" t="s">
        <v>344</v>
      </c>
      <c r="HA40" s="3"/>
      <c r="HB40" s="3" t="s">
        <v>344</v>
      </c>
      <c r="HC40" s="3"/>
      <c r="HD40" s="3" t="s">
        <v>344</v>
      </c>
      <c r="HE40" s="3"/>
      <c r="HF40" s="3" t="s">
        <v>344</v>
      </c>
      <c r="HG40" s="3"/>
      <c r="HH40" s="3" t="s">
        <v>344</v>
      </c>
      <c r="HI40" s="3"/>
      <c r="HJ40" s="3" t="s">
        <v>344</v>
      </c>
      <c r="HK40" s="3" t="s">
        <v>344</v>
      </c>
      <c r="HL40" s="3" t="s">
        <v>344</v>
      </c>
      <c r="HM40" s="3" t="s">
        <v>344</v>
      </c>
      <c r="HN40" s="3" t="s">
        <v>344</v>
      </c>
      <c r="HO40" s="3" t="s">
        <v>344</v>
      </c>
      <c r="HP40" s="3" t="s">
        <v>344</v>
      </c>
      <c r="HQ40" s="3" t="s">
        <v>344</v>
      </c>
      <c r="HR40" s="3" t="s">
        <v>345</v>
      </c>
      <c r="HS40" s="3" t="s">
        <v>345</v>
      </c>
      <c r="HT40" s="3" t="s">
        <v>344</v>
      </c>
      <c r="HU40" s="3" t="s">
        <v>345</v>
      </c>
      <c r="HV40" s="3" t="s">
        <v>344</v>
      </c>
      <c r="HW40" s="3" t="s">
        <v>344</v>
      </c>
      <c r="HX40" s="3" t="s">
        <v>344</v>
      </c>
      <c r="HY40" s="3"/>
      <c r="HZ40" s="3" t="s">
        <v>344</v>
      </c>
      <c r="IA40" s="3"/>
      <c r="IB40" s="3" t="s">
        <v>344</v>
      </c>
      <c r="IC40" s="3"/>
      <c r="ID40" s="3" t="s">
        <v>344</v>
      </c>
      <c r="IE40" s="3"/>
      <c r="IF40" s="3" t="s">
        <v>344</v>
      </c>
      <c r="IG40" s="3"/>
      <c r="IH40" s="3" t="s">
        <v>345</v>
      </c>
      <c r="II40" s="3" t="s">
        <v>345</v>
      </c>
      <c r="IJ40" s="3" t="s">
        <v>345</v>
      </c>
      <c r="IK40" s="3" t="s">
        <v>344</v>
      </c>
      <c r="IL40" s="3" t="s">
        <v>345</v>
      </c>
      <c r="IM40" s="3" t="s">
        <v>344</v>
      </c>
      <c r="IN40" s="3" t="s">
        <v>344</v>
      </c>
      <c r="IO40" s="3" t="s">
        <v>345</v>
      </c>
      <c r="IP40" s="3" t="s">
        <v>344</v>
      </c>
      <c r="IQ40" s="3" t="s">
        <v>344</v>
      </c>
      <c r="IR40" s="3" t="s">
        <v>344</v>
      </c>
      <c r="IS40" s="3" t="s">
        <v>344</v>
      </c>
      <c r="IT40" s="3"/>
      <c r="IU40" s="3" t="s">
        <v>597</v>
      </c>
      <c r="IV40" s="3"/>
      <c r="IW40" s="3"/>
      <c r="IX40" s="3"/>
      <c r="IY40" s="3"/>
      <c r="IZ40" s="3"/>
      <c r="JA40" s="3"/>
      <c r="JB40" s="3"/>
      <c r="JC40" s="3"/>
      <c r="JD40" s="3"/>
      <c r="JE40" s="3"/>
      <c r="JF40" s="3"/>
      <c r="JG40" s="3"/>
      <c r="JH40" s="3"/>
    </row>
    <row r="41" spans="1:268" x14ac:dyDescent="0.3">
      <c r="A41" s="2" t="s">
        <v>338</v>
      </c>
      <c r="B41" s="3">
        <v>93</v>
      </c>
      <c r="C41" s="3" t="s">
        <v>598</v>
      </c>
      <c r="D41" s="3">
        <v>14</v>
      </c>
      <c r="E41" s="3" t="s">
        <v>387</v>
      </c>
      <c r="F41" s="3">
        <v>1093017277</v>
      </c>
      <c r="G41" s="3" t="s">
        <v>599</v>
      </c>
      <c r="H41" s="3" t="s">
        <v>598</v>
      </c>
      <c r="I41" s="3" t="s">
        <v>342</v>
      </c>
      <c r="J41" s="3">
        <v>17</v>
      </c>
      <c r="K41" s="3" t="s">
        <v>389</v>
      </c>
      <c r="L41" s="3"/>
      <c r="M41" s="3" t="s">
        <v>345</v>
      </c>
      <c r="N41" s="3" t="s">
        <v>345</v>
      </c>
      <c r="O41" s="3" t="s">
        <v>344</v>
      </c>
      <c r="P41" s="3" t="s">
        <v>344</v>
      </c>
      <c r="Q41" s="3" t="s">
        <v>344</v>
      </c>
      <c r="R41" s="3"/>
      <c r="S41" s="3" t="s">
        <v>438</v>
      </c>
      <c r="T41" s="3"/>
      <c r="U41" s="3" t="s">
        <v>428</v>
      </c>
      <c r="V41" s="3"/>
      <c r="W41" s="3" t="s">
        <v>345</v>
      </c>
      <c r="X41" s="3" t="s">
        <v>344</v>
      </c>
      <c r="Y41" s="3" t="s">
        <v>344</v>
      </c>
      <c r="Z41" s="3" t="s">
        <v>344</v>
      </c>
      <c r="AA41" s="3" t="s">
        <v>345</v>
      </c>
      <c r="AB41" s="3" t="s">
        <v>344</v>
      </c>
      <c r="AC41" s="3" t="s">
        <v>344</v>
      </c>
      <c r="AD41" s="3" t="s">
        <v>344</v>
      </c>
      <c r="AE41" s="3" t="s">
        <v>345</v>
      </c>
      <c r="AF41" s="3" t="s">
        <v>344</v>
      </c>
      <c r="AG41" s="3" t="s">
        <v>344</v>
      </c>
      <c r="AH41" s="3" t="s">
        <v>344</v>
      </c>
      <c r="AI41" s="3" t="s">
        <v>345</v>
      </c>
      <c r="AJ41" s="3" t="s">
        <v>344</v>
      </c>
      <c r="AK41" s="3" t="s">
        <v>345</v>
      </c>
      <c r="AL41" s="3" t="s">
        <v>344</v>
      </c>
      <c r="AM41" s="3" t="s">
        <v>344</v>
      </c>
      <c r="AN41" s="3" t="s">
        <v>344</v>
      </c>
      <c r="AO41" s="3" t="s">
        <v>344</v>
      </c>
      <c r="AP41" s="3" t="s">
        <v>344</v>
      </c>
      <c r="AQ41" s="3" t="s">
        <v>344</v>
      </c>
      <c r="AR41" s="3" t="s">
        <v>344</v>
      </c>
      <c r="AS41" s="3" t="s">
        <v>344</v>
      </c>
      <c r="AT41" s="3" t="s">
        <v>344</v>
      </c>
      <c r="AU41" s="3" t="s">
        <v>344</v>
      </c>
      <c r="AV41" s="3" t="s">
        <v>344</v>
      </c>
      <c r="AW41" s="3" t="s">
        <v>345</v>
      </c>
      <c r="AX41" s="3" t="s">
        <v>344</v>
      </c>
      <c r="AY41" s="3"/>
      <c r="AZ41" s="3"/>
      <c r="BA41" s="3"/>
      <c r="BB41" s="3"/>
      <c r="BC41" s="3"/>
      <c r="BD41" s="3"/>
      <c r="BE41" s="3" t="s">
        <v>390</v>
      </c>
      <c r="BF41" s="3" t="s">
        <v>350</v>
      </c>
      <c r="BG41" s="3" t="s">
        <v>390</v>
      </c>
      <c r="BH41" s="3" t="s">
        <v>349</v>
      </c>
      <c r="BI41" s="3" t="s">
        <v>348</v>
      </c>
      <c r="BJ41" s="3" t="s">
        <v>351</v>
      </c>
      <c r="BK41" s="3" t="s">
        <v>357</v>
      </c>
      <c r="BL41" s="3" t="s">
        <v>351</v>
      </c>
      <c r="BM41" s="3" t="s">
        <v>356</v>
      </c>
      <c r="BN41" s="3" t="s">
        <v>355</v>
      </c>
      <c r="BO41" s="3" t="s">
        <v>356</v>
      </c>
      <c r="BP41" s="3" t="s">
        <v>354</v>
      </c>
      <c r="BQ41" s="3" t="s">
        <v>455</v>
      </c>
      <c r="BR41" s="3" t="s">
        <v>429</v>
      </c>
      <c r="BS41" s="3" t="s">
        <v>357</v>
      </c>
      <c r="BT41" s="3" t="s">
        <v>354</v>
      </c>
      <c r="BU41" s="3" t="s">
        <v>353</v>
      </c>
      <c r="BV41" s="3" t="s">
        <v>356</v>
      </c>
      <c r="BW41" s="3" t="s">
        <v>355</v>
      </c>
      <c r="BX41" s="3" t="s">
        <v>351</v>
      </c>
      <c r="BY41" s="3" t="s">
        <v>352</v>
      </c>
      <c r="BZ41" s="3" t="s">
        <v>352</v>
      </c>
      <c r="CA41" s="3" t="s">
        <v>353</v>
      </c>
      <c r="CB41" s="3" t="s">
        <v>391</v>
      </c>
      <c r="CC41" s="3" t="s">
        <v>351</v>
      </c>
      <c r="CD41" s="3" t="s">
        <v>357</v>
      </c>
      <c r="CE41" s="3" t="s">
        <v>354</v>
      </c>
      <c r="CF41" s="3" t="s">
        <v>356</v>
      </c>
      <c r="CG41" s="3" t="s">
        <v>420</v>
      </c>
      <c r="CH41" s="3" t="s">
        <v>421</v>
      </c>
      <c r="CI41" s="3" t="s">
        <v>421</v>
      </c>
      <c r="CJ41" s="3"/>
      <c r="CK41" s="6" t="s">
        <v>600</v>
      </c>
      <c r="CL41" s="3" t="s">
        <v>344</v>
      </c>
      <c r="CM41" s="3" t="s">
        <v>344</v>
      </c>
      <c r="CN41" s="3" t="s">
        <v>344</v>
      </c>
      <c r="CO41" s="3" t="s">
        <v>345</v>
      </c>
      <c r="CP41" s="3" t="s">
        <v>345</v>
      </c>
      <c r="CQ41" s="3" t="s">
        <v>344</v>
      </c>
      <c r="CR41" s="3" t="s">
        <v>362</v>
      </c>
      <c r="CS41" s="3">
        <v>30</v>
      </c>
      <c r="CT41" s="3">
        <v>90</v>
      </c>
      <c r="CU41" s="3">
        <v>85</v>
      </c>
      <c r="CV41" s="3">
        <v>65</v>
      </c>
      <c r="CW41" s="3" t="s">
        <v>364</v>
      </c>
      <c r="CX41" s="3" t="s">
        <v>396</v>
      </c>
      <c r="CY41" s="3" t="s">
        <v>396</v>
      </c>
      <c r="CZ41" s="3"/>
      <c r="DA41" s="3"/>
      <c r="DB41" s="3"/>
      <c r="DC41" s="3"/>
      <c r="DD41" s="3"/>
      <c r="DE41" s="3" t="s">
        <v>423</v>
      </c>
      <c r="DF41" s="3" t="s">
        <v>423</v>
      </c>
      <c r="DG41" s="3" t="s">
        <v>423</v>
      </c>
      <c r="DH41" s="3" t="s">
        <v>423</v>
      </c>
      <c r="DI41" s="3" t="s">
        <v>365</v>
      </c>
      <c r="DJ41" s="3"/>
      <c r="DK41" s="3" t="s">
        <v>492</v>
      </c>
      <c r="DL41" s="3" t="s">
        <v>368</v>
      </c>
      <c r="DM41" s="3" t="s">
        <v>368</v>
      </c>
      <c r="DN41" s="3" t="s">
        <v>368</v>
      </c>
      <c r="DO41" s="3" t="s">
        <v>345</v>
      </c>
      <c r="DP41" s="3" t="s">
        <v>368</v>
      </c>
      <c r="DQ41" s="3" t="s">
        <v>368</v>
      </c>
      <c r="DR41" s="3" t="s">
        <v>368</v>
      </c>
      <c r="DS41" s="3" t="s">
        <v>345</v>
      </c>
      <c r="DT41" s="3" t="s">
        <v>344</v>
      </c>
      <c r="DU41" s="3" t="s">
        <v>344</v>
      </c>
      <c r="DV41" s="3" t="s">
        <v>345</v>
      </c>
      <c r="DW41" s="3" t="s">
        <v>344</v>
      </c>
      <c r="DX41" s="3" t="s">
        <v>370</v>
      </c>
      <c r="DY41" s="3" t="s">
        <v>370</v>
      </c>
      <c r="DZ41" s="3" t="s">
        <v>371</v>
      </c>
      <c r="EA41" s="3" t="s">
        <v>371</v>
      </c>
      <c r="EB41" s="3" t="s">
        <v>371</v>
      </c>
      <c r="EC41" s="3" t="s">
        <v>371</v>
      </c>
      <c r="ED41" s="3" t="s">
        <v>370</v>
      </c>
      <c r="EE41" s="3" t="s">
        <v>371</v>
      </c>
      <c r="EF41" s="3" t="s">
        <v>370</v>
      </c>
      <c r="EG41" s="3" t="s">
        <v>369</v>
      </c>
      <c r="EH41" s="3" t="s">
        <v>370</v>
      </c>
      <c r="EI41" s="3" t="s">
        <v>370</v>
      </c>
      <c r="EJ41" s="3" t="s">
        <v>370</v>
      </c>
      <c r="EK41" s="3" t="s">
        <v>398</v>
      </c>
      <c r="EL41" s="3" t="s">
        <v>373</v>
      </c>
      <c r="EM41" s="3" t="s">
        <v>440</v>
      </c>
      <c r="EN41" s="3" t="s">
        <v>424</v>
      </c>
      <c r="EO41" s="3"/>
      <c r="EP41" s="3"/>
      <c r="EQ41" s="3" t="s">
        <v>376</v>
      </c>
      <c r="ER41" s="3" t="s">
        <v>378</v>
      </c>
      <c r="ES41" s="3" t="s">
        <v>376</v>
      </c>
      <c r="ET41" s="3" t="s">
        <v>376</v>
      </c>
      <c r="EU41" s="3" t="s">
        <v>378</v>
      </c>
      <c r="EV41" s="3" t="s">
        <v>400</v>
      </c>
      <c r="EW41" s="3"/>
      <c r="EX41" s="3" t="s">
        <v>368</v>
      </c>
      <c r="EY41" s="3" t="s">
        <v>368</v>
      </c>
      <c r="EZ41" s="3" t="s">
        <v>368</v>
      </c>
      <c r="FA41" s="3" t="s">
        <v>345</v>
      </c>
      <c r="FB41" s="3" t="s">
        <v>401</v>
      </c>
      <c r="FC41" s="3"/>
      <c r="FD41" s="3" t="s">
        <v>401</v>
      </c>
      <c r="FE41" s="3"/>
      <c r="FF41" s="3" t="s">
        <v>412</v>
      </c>
      <c r="FG41" s="3" t="s">
        <v>383</v>
      </c>
      <c r="FH41" s="3" t="s">
        <v>384</v>
      </c>
      <c r="FI41" s="3" t="s">
        <v>385</v>
      </c>
      <c r="FJ41" s="3"/>
      <c r="FK41" s="3"/>
      <c r="FL41" s="3"/>
      <c r="FM41" s="3"/>
      <c r="FN41" s="3"/>
      <c r="FO41" s="3"/>
      <c r="FP41" s="3"/>
      <c r="FQ41" s="3"/>
      <c r="FR41" s="3"/>
      <c r="FS41" s="3"/>
      <c r="FT41" s="3"/>
      <c r="FU41" s="3"/>
      <c r="FV41" s="3"/>
      <c r="FW41" s="3"/>
      <c r="FX41" s="3"/>
      <c r="FY41" s="3"/>
      <c r="FZ41" s="3"/>
      <c r="GA41" s="3" t="s">
        <v>368</v>
      </c>
      <c r="GB41" s="3" t="s">
        <v>368</v>
      </c>
      <c r="GC41" s="3" t="s">
        <v>368</v>
      </c>
      <c r="GD41" s="3" t="s">
        <v>368</v>
      </c>
      <c r="GE41" s="3" t="s">
        <v>368</v>
      </c>
      <c r="GF41" s="3" t="s">
        <v>368</v>
      </c>
      <c r="GG41" s="3"/>
      <c r="GH41" s="3"/>
      <c r="GI41" s="3"/>
      <c r="GJ41" s="3"/>
      <c r="GK41" s="3"/>
      <c r="GL41" s="3" t="s">
        <v>344</v>
      </c>
      <c r="GM41" s="3" t="s">
        <v>344</v>
      </c>
      <c r="GN41" s="3" t="s">
        <v>345</v>
      </c>
      <c r="GO41" s="3" t="s">
        <v>344</v>
      </c>
      <c r="GP41" s="3" t="s">
        <v>344</v>
      </c>
      <c r="GQ41" s="3" t="s">
        <v>344</v>
      </c>
      <c r="GR41" s="3" t="s">
        <v>344</v>
      </c>
      <c r="GS41" s="3" t="s">
        <v>344</v>
      </c>
      <c r="GT41" s="3" t="s">
        <v>344</v>
      </c>
      <c r="GU41" s="3" t="s">
        <v>344</v>
      </c>
      <c r="GV41" s="3" t="s">
        <v>344</v>
      </c>
      <c r="GW41" s="3" t="s">
        <v>344</v>
      </c>
      <c r="GX41" s="3" t="s">
        <v>344</v>
      </c>
      <c r="GY41" s="3" t="s">
        <v>345</v>
      </c>
      <c r="GZ41" s="3" t="s">
        <v>344</v>
      </c>
      <c r="HA41" s="3"/>
      <c r="HB41" s="3" t="s">
        <v>344</v>
      </c>
      <c r="HC41" s="3"/>
      <c r="HD41" s="3" t="s">
        <v>344</v>
      </c>
      <c r="HE41" s="3"/>
      <c r="HF41" s="3" t="s">
        <v>344</v>
      </c>
      <c r="HG41" s="3"/>
      <c r="HH41" s="3" t="s">
        <v>344</v>
      </c>
      <c r="HI41" s="3"/>
      <c r="HJ41" s="3" t="s">
        <v>344</v>
      </c>
      <c r="HK41" s="3" t="s">
        <v>344</v>
      </c>
      <c r="HL41" s="3" t="s">
        <v>344</v>
      </c>
      <c r="HM41" s="3" t="s">
        <v>345</v>
      </c>
      <c r="HN41" s="3" t="s">
        <v>344</v>
      </c>
      <c r="HO41" s="3" t="s">
        <v>344</v>
      </c>
      <c r="HP41" s="3" t="s">
        <v>345</v>
      </c>
      <c r="HQ41" s="3" t="s">
        <v>344</v>
      </c>
      <c r="HR41" s="3" t="s">
        <v>344</v>
      </c>
      <c r="HS41" s="3" t="s">
        <v>344</v>
      </c>
      <c r="HT41" s="3" t="s">
        <v>344</v>
      </c>
      <c r="HU41" s="3" t="s">
        <v>345</v>
      </c>
      <c r="HV41" s="3" t="s">
        <v>345</v>
      </c>
      <c r="HW41" s="3" t="s">
        <v>344</v>
      </c>
      <c r="HX41" s="3" t="s">
        <v>344</v>
      </c>
      <c r="HY41" s="3"/>
      <c r="HZ41" s="3" t="s">
        <v>344</v>
      </c>
      <c r="IA41" s="3"/>
      <c r="IB41" s="3" t="s">
        <v>344</v>
      </c>
      <c r="IC41" s="3"/>
      <c r="ID41" s="3" t="s">
        <v>344</v>
      </c>
      <c r="IE41" s="3"/>
      <c r="IF41" s="3" t="s">
        <v>344</v>
      </c>
      <c r="IG41" s="3"/>
      <c r="IH41" s="3" t="s">
        <v>345</v>
      </c>
      <c r="II41" s="3" t="s">
        <v>345</v>
      </c>
      <c r="IJ41" s="3" t="s">
        <v>344</v>
      </c>
      <c r="IK41" s="3" t="s">
        <v>345</v>
      </c>
      <c r="IL41" s="3" t="s">
        <v>344</v>
      </c>
      <c r="IM41" s="3" t="s">
        <v>345</v>
      </c>
      <c r="IN41" s="3" t="s">
        <v>344</v>
      </c>
      <c r="IO41" s="3" t="s">
        <v>345</v>
      </c>
      <c r="IP41" s="3" t="s">
        <v>344</v>
      </c>
      <c r="IQ41" s="3" t="s">
        <v>344</v>
      </c>
      <c r="IR41" s="3" t="s">
        <v>344</v>
      </c>
      <c r="IS41" s="3" t="s">
        <v>344</v>
      </c>
      <c r="IT41" s="3"/>
      <c r="IU41" s="3"/>
      <c r="IV41" s="3"/>
      <c r="IW41" s="3"/>
      <c r="IX41" s="3"/>
      <c r="IY41" s="3"/>
      <c r="IZ41" s="3"/>
      <c r="JA41" s="3"/>
      <c r="JB41" s="3"/>
      <c r="JC41" s="3"/>
      <c r="JD41" s="3"/>
      <c r="JE41" s="3"/>
      <c r="JF41" s="3"/>
      <c r="JG41" s="3"/>
      <c r="JH41" s="3"/>
    </row>
    <row r="42" spans="1:268" x14ac:dyDescent="0.3">
      <c r="A42" s="2" t="s">
        <v>338</v>
      </c>
      <c r="B42" s="3">
        <v>94</v>
      </c>
      <c r="C42" s="3" t="s">
        <v>601</v>
      </c>
      <c r="D42" s="3">
        <v>14</v>
      </c>
      <c r="E42" s="3" t="s">
        <v>340</v>
      </c>
      <c r="F42" s="3">
        <v>1611843301</v>
      </c>
      <c r="G42" s="3" t="s">
        <v>602</v>
      </c>
      <c r="H42" s="3" t="s">
        <v>601</v>
      </c>
      <c r="I42" s="3" t="s">
        <v>469</v>
      </c>
      <c r="J42" s="3">
        <v>18</v>
      </c>
      <c r="K42" s="3" t="s">
        <v>389</v>
      </c>
      <c r="L42" s="3"/>
      <c r="M42" s="3" t="s">
        <v>344</v>
      </c>
      <c r="N42" s="3" t="s">
        <v>345</v>
      </c>
      <c r="O42" s="3" t="s">
        <v>344</v>
      </c>
      <c r="P42" s="3" t="s">
        <v>344</v>
      </c>
      <c r="Q42" s="3" t="s">
        <v>344</v>
      </c>
      <c r="R42" s="3"/>
      <c r="S42" s="3" t="s">
        <v>346</v>
      </c>
      <c r="T42" s="3"/>
      <c r="U42" s="3" t="s">
        <v>347</v>
      </c>
      <c r="V42" s="3"/>
      <c r="W42" s="3" t="s">
        <v>368</v>
      </c>
      <c r="X42" s="3" t="s">
        <v>368</v>
      </c>
      <c r="Y42" s="3" t="s">
        <v>368</v>
      </c>
      <c r="Z42" s="3" t="s">
        <v>368</v>
      </c>
      <c r="AA42" s="3" t="s">
        <v>368</v>
      </c>
      <c r="AB42" s="3" t="s">
        <v>368</v>
      </c>
      <c r="AC42" s="3" t="s">
        <v>345</v>
      </c>
      <c r="AD42" s="3" t="s">
        <v>368</v>
      </c>
      <c r="AE42" s="3" t="s">
        <v>368</v>
      </c>
      <c r="AF42" s="3" t="s">
        <v>368</v>
      </c>
      <c r="AG42" s="3" t="s">
        <v>368</v>
      </c>
      <c r="AH42" s="3" t="s">
        <v>368</v>
      </c>
      <c r="AI42" s="3" t="s">
        <v>368</v>
      </c>
      <c r="AJ42" s="3" t="s">
        <v>345</v>
      </c>
      <c r="AK42" s="3" t="s">
        <v>368</v>
      </c>
      <c r="AL42" s="3" t="s">
        <v>368</v>
      </c>
      <c r="AM42" s="3" t="s">
        <v>368</v>
      </c>
      <c r="AN42" s="3" t="s">
        <v>368</v>
      </c>
      <c r="AO42" s="3" t="s">
        <v>368</v>
      </c>
      <c r="AP42" s="3" t="s">
        <v>368</v>
      </c>
      <c r="AQ42" s="3" t="s">
        <v>345</v>
      </c>
      <c r="AR42" s="3" t="s">
        <v>368</v>
      </c>
      <c r="AS42" s="3" t="s">
        <v>368</v>
      </c>
      <c r="AT42" s="3" t="s">
        <v>368</v>
      </c>
      <c r="AU42" s="3" t="s">
        <v>368</v>
      </c>
      <c r="AV42" s="3" t="s">
        <v>368</v>
      </c>
      <c r="AW42" s="3" t="s">
        <v>368</v>
      </c>
      <c r="AX42" s="3" t="s">
        <v>345</v>
      </c>
      <c r="AY42" s="3"/>
      <c r="AZ42" s="3"/>
      <c r="BA42" s="3"/>
      <c r="BB42" s="3"/>
      <c r="BC42" s="3"/>
      <c r="BD42" s="3"/>
      <c r="BE42" s="3" t="s">
        <v>390</v>
      </c>
      <c r="BF42" s="3" t="s">
        <v>390</v>
      </c>
      <c r="BG42" s="3" t="s">
        <v>390</v>
      </c>
      <c r="BH42" s="3" t="s">
        <v>390</v>
      </c>
      <c r="BI42" s="3" t="s">
        <v>349</v>
      </c>
      <c r="BJ42" s="3" t="s">
        <v>391</v>
      </c>
      <c r="BK42" s="3" t="s">
        <v>391</v>
      </c>
      <c r="BL42" s="3" t="s">
        <v>391</v>
      </c>
      <c r="BM42" s="3" t="s">
        <v>391</v>
      </c>
      <c r="BN42" s="3" t="s">
        <v>391</v>
      </c>
      <c r="BO42" s="3" t="s">
        <v>391</v>
      </c>
      <c r="BP42" s="3" t="s">
        <v>391</v>
      </c>
      <c r="BQ42" s="3" t="s">
        <v>407</v>
      </c>
      <c r="BR42" s="3" t="s">
        <v>367</v>
      </c>
      <c r="BS42" s="3" t="s">
        <v>391</v>
      </c>
      <c r="BT42" s="3" t="s">
        <v>391</v>
      </c>
      <c r="BU42" s="3" t="s">
        <v>391</v>
      </c>
      <c r="BV42" s="3" t="s">
        <v>391</v>
      </c>
      <c r="BW42" s="3" t="s">
        <v>391</v>
      </c>
      <c r="BX42" s="3" t="s">
        <v>391</v>
      </c>
      <c r="BY42" s="3" t="s">
        <v>391</v>
      </c>
      <c r="BZ42" s="3" t="s">
        <v>391</v>
      </c>
      <c r="CA42" s="3" t="s">
        <v>391</v>
      </c>
      <c r="CB42" s="3" t="s">
        <v>391</v>
      </c>
      <c r="CC42" s="3" t="s">
        <v>391</v>
      </c>
      <c r="CD42" s="3" t="s">
        <v>391</v>
      </c>
      <c r="CE42" s="3" t="s">
        <v>391</v>
      </c>
      <c r="CF42" s="3" t="s">
        <v>391</v>
      </c>
      <c r="CG42" s="3" t="s">
        <v>420</v>
      </c>
      <c r="CH42" s="3" t="s">
        <v>421</v>
      </c>
      <c r="CI42" s="3" t="s">
        <v>421</v>
      </c>
      <c r="CJ42" s="3"/>
      <c r="CK42" s="3" t="s">
        <v>603</v>
      </c>
      <c r="CL42" s="3" t="s">
        <v>344</v>
      </c>
      <c r="CM42" s="3" t="s">
        <v>344</v>
      </c>
      <c r="CN42" s="3" t="s">
        <v>344</v>
      </c>
      <c r="CO42" s="3" t="s">
        <v>344</v>
      </c>
      <c r="CP42" s="3" t="s">
        <v>345</v>
      </c>
      <c r="CQ42" s="3" t="s">
        <v>344</v>
      </c>
      <c r="CR42" s="3" t="s">
        <v>362</v>
      </c>
      <c r="CS42" s="3">
        <v>50</v>
      </c>
      <c r="CT42" s="3">
        <v>1</v>
      </c>
      <c r="CU42" s="3">
        <v>100</v>
      </c>
      <c r="CV42" s="3">
        <v>1</v>
      </c>
      <c r="CW42" s="3" t="s">
        <v>363</v>
      </c>
      <c r="CX42" s="3" t="s">
        <v>396</v>
      </c>
      <c r="CY42" s="3" t="s">
        <v>396</v>
      </c>
      <c r="CZ42" s="3"/>
      <c r="DA42" s="3"/>
      <c r="DB42" s="3"/>
      <c r="DC42" s="3"/>
      <c r="DD42" s="3"/>
      <c r="DE42" s="3" t="s">
        <v>397</v>
      </c>
      <c r="DF42" s="3" t="s">
        <v>365</v>
      </c>
      <c r="DG42" s="3" t="s">
        <v>366</v>
      </c>
      <c r="DH42" s="3" t="s">
        <v>397</v>
      </c>
      <c r="DI42" s="3" t="s">
        <v>366</v>
      </c>
      <c r="DJ42" s="3"/>
      <c r="DK42" s="3" t="s">
        <v>367</v>
      </c>
      <c r="DL42" s="3" t="s">
        <v>368</v>
      </c>
      <c r="DM42" s="3" t="s">
        <v>368</v>
      </c>
      <c r="DN42" s="3" t="s">
        <v>368</v>
      </c>
      <c r="DO42" s="3" t="s">
        <v>368</v>
      </c>
      <c r="DP42" s="3" t="s">
        <v>368</v>
      </c>
      <c r="DQ42" s="3" t="s">
        <v>368</v>
      </c>
      <c r="DR42" s="3" t="s">
        <v>368</v>
      </c>
      <c r="DS42" s="3" t="s">
        <v>345</v>
      </c>
      <c r="DT42" s="3" t="s">
        <v>345</v>
      </c>
      <c r="DU42" s="3" t="s">
        <v>344</v>
      </c>
      <c r="DV42" s="3" t="s">
        <v>344</v>
      </c>
      <c r="DW42" s="3" t="s">
        <v>344</v>
      </c>
      <c r="DX42" s="3" t="s">
        <v>369</v>
      </c>
      <c r="DY42" s="3" t="s">
        <v>370</v>
      </c>
      <c r="DZ42" s="3" t="s">
        <v>370</v>
      </c>
      <c r="EA42" s="3" t="s">
        <v>369</v>
      </c>
      <c r="EB42" s="3" t="s">
        <v>370</v>
      </c>
      <c r="EC42" s="3" t="s">
        <v>369</v>
      </c>
      <c r="ED42" s="3" t="s">
        <v>370</v>
      </c>
      <c r="EE42" s="3" t="s">
        <v>370</v>
      </c>
      <c r="EF42" s="3" t="s">
        <v>370</v>
      </c>
      <c r="EG42" s="3" t="s">
        <v>399</v>
      </c>
      <c r="EH42" s="3" t="s">
        <v>370</v>
      </c>
      <c r="EI42" s="3" t="s">
        <v>370</v>
      </c>
      <c r="EJ42" s="3" t="s">
        <v>370</v>
      </c>
      <c r="EK42" s="3" t="s">
        <v>370</v>
      </c>
      <c r="EL42" s="3" t="s">
        <v>372</v>
      </c>
      <c r="EM42" s="3" t="s">
        <v>373</v>
      </c>
      <c r="EN42" s="3" t="s">
        <v>374</v>
      </c>
      <c r="EO42" s="3"/>
      <c r="EP42" s="3"/>
      <c r="EQ42" s="3" t="s">
        <v>376</v>
      </c>
      <c r="ER42" s="3" t="s">
        <v>378</v>
      </c>
      <c r="ES42" s="3" t="s">
        <v>376</v>
      </c>
      <c r="ET42" s="3" t="s">
        <v>391</v>
      </c>
      <c r="EU42" s="3" t="s">
        <v>378</v>
      </c>
      <c r="EV42" s="3" t="s">
        <v>400</v>
      </c>
      <c r="EW42" s="3"/>
      <c r="EX42" s="158" t="s">
        <v>344</v>
      </c>
      <c r="EY42" s="158" t="s">
        <v>345</v>
      </c>
      <c r="EZ42" s="158" t="s">
        <v>344</v>
      </c>
      <c r="FA42" s="3" t="s">
        <v>344</v>
      </c>
      <c r="FB42" s="3" t="s">
        <v>380</v>
      </c>
      <c r="FC42" s="3"/>
      <c r="FD42" s="3" t="s">
        <v>401</v>
      </c>
      <c r="FE42" s="3"/>
      <c r="FF42" s="3" t="s">
        <v>382</v>
      </c>
      <c r="FG42" s="3" t="s">
        <v>383</v>
      </c>
      <c r="FH42" s="3" t="s">
        <v>384</v>
      </c>
      <c r="FI42" s="3" t="s">
        <v>403</v>
      </c>
      <c r="FJ42" s="3"/>
      <c r="FK42" s="3"/>
      <c r="FL42" s="3"/>
      <c r="FM42" s="3"/>
      <c r="FN42" s="3"/>
      <c r="FO42" s="3"/>
      <c r="FP42" s="3"/>
      <c r="FQ42" s="3"/>
      <c r="FR42" s="3"/>
      <c r="FS42" s="3"/>
      <c r="FT42" s="3"/>
      <c r="FU42" s="3"/>
      <c r="FV42" s="3"/>
      <c r="FW42" s="3"/>
      <c r="FX42" s="3"/>
      <c r="FY42" s="3"/>
      <c r="FZ42" s="3"/>
      <c r="GA42" s="3" t="s">
        <v>368</v>
      </c>
      <c r="GB42" s="3" t="s">
        <v>368</v>
      </c>
      <c r="GC42" s="3" t="s">
        <v>368</v>
      </c>
      <c r="GD42" s="3" t="s">
        <v>368</v>
      </c>
      <c r="GE42" s="3" t="s">
        <v>368</v>
      </c>
      <c r="GF42" s="3" t="s">
        <v>368</v>
      </c>
      <c r="GG42" s="3"/>
      <c r="GH42" s="3"/>
      <c r="GI42" s="3"/>
      <c r="GJ42" s="3"/>
      <c r="GK42" s="3"/>
      <c r="GL42" s="3" t="s">
        <v>344</v>
      </c>
      <c r="GM42" s="3" t="s">
        <v>344</v>
      </c>
      <c r="GN42" s="3" t="s">
        <v>344</v>
      </c>
      <c r="GO42" s="3" t="s">
        <v>344</v>
      </c>
      <c r="GP42" s="3" t="s">
        <v>344</v>
      </c>
      <c r="GQ42" s="3" t="s">
        <v>344</v>
      </c>
      <c r="GR42" s="3" t="s">
        <v>344</v>
      </c>
      <c r="GS42" s="3" t="s">
        <v>344</v>
      </c>
      <c r="GT42" s="3" t="s">
        <v>344</v>
      </c>
      <c r="GU42" s="3" t="s">
        <v>344</v>
      </c>
      <c r="GV42" s="3" t="s">
        <v>344</v>
      </c>
      <c r="GW42" s="3" t="s">
        <v>344</v>
      </c>
      <c r="GX42" s="3" t="s">
        <v>344</v>
      </c>
      <c r="GY42" s="3" t="s">
        <v>344</v>
      </c>
      <c r="GZ42" s="3" t="s">
        <v>345</v>
      </c>
      <c r="HA42" s="3"/>
      <c r="HB42" s="3" t="s">
        <v>344</v>
      </c>
      <c r="HC42" s="3"/>
      <c r="HD42" s="3" t="s">
        <v>344</v>
      </c>
      <c r="HE42" s="3"/>
      <c r="HF42" s="3" t="s">
        <v>345</v>
      </c>
      <c r="HG42" s="3"/>
      <c r="HH42" s="3" t="s">
        <v>344</v>
      </c>
      <c r="HI42" s="3"/>
      <c r="HJ42" s="3" t="s">
        <v>344</v>
      </c>
      <c r="HK42" s="3" t="s">
        <v>344</v>
      </c>
      <c r="HL42" s="3" t="s">
        <v>344</v>
      </c>
      <c r="HM42" s="3" t="s">
        <v>344</v>
      </c>
      <c r="HN42" s="3" t="s">
        <v>344</v>
      </c>
      <c r="HO42" s="3" t="s">
        <v>344</v>
      </c>
      <c r="HP42" s="3" t="s">
        <v>344</v>
      </c>
      <c r="HQ42" s="3" t="s">
        <v>344</v>
      </c>
      <c r="HR42" s="3" t="s">
        <v>344</v>
      </c>
      <c r="HS42" s="3" t="s">
        <v>344</v>
      </c>
      <c r="HT42" s="3" t="s">
        <v>344</v>
      </c>
      <c r="HU42" s="3" t="s">
        <v>344</v>
      </c>
      <c r="HV42" s="3" t="s">
        <v>344</v>
      </c>
      <c r="HW42" s="3" t="s">
        <v>344</v>
      </c>
      <c r="HX42" s="3" t="s">
        <v>345</v>
      </c>
      <c r="HY42" s="3"/>
      <c r="HZ42" s="3" t="s">
        <v>344</v>
      </c>
      <c r="IA42" s="3"/>
      <c r="IB42" s="3" t="s">
        <v>344</v>
      </c>
      <c r="IC42" s="3"/>
      <c r="ID42" s="3" t="s">
        <v>345</v>
      </c>
      <c r="IE42" s="3"/>
      <c r="IF42" s="3" t="s">
        <v>344</v>
      </c>
      <c r="IG42" s="3"/>
      <c r="IH42" s="3" t="s">
        <v>344</v>
      </c>
      <c r="II42" s="3" t="s">
        <v>344</v>
      </c>
      <c r="IJ42" s="3" t="s">
        <v>344</v>
      </c>
      <c r="IK42" s="3" t="s">
        <v>344</v>
      </c>
      <c r="IL42" s="3" t="s">
        <v>345</v>
      </c>
      <c r="IM42" s="3" t="s">
        <v>344</v>
      </c>
      <c r="IN42" s="3" t="s">
        <v>344</v>
      </c>
      <c r="IO42" s="3" t="s">
        <v>345</v>
      </c>
      <c r="IP42" s="3" t="s">
        <v>344</v>
      </c>
      <c r="IQ42" s="3" t="s">
        <v>344</v>
      </c>
      <c r="IR42" s="3" t="s">
        <v>344</v>
      </c>
      <c r="IS42" s="3" t="s">
        <v>344</v>
      </c>
      <c r="IT42" s="3"/>
      <c r="IU42" s="3"/>
      <c r="IV42" s="3"/>
      <c r="IW42" s="3"/>
      <c r="IX42" s="3"/>
      <c r="IY42" s="3"/>
      <c r="IZ42" s="3"/>
      <c r="JA42" s="3"/>
      <c r="JB42" s="3"/>
      <c r="JC42" s="3"/>
      <c r="JD42" s="3"/>
      <c r="JE42" s="3"/>
      <c r="JF42" s="3"/>
      <c r="JG42" s="3"/>
      <c r="JH42" s="3"/>
    </row>
    <row r="43" spans="1:268" x14ac:dyDescent="0.3">
      <c r="A43" s="2" t="s">
        <v>338</v>
      </c>
      <c r="B43" s="3">
        <v>95</v>
      </c>
      <c r="C43" s="3" t="s">
        <v>604</v>
      </c>
      <c r="D43" s="3">
        <v>14</v>
      </c>
      <c r="E43" s="3" t="s">
        <v>387</v>
      </c>
      <c r="F43" s="3">
        <v>1903913421</v>
      </c>
      <c r="G43" s="3" t="s">
        <v>605</v>
      </c>
      <c r="H43" s="3" t="s">
        <v>604</v>
      </c>
      <c r="I43" s="3" t="s">
        <v>342</v>
      </c>
      <c r="J43" s="3">
        <v>17</v>
      </c>
      <c r="K43" s="3" t="s">
        <v>406</v>
      </c>
      <c r="L43" s="3"/>
      <c r="M43" s="3" t="s">
        <v>345</v>
      </c>
      <c r="N43" s="3" t="s">
        <v>344</v>
      </c>
      <c r="O43" s="3" t="s">
        <v>344</v>
      </c>
      <c r="P43" s="3" t="s">
        <v>344</v>
      </c>
      <c r="Q43" s="3" t="s">
        <v>344</v>
      </c>
      <c r="R43" s="3"/>
      <c r="S43" s="3" t="s">
        <v>346</v>
      </c>
      <c r="T43" s="3"/>
      <c r="U43" s="3" t="s">
        <v>347</v>
      </c>
      <c r="V43" s="3"/>
      <c r="W43" s="3" t="s">
        <v>345</v>
      </c>
      <c r="X43" s="3" t="s">
        <v>344</v>
      </c>
      <c r="Y43" s="3" t="s">
        <v>344</v>
      </c>
      <c r="Z43" s="3" t="s">
        <v>344</v>
      </c>
      <c r="AA43" s="3" t="s">
        <v>344</v>
      </c>
      <c r="AB43" s="3" t="s">
        <v>344</v>
      </c>
      <c r="AC43" s="3" t="s">
        <v>344</v>
      </c>
      <c r="AD43" s="3" t="s">
        <v>368</v>
      </c>
      <c r="AE43" s="3" t="s">
        <v>368</v>
      </c>
      <c r="AF43" s="3" t="s">
        <v>368</v>
      </c>
      <c r="AG43" s="3" t="s">
        <v>368</v>
      </c>
      <c r="AH43" s="3" t="s">
        <v>368</v>
      </c>
      <c r="AI43" s="3" t="s">
        <v>368</v>
      </c>
      <c r="AJ43" s="3" t="s">
        <v>345</v>
      </c>
      <c r="AK43" s="3" t="s">
        <v>368</v>
      </c>
      <c r="AL43" s="3" t="s">
        <v>368</v>
      </c>
      <c r="AM43" s="3" t="s">
        <v>368</v>
      </c>
      <c r="AN43" s="3" t="s">
        <v>368</v>
      </c>
      <c r="AO43" s="3" t="s">
        <v>368</v>
      </c>
      <c r="AP43" s="3" t="s">
        <v>368</v>
      </c>
      <c r="AQ43" s="3" t="s">
        <v>345</v>
      </c>
      <c r="AR43" s="3" t="s">
        <v>368</v>
      </c>
      <c r="AS43" s="3" t="s">
        <v>368</v>
      </c>
      <c r="AT43" s="3" t="s">
        <v>368</v>
      </c>
      <c r="AU43" s="3" t="s">
        <v>368</v>
      </c>
      <c r="AV43" s="3" t="s">
        <v>368</v>
      </c>
      <c r="AW43" s="3" t="s">
        <v>368</v>
      </c>
      <c r="AX43" s="3" t="s">
        <v>345</v>
      </c>
      <c r="AY43" s="3"/>
      <c r="AZ43" s="3"/>
      <c r="BA43" s="3"/>
      <c r="BB43" s="3"/>
      <c r="BC43" s="3"/>
      <c r="BD43" s="3"/>
      <c r="BE43" s="3" t="s">
        <v>350</v>
      </c>
      <c r="BF43" s="3" t="s">
        <v>390</v>
      </c>
      <c r="BG43" s="3" t="s">
        <v>349</v>
      </c>
      <c r="BH43" s="3" t="s">
        <v>390</v>
      </c>
      <c r="BI43" s="3" t="s">
        <v>350</v>
      </c>
      <c r="BJ43" s="3" t="s">
        <v>391</v>
      </c>
      <c r="BK43" s="3" t="s">
        <v>391</v>
      </c>
      <c r="BL43" s="3" t="s">
        <v>391</v>
      </c>
      <c r="BM43" s="3" t="s">
        <v>391</v>
      </c>
      <c r="BN43" s="3" t="s">
        <v>391</v>
      </c>
      <c r="BO43" s="3" t="s">
        <v>391</v>
      </c>
      <c r="BP43" s="3" t="s">
        <v>391</v>
      </c>
      <c r="BQ43" s="3" t="s">
        <v>358</v>
      </c>
      <c r="BR43" s="3" t="s">
        <v>367</v>
      </c>
      <c r="BS43" s="3" t="s">
        <v>391</v>
      </c>
      <c r="BT43" s="3" t="s">
        <v>391</v>
      </c>
      <c r="BU43" s="3" t="s">
        <v>391</v>
      </c>
      <c r="BV43" s="3" t="s">
        <v>391</v>
      </c>
      <c r="BW43" s="3" t="s">
        <v>391</v>
      </c>
      <c r="BX43" s="3" t="s">
        <v>391</v>
      </c>
      <c r="BY43" s="3" t="s">
        <v>391</v>
      </c>
      <c r="BZ43" s="3" t="s">
        <v>391</v>
      </c>
      <c r="CA43" s="3" t="s">
        <v>391</v>
      </c>
      <c r="CB43" s="3" t="s">
        <v>391</v>
      </c>
      <c r="CC43" s="3" t="s">
        <v>391</v>
      </c>
      <c r="CD43" s="3" t="s">
        <v>391</v>
      </c>
      <c r="CE43" s="3" t="s">
        <v>391</v>
      </c>
      <c r="CF43" s="3" t="s">
        <v>391</v>
      </c>
      <c r="CG43" s="3" t="s">
        <v>421</v>
      </c>
      <c r="CH43" s="3" t="s">
        <v>421</v>
      </c>
      <c r="CI43" s="3" t="s">
        <v>420</v>
      </c>
      <c r="CJ43" s="3"/>
      <c r="CK43" s="3" t="s">
        <v>606</v>
      </c>
      <c r="CL43" s="3" t="s">
        <v>344</v>
      </c>
      <c r="CM43" s="3" t="s">
        <v>345</v>
      </c>
      <c r="CN43" s="3" t="s">
        <v>344</v>
      </c>
      <c r="CO43" s="3" t="s">
        <v>344</v>
      </c>
      <c r="CP43" s="3" t="s">
        <v>345</v>
      </c>
      <c r="CQ43" s="3" t="s">
        <v>344</v>
      </c>
      <c r="CR43" s="3" t="s">
        <v>394</v>
      </c>
      <c r="CS43" s="3">
        <v>100</v>
      </c>
      <c r="CT43" s="3">
        <v>1</v>
      </c>
      <c r="CU43" s="3"/>
      <c r="CV43" s="3"/>
      <c r="CW43" s="3" t="s">
        <v>364</v>
      </c>
      <c r="CX43" s="3" t="s">
        <v>396</v>
      </c>
      <c r="CY43" s="3" t="s">
        <v>395</v>
      </c>
      <c r="CZ43" s="3" t="s">
        <v>397</v>
      </c>
      <c r="DA43" s="3" t="s">
        <v>423</v>
      </c>
      <c r="DB43" s="3" t="s">
        <v>423</v>
      </c>
      <c r="DC43" s="3" t="s">
        <v>423</v>
      </c>
      <c r="DD43" s="3" t="s">
        <v>423</v>
      </c>
      <c r="DE43" s="3"/>
      <c r="DF43" s="3"/>
      <c r="DG43" s="3"/>
      <c r="DH43" s="3"/>
      <c r="DI43" s="3"/>
      <c r="DJ43" s="3"/>
      <c r="DK43" s="3" t="s">
        <v>367</v>
      </c>
      <c r="DL43" s="3" t="s">
        <v>368</v>
      </c>
      <c r="DM43" s="3" t="s">
        <v>368</v>
      </c>
      <c r="DN43" s="3" t="s">
        <v>368</v>
      </c>
      <c r="DO43" s="3" t="s">
        <v>368</v>
      </c>
      <c r="DP43" s="3" t="s">
        <v>368</v>
      </c>
      <c r="DQ43" s="3" t="s">
        <v>368</v>
      </c>
      <c r="DR43" s="3" t="s">
        <v>368</v>
      </c>
      <c r="DS43" s="3" t="s">
        <v>345</v>
      </c>
      <c r="DT43" s="3" t="s">
        <v>368</v>
      </c>
      <c r="DU43" s="3" t="s">
        <v>368</v>
      </c>
      <c r="DV43" s="3" t="s">
        <v>368</v>
      </c>
      <c r="DW43" s="3" t="s">
        <v>345</v>
      </c>
      <c r="DX43" s="3" t="s">
        <v>370</v>
      </c>
      <c r="DY43" s="3" t="s">
        <v>370</v>
      </c>
      <c r="DZ43" s="3" t="s">
        <v>370</v>
      </c>
      <c r="EA43" s="3" t="s">
        <v>370</v>
      </c>
      <c r="EB43" s="3" t="s">
        <v>370</v>
      </c>
      <c r="EC43" s="3" t="s">
        <v>370</v>
      </c>
      <c r="ED43" s="3" t="s">
        <v>370</v>
      </c>
      <c r="EE43" s="3" t="s">
        <v>369</v>
      </c>
      <c r="EF43" s="3" t="s">
        <v>369</v>
      </c>
      <c r="EG43" s="3" t="s">
        <v>369</v>
      </c>
      <c r="EH43" s="3" t="s">
        <v>369</v>
      </c>
      <c r="EI43" s="3" t="s">
        <v>369</v>
      </c>
      <c r="EJ43" s="3" t="s">
        <v>369</v>
      </c>
      <c r="EK43" s="3" t="s">
        <v>369</v>
      </c>
      <c r="EL43" s="3" t="s">
        <v>373</v>
      </c>
      <c r="EM43" s="3" t="s">
        <v>424</v>
      </c>
      <c r="EN43" s="3" t="s">
        <v>372</v>
      </c>
      <c r="EO43" s="3"/>
      <c r="EP43" s="3"/>
      <c r="EQ43" s="3" t="s">
        <v>376</v>
      </c>
      <c r="ER43" s="3" t="s">
        <v>378</v>
      </c>
      <c r="ES43" s="3" t="s">
        <v>377</v>
      </c>
      <c r="ET43" s="3" t="s">
        <v>377</v>
      </c>
      <c r="EU43" s="3" t="s">
        <v>377</v>
      </c>
      <c r="EV43" s="3" t="s">
        <v>400</v>
      </c>
      <c r="EW43" s="3"/>
      <c r="EX43" s="3" t="s">
        <v>368</v>
      </c>
      <c r="EY43" s="3" t="s">
        <v>368</v>
      </c>
      <c r="EZ43" s="3" t="s">
        <v>368</v>
      </c>
      <c r="FA43" s="3" t="s">
        <v>345</v>
      </c>
      <c r="FB43" s="3" t="s">
        <v>401</v>
      </c>
      <c r="FC43" s="3"/>
      <c r="FD43" s="3" t="s">
        <v>450</v>
      </c>
      <c r="FE43" s="3"/>
      <c r="FF43" s="3" t="s">
        <v>382</v>
      </c>
      <c r="FG43" s="3" t="s">
        <v>402</v>
      </c>
      <c r="FH43" s="3" t="s">
        <v>384</v>
      </c>
      <c r="FI43" s="3" t="s">
        <v>385</v>
      </c>
      <c r="FJ43" s="3"/>
      <c r="FK43" s="3"/>
      <c r="FL43" s="3"/>
      <c r="FM43" s="3"/>
      <c r="FN43" s="3"/>
      <c r="FO43" s="3"/>
      <c r="FP43" s="3"/>
      <c r="FQ43" s="3"/>
      <c r="FR43" s="3"/>
      <c r="FS43" s="3"/>
      <c r="FT43" s="3"/>
      <c r="FU43" s="3"/>
      <c r="FV43" s="3"/>
      <c r="FW43" s="3"/>
      <c r="FX43" s="3"/>
      <c r="FY43" s="3"/>
      <c r="FZ43" s="3"/>
      <c r="GA43" s="3" t="s">
        <v>368</v>
      </c>
      <c r="GB43" s="3" t="s">
        <v>368</v>
      </c>
      <c r="GC43" s="3" t="s">
        <v>368</v>
      </c>
      <c r="GD43" s="3" t="s">
        <v>368</v>
      </c>
      <c r="GE43" s="3" t="s">
        <v>368</v>
      </c>
      <c r="GF43" s="3" t="s">
        <v>368</v>
      </c>
      <c r="GG43" s="3"/>
      <c r="GH43" s="3"/>
      <c r="GI43" s="3"/>
      <c r="GJ43" s="3"/>
      <c r="GK43" s="3"/>
      <c r="GL43" s="3" t="s">
        <v>344</v>
      </c>
      <c r="GM43" s="3" t="s">
        <v>344</v>
      </c>
      <c r="GN43" s="3" t="s">
        <v>344</v>
      </c>
      <c r="GO43" s="3" t="s">
        <v>344</v>
      </c>
      <c r="GP43" s="3" t="s">
        <v>344</v>
      </c>
      <c r="GQ43" s="3" t="s">
        <v>344</v>
      </c>
      <c r="GR43" s="3" t="s">
        <v>344</v>
      </c>
      <c r="GS43" s="3" t="s">
        <v>344</v>
      </c>
      <c r="GT43" s="3" t="s">
        <v>344</v>
      </c>
      <c r="GU43" s="3" t="s">
        <v>344</v>
      </c>
      <c r="GV43" s="3" t="s">
        <v>344</v>
      </c>
      <c r="GW43" s="3" t="s">
        <v>344</v>
      </c>
      <c r="GX43" s="3" t="s">
        <v>344</v>
      </c>
      <c r="GY43" s="3" t="s">
        <v>344</v>
      </c>
      <c r="GZ43" s="3" t="s">
        <v>344</v>
      </c>
      <c r="HA43" s="3" t="s">
        <v>544</v>
      </c>
      <c r="HB43" s="3" t="s">
        <v>344</v>
      </c>
      <c r="HC43" s="3"/>
      <c r="HD43" s="3" t="s">
        <v>344</v>
      </c>
      <c r="HE43" s="3"/>
      <c r="HF43" s="3" t="s">
        <v>344</v>
      </c>
      <c r="HG43" s="3"/>
      <c r="HH43" s="3" t="s">
        <v>344</v>
      </c>
      <c r="HI43" s="3"/>
      <c r="HJ43" s="3" t="s">
        <v>344</v>
      </c>
      <c r="HK43" s="3" t="s">
        <v>344</v>
      </c>
      <c r="HL43" s="3" t="s">
        <v>344</v>
      </c>
      <c r="HM43" s="3" t="s">
        <v>344</v>
      </c>
      <c r="HN43" s="3" t="s">
        <v>344</v>
      </c>
      <c r="HO43" s="3" t="s">
        <v>344</v>
      </c>
      <c r="HP43" s="3" t="s">
        <v>344</v>
      </c>
      <c r="HQ43" s="3" t="s">
        <v>344</v>
      </c>
      <c r="HR43" s="3" t="s">
        <v>344</v>
      </c>
      <c r="HS43" s="3" t="s">
        <v>344</v>
      </c>
      <c r="HT43" s="3" t="s">
        <v>344</v>
      </c>
      <c r="HU43" s="3" t="s">
        <v>344</v>
      </c>
      <c r="HV43" s="3" t="s">
        <v>344</v>
      </c>
      <c r="HW43" s="3" t="s">
        <v>344</v>
      </c>
      <c r="HX43" s="3" t="s">
        <v>345</v>
      </c>
      <c r="HY43" s="3"/>
      <c r="HZ43" s="3" t="s">
        <v>344</v>
      </c>
      <c r="IA43" s="3"/>
      <c r="IB43" s="3" t="s">
        <v>344</v>
      </c>
      <c r="IC43" s="3"/>
      <c r="ID43" s="3" t="s">
        <v>344</v>
      </c>
      <c r="IE43" s="3"/>
      <c r="IF43" s="3" t="s">
        <v>344</v>
      </c>
      <c r="IG43" s="3"/>
      <c r="IH43" s="3" t="s">
        <v>345</v>
      </c>
      <c r="II43" s="3" t="s">
        <v>345</v>
      </c>
      <c r="IJ43" s="3" t="s">
        <v>344</v>
      </c>
      <c r="IK43" s="3" t="s">
        <v>344</v>
      </c>
      <c r="IL43" s="3" t="s">
        <v>344</v>
      </c>
      <c r="IM43" s="3" t="s">
        <v>344</v>
      </c>
      <c r="IN43" s="3" t="s">
        <v>344</v>
      </c>
      <c r="IO43" s="3" t="s">
        <v>345</v>
      </c>
      <c r="IP43" s="3" t="s">
        <v>344</v>
      </c>
      <c r="IQ43" s="3" t="s">
        <v>344</v>
      </c>
      <c r="IR43" s="3" t="s">
        <v>345</v>
      </c>
      <c r="IS43" s="3" t="s">
        <v>344</v>
      </c>
      <c r="IT43" s="3"/>
      <c r="IU43" s="3"/>
      <c r="IV43" s="3"/>
      <c r="IW43" s="3"/>
      <c r="IX43" s="3"/>
      <c r="IY43" s="3"/>
      <c r="IZ43" s="3"/>
      <c r="JA43" s="3"/>
      <c r="JB43" s="3"/>
      <c r="JC43" s="3"/>
      <c r="JD43" s="3"/>
      <c r="JE43" s="3"/>
      <c r="JF43" s="3"/>
      <c r="JG43" s="3"/>
      <c r="JH43" s="3"/>
    </row>
    <row r="44" spans="1:268" x14ac:dyDescent="0.3">
      <c r="A44" s="7" t="s">
        <v>338</v>
      </c>
      <c r="B44" s="7">
        <v>102</v>
      </c>
      <c r="C44" s="7" t="s">
        <v>607</v>
      </c>
      <c r="D44" s="7">
        <v>14</v>
      </c>
      <c r="E44" s="7" t="s">
        <v>387</v>
      </c>
      <c r="F44" s="7">
        <v>913310605</v>
      </c>
      <c r="G44" s="7" t="s">
        <v>608</v>
      </c>
      <c r="H44" s="7" t="s">
        <v>607</v>
      </c>
      <c r="I44" s="7" t="s">
        <v>609</v>
      </c>
      <c r="J44" s="7">
        <v>18</v>
      </c>
      <c r="K44" s="7" t="s">
        <v>389</v>
      </c>
      <c r="L44" s="7"/>
      <c r="M44" s="7" t="s">
        <v>345</v>
      </c>
      <c r="N44" s="7" t="s">
        <v>344</v>
      </c>
      <c r="O44" s="7" t="s">
        <v>344</v>
      </c>
      <c r="P44" s="7" t="s">
        <v>344</v>
      </c>
      <c r="Q44" s="7" t="s">
        <v>344</v>
      </c>
      <c r="R44" s="7"/>
      <c r="S44" s="7" t="s">
        <v>346</v>
      </c>
      <c r="T44" s="7"/>
      <c r="U44" s="7" t="s">
        <v>347</v>
      </c>
      <c r="V44" s="7"/>
      <c r="W44" s="7" t="s">
        <v>344</v>
      </c>
      <c r="X44" s="7" t="s">
        <v>344</v>
      </c>
      <c r="Y44" s="7" t="s">
        <v>345</v>
      </c>
      <c r="Z44" s="7" t="s">
        <v>344</v>
      </c>
      <c r="AA44" s="7" t="s">
        <v>345</v>
      </c>
      <c r="AB44" s="7" t="s">
        <v>344</v>
      </c>
      <c r="AC44" s="7" t="s">
        <v>344</v>
      </c>
      <c r="AD44" s="7" t="s">
        <v>368</v>
      </c>
      <c r="AE44" s="7" t="s">
        <v>368</v>
      </c>
      <c r="AF44" s="7" t="s">
        <v>368</v>
      </c>
      <c r="AG44" s="7" t="s">
        <v>368</v>
      </c>
      <c r="AH44" s="7" t="s">
        <v>368</v>
      </c>
      <c r="AI44" s="7" t="s">
        <v>368</v>
      </c>
      <c r="AJ44" s="7" t="s">
        <v>345</v>
      </c>
      <c r="AK44" s="7" t="s">
        <v>368</v>
      </c>
      <c r="AL44" s="7" t="s">
        <v>368</v>
      </c>
      <c r="AM44" s="7" t="s">
        <v>368</v>
      </c>
      <c r="AN44" s="7" t="s">
        <v>368</v>
      </c>
      <c r="AO44" s="7" t="s">
        <v>368</v>
      </c>
      <c r="AP44" s="7" t="s">
        <v>368</v>
      </c>
      <c r="AQ44" s="7" t="s">
        <v>345</v>
      </c>
      <c r="AR44" s="7" t="s">
        <v>368</v>
      </c>
      <c r="AS44" s="7" t="s">
        <v>368</v>
      </c>
      <c r="AT44" s="7" t="s">
        <v>368</v>
      </c>
      <c r="AU44" s="7" t="s">
        <v>368</v>
      </c>
      <c r="AV44" s="7" t="s">
        <v>368</v>
      </c>
      <c r="AW44" s="7" t="s">
        <v>368</v>
      </c>
      <c r="AX44" s="7" t="s">
        <v>345</v>
      </c>
      <c r="AY44" s="7"/>
      <c r="AZ44" s="7"/>
      <c r="BA44" s="7"/>
      <c r="BB44" s="7"/>
      <c r="BC44" s="7"/>
      <c r="BD44" s="7"/>
      <c r="BE44" s="7" t="s">
        <v>350</v>
      </c>
      <c r="BF44" s="7" t="s">
        <v>349</v>
      </c>
      <c r="BG44" s="7" t="s">
        <v>349</v>
      </c>
      <c r="BH44" s="7" t="s">
        <v>349</v>
      </c>
      <c r="BI44" s="7" t="s">
        <v>349</v>
      </c>
      <c r="BJ44" s="7" t="s">
        <v>355</v>
      </c>
      <c r="BK44" s="7" t="s">
        <v>354</v>
      </c>
      <c r="BL44" s="7" t="s">
        <v>352</v>
      </c>
      <c r="BM44" s="7" t="s">
        <v>352</v>
      </c>
      <c r="BN44" s="7" t="s">
        <v>355</v>
      </c>
      <c r="BO44" s="7" t="s">
        <v>356</v>
      </c>
      <c r="BP44" s="7" t="s">
        <v>357</v>
      </c>
      <c r="BQ44" s="7" t="s">
        <v>358</v>
      </c>
      <c r="BR44" s="7" t="s">
        <v>408</v>
      </c>
      <c r="BS44" s="7" t="s">
        <v>354</v>
      </c>
      <c r="BT44" s="7" t="s">
        <v>351</v>
      </c>
      <c r="BU44" s="7" t="s">
        <v>356</v>
      </c>
      <c r="BV44" s="7" t="s">
        <v>355</v>
      </c>
      <c r="BW44" s="7" t="s">
        <v>352</v>
      </c>
      <c r="BX44" s="7" t="s">
        <v>351</v>
      </c>
      <c r="BY44" s="7" t="s">
        <v>353</v>
      </c>
      <c r="BZ44" s="7" t="s">
        <v>354</v>
      </c>
      <c r="CA44" s="7" t="s">
        <v>356</v>
      </c>
      <c r="CB44" s="7" t="s">
        <v>357</v>
      </c>
      <c r="CC44" s="7" t="s">
        <v>355</v>
      </c>
      <c r="CD44" s="7" t="s">
        <v>352</v>
      </c>
      <c r="CE44" s="7" t="s">
        <v>351</v>
      </c>
      <c r="CF44" s="7" t="s">
        <v>391</v>
      </c>
      <c r="CG44" s="7" t="s">
        <v>360</v>
      </c>
      <c r="CH44" s="7" t="s">
        <v>360</v>
      </c>
      <c r="CI44" s="7" t="s">
        <v>360</v>
      </c>
      <c r="CJ44" s="7" t="s">
        <v>420</v>
      </c>
      <c r="CK44" s="7"/>
      <c r="CL44" s="7" t="s">
        <v>344</v>
      </c>
      <c r="CM44" s="7" t="s">
        <v>344</v>
      </c>
      <c r="CN44" s="7" t="s">
        <v>344</v>
      </c>
      <c r="CO44" s="7" t="s">
        <v>344</v>
      </c>
      <c r="CP44" s="7" t="s">
        <v>345</v>
      </c>
      <c r="CQ44" s="7" t="s">
        <v>345</v>
      </c>
      <c r="CR44" s="7" t="s">
        <v>394</v>
      </c>
      <c r="CS44" s="7">
        <v>60</v>
      </c>
      <c r="CT44" s="7">
        <v>67</v>
      </c>
      <c r="CU44" s="7"/>
      <c r="CV44" s="7"/>
      <c r="CW44" s="7" t="s">
        <v>395</v>
      </c>
      <c r="CX44" s="7" t="s">
        <v>395</v>
      </c>
      <c r="CY44" s="7" t="s">
        <v>396</v>
      </c>
      <c r="CZ44" s="7" t="s">
        <v>397</v>
      </c>
      <c r="DA44" s="7" t="s">
        <v>397</v>
      </c>
      <c r="DB44" s="7" t="s">
        <v>365</v>
      </c>
      <c r="DC44" s="7" t="s">
        <v>397</v>
      </c>
      <c r="DD44" s="7" t="s">
        <v>366</v>
      </c>
      <c r="DE44" s="7"/>
      <c r="DF44" s="7"/>
      <c r="DG44" s="7"/>
      <c r="DH44" s="7"/>
      <c r="DI44" s="7"/>
      <c r="DJ44" s="7"/>
      <c r="DK44" s="7" t="s">
        <v>367</v>
      </c>
      <c r="DL44" s="7" t="s">
        <v>368</v>
      </c>
      <c r="DM44" s="7" t="s">
        <v>368</v>
      </c>
      <c r="DN44" s="7" t="s">
        <v>368</v>
      </c>
      <c r="DO44" s="7" t="s">
        <v>368</v>
      </c>
      <c r="DP44" s="7" t="s">
        <v>344</v>
      </c>
      <c r="DQ44" s="7" t="s">
        <v>344</v>
      </c>
      <c r="DR44" s="7" t="s">
        <v>345</v>
      </c>
      <c r="DS44" s="7" t="s">
        <v>344</v>
      </c>
      <c r="DT44" s="7" t="s">
        <v>345</v>
      </c>
      <c r="DU44" s="7" t="s">
        <v>344</v>
      </c>
      <c r="DV44" s="7" t="s">
        <v>345</v>
      </c>
      <c r="DW44" s="7" t="s">
        <v>344</v>
      </c>
      <c r="DX44" s="7" t="s">
        <v>370</v>
      </c>
      <c r="DY44" s="7" t="s">
        <v>370</v>
      </c>
      <c r="DZ44" s="7" t="s">
        <v>370</v>
      </c>
      <c r="EA44" s="7" t="s">
        <v>370</v>
      </c>
      <c r="EB44" s="7" t="s">
        <v>370</v>
      </c>
      <c r="EC44" s="7" t="s">
        <v>370</v>
      </c>
      <c r="ED44" s="7" t="s">
        <v>370</v>
      </c>
      <c r="EE44" s="7" t="s">
        <v>369</v>
      </c>
      <c r="EF44" s="7" t="s">
        <v>369</v>
      </c>
      <c r="EG44" s="7" t="s">
        <v>369</v>
      </c>
      <c r="EH44" s="7" t="s">
        <v>369</v>
      </c>
      <c r="EI44" s="7" t="s">
        <v>369</v>
      </c>
      <c r="EJ44" s="7" t="s">
        <v>369</v>
      </c>
      <c r="EK44" s="7" t="s">
        <v>369</v>
      </c>
      <c r="EL44" s="7" t="s">
        <v>372</v>
      </c>
      <c r="EM44" s="7" t="s">
        <v>373</v>
      </c>
      <c r="EN44" s="7" t="s">
        <v>424</v>
      </c>
      <c r="EO44" s="7"/>
      <c r="EP44" s="7"/>
      <c r="EQ44" s="7" t="s">
        <v>375</v>
      </c>
      <c r="ER44" s="7" t="s">
        <v>376</v>
      </c>
      <c r="ES44" s="7" t="s">
        <v>375</v>
      </c>
      <c r="ET44" s="7" t="s">
        <v>391</v>
      </c>
      <c r="EU44" s="7" t="s">
        <v>375</v>
      </c>
      <c r="EV44" s="7" t="s">
        <v>400</v>
      </c>
      <c r="EW44" s="7"/>
      <c r="EX44" s="7" t="s">
        <v>368</v>
      </c>
      <c r="EY44" s="7" t="s">
        <v>368</v>
      </c>
      <c r="EZ44" s="7" t="s">
        <v>368</v>
      </c>
      <c r="FA44" s="7" t="s">
        <v>345</v>
      </c>
      <c r="FB44" s="7" t="s">
        <v>401</v>
      </c>
      <c r="FC44" s="7"/>
      <c r="FD44" s="7" t="s">
        <v>401</v>
      </c>
      <c r="FE44" s="7"/>
      <c r="FF44" s="7" t="s">
        <v>477</v>
      </c>
      <c r="FG44" s="7" t="s">
        <v>402</v>
      </c>
      <c r="FH44" s="7" t="s">
        <v>432</v>
      </c>
      <c r="FI44" s="7" t="s">
        <v>433</v>
      </c>
      <c r="FJ44" s="7"/>
      <c r="FK44" s="7"/>
      <c r="FL44" s="7"/>
      <c r="FM44" s="7"/>
      <c r="FN44" s="7"/>
      <c r="FO44" s="7"/>
      <c r="FP44" s="7"/>
      <c r="FQ44" s="7"/>
      <c r="FR44" s="7"/>
      <c r="FS44" s="7"/>
      <c r="FT44" s="7"/>
      <c r="FU44" s="7"/>
      <c r="FV44" s="7"/>
      <c r="FW44" s="7"/>
      <c r="FX44" s="7"/>
      <c r="FY44" s="7"/>
      <c r="FZ44" s="7"/>
      <c r="GA44" s="7" t="s">
        <v>368</v>
      </c>
      <c r="GB44" s="7" t="s">
        <v>368</v>
      </c>
      <c r="GC44" s="7" t="s">
        <v>368</v>
      </c>
      <c r="GD44" s="7" t="s">
        <v>368</v>
      </c>
      <c r="GE44" s="7" t="s">
        <v>368</v>
      </c>
      <c r="GF44" s="7" t="s">
        <v>368</v>
      </c>
      <c r="GG44" s="7"/>
      <c r="GH44" s="7"/>
      <c r="GI44" s="7"/>
      <c r="GJ44" s="7"/>
      <c r="GK44" s="7"/>
      <c r="GL44" s="7" t="s">
        <v>344</v>
      </c>
      <c r="GM44" s="7" t="s">
        <v>344</v>
      </c>
      <c r="GN44" s="7" t="s">
        <v>344</v>
      </c>
      <c r="GO44" s="7" t="s">
        <v>344</v>
      </c>
      <c r="GP44" s="7" t="s">
        <v>344</v>
      </c>
      <c r="GQ44" s="7" t="s">
        <v>344</v>
      </c>
      <c r="GR44" s="7" t="s">
        <v>344</v>
      </c>
      <c r="GS44" s="7" t="s">
        <v>344</v>
      </c>
      <c r="GT44" s="7" t="s">
        <v>345</v>
      </c>
      <c r="GU44" s="7" t="s">
        <v>344</v>
      </c>
      <c r="GV44" s="7" t="s">
        <v>344</v>
      </c>
      <c r="GW44" s="7" t="s">
        <v>344</v>
      </c>
      <c r="GX44" s="7" t="s">
        <v>344</v>
      </c>
      <c r="GY44" s="7" t="s">
        <v>344</v>
      </c>
      <c r="GZ44" s="7" t="s">
        <v>344</v>
      </c>
      <c r="HA44" s="7"/>
      <c r="HB44" s="7" t="s">
        <v>344</v>
      </c>
      <c r="HC44" s="7"/>
      <c r="HD44" s="7" t="s">
        <v>344</v>
      </c>
      <c r="HE44" s="7"/>
      <c r="HF44" s="7" t="s">
        <v>344</v>
      </c>
      <c r="HG44" s="7"/>
      <c r="HH44" s="7" t="s">
        <v>344</v>
      </c>
      <c r="HI44" s="7"/>
      <c r="HJ44" s="7" t="s">
        <v>345</v>
      </c>
      <c r="HK44" s="7" t="s">
        <v>345</v>
      </c>
      <c r="HL44" s="7" t="s">
        <v>344</v>
      </c>
      <c r="HM44" s="7" t="s">
        <v>345</v>
      </c>
      <c r="HN44" s="7" t="s">
        <v>344</v>
      </c>
      <c r="HO44" s="7" t="s">
        <v>344</v>
      </c>
      <c r="HP44" s="7" t="s">
        <v>344</v>
      </c>
      <c r="HQ44" s="7" t="s">
        <v>344</v>
      </c>
      <c r="HR44" s="7" t="s">
        <v>344</v>
      </c>
      <c r="HS44" s="7" t="s">
        <v>344</v>
      </c>
      <c r="HT44" s="7" t="s">
        <v>344</v>
      </c>
      <c r="HU44" s="7" t="s">
        <v>344</v>
      </c>
      <c r="HV44" s="7" t="s">
        <v>344</v>
      </c>
      <c r="HW44" s="7" t="s">
        <v>344</v>
      </c>
      <c r="HX44" s="7" t="s">
        <v>344</v>
      </c>
      <c r="HY44" s="7"/>
      <c r="HZ44" s="7" t="s">
        <v>344</v>
      </c>
      <c r="IA44" s="7"/>
      <c r="IB44" s="7" t="s">
        <v>344</v>
      </c>
      <c r="IC44" s="7"/>
      <c r="ID44" s="7" t="s">
        <v>344</v>
      </c>
      <c r="IE44" s="7"/>
      <c r="IF44" s="7" t="s">
        <v>344</v>
      </c>
      <c r="IG44" s="7"/>
      <c r="IH44" s="7" t="s">
        <v>344</v>
      </c>
      <c r="II44" s="7" t="s">
        <v>344</v>
      </c>
      <c r="IJ44" s="7" t="s">
        <v>344</v>
      </c>
      <c r="IK44" s="7" t="s">
        <v>344</v>
      </c>
      <c r="IL44" s="7" t="s">
        <v>345</v>
      </c>
      <c r="IM44" s="7" t="s">
        <v>344</v>
      </c>
      <c r="IN44" s="7" t="s">
        <v>344</v>
      </c>
      <c r="IO44" s="7" t="s">
        <v>345</v>
      </c>
      <c r="IP44" s="7" t="s">
        <v>344</v>
      </c>
      <c r="IQ44" s="7" t="s">
        <v>344</v>
      </c>
      <c r="IR44" s="7" t="s">
        <v>344</v>
      </c>
      <c r="IS44" s="7" t="s">
        <v>344</v>
      </c>
      <c r="IT44" s="7"/>
      <c r="IU44" s="7"/>
      <c r="IV44" s="7"/>
      <c r="IW44" s="7"/>
      <c r="IX44" s="7"/>
      <c r="IY44" s="7"/>
      <c r="IZ44" s="7"/>
      <c r="JA44" s="7"/>
      <c r="JB44" s="7"/>
      <c r="JC44" s="7"/>
      <c r="JD44" s="7"/>
      <c r="JE44" s="7"/>
      <c r="JF44" s="7"/>
      <c r="JG44" s="7"/>
      <c r="JH44" s="7"/>
    </row>
    <row r="45" spans="1:268" x14ac:dyDescent="0.3">
      <c r="A45" s="7" t="s">
        <v>338</v>
      </c>
      <c r="B45" s="7">
        <v>103</v>
      </c>
      <c r="C45" s="7" t="s">
        <v>610</v>
      </c>
      <c r="D45" s="7">
        <v>14</v>
      </c>
      <c r="E45" s="7" t="s">
        <v>387</v>
      </c>
      <c r="F45" s="7">
        <v>1134621198</v>
      </c>
      <c r="G45" s="7" t="s">
        <v>611</v>
      </c>
      <c r="H45" s="7" t="s">
        <v>610</v>
      </c>
      <c r="I45" s="7" t="s">
        <v>609</v>
      </c>
      <c r="J45" s="7">
        <v>17</v>
      </c>
      <c r="K45" s="7" t="s">
        <v>389</v>
      </c>
      <c r="L45" s="7"/>
      <c r="M45" s="7" t="s">
        <v>345</v>
      </c>
      <c r="N45" s="7" t="s">
        <v>344</v>
      </c>
      <c r="O45" s="7" t="s">
        <v>344</v>
      </c>
      <c r="P45" s="7" t="s">
        <v>344</v>
      </c>
      <c r="Q45" s="7" t="s">
        <v>344</v>
      </c>
      <c r="R45" s="7"/>
      <c r="S45" s="7" t="s">
        <v>346</v>
      </c>
      <c r="T45" s="7"/>
      <c r="U45" s="7" t="s">
        <v>418</v>
      </c>
      <c r="V45" s="7"/>
      <c r="W45" s="7" t="s">
        <v>344</v>
      </c>
      <c r="X45" s="7" t="s">
        <v>345</v>
      </c>
      <c r="Y45" s="7" t="s">
        <v>344</v>
      </c>
      <c r="Z45" s="7" t="s">
        <v>344</v>
      </c>
      <c r="AA45" s="7" t="s">
        <v>344</v>
      </c>
      <c r="AB45" s="7" t="s">
        <v>344</v>
      </c>
      <c r="AC45" s="7" t="s">
        <v>344</v>
      </c>
      <c r="AD45" s="7" t="s">
        <v>345</v>
      </c>
      <c r="AE45" s="7" t="s">
        <v>345</v>
      </c>
      <c r="AF45" s="7" t="s">
        <v>344</v>
      </c>
      <c r="AG45" s="7" t="s">
        <v>344</v>
      </c>
      <c r="AH45" s="7" t="s">
        <v>344</v>
      </c>
      <c r="AI45" s="7" t="s">
        <v>344</v>
      </c>
      <c r="AJ45" s="7" t="s">
        <v>344</v>
      </c>
      <c r="AK45" s="7" t="s">
        <v>368</v>
      </c>
      <c r="AL45" s="7" t="s">
        <v>368</v>
      </c>
      <c r="AM45" s="7" t="s">
        <v>368</v>
      </c>
      <c r="AN45" s="7" t="s">
        <v>368</v>
      </c>
      <c r="AO45" s="7" t="s">
        <v>368</v>
      </c>
      <c r="AP45" s="7" t="s">
        <v>368</v>
      </c>
      <c r="AQ45" s="7" t="s">
        <v>345</v>
      </c>
      <c r="AR45" s="7" t="s">
        <v>345</v>
      </c>
      <c r="AS45" s="7" t="s">
        <v>345</v>
      </c>
      <c r="AT45" s="7" t="s">
        <v>344</v>
      </c>
      <c r="AU45" s="7" t="s">
        <v>344</v>
      </c>
      <c r="AV45" s="7" t="s">
        <v>344</v>
      </c>
      <c r="AW45" s="7" t="s">
        <v>344</v>
      </c>
      <c r="AX45" s="7" t="s">
        <v>344</v>
      </c>
      <c r="AY45" s="7"/>
      <c r="AZ45" s="7"/>
      <c r="BA45" s="7"/>
      <c r="BB45" s="7"/>
      <c r="BC45" s="7"/>
      <c r="BD45" s="7"/>
      <c r="BE45" s="7" t="s">
        <v>349</v>
      </c>
      <c r="BF45" s="7" t="s">
        <v>348</v>
      </c>
      <c r="BG45" s="7" t="s">
        <v>390</v>
      </c>
      <c r="BH45" s="7" t="s">
        <v>349</v>
      </c>
      <c r="BI45" s="7" t="s">
        <v>349</v>
      </c>
      <c r="BJ45" s="7" t="s">
        <v>391</v>
      </c>
      <c r="BK45" s="7" t="s">
        <v>391</v>
      </c>
      <c r="BL45" s="7" t="s">
        <v>391</v>
      </c>
      <c r="BM45" s="7" t="s">
        <v>391</v>
      </c>
      <c r="BN45" s="7" t="s">
        <v>391</v>
      </c>
      <c r="BO45" s="7" t="s">
        <v>391</v>
      </c>
      <c r="BP45" s="7" t="s">
        <v>391</v>
      </c>
      <c r="BQ45" s="7" t="s">
        <v>419</v>
      </c>
      <c r="BR45" s="7" t="s">
        <v>429</v>
      </c>
      <c r="BS45" s="7" t="s">
        <v>391</v>
      </c>
      <c r="BT45" s="7" t="s">
        <v>391</v>
      </c>
      <c r="BU45" s="7" t="s">
        <v>391</v>
      </c>
      <c r="BV45" s="7" t="s">
        <v>391</v>
      </c>
      <c r="BW45" s="7" t="s">
        <v>391</v>
      </c>
      <c r="BX45" s="7" t="s">
        <v>391</v>
      </c>
      <c r="BY45" s="7" t="s">
        <v>391</v>
      </c>
      <c r="BZ45" s="7" t="s">
        <v>391</v>
      </c>
      <c r="CA45" s="7" t="s">
        <v>391</v>
      </c>
      <c r="CB45" s="7" t="s">
        <v>391</v>
      </c>
      <c r="CC45" s="7" t="s">
        <v>391</v>
      </c>
      <c r="CD45" s="7" t="s">
        <v>391</v>
      </c>
      <c r="CE45" s="7" t="s">
        <v>391</v>
      </c>
      <c r="CF45" s="7" t="s">
        <v>391</v>
      </c>
      <c r="CG45" s="7" t="s">
        <v>420</v>
      </c>
      <c r="CH45" s="7" t="s">
        <v>393</v>
      </c>
      <c r="CI45" s="7" t="s">
        <v>393</v>
      </c>
      <c r="CJ45" s="7" t="s">
        <v>393</v>
      </c>
      <c r="CK45" s="7" t="s">
        <v>612</v>
      </c>
      <c r="CL45" s="7" t="s">
        <v>344</v>
      </c>
      <c r="CM45" s="7" t="s">
        <v>344</v>
      </c>
      <c r="CN45" s="7" t="s">
        <v>344</v>
      </c>
      <c r="CO45" s="7" t="s">
        <v>344</v>
      </c>
      <c r="CP45" s="7" t="s">
        <v>345</v>
      </c>
      <c r="CQ45" s="7" t="s">
        <v>344</v>
      </c>
      <c r="CR45" s="7" t="s">
        <v>394</v>
      </c>
      <c r="CS45" s="7">
        <v>50</v>
      </c>
      <c r="CT45" s="7">
        <v>100</v>
      </c>
      <c r="CU45" s="7"/>
      <c r="CV45" s="7"/>
      <c r="CW45" s="7" t="s">
        <v>363</v>
      </c>
      <c r="CX45" s="7" t="s">
        <v>396</v>
      </c>
      <c r="CY45" s="7" t="s">
        <v>396</v>
      </c>
      <c r="CZ45" s="7" t="s">
        <v>397</v>
      </c>
      <c r="DA45" s="7" t="s">
        <v>397</v>
      </c>
      <c r="DB45" s="7" t="s">
        <v>397</v>
      </c>
      <c r="DC45" s="7" t="s">
        <v>397</v>
      </c>
      <c r="DD45" s="7" t="s">
        <v>397</v>
      </c>
      <c r="DE45" s="7"/>
      <c r="DF45" s="7"/>
      <c r="DG45" s="7"/>
      <c r="DH45" s="7"/>
      <c r="DI45" s="7"/>
      <c r="DJ45" s="7"/>
      <c r="DK45" s="7" t="s">
        <v>367</v>
      </c>
      <c r="DL45" s="7" t="s">
        <v>368</v>
      </c>
      <c r="DM45" s="7" t="s">
        <v>368</v>
      </c>
      <c r="DN45" s="7" t="s">
        <v>368</v>
      </c>
      <c r="DO45" s="7" t="s">
        <v>368</v>
      </c>
      <c r="DP45" s="7" t="s">
        <v>345</v>
      </c>
      <c r="DQ45" s="7" t="s">
        <v>345</v>
      </c>
      <c r="DR45" s="7" t="s">
        <v>344</v>
      </c>
      <c r="DS45" s="7" t="s">
        <v>344</v>
      </c>
      <c r="DT45" s="7" t="s">
        <v>345</v>
      </c>
      <c r="DU45" s="7" t="s">
        <v>344</v>
      </c>
      <c r="DV45" s="7" t="s">
        <v>345</v>
      </c>
      <c r="DW45" s="7" t="s">
        <v>344</v>
      </c>
      <c r="DX45" s="7" t="s">
        <v>370</v>
      </c>
      <c r="DY45" s="7" t="s">
        <v>370</v>
      </c>
      <c r="DZ45" s="7" t="s">
        <v>370</v>
      </c>
      <c r="EA45" s="7" t="s">
        <v>370</v>
      </c>
      <c r="EB45" s="7" t="s">
        <v>370</v>
      </c>
      <c r="EC45" s="7" t="s">
        <v>370</v>
      </c>
      <c r="ED45" s="7" t="s">
        <v>370</v>
      </c>
      <c r="EE45" s="7" t="s">
        <v>369</v>
      </c>
      <c r="EF45" s="7" t="s">
        <v>399</v>
      </c>
      <c r="EG45" s="7" t="s">
        <v>369</v>
      </c>
      <c r="EH45" s="7" t="s">
        <v>369</v>
      </c>
      <c r="EI45" s="7" t="s">
        <v>369</v>
      </c>
      <c r="EJ45" s="7" t="s">
        <v>369</v>
      </c>
      <c r="EK45" s="7" t="s">
        <v>369</v>
      </c>
      <c r="EL45" s="7" t="s">
        <v>372</v>
      </c>
      <c r="EM45" s="7" t="s">
        <v>374</v>
      </c>
      <c r="EN45" s="7" t="s">
        <v>373</v>
      </c>
      <c r="EO45" s="7"/>
      <c r="EP45" s="7"/>
      <c r="EQ45" s="7" t="s">
        <v>391</v>
      </c>
      <c r="ER45" s="7" t="s">
        <v>391</v>
      </c>
      <c r="ES45" s="7" t="s">
        <v>391</v>
      </c>
      <c r="ET45" s="7" t="s">
        <v>391</v>
      </c>
      <c r="EU45" s="7" t="s">
        <v>391</v>
      </c>
      <c r="EV45" s="7" t="s">
        <v>400</v>
      </c>
      <c r="EW45" s="7"/>
      <c r="EX45" s="7" t="s">
        <v>368</v>
      </c>
      <c r="EY45" s="7" t="s">
        <v>368</v>
      </c>
      <c r="EZ45" s="7" t="s">
        <v>368</v>
      </c>
      <c r="FA45" s="7" t="s">
        <v>345</v>
      </c>
      <c r="FB45" s="7" t="s">
        <v>401</v>
      </c>
      <c r="FC45" s="7"/>
      <c r="FD45" s="7" t="s">
        <v>401</v>
      </c>
      <c r="FE45" s="7"/>
      <c r="FF45" s="7" t="s">
        <v>382</v>
      </c>
      <c r="FG45" s="7" t="s">
        <v>402</v>
      </c>
      <c r="FH45" s="7" t="s">
        <v>432</v>
      </c>
      <c r="FI45" s="7" t="s">
        <v>433</v>
      </c>
      <c r="FJ45" s="7"/>
      <c r="FK45" s="7"/>
      <c r="FL45" s="7"/>
      <c r="FM45" s="7"/>
      <c r="FN45" s="7"/>
      <c r="FO45" s="7"/>
      <c r="FP45" s="7"/>
      <c r="FQ45" s="7"/>
      <c r="FR45" s="7"/>
      <c r="FS45" s="7"/>
      <c r="FT45" s="7"/>
      <c r="FU45" s="7"/>
      <c r="FV45" s="7"/>
      <c r="FW45" s="7"/>
      <c r="FX45" s="7"/>
      <c r="FY45" s="7"/>
      <c r="FZ45" s="7"/>
      <c r="GA45" s="7" t="s">
        <v>368</v>
      </c>
      <c r="GB45" s="7" t="s">
        <v>368</v>
      </c>
      <c r="GC45" s="7" t="s">
        <v>368</v>
      </c>
      <c r="GD45" s="7" t="s">
        <v>368</v>
      </c>
      <c r="GE45" s="7" t="s">
        <v>368</v>
      </c>
      <c r="GF45" s="7" t="s">
        <v>368</v>
      </c>
      <c r="GG45" s="7"/>
      <c r="GH45" s="7"/>
      <c r="GI45" s="7"/>
      <c r="GJ45" s="7"/>
      <c r="GK45" s="7"/>
      <c r="GL45" s="7" t="s">
        <v>344</v>
      </c>
      <c r="GM45" s="7" t="s">
        <v>344</v>
      </c>
      <c r="GN45" s="7" t="s">
        <v>344</v>
      </c>
      <c r="GO45" s="7" t="s">
        <v>345</v>
      </c>
      <c r="GP45" s="7" t="s">
        <v>344</v>
      </c>
      <c r="GQ45" s="7" t="s">
        <v>344</v>
      </c>
      <c r="GR45" s="7" t="s">
        <v>344</v>
      </c>
      <c r="GS45" s="7" t="s">
        <v>344</v>
      </c>
      <c r="GT45" s="7" t="s">
        <v>345</v>
      </c>
      <c r="GU45" s="7" t="s">
        <v>344</v>
      </c>
      <c r="GV45" s="7" t="s">
        <v>344</v>
      </c>
      <c r="GW45" s="7" t="s">
        <v>345</v>
      </c>
      <c r="GX45" s="7" t="s">
        <v>344</v>
      </c>
      <c r="GY45" s="7" t="s">
        <v>344</v>
      </c>
      <c r="GZ45" s="7" t="s">
        <v>344</v>
      </c>
      <c r="HA45" s="7"/>
      <c r="HB45" s="7" t="s">
        <v>344</v>
      </c>
      <c r="HC45" s="7"/>
      <c r="HD45" s="7" t="s">
        <v>344</v>
      </c>
      <c r="HE45" s="7"/>
      <c r="HF45" s="7" t="s">
        <v>344</v>
      </c>
      <c r="HG45" s="7"/>
      <c r="HH45" s="7" t="s">
        <v>344</v>
      </c>
      <c r="HI45" s="7"/>
      <c r="HJ45" s="7" t="s">
        <v>344</v>
      </c>
      <c r="HK45" s="7" t="s">
        <v>344</v>
      </c>
      <c r="HL45" s="7" t="s">
        <v>344</v>
      </c>
      <c r="HM45" s="7" t="s">
        <v>344</v>
      </c>
      <c r="HN45" s="7" t="s">
        <v>344</v>
      </c>
      <c r="HO45" s="7" t="s">
        <v>344</v>
      </c>
      <c r="HP45" s="7" t="s">
        <v>344</v>
      </c>
      <c r="HQ45" s="7" t="s">
        <v>344</v>
      </c>
      <c r="HR45" s="7" t="s">
        <v>344</v>
      </c>
      <c r="HS45" s="7" t="s">
        <v>344</v>
      </c>
      <c r="HT45" s="7" t="s">
        <v>344</v>
      </c>
      <c r="HU45" s="7" t="s">
        <v>345</v>
      </c>
      <c r="HV45" s="7" t="s">
        <v>344</v>
      </c>
      <c r="HW45" s="7" t="s">
        <v>344</v>
      </c>
      <c r="HX45" s="7" t="s">
        <v>344</v>
      </c>
      <c r="HY45" s="7"/>
      <c r="HZ45" s="7" t="s">
        <v>344</v>
      </c>
      <c r="IA45" s="7"/>
      <c r="IB45" s="7" t="s">
        <v>344</v>
      </c>
      <c r="IC45" s="7"/>
      <c r="ID45" s="7" t="s">
        <v>344</v>
      </c>
      <c r="IE45" s="7"/>
      <c r="IF45" s="7" t="s">
        <v>344</v>
      </c>
      <c r="IG45" s="7"/>
      <c r="IH45" s="7" t="s">
        <v>345</v>
      </c>
      <c r="II45" s="7" t="s">
        <v>345</v>
      </c>
      <c r="IJ45" s="7" t="s">
        <v>345</v>
      </c>
      <c r="IK45" s="7" t="s">
        <v>344</v>
      </c>
      <c r="IL45" s="7" t="s">
        <v>345</v>
      </c>
      <c r="IM45" s="7" t="s">
        <v>344</v>
      </c>
      <c r="IN45" s="7" t="s">
        <v>344</v>
      </c>
      <c r="IO45" s="7" t="s">
        <v>345</v>
      </c>
      <c r="IP45" s="7" t="s">
        <v>344</v>
      </c>
      <c r="IQ45" s="7" t="s">
        <v>344</v>
      </c>
      <c r="IR45" s="7" t="s">
        <v>344</v>
      </c>
      <c r="IS45" s="7" t="s">
        <v>344</v>
      </c>
      <c r="IT45" s="7"/>
      <c r="IU45" s="7" t="s">
        <v>479</v>
      </c>
      <c r="IV45" s="7"/>
      <c r="IW45" s="7"/>
      <c r="IX45" s="7"/>
      <c r="IY45" s="7"/>
      <c r="IZ45" s="7"/>
      <c r="JA45" s="7"/>
      <c r="JB45" s="7"/>
      <c r="JC45" s="7"/>
      <c r="JD45" s="7"/>
      <c r="JE45" s="7"/>
      <c r="JF45" s="7"/>
      <c r="JG45" s="7"/>
      <c r="JH45" s="7"/>
    </row>
    <row r="46" spans="1:268" x14ac:dyDescent="0.3">
      <c r="A46" s="7" t="s">
        <v>338</v>
      </c>
      <c r="B46" s="7">
        <v>104</v>
      </c>
      <c r="C46" s="7" t="s">
        <v>613</v>
      </c>
      <c r="D46" s="7">
        <v>14</v>
      </c>
      <c r="E46" s="7" t="s">
        <v>387</v>
      </c>
      <c r="F46" s="7">
        <v>1126857110</v>
      </c>
      <c r="G46" s="7" t="s">
        <v>614</v>
      </c>
      <c r="H46" s="7" t="s">
        <v>613</v>
      </c>
      <c r="I46" s="7" t="s">
        <v>609</v>
      </c>
      <c r="J46" s="7">
        <v>17</v>
      </c>
      <c r="K46" s="7" t="s">
        <v>389</v>
      </c>
      <c r="L46" s="7"/>
      <c r="M46" s="7" t="s">
        <v>345</v>
      </c>
      <c r="N46" s="7" t="s">
        <v>344</v>
      </c>
      <c r="O46" s="7" t="s">
        <v>344</v>
      </c>
      <c r="P46" s="7" t="s">
        <v>344</v>
      </c>
      <c r="Q46" s="7" t="s">
        <v>344</v>
      </c>
      <c r="R46" s="7"/>
      <c r="S46" s="7" t="s">
        <v>346</v>
      </c>
      <c r="T46" s="7"/>
      <c r="U46" s="7" t="s">
        <v>347</v>
      </c>
      <c r="V46" s="7"/>
      <c r="W46" s="7" t="s">
        <v>344</v>
      </c>
      <c r="X46" s="7" t="s">
        <v>344</v>
      </c>
      <c r="Y46" s="7" t="s">
        <v>345</v>
      </c>
      <c r="Z46" s="7" t="s">
        <v>345</v>
      </c>
      <c r="AA46" s="7" t="s">
        <v>344</v>
      </c>
      <c r="AB46" s="7" t="s">
        <v>344</v>
      </c>
      <c r="AC46" s="7" t="s">
        <v>344</v>
      </c>
      <c r="AD46" s="7" t="s">
        <v>344</v>
      </c>
      <c r="AE46" s="7" t="s">
        <v>344</v>
      </c>
      <c r="AF46" s="7" t="s">
        <v>345</v>
      </c>
      <c r="AG46" s="7" t="s">
        <v>344</v>
      </c>
      <c r="AH46" s="7" t="s">
        <v>345</v>
      </c>
      <c r="AI46" s="7" t="s">
        <v>344</v>
      </c>
      <c r="AJ46" s="7" t="s">
        <v>344</v>
      </c>
      <c r="AK46" s="7" t="s">
        <v>344</v>
      </c>
      <c r="AL46" s="7" t="s">
        <v>345</v>
      </c>
      <c r="AM46" s="7" t="s">
        <v>344</v>
      </c>
      <c r="AN46" s="7" t="s">
        <v>344</v>
      </c>
      <c r="AO46" s="7" t="s">
        <v>344</v>
      </c>
      <c r="AP46" s="7" t="s">
        <v>345</v>
      </c>
      <c r="AQ46" s="7" t="s">
        <v>344</v>
      </c>
      <c r="AR46" s="7" t="s">
        <v>345</v>
      </c>
      <c r="AS46" s="7" t="s">
        <v>344</v>
      </c>
      <c r="AT46" s="7" t="s">
        <v>344</v>
      </c>
      <c r="AU46" s="7" t="s">
        <v>344</v>
      </c>
      <c r="AV46" s="7" t="s">
        <v>345</v>
      </c>
      <c r="AW46" s="7" t="s">
        <v>344</v>
      </c>
      <c r="AX46" s="7" t="s">
        <v>344</v>
      </c>
      <c r="AY46" s="7"/>
      <c r="AZ46" s="7"/>
      <c r="BA46" s="7"/>
      <c r="BB46" s="7"/>
      <c r="BC46" s="7"/>
      <c r="BD46" s="7"/>
      <c r="BE46" s="7" t="s">
        <v>348</v>
      </c>
      <c r="BF46" s="7" t="s">
        <v>348</v>
      </c>
      <c r="BG46" s="7" t="s">
        <v>349</v>
      </c>
      <c r="BH46" s="7" t="s">
        <v>390</v>
      </c>
      <c r="BI46" s="7" t="s">
        <v>348</v>
      </c>
      <c r="BJ46" s="7" t="s">
        <v>391</v>
      </c>
      <c r="BK46" s="7" t="s">
        <v>391</v>
      </c>
      <c r="BL46" s="7" t="s">
        <v>391</v>
      </c>
      <c r="BM46" s="7" t="s">
        <v>391</v>
      </c>
      <c r="BN46" s="7" t="s">
        <v>391</v>
      </c>
      <c r="BO46" s="7" t="s">
        <v>391</v>
      </c>
      <c r="BP46" s="7" t="s">
        <v>391</v>
      </c>
      <c r="BQ46" s="7" t="s">
        <v>455</v>
      </c>
      <c r="BR46" s="7" t="s">
        <v>429</v>
      </c>
      <c r="BS46" s="7" t="s">
        <v>391</v>
      </c>
      <c r="BT46" s="7" t="s">
        <v>391</v>
      </c>
      <c r="BU46" s="7" t="s">
        <v>391</v>
      </c>
      <c r="BV46" s="7" t="s">
        <v>391</v>
      </c>
      <c r="BW46" s="7" t="s">
        <v>391</v>
      </c>
      <c r="BX46" s="7" t="s">
        <v>391</v>
      </c>
      <c r="BY46" s="7" t="s">
        <v>391</v>
      </c>
      <c r="BZ46" s="7" t="s">
        <v>391</v>
      </c>
      <c r="CA46" s="7" t="s">
        <v>391</v>
      </c>
      <c r="CB46" s="7" t="s">
        <v>391</v>
      </c>
      <c r="CC46" s="7" t="s">
        <v>391</v>
      </c>
      <c r="CD46" s="7" t="s">
        <v>391</v>
      </c>
      <c r="CE46" s="7" t="s">
        <v>391</v>
      </c>
      <c r="CF46" s="7" t="s">
        <v>391</v>
      </c>
      <c r="CG46" s="7" t="s">
        <v>392</v>
      </c>
      <c r="CH46" s="7" t="s">
        <v>393</v>
      </c>
      <c r="CI46" s="7" t="s">
        <v>360</v>
      </c>
      <c r="CJ46" s="7" t="s">
        <v>420</v>
      </c>
      <c r="CK46" s="7" t="s">
        <v>615</v>
      </c>
      <c r="CL46" s="7" t="s">
        <v>344</v>
      </c>
      <c r="CM46" s="7" t="s">
        <v>344</v>
      </c>
      <c r="CN46" s="7" t="s">
        <v>344</v>
      </c>
      <c r="CO46" s="7" t="s">
        <v>344</v>
      </c>
      <c r="CP46" s="7" t="s">
        <v>345</v>
      </c>
      <c r="CQ46" s="7" t="s">
        <v>344</v>
      </c>
      <c r="CR46" s="7" t="s">
        <v>394</v>
      </c>
      <c r="CS46" s="7">
        <v>85</v>
      </c>
      <c r="CT46" s="7">
        <v>100</v>
      </c>
      <c r="CU46" s="7"/>
      <c r="CV46" s="7"/>
      <c r="CW46" s="7" t="s">
        <v>364</v>
      </c>
      <c r="CX46" s="7" t="s">
        <v>395</v>
      </c>
      <c r="CY46" s="7" t="s">
        <v>363</v>
      </c>
      <c r="CZ46" s="7" t="s">
        <v>397</v>
      </c>
      <c r="DA46" s="7" t="s">
        <v>397</v>
      </c>
      <c r="DB46" s="7" t="s">
        <v>397</v>
      </c>
      <c r="DC46" s="7" t="s">
        <v>366</v>
      </c>
      <c r="DD46" s="7" t="s">
        <v>365</v>
      </c>
      <c r="DE46" s="7"/>
      <c r="DF46" s="7"/>
      <c r="DG46" s="7"/>
      <c r="DH46" s="7"/>
      <c r="DI46" s="7"/>
      <c r="DJ46" s="7" t="s">
        <v>616</v>
      </c>
      <c r="DK46" s="7" t="s">
        <v>367</v>
      </c>
      <c r="DL46" s="7" t="s">
        <v>368</v>
      </c>
      <c r="DM46" s="7" t="s">
        <v>368</v>
      </c>
      <c r="DN46" s="7" t="s">
        <v>368</v>
      </c>
      <c r="DO46" s="7" t="s">
        <v>368</v>
      </c>
      <c r="DP46" s="7" t="s">
        <v>345</v>
      </c>
      <c r="DQ46" s="7" t="s">
        <v>345</v>
      </c>
      <c r="DR46" s="7" t="s">
        <v>345</v>
      </c>
      <c r="DS46" s="7" t="s">
        <v>344</v>
      </c>
      <c r="DT46" s="7" t="s">
        <v>345</v>
      </c>
      <c r="DU46" s="7" t="s">
        <v>344</v>
      </c>
      <c r="DV46" s="7" t="s">
        <v>344</v>
      </c>
      <c r="DW46" s="7" t="s">
        <v>344</v>
      </c>
      <c r="DX46" s="7" t="s">
        <v>370</v>
      </c>
      <c r="DY46" s="7" t="s">
        <v>370</v>
      </c>
      <c r="DZ46" s="7" t="s">
        <v>370</v>
      </c>
      <c r="EA46" s="7" t="s">
        <v>370</v>
      </c>
      <c r="EB46" s="7" t="s">
        <v>370</v>
      </c>
      <c r="EC46" s="7" t="s">
        <v>370</v>
      </c>
      <c r="ED46" s="7" t="s">
        <v>370</v>
      </c>
      <c r="EE46" s="7" t="s">
        <v>369</v>
      </c>
      <c r="EF46" s="7" t="s">
        <v>369</v>
      </c>
      <c r="EG46" s="7" t="s">
        <v>369</v>
      </c>
      <c r="EH46" s="7" t="s">
        <v>369</v>
      </c>
      <c r="EI46" s="7" t="s">
        <v>369</v>
      </c>
      <c r="EJ46" s="7" t="s">
        <v>369</v>
      </c>
      <c r="EK46" s="7" t="s">
        <v>369</v>
      </c>
      <c r="EL46" s="7" t="s">
        <v>424</v>
      </c>
      <c r="EM46" s="7" t="s">
        <v>372</v>
      </c>
      <c r="EN46" s="7" t="s">
        <v>374</v>
      </c>
      <c r="EO46" s="7"/>
      <c r="EP46" s="7"/>
      <c r="EQ46" s="7" t="s">
        <v>376</v>
      </c>
      <c r="ER46" s="7" t="s">
        <v>376</v>
      </c>
      <c r="ES46" s="7" t="s">
        <v>411</v>
      </c>
      <c r="ET46" s="7" t="s">
        <v>376</v>
      </c>
      <c r="EU46" s="7" t="s">
        <v>378</v>
      </c>
      <c r="EV46" s="7" t="s">
        <v>400</v>
      </c>
      <c r="EW46" s="7"/>
      <c r="EX46" s="7" t="s">
        <v>368</v>
      </c>
      <c r="EY46" s="7" t="s">
        <v>368</v>
      </c>
      <c r="EZ46" s="7" t="s">
        <v>368</v>
      </c>
      <c r="FA46" s="7" t="s">
        <v>345</v>
      </c>
      <c r="FB46" s="7" t="s">
        <v>401</v>
      </c>
      <c r="FC46" s="7"/>
      <c r="FD46" s="7" t="s">
        <v>401</v>
      </c>
      <c r="FE46" s="7"/>
      <c r="FF46" s="7" t="s">
        <v>431</v>
      </c>
      <c r="FG46" s="7" t="s">
        <v>441</v>
      </c>
      <c r="FH46" s="7" t="s">
        <v>460</v>
      </c>
      <c r="FI46" s="7" t="s">
        <v>442</v>
      </c>
      <c r="FJ46" s="7"/>
      <c r="FK46" s="7"/>
      <c r="FL46" s="7"/>
      <c r="FM46" s="7"/>
      <c r="FN46" s="7"/>
      <c r="FO46" s="7"/>
      <c r="FP46" s="7"/>
      <c r="FQ46" s="7"/>
      <c r="FR46" s="7"/>
      <c r="FS46" s="7"/>
      <c r="FT46" s="7"/>
      <c r="FU46" s="7"/>
      <c r="FV46" s="7"/>
      <c r="FW46" s="7"/>
      <c r="FX46" s="7"/>
      <c r="FY46" s="7"/>
      <c r="FZ46" s="7"/>
      <c r="GA46" s="7" t="s">
        <v>368</v>
      </c>
      <c r="GB46" s="7" t="s">
        <v>368</v>
      </c>
      <c r="GC46" s="7" t="s">
        <v>368</v>
      </c>
      <c r="GD46" s="7" t="s">
        <v>368</v>
      </c>
      <c r="GE46" s="7" t="s">
        <v>368</v>
      </c>
      <c r="GF46" s="7" t="s">
        <v>368</v>
      </c>
      <c r="GG46" s="7"/>
      <c r="GH46" s="7"/>
      <c r="GI46" s="7"/>
      <c r="GJ46" s="7"/>
      <c r="GK46" s="7"/>
      <c r="GL46" s="7" t="s">
        <v>344</v>
      </c>
      <c r="GM46" s="7" t="s">
        <v>344</v>
      </c>
      <c r="GN46" s="7" t="s">
        <v>344</v>
      </c>
      <c r="GO46" s="7" t="s">
        <v>344</v>
      </c>
      <c r="GP46" s="7" t="s">
        <v>344</v>
      </c>
      <c r="GQ46" s="7" t="s">
        <v>344</v>
      </c>
      <c r="GR46" s="7" t="s">
        <v>344</v>
      </c>
      <c r="GS46" s="7" t="s">
        <v>344</v>
      </c>
      <c r="GT46" s="7" t="s">
        <v>344</v>
      </c>
      <c r="GU46" s="7" t="s">
        <v>344</v>
      </c>
      <c r="GV46" s="7" t="s">
        <v>344</v>
      </c>
      <c r="GW46" s="7" t="s">
        <v>344</v>
      </c>
      <c r="GX46" s="7" t="s">
        <v>344</v>
      </c>
      <c r="GY46" s="7" t="s">
        <v>344</v>
      </c>
      <c r="GZ46" s="7" t="s">
        <v>345</v>
      </c>
      <c r="HA46" s="7"/>
      <c r="HB46" s="7" t="s">
        <v>344</v>
      </c>
      <c r="HC46" s="7"/>
      <c r="HD46" s="7" t="s">
        <v>344</v>
      </c>
      <c r="HE46" s="7"/>
      <c r="HF46" s="7" t="s">
        <v>344</v>
      </c>
      <c r="HG46" s="7"/>
      <c r="HH46" s="7" t="s">
        <v>344</v>
      </c>
      <c r="HI46" s="7"/>
      <c r="HJ46" s="7" t="s">
        <v>344</v>
      </c>
      <c r="HK46" s="7" t="s">
        <v>345</v>
      </c>
      <c r="HL46" s="7" t="s">
        <v>344</v>
      </c>
      <c r="HM46" s="7" t="s">
        <v>344</v>
      </c>
      <c r="HN46" s="7" t="s">
        <v>344</v>
      </c>
      <c r="HO46" s="7" t="s">
        <v>344</v>
      </c>
      <c r="HP46" s="7" t="s">
        <v>344</v>
      </c>
      <c r="HQ46" s="7" t="s">
        <v>344</v>
      </c>
      <c r="HR46" s="7" t="s">
        <v>344</v>
      </c>
      <c r="HS46" s="7" t="s">
        <v>344</v>
      </c>
      <c r="HT46" s="7" t="s">
        <v>344</v>
      </c>
      <c r="HU46" s="7" t="s">
        <v>344</v>
      </c>
      <c r="HV46" s="7" t="s">
        <v>344</v>
      </c>
      <c r="HW46" s="7" t="s">
        <v>344</v>
      </c>
      <c r="HX46" s="7" t="s">
        <v>344</v>
      </c>
      <c r="HY46" s="7"/>
      <c r="HZ46" s="7" t="s">
        <v>344</v>
      </c>
      <c r="IA46" s="7"/>
      <c r="IB46" s="7" t="s">
        <v>344</v>
      </c>
      <c r="IC46" s="7"/>
      <c r="ID46" s="7" t="s">
        <v>344</v>
      </c>
      <c r="IE46" s="7"/>
      <c r="IF46" s="7" t="s">
        <v>344</v>
      </c>
      <c r="IG46" s="7"/>
      <c r="IH46" s="7" t="s">
        <v>344</v>
      </c>
      <c r="II46" s="7" t="s">
        <v>344</v>
      </c>
      <c r="IJ46" s="7" t="s">
        <v>344</v>
      </c>
      <c r="IK46" s="7" t="s">
        <v>344</v>
      </c>
      <c r="IL46" s="7" t="s">
        <v>345</v>
      </c>
      <c r="IM46" s="7" t="s">
        <v>344</v>
      </c>
      <c r="IN46" s="7" t="s">
        <v>344</v>
      </c>
      <c r="IO46" s="7" t="s">
        <v>345</v>
      </c>
      <c r="IP46" s="7" t="s">
        <v>345</v>
      </c>
      <c r="IQ46" s="7" t="s">
        <v>344</v>
      </c>
      <c r="IR46" s="7" t="s">
        <v>344</v>
      </c>
      <c r="IS46" s="7" t="s">
        <v>344</v>
      </c>
      <c r="IT46" s="7"/>
      <c r="IU46" s="7"/>
      <c r="IV46" s="7"/>
      <c r="IW46" s="7"/>
      <c r="IX46" s="7"/>
      <c r="IY46" s="7"/>
      <c r="IZ46" s="7"/>
      <c r="JA46" s="7"/>
      <c r="JB46" s="7"/>
      <c r="JC46" s="7"/>
      <c r="JD46" s="7"/>
      <c r="JE46" s="7"/>
      <c r="JF46" s="7"/>
      <c r="JG46" s="7"/>
      <c r="JH46" s="7"/>
    </row>
    <row r="47" spans="1:268" ht="12.6" customHeight="1" x14ac:dyDescent="0.3">
      <c r="A47" s="7" t="s">
        <v>338</v>
      </c>
      <c r="B47" s="7">
        <v>105</v>
      </c>
      <c r="C47" s="7" t="s">
        <v>617</v>
      </c>
      <c r="D47" s="7">
        <v>14</v>
      </c>
      <c r="E47" s="7" t="s">
        <v>387</v>
      </c>
      <c r="F47" s="7">
        <v>1361758527</v>
      </c>
      <c r="G47" s="7" t="s">
        <v>618</v>
      </c>
      <c r="H47" s="7" t="s">
        <v>617</v>
      </c>
      <c r="I47" s="7" t="s">
        <v>609</v>
      </c>
      <c r="J47" s="7">
        <v>17</v>
      </c>
      <c r="K47" s="7" t="s">
        <v>389</v>
      </c>
      <c r="L47" s="7"/>
      <c r="M47" s="7" t="s">
        <v>345</v>
      </c>
      <c r="N47" s="7" t="s">
        <v>344</v>
      </c>
      <c r="O47" s="7" t="s">
        <v>344</v>
      </c>
      <c r="P47" s="7" t="s">
        <v>344</v>
      </c>
      <c r="Q47" s="7" t="s">
        <v>344</v>
      </c>
      <c r="R47" s="7"/>
      <c r="S47" s="7" t="s">
        <v>346</v>
      </c>
      <c r="T47" s="7"/>
      <c r="U47" s="7" t="s">
        <v>571</v>
      </c>
      <c r="V47" s="7"/>
      <c r="W47" s="7" t="s">
        <v>345</v>
      </c>
      <c r="X47" s="7" t="s">
        <v>344</v>
      </c>
      <c r="Y47" s="7" t="s">
        <v>344</v>
      </c>
      <c r="Z47" s="7" t="s">
        <v>344</v>
      </c>
      <c r="AA47" s="7" t="s">
        <v>344</v>
      </c>
      <c r="AB47" s="7" t="s">
        <v>344</v>
      </c>
      <c r="AC47" s="7" t="s">
        <v>344</v>
      </c>
      <c r="AD47" s="7" t="s">
        <v>344</v>
      </c>
      <c r="AE47" s="7" t="s">
        <v>344</v>
      </c>
      <c r="AF47" s="7" t="s">
        <v>344</v>
      </c>
      <c r="AG47" s="7" t="s">
        <v>344</v>
      </c>
      <c r="AH47" s="7" t="s">
        <v>344</v>
      </c>
      <c r="AI47" s="7" t="s">
        <v>345</v>
      </c>
      <c r="AJ47" s="7" t="s">
        <v>344</v>
      </c>
      <c r="AK47" s="7" t="s">
        <v>345</v>
      </c>
      <c r="AL47" s="7" t="s">
        <v>344</v>
      </c>
      <c r="AM47" s="7" t="s">
        <v>344</v>
      </c>
      <c r="AN47" s="7" t="s">
        <v>344</v>
      </c>
      <c r="AO47" s="7" t="s">
        <v>344</v>
      </c>
      <c r="AP47" s="7" t="s">
        <v>344</v>
      </c>
      <c r="AQ47" s="7" t="s">
        <v>344</v>
      </c>
      <c r="AR47" s="7" t="s">
        <v>344</v>
      </c>
      <c r="AS47" s="7" t="s">
        <v>344</v>
      </c>
      <c r="AT47" s="7" t="s">
        <v>344</v>
      </c>
      <c r="AU47" s="7" t="s">
        <v>344</v>
      </c>
      <c r="AV47" s="7" t="s">
        <v>344</v>
      </c>
      <c r="AW47" s="7" t="s">
        <v>345</v>
      </c>
      <c r="AX47" s="7" t="s">
        <v>344</v>
      </c>
      <c r="AY47" s="7"/>
      <c r="AZ47" s="7"/>
      <c r="BA47" s="7"/>
      <c r="BB47" s="7"/>
      <c r="BC47" s="7"/>
      <c r="BD47" s="7"/>
      <c r="BE47" s="7" t="s">
        <v>349</v>
      </c>
      <c r="BF47" s="7" t="s">
        <v>390</v>
      </c>
      <c r="BG47" s="7" t="s">
        <v>390</v>
      </c>
      <c r="BH47" s="7" t="s">
        <v>390</v>
      </c>
      <c r="BI47" s="7" t="s">
        <v>390</v>
      </c>
      <c r="BJ47" s="7" t="s">
        <v>353</v>
      </c>
      <c r="BK47" s="7" t="s">
        <v>354</v>
      </c>
      <c r="BL47" s="7" t="s">
        <v>352</v>
      </c>
      <c r="BM47" s="7" t="s">
        <v>356</v>
      </c>
      <c r="BN47" s="7" t="s">
        <v>352</v>
      </c>
      <c r="BO47" s="7" t="s">
        <v>355</v>
      </c>
      <c r="BP47" s="7" t="s">
        <v>357</v>
      </c>
      <c r="BQ47" s="7" t="s">
        <v>455</v>
      </c>
      <c r="BR47" s="7" t="s">
        <v>408</v>
      </c>
      <c r="BS47" s="7" t="s">
        <v>354</v>
      </c>
      <c r="BT47" s="7" t="s">
        <v>351</v>
      </c>
      <c r="BU47" s="7" t="s">
        <v>356</v>
      </c>
      <c r="BV47" s="7" t="s">
        <v>352</v>
      </c>
      <c r="BW47" s="7" t="s">
        <v>353</v>
      </c>
      <c r="BX47" s="7" t="s">
        <v>351</v>
      </c>
      <c r="BY47" s="7" t="s">
        <v>357</v>
      </c>
      <c r="BZ47" s="7" t="s">
        <v>352</v>
      </c>
      <c r="CA47" s="7" t="s">
        <v>354</v>
      </c>
      <c r="CB47" s="7" t="s">
        <v>353</v>
      </c>
      <c r="CC47" s="7" t="s">
        <v>352</v>
      </c>
      <c r="CD47" s="7" t="s">
        <v>354</v>
      </c>
      <c r="CE47" s="7" t="s">
        <v>357</v>
      </c>
      <c r="CF47" s="7" t="s">
        <v>355</v>
      </c>
      <c r="CG47" s="7" t="s">
        <v>360</v>
      </c>
      <c r="CH47" s="7" t="s">
        <v>421</v>
      </c>
      <c r="CI47" s="7" t="s">
        <v>392</v>
      </c>
      <c r="CJ47" s="7" t="s">
        <v>420</v>
      </c>
      <c r="CK47" s="7" t="s">
        <v>619</v>
      </c>
      <c r="CL47" s="7" t="s">
        <v>344</v>
      </c>
      <c r="CM47" s="7" t="s">
        <v>344</v>
      </c>
      <c r="CN47" s="7" t="s">
        <v>344</v>
      </c>
      <c r="CO47" s="7" t="s">
        <v>345</v>
      </c>
      <c r="CP47" s="7" t="s">
        <v>345</v>
      </c>
      <c r="CQ47" s="7" t="s">
        <v>344</v>
      </c>
      <c r="CR47" s="7" t="s">
        <v>394</v>
      </c>
      <c r="CS47" s="7">
        <v>75</v>
      </c>
      <c r="CT47" s="7">
        <v>90</v>
      </c>
      <c r="CU47" s="7"/>
      <c r="CV47" s="7"/>
      <c r="CW47" s="7" t="s">
        <v>395</v>
      </c>
      <c r="CX47" s="7" t="s">
        <v>395</v>
      </c>
      <c r="CY47" s="7" t="s">
        <v>363</v>
      </c>
      <c r="CZ47" s="7" t="s">
        <v>397</v>
      </c>
      <c r="DA47" s="7" t="s">
        <v>397</v>
      </c>
      <c r="DB47" s="7" t="s">
        <v>397</v>
      </c>
      <c r="DC47" s="7" t="s">
        <v>397</v>
      </c>
      <c r="DD47" s="7" t="s">
        <v>397</v>
      </c>
      <c r="DE47" s="7"/>
      <c r="DF47" s="7"/>
      <c r="DG47" s="7"/>
      <c r="DH47" s="7"/>
      <c r="DI47" s="7"/>
      <c r="DJ47" s="7"/>
      <c r="DK47" s="7" t="s">
        <v>367</v>
      </c>
      <c r="DL47" s="7" t="s">
        <v>368</v>
      </c>
      <c r="DM47" s="7" t="s">
        <v>368</v>
      </c>
      <c r="DN47" s="7" t="s">
        <v>368</v>
      </c>
      <c r="DO47" s="7" t="s">
        <v>368</v>
      </c>
      <c r="DP47" s="7" t="s">
        <v>345</v>
      </c>
      <c r="DQ47" s="7" t="s">
        <v>345</v>
      </c>
      <c r="DR47" s="7" t="s">
        <v>345</v>
      </c>
      <c r="DS47" s="7" t="s">
        <v>344</v>
      </c>
      <c r="DT47" s="7" t="s">
        <v>345</v>
      </c>
      <c r="DU47" s="7" t="s">
        <v>345</v>
      </c>
      <c r="DV47" s="7" t="s">
        <v>345</v>
      </c>
      <c r="DW47" s="7" t="s">
        <v>344</v>
      </c>
      <c r="DX47" s="7" t="s">
        <v>370</v>
      </c>
      <c r="DY47" s="7" t="s">
        <v>370</v>
      </c>
      <c r="DZ47" s="7" t="s">
        <v>370</v>
      </c>
      <c r="EA47" s="7" t="s">
        <v>370</v>
      </c>
      <c r="EB47" s="7" t="s">
        <v>370</v>
      </c>
      <c r="EC47" s="7" t="s">
        <v>370</v>
      </c>
      <c r="ED47" s="7" t="s">
        <v>370</v>
      </c>
      <c r="EE47" s="7" t="s">
        <v>369</v>
      </c>
      <c r="EF47" s="7" t="s">
        <v>371</v>
      </c>
      <c r="EG47" s="7" t="s">
        <v>369</v>
      </c>
      <c r="EH47" s="7" t="s">
        <v>369</v>
      </c>
      <c r="EI47" s="7" t="s">
        <v>369</v>
      </c>
      <c r="EJ47" s="7" t="s">
        <v>369</v>
      </c>
      <c r="EK47" s="7" t="s">
        <v>369</v>
      </c>
      <c r="EL47" s="7" t="s">
        <v>372</v>
      </c>
      <c r="EM47" s="7" t="s">
        <v>424</v>
      </c>
      <c r="EN47" s="7" t="s">
        <v>373</v>
      </c>
      <c r="EO47" s="7"/>
      <c r="EP47" s="7"/>
      <c r="EQ47" s="7" t="s">
        <v>376</v>
      </c>
      <c r="ER47" s="7" t="s">
        <v>375</v>
      </c>
      <c r="ES47" s="7" t="s">
        <v>411</v>
      </c>
      <c r="ET47" s="7" t="s">
        <v>375</v>
      </c>
      <c r="EU47" s="7" t="s">
        <v>375</v>
      </c>
      <c r="EV47" s="7" t="s">
        <v>400</v>
      </c>
      <c r="EW47" s="7"/>
      <c r="EX47" s="7" t="s">
        <v>368</v>
      </c>
      <c r="EY47" s="7" t="s">
        <v>368</v>
      </c>
      <c r="EZ47" s="7" t="s">
        <v>368</v>
      </c>
      <c r="FA47" s="7" t="s">
        <v>345</v>
      </c>
      <c r="FB47" s="7" t="s">
        <v>401</v>
      </c>
      <c r="FC47" s="7"/>
      <c r="FD47" s="7" t="s">
        <v>401</v>
      </c>
      <c r="FE47" s="7"/>
      <c r="FF47" s="7" t="s">
        <v>382</v>
      </c>
      <c r="FG47" s="7" t="s">
        <v>383</v>
      </c>
      <c r="FH47" s="7" t="s">
        <v>384</v>
      </c>
      <c r="FI47" s="7" t="s">
        <v>403</v>
      </c>
      <c r="FJ47" s="7"/>
      <c r="FK47" s="7"/>
      <c r="FL47" s="7"/>
      <c r="FM47" s="7"/>
      <c r="FN47" s="7"/>
      <c r="FO47" s="7"/>
      <c r="FP47" s="7"/>
      <c r="FQ47" s="7"/>
      <c r="FR47" s="7"/>
      <c r="FS47" s="7"/>
      <c r="FT47" s="7"/>
      <c r="FU47" s="7"/>
      <c r="FV47" s="7"/>
      <c r="FW47" s="7"/>
      <c r="FX47" s="7"/>
      <c r="FY47" s="7"/>
      <c r="FZ47" s="7"/>
      <c r="GA47" s="7" t="s">
        <v>368</v>
      </c>
      <c r="GB47" s="7" t="s">
        <v>368</v>
      </c>
      <c r="GC47" s="7" t="s">
        <v>368</v>
      </c>
      <c r="GD47" s="7" t="s">
        <v>368</v>
      </c>
      <c r="GE47" s="7" t="s">
        <v>368</v>
      </c>
      <c r="GF47" s="7" t="s">
        <v>368</v>
      </c>
      <c r="GG47" s="7"/>
      <c r="GH47" s="7"/>
      <c r="GI47" s="7"/>
      <c r="GJ47" s="7"/>
      <c r="GK47" s="7"/>
      <c r="GL47" s="7" t="s">
        <v>344</v>
      </c>
      <c r="GM47" s="7" t="s">
        <v>344</v>
      </c>
      <c r="GN47" s="7" t="s">
        <v>344</v>
      </c>
      <c r="GO47" s="7" t="s">
        <v>345</v>
      </c>
      <c r="GP47" s="7" t="s">
        <v>344</v>
      </c>
      <c r="GQ47" s="7" t="s">
        <v>344</v>
      </c>
      <c r="GR47" s="7" t="s">
        <v>344</v>
      </c>
      <c r="GS47" s="7" t="s">
        <v>344</v>
      </c>
      <c r="GT47" s="7" t="s">
        <v>344</v>
      </c>
      <c r="GU47" s="7" t="s">
        <v>344</v>
      </c>
      <c r="GV47" s="7" t="s">
        <v>344</v>
      </c>
      <c r="GW47" s="7" t="s">
        <v>345</v>
      </c>
      <c r="GX47" s="7" t="s">
        <v>344</v>
      </c>
      <c r="GY47" s="7" t="s">
        <v>344</v>
      </c>
      <c r="GZ47" s="7" t="s">
        <v>344</v>
      </c>
      <c r="HA47" s="7"/>
      <c r="HB47" s="7" t="s">
        <v>344</v>
      </c>
      <c r="HC47" s="7"/>
      <c r="HD47" s="7" t="s">
        <v>344</v>
      </c>
      <c r="HE47" s="7"/>
      <c r="HF47" s="7" t="s">
        <v>344</v>
      </c>
      <c r="HG47" s="7"/>
      <c r="HH47" s="7" t="s">
        <v>344</v>
      </c>
      <c r="HI47" s="7"/>
      <c r="HJ47" s="7" t="s">
        <v>344</v>
      </c>
      <c r="HK47" s="7" t="s">
        <v>344</v>
      </c>
      <c r="HL47" s="7" t="s">
        <v>344</v>
      </c>
      <c r="HM47" s="7" t="s">
        <v>345</v>
      </c>
      <c r="HN47" s="7" t="s">
        <v>344</v>
      </c>
      <c r="HO47" s="7" t="s">
        <v>344</v>
      </c>
      <c r="HP47" s="7" t="s">
        <v>344</v>
      </c>
      <c r="HQ47" s="7" t="s">
        <v>344</v>
      </c>
      <c r="HR47" s="7" t="s">
        <v>344</v>
      </c>
      <c r="HS47" s="7" t="s">
        <v>344</v>
      </c>
      <c r="HT47" s="7" t="s">
        <v>344</v>
      </c>
      <c r="HU47" s="7" t="s">
        <v>345</v>
      </c>
      <c r="HV47" s="7" t="s">
        <v>344</v>
      </c>
      <c r="HW47" s="7" t="s">
        <v>344</v>
      </c>
      <c r="HX47" s="7" t="s">
        <v>344</v>
      </c>
      <c r="HY47" s="7"/>
      <c r="HZ47" s="7" t="s">
        <v>344</v>
      </c>
      <c r="IA47" s="7"/>
      <c r="IB47" s="7" t="s">
        <v>344</v>
      </c>
      <c r="IC47" s="7"/>
      <c r="ID47" s="7" t="s">
        <v>344</v>
      </c>
      <c r="IE47" s="7"/>
      <c r="IF47" s="7" t="s">
        <v>344</v>
      </c>
      <c r="IG47" s="7"/>
      <c r="IH47" s="7" t="s">
        <v>345</v>
      </c>
      <c r="II47" s="7" t="s">
        <v>345</v>
      </c>
      <c r="IJ47" s="7" t="s">
        <v>344</v>
      </c>
      <c r="IK47" s="7" t="s">
        <v>344</v>
      </c>
      <c r="IL47" s="7" t="s">
        <v>345</v>
      </c>
      <c r="IM47" s="7" t="s">
        <v>344</v>
      </c>
      <c r="IN47" s="7" t="s">
        <v>344</v>
      </c>
      <c r="IO47" s="7" t="s">
        <v>345</v>
      </c>
      <c r="IP47" s="7" t="s">
        <v>344</v>
      </c>
      <c r="IQ47" s="7" t="s">
        <v>344</v>
      </c>
      <c r="IR47" s="7" t="s">
        <v>344</v>
      </c>
      <c r="IS47" s="7" t="s">
        <v>344</v>
      </c>
      <c r="IT47" s="7"/>
      <c r="IU47" s="7"/>
      <c r="IV47" s="7"/>
      <c r="IW47" s="7"/>
      <c r="IX47" s="7"/>
      <c r="IY47" s="7"/>
      <c r="IZ47" s="7"/>
      <c r="JA47" s="7"/>
      <c r="JB47" s="7"/>
      <c r="JC47" s="7"/>
      <c r="JD47" s="7"/>
      <c r="JE47" s="7"/>
      <c r="JF47" s="7"/>
      <c r="JG47" s="7"/>
      <c r="JH47" s="7"/>
    </row>
    <row r="48" spans="1:268" x14ac:dyDescent="0.3">
      <c r="A48" s="7" t="s">
        <v>338</v>
      </c>
      <c r="B48" s="7">
        <v>107</v>
      </c>
      <c r="C48" s="7" t="s">
        <v>623</v>
      </c>
      <c r="D48" s="7">
        <v>14</v>
      </c>
      <c r="E48" s="7" t="s">
        <v>387</v>
      </c>
      <c r="F48" s="7">
        <v>185082656</v>
      </c>
      <c r="G48" s="7" t="s">
        <v>624</v>
      </c>
      <c r="H48" s="7" t="s">
        <v>623</v>
      </c>
      <c r="I48" s="7" t="s">
        <v>609</v>
      </c>
      <c r="J48" s="7">
        <v>17</v>
      </c>
      <c r="K48" s="7" t="s">
        <v>406</v>
      </c>
      <c r="L48" s="7"/>
      <c r="M48" s="7" t="s">
        <v>345</v>
      </c>
      <c r="N48" s="7" t="s">
        <v>344</v>
      </c>
      <c r="O48" s="7" t="s">
        <v>344</v>
      </c>
      <c r="P48" s="7" t="s">
        <v>344</v>
      </c>
      <c r="Q48" s="7" t="s">
        <v>344</v>
      </c>
      <c r="R48" s="7"/>
      <c r="S48" s="7" t="s">
        <v>346</v>
      </c>
      <c r="T48" s="7"/>
      <c r="U48" s="7" t="s">
        <v>428</v>
      </c>
      <c r="V48" s="7"/>
      <c r="W48" s="7" t="s">
        <v>345</v>
      </c>
      <c r="X48" s="7" t="s">
        <v>344</v>
      </c>
      <c r="Y48" s="7" t="s">
        <v>344</v>
      </c>
      <c r="Z48" s="7" t="s">
        <v>344</v>
      </c>
      <c r="AA48" s="7" t="s">
        <v>344</v>
      </c>
      <c r="AB48" s="7" t="s">
        <v>344</v>
      </c>
      <c r="AC48" s="7" t="s">
        <v>344</v>
      </c>
      <c r="AD48" s="7" t="s">
        <v>344</v>
      </c>
      <c r="AE48" s="7" t="s">
        <v>345</v>
      </c>
      <c r="AF48" s="7" t="s">
        <v>344</v>
      </c>
      <c r="AG48" s="7" t="s">
        <v>344</v>
      </c>
      <c r="AH48" s="7" t="s">
        <v>344</v>
      </c>
      <c r="AI48" s="7" t="s">
        <v>344</v>
      </c>
      <c r="AJ48" s="7" t="s">
        <v>344</v>
      </c>
      <c r="AK48" s="7" t="s">
        <v>345</v>
      </c>
      <c r="AL48" s="7" t="s">
        <v>344</v>
      </c>
      <c r="AM48" s="7" t="s">
        <v>344</v>
      </c>
      <c r="AN48" s="7" t="s">
        <v>344</v>
      </c>
      <c r="AO48" s="7" t="s">
        <v>344</v>
      </c>
      <c r="AP48" s="7" t="s">
        <v>344</v>
      </c>
      <c r="AQ48" s="7" t="s">
        <v>344</v>
      </c>
      <c r="AR48" s="7" t="s">
        <v>344</v>
      </c>
      <c r="AS48" s="7" t="s">
        <v>345</v>
      </c>
      <c r="AT48" s="7" t="s">
        <v>345</v>
      </c>
      <c r="AU48" s="7" t="s">
        <v>344</v>
      </c>
      <c r="AV48" s="7" t="s">
        <v>344</v>
      </c>
      <c r="AW48" s="7" t="s">
        <v>344</v>
      </c>
      <c r="AX48" s="7" t="s">
        <v>344</v>
      </c>
      <c r="AY48" s="7"/>
      <c r="AZ48" s="7"/>
      <c r="BA48" s="7"/>
      <c r="BB48" s="7"/>
      <c r="BC48" s="7"/>
      <c r="BD48" s="7"/>
      <c r="BE48" s="7" t="s">
        <v>349</v>
      </c>
      <c r="BF48" s="7" t="s">
        <v>350</v>
      </c>
      <c r="BG48" s="7" t="s">
        <v>348</v>
      </c>
      <c r="BH48" s="7" t="s">
        <v>348</v>
      </c>
      <c r="BI48" s="7" t="s">
        <v>350</v>
      </c>
      <c r="BJ48" s="7" t="s">
        <v>391</v>
      </c>
      <c r="BK48" s="7" t="s">
        <v>391</v>
      </c>
      <c r="BL48" s="7" t="s">
        <v>391</v>
      </c>
      <c r="BM48" s="7" t="s">
        <v>391</v>
      </c>
      <c r="BN48" s="7" t="s">
        <v>391</v>
      </c>
      <c r="BO48" s="7" t="s">
        <v>391</v>
      </c>
      <c r="BP48" s="7" t="s">
        <v>391</v>
      </c>
      <c r="BQ48" s="7" t="s">
        <v>358</v>
      </c>
      <c r="BR48" s="7" t="s">
        <v>408</v>
      </c>
      <c r="BS48" s="7" t="s">
        <v>391</v>
      </c>
      <c r="BT48" s="7" t="s">
        <v>391</v>
      </c>
      <c r="BU48" s="7" t="s">
        <v>391</v>
      </c>
      <c r="BV48" s="7" t="s">
        <v>391</v>
      </c>
      <c r="BW48" s="7" t="s">
        <v>391</v>
      </c>
      <c r="BX48" s="7" t="s">
        <v>391</v>
      </c>
      <c r="BY48" s="7" t="s">
        <v>391</v>
      </c>
      <c r="BZ48" s="7" t="s">
        <v>391</v>
      </c>
      <c r="CA48" s="7" t="s">
        <v>391</v>
      </c>
      <c r="CB48" s="7" t="s">
        <v>391</v>
      </c>
      <c r="CC48" s="7" t="s">
        <v>391</v>
      </c>
      <c r="CD48" s="7" t="s">
        <v>391</v>
      </c>
      <c r="CE48" s="7" t="s">
        <v>391</v>
      </c>
      <c r="CF48" s="7" t="s">
        <v>391</v>
      </c>
      <c r="CG48" s="7" t="s">
        <v>393</v>
      </c>
      <c r="CH48" s="7" t="s">
        <v>420</v>
      </c>
      <c r="CI48" s="7" t="s">
        <v>392</v>
      </c>
      <c r="CJ48" s="7" t="s">
        <v>360</v>
      </c>
      <c r="CK48" s="7"/>
      <c r="CL48" s="7" t="s">
        <v>344</v>
      </c>
      <c r="CM48" s="7" t="s">
        <v>345</v>
      </c>
      <c r="CN48" s="7" t="s">
        <v>344</v>
      </c>
      <c r="CO48" s="7" t="s">
        <v>344</v>
      </c>
      <c r="CP48" s="7" t="s">
        <v>345</v>
      </c>
      <c r="CQ48" s="7" t="s">
        <v>344</v>
      </c>
      <c r="CR48" s="7" t="s">
        <v>362</v>
      </c>
      <c r="CS48" s="7">
        <v>33</v>
      </c>
      <c r="CT48" s="7">
        <v>19</v>
      </c>
      <c r="CU48" s="7"/>
      <c r="CV48" s="7"/>
      <c r="CW48" s="7" t="s">
        <v>363</v>
      </c>
      <c r="CX48" s="7" t="s">
        <v>395</v>
      </c>
      <c r="CY48" s="7" t="s">
        <v>396</v>
      </c>
      <c r="CZ48" s="7" t="s">
        <v>397</v>
      </c>
      <c r="DA48" s="7" t="s">
        <v>366</v>
      </c>
      <c r="DB48" s="7" t="s">
        <v>366</v>
      </c>
      <c r="DC48" s="7" t="s">
        <v>397</v>
      </c>
      <c r="DD48" s="7" t="s">
        <v>366</v>
      </c>
      <c r="DE48" s="7"/>
      <c r="DF48" s="7"/>
      <c r="DG48" s="7"/>
      <c r="DH48" s="7"/>
      <c r="DI48" s="7"/>
      <c r="DJ48" s="7"/>
      <c r="DK48" s="7" t="s">
        <v>367</v>
      </c>
      <c r="DL48" s="7" t="s">
        <v>368</v>
      </c>
      <c r="DM48" s="7" t="s">
        <v>368</v>
      </c>
      <c r="DN48" s="7" t="s">
        <v>368</v>
      </c>
      <c r="DO48" s="7" t="s">
        <v>368</v>
      </c>
      <c r="DP48" s="7" t="s">
        <v>344</v>
      </c>
      <c r="DQ48" s="7" t="s">
        <v>344</v>
      </c>
      <c r="DR48" s="7" t="s">
        <v>345</v>
      </c>
      <c r="DS48" s="7" t="s">
        <v>344</v>
      </c>
      <c r="DT48" s="7" t="s">
        <v>368</v>
      </c>
      <c r="DU48" s="7" t="s">
        <v>368</v>
      </c>
      <c r="DV48" s="7" t="s">
        <v>368</v>
      </c>
      <c r="DW48" s="7" t="s">
        <v>345</v>
      </c>
      <c r="DX48" s="7" t="s">
        <v>370</v>
      </c>
      <c r="DY48" s="7" t="s">
        <v>370</v>
      </c>
      <c r="DZ48" s="7" t="s">
        <v>370</v>
      </c>
      <c r="EA48" s="7" t="s">
        <v>370</v>
      </c>
      <c r="EB48" s="7" t="s">
        <v>371</v>
      </c>
      <c r="EC48" s="7" t="s">
        <v>370</v>
      </c>
      <c r="ED48" s="7" t="s">
        <v>370</v>
      </c>
      <c r="EE48" s="7" t="s">
        <v>369</v>
      </c>
      <c r="EF48" s="7" t="s">
        <v>399</v>
      </c>
      <c r="EG48" s="7" t="s">
        <v>369</v>
      </c>
      <c r="EH48" s="7" t="s">
        <v>369</v>
      </c>
      <c r="EI48" s="7" t="s">
        <v>369</v>
      </c>
      <c r="EJ48" s="7" t="s">
        <v>399</v>
      </c>
      <c r="EK48" s="7" t="s">
        <v>369</v>
      </c>
      <c r="EL48" s="7" t="s">
        <v>373</v>
      </c>
      <c r="EM48" s="7" t="s">
        <v>374</v>
      </c>
      <c r="EN48" s="7" t="s">
        <v>424</v>
      </c>
      <c r="EO48" s="7"/>
      <c r="EP48" s="7"/>
      <c r="EQ48" s="7" t="s">
        <v>375</v>
      </c>
      <c r="ER48" s="7" t="s">
        <v>376</v>
      </c>
      <c r="ES48" s="7" t="s">
        <v>378</v>
      </c>
      <c r="ET48" s="7" t="s">
        <v>375</v>
      </c>
      <c r="EU48" s="7" t="s">
        <v>375</v>
      </c>
      <c r="EV48" s="7" t="s">
        <v>400</v>
      </c>
      <c r="EW48" s="7"/>
      <c r="EX48" s="7" t="s">
        <v>368</v>
      </c>
      <c r="EY48" s="7" t="s">
        <v>368</v>
      </c>
      <c r="EZ48" s="7" t="s">
        <v>368</v>
      </c>
      <c r="FA48" s="7" t="s">
        <v>345</v>
      </c>
      <c r="FB48" s="7" t="s">
        <v>401</v>
      </c>
      <c r="FC48" s="7"/>
      <c r="FD48" s="7" t="s">
        <v>401</v>
      </c>
      <c r="FE48" s="7"/>
      <c r="FF48" s="7" t="s">
        <v>382</v>
      </c>
      <c r="FG48" s="7" t="s">
        <v>441</v>
      </c>
      <c r="FH48" s="7" t="s">
        <v>451</v>
      </c>
      <c r="FI48" s="7" t="s">
        <v>442</v>
      </c>
      <c r="FJ48" s="7"/>
      <c r="FK48" s="7"/>
      <c r="FL48" s="7"/>
      <c r="FM48" s="7"/>
      <c r="FN48" s="7"/>
      <c r="FO48" s="7"/>
      <c r="FP48" s="7"/>
      <c r="FQ48" s="7"/>
      <c r="FR48" s="7"/>
      <c r="FS48" s="7"/>
      <c r="FT48" s="7"/>
      <c r="FU48" s="7"/>
      <c r="FV48" s="7"/>
      <c r="FW48" s="7"/>
      <c r="FX48" s="7"/>
      <c r="FY48" s="7"/>
      <c r="FZ48" s="7"/>
      <c r="GA48" s="7" t="s">
        <v>368</v>
      </c>
      <c r="GB48" s="7" t="s">
        <v>368</v>
      </c>
      <c r="GC48" s="7" t="s">
        <v>368</v>
      </c>
      <c r="GD48" s="7" t="s">
        <v>368</v>
      </c>
      <c r="GE48" s="7" t="s">
        <v>368</v>
      </c>
      <c r="GF48" s="7" t="s">
        <v>368</v>
      </c>
      <c r="GG48" s="7"/>
      <c r="GH48" s="7"/>
      <c r="GI48" s="7"/>
      <c r="GJ48" s="7"/>
      <c r="GK48" s="7"/>
      <c r="GL48" s="7" t="s">
        <v>344</v>
      </c>
      <c r="GM48" s="7" t="s">
        <v>344</v>
      </c>
      <c r="GN48" s="7" t="s">
        <v>345</v>
      </c>
      <c r="GO48" s="7" t="s">
        <v>345</v>
      </c>
      <c r="GP48" s="7" t="s">
        <v>344</v>
      </c>
      <c r="GQ48" s="7" t="s">
        <v>344</v>
      </c>
      <c r="GR48" s="7" t="s">
        <v>344</v>
      </c>
      <c r="GS48" s="7" t="s">
        <v>344</v>
      </c>
      <c r="GT48" s="7" t="s">
        <v>345</v>
      </c>
      <c r="GU48" s="7" t="s">
        <v>344</v>
      </c>
      <c r="GV48" s="7" t="s">
        <v>345</v>
      </c>
      <c r="GW48" s="7" t="s">
        <v>345</v>
      </c>
      <c r="GX48" s="7" t="s">
        <v>344</v>
      </c>
      <c r="GY48" s="7" t="s">
        <v>344</v>
      </c>
      <c r="GZ48" s="7" t="s">
        <v>344</v>
      </c>
      <c r="HA48" s="7"/>
      <c r="HB48" s="7" t="s">
        <v>345</v>
      </c>
      <c r="HC48" s="7" t="s">
        <v>625</v>
      </c>
      <c r="HD48" s="7" t="s">
        <v>345</v>
      </c>
      <c r="HE48" s="7" t="s">
        <v>626</v>
      </c>
      <c r="HF48" s="7" t="s">
        <v>344</v>
      </c>
      <c r="HG48" s="7"/>
      <c r="HH48" s="7" t="s">
        <v>344</v>
      </c>
      <c r="HI48" s="7"/>
      <c r="HJ48" s="7" t="s">
        <v>344</v>
      </c>
      <c r="HK48" s="7" t="s">
        <v>344</v>
      </c>
      <c r="HL48" s="7" t="s">
        <v>344</v>
      </c>
      <c r="HM48" s="7" t="s">
        <v>344</v>
      </c>
      <c r="HN48" s="7" t="s">
        <v>344</v>
      </c>
      <c r="HO48" s="7" t="s">
        <v>344</v>
      </c>
      <c r="HP48" s="7" t="s">
        <v>344</v>
      </c>
      <c r="HQ48" s="7" t="s">
        <v>344</v>
      </c>
      <c r="HR48" s="7" t="s">
        <v>344</v>
      </c>
      <c r="HS48" s="7" t="s">
        <v>344</v>
      </c>
      <c r="HT48" s="7" t="s">
        <v>344</v>
      </c>
      <c r="HU48" s="7" t="s">
        <v>345</v>
      </c>
      <c r="HV48" s="7" t="s">
        <v>344</v>
      </c>
      <c r="HW48" s="7" t="s">
        <v>344</v>
      </c>
      <c r="HX48" s="7" t="s">
        <v>344</v>
      </c>
      <c r="HY48" s="7"/>
      <c r="HZ48" s="7" t="s">
        <v>344</v>
      </c>
      <c r="IA48" s="7"/>
      <c r="IB48" s="7" t="s">
        <v>344</v>
      </c>
      <c r="IC48" s="7"/>
      <c r="ID48" s="7" t="s">
        <v>344</v>
      </c>
      <c r="IE48" s="7"/>
      <c r="IF48" s="7" t="s">
        <v>344</v>
      </c>
      <c r="IG48" s="7"/>
      <c r="IH48" s="7" t="s">
        <v>345</v>
      </c>
      <c r="II48" s="7" t="s">
        <v>345</v>
      </c>
      <c r="IJ48" s="7" t="s">
        <v>344</v>
      </c>
      <c r="IK48" s="7" t="s">
        <v>344</v>
      </c>
      <c r="IL48" s="7" t="s">
        <v>344</v>
      </c>
      <c r="IM48" s="7" t="s">
        <v>344</v>
      </c>
      <c r="IN48" s="7" t="s">
        <v>344</v>
      </c>
      <c r="IO48" s="7" t="s">
        <v>345</v>
      </c>
      <c r="IP48" s="7" t="s">
        <v>344</v>
      </c>
      <c r="IQ48" s="7" t="s">
        <v>344</v>
      </c>
      <c r="IR48" s="7" t="s">
        <v>344</v>
      </c>
      <c r="IS48" s="7" t="s">
        <v>344</v>
      </c>
      <c r="IT48" s="7"/>
      <c r="IU48" s="7"/>
      <c r="IV48" s="7"/>
      <c r="IW48" s="7"/>
      <c r="IX48" s="7"/>
      <c r="IY48" s="7"/>
      <c r="IZ48" s="7"/>
      <c r="JA48" s="7"/>
      <c r="JB48" s="7"/>
      <c r="JC48" s="7"/>
      <c r="JD48" s="7"/>
      <c r="JE48" s="7"/>
      <c r="JF48" s="7"/>
      <c r="JG48" s="7"/>
      <c r="JH48" s="7"/>
    </row>
    <row r="49" spans="1:268" x14ac:dyDescent="0.3">
      <c r="A49" s="7" t="s">
        <v>338</v>
      </c>
      <c r="B49" s="7">
        <v>108</v>
      </c>
      <c r="C49" s="7" t="s">
        <v>627</v>
      </c>
      <c r="D49" s="7">
        <v>14</v>
      </c>
      <c r="E49" s="7" t="s">
        <v>387</v>
      </c>
      <c r="F49" s="7">
        <v>17464639</v>
      </c>
      <c r="G49" s="7" t="s">
        <v>628</v>
      </c>
      <c r="H49" s="7" t="s">
        <v>627</v>
      </c>
      <c r="I49" s="7" t="s">
        <v>609</v>
      </c>
      <c r="J49" s="7">
        <v>18</v>
      </c>
      <c r="K49" s="7" t="s">
        <v>389</v>
      </c>
      <c r="L49" s="7"/>
      <c r="M49" s="7" t="s">
        <v>345</v>
      </c>
      <c r="N49" s="7" t="s">
        <v>344</v>
      </c>
      <c r="O49" s="7" t="s">
        <v>344</v>
      </c>
      <c r="P49" s="7" t="s">
        <v>344</v>
      </c>
      <c r="Q49" s="7" t="s">
        <v>344</v>
      </c>
      <c r="R49" s="7"/>
      <c r="S49" s="7" t="s">
        <v>346</v>
      </c>
      <c r="T49" s="7"/>
      <c r="U49" s="7" t="s">
        <v>571</v>
      </c>
      <c r="V49" s="7"/>
      <c r="W49" s="7" t="s">
        <v>344</v>
      </c>
      <c r="X49" s="7" t="s">
        <v>345</v>
      </c>
      <c r="Y49" s="7" t="s">
        <v>344</v>
      </c>
      <c r="Z49" s="7" t="s">
        <v>344</v>
      </c>
      <c r="AA49" s="7" t="s">
        <v>344</v>
      </c>
      <c r="AB49" s="7" t="s">
        <v>344</v>
      </c>
      <c r="AC49" s="7" t="s">
        <v>344</v>
      </c>
      <c r="AD49" s="7" t="s">
        <v>344</v>
      </c>
      <c r="AE49" s="7" t="s">
        <v>344</v>
      </c>
      <c r="AF49" s="7" t="s">
        <v>345</v>
      </c>
      <c r="AG49" s="7" t="s">
        <v>344</v>
      </c>
      <c r="AH49" s="7" t="s">
        <v>344</v>
      </c>
      <c r="AI49" s="7" t="s">
        <v>344</v>
      </c>
      <c r="AJ49" s="7" t="s">
        <v>344</v>
      </c>
      <c r="AK49" s="7" t="s">
        <v>345</v>
      </c>
      <c r="AL49" s="7" t="s">
        <v>344</v>
      </c>
      <c r="AM49" s="7" t="s">
        <v>344</v>
      </c>
      <c r="AN49" s="7" t="s">
        <v>344</v>
      </c>
      <c r="AO49" s="7" t="s">
        <v>344</v>
      </c>
      <c r="AP49" s="7" t="s">
        <v>344</v>
      </c>
      <c r="AQ49" s="7" t="s">
        <v>344</v>
      </c>
      <c r="AR49" s="7" t="s">
        <v>344</v>
      </c>
      <c r="AS49" s="7" t="s">
        <v>344</v>
      </c>
      <c r="AT49" s="7" t="s">
        <v>345</v>
      </c>
      <c r="AU49" s="7" t="s">
        <v>344</v>
      </c>
      <c r="AV49" s="7" t="s">
        <v>344</v>
      </c>
      <c r="AW49" s="7" t="s">
        <v>344</v>
      </c>
      <c r="AX49" s="7" t="s">
        <v>344</v>
      </c>
      <c r="AY49" s="7"/>
      <c r="AZ49" s="7"/>
      <c r="BA49" s="7"/>
      <c r="BB49" s="7"/>
      <c r="BC49" s="7"/>
      <c r="BD49" s="7"/>
      <c r="BE49" s="7" t="s">
        <v>390</v>
      </c>
      <c r="BF49" s="7" t="s">
        <v>390</v>
      </c>
      <c r="BG49" s="7" t="s">
        <v>390</v>
      </c>
      <c r="BH49" s="7" t="s">
        <v>390</v>
      </c>
      <c r="BI49" s="7" t="s">
        <v>349</v>
      </c>
      <c r="BJ49" s="7" t="s">
        <v>391</v>
      </c>
      <c r="BK49" s="7" t="s">
        <v>356</v>
      </c>
      <c r="BL49" s="7" t="s">
        <v>352</v>
      </c>
      <c r="BM49" s="7" t="s">
        <v>352</v>
      </c>
      <c r="BN49" s="7" t="s">
        <v>391</v>
      </c>
      <c r="BO49" s="7" t="s">
        <v>356</v>
      </c>
      <c r="BP49" s="7" t="s">
        <v>354</v>
      </c>
      <c r="BQ49" s="7" t="s">
        <v>358</v>
      </c>
      <c r="BR49" s="7" t="s">
        <v>429</v>
      </c>
      <c r="BS49" s="7" t="s">
        <v>391</v>
      </c>
      <c r="BT49" s="7" t="s">
        <v>391</v>
      </c>
      <c r="BU49" s="7" t="s">
        <v>352</v>
      </c>
      <c r="BV49" s="7" t="s">
        <v>352</v>
      </c>
      <c r="BW49" s="7" t="s">
        <v>356</v>
      </c>
      <c r="BX49" s="7" t="s">
        <v>354</v>
      </c>
      <c r="BY49" s="7" t="s">
        <v>354</v>
      </c>
      <c r="BZ49" s="7" t="s">
        <v>391</v>
      </c>
      <c r="CA49" s="7" t="s">
        <v>356</v>
      </c>
      <c r="CB49" s="7" t="s">
        <v>352</v>
      </c>
      <c r="CC49" s="7" t="s">
        <v>354</v>
      </c>
      <c r="CD49" s="7" t="s">
        <v>352</v>
      </c>
      <c r="CE49" s="7" t="s">
        <v>352</v>
      </c>
      <c r="CF49" s="7" t="s">
        <v>391</v>
      </c>
      <c r="CG49" s="7" t="s">
        <v>392</v>
      </c>
      <c r="CH49" s="7" t="s">
        <v>421</v>
      </c>
      <c r="CI49" s="7" t="s">
        <v>392</v>
      </c>
      <c r="CJ49" s="7" t="s">
        <v>420</v>
      </c>
      <c r="CK49" s="7"/>
      <c r="CL49" s="7" t="s">
        <v>344</v>
      </c>
      <c r="CM49" s="7" t="s">
        <v>344</v>
      </c>
      <c r="CN49" s="7" t="s">
        <v>344</v>
      </c>
      <c r="CO49" s="7" t="s">
        <v>344</v>
      </c>
      <c r="CP49" s="7" t="s">
        <v>345</v>
      </c>
      <c r="CQ49" s="7" t="s">
        <v>344</v>
      </c>
      <c r="CR49" s="7" t="s">
        <v>362</v>
      </c>
      <c r="CS49" s="7">
        <v>80</v>
      </c>
      <c r="CT49" s="7">
        <v>85</v>
      </c>
      <c r="CU49" s="7"/>
      <c r="CV49" s="7"/>
      <c r="CW49" s="7" t="s">
        <v>396</v>
      </c>
      <c r="CX49" s="7" t="s">
        <v>396</v>
      </c>
      <c r="CY49" s="7" t="s">
        <v>395</v>
      </c>
      <c r="CZ49" s="7" t="s">
        <v>366</v>
      </c>
      <c r="DA49" s="7" t="s">
        <v>397</v>
      </c>
      <c r="DB49" s="7" t="s">
        <v>397</v>
      </c>
      <c r="DC49" s="7" t="s">
        <v>366</v>
      </c>
      <c r="DD49" s="7" t="s">
        <v>366</v>
      </c>
      <c r="DE49" s="7"/>
      <c r="DF49" s="7"/>
      <c r="DG49" s="7"/>
      <c r="DH49" s="7"/>
      <c r="DI49" s="7"/>
      <c r="DJ49" s="7" t="s">
        <v>629</v>
      </c>
      <c r="DK49" s="7" t="s">
        <v>367</v>
      </c>
      <c r="DL49" s="7" t="s">
        <v>368</v>
      </c>
      <c r="DM49" s="7" t="s">
        <v>368</v>
      </c>
      <c r="DN49" s="7" t="s">
        <v>368</v>
      </c>
      <c r="DO49" s="7" t="s">
        <v>368</v>
      </c>
      <c r="DP49" s="7" t="s">
        <v>345</v>
      </c>
      <c r="DQ49" s="7" t="s">
        <v>345</v>
      </c>
      <c r="DR49" s="7" t="s">
        <v>345</v>
      </c>
      <c r="DS49" s="7" t="s">
        <v>344</v>
      </c>
      <c r="DT49" s="7" t="s">
        <v>345</v>
      </c>
      <c r="DU49" s="7" t="s">
        <v>344</v>
      </c>
      <c r="DV49" s="7" t="s">
        <v>344</v>
      </c>
      <c r="DW49" s="7" t="s">
        <v>344</v>
      </c>
      <c r="DX49" s="7" t="s">
        <v>370</v>
      </c>
      <c r="DY49" s="7" t="s">
        <v>370</v>
      </c>
      <c r="DZ49" s="7" t="s">
        <v>370</v>
      </c>
      <c r="EA49" s="7" t="s">
        <v>370</v>
      </c>
      <c r="EB49" s="7" t="s">
        <v>370</v>
      </c>
      <c r="EC49" s="7" t="s">
        <v>370</v>
      </c>
      <c r="ED49" s="7" t="s">
        <v>370</v>
      </c>
      <c r="EE49" s="7" t="s">
        <v>369</v>
      </c>
      <c r="EF49" s="7" t="s">
        <v>369</v>
      </c>
      <c r="EG49" s="7" t="s">
        <v>370</v>
      </c>
      <c r="EH49" s="7" t="s">
        <v>369</v>
      </c>
      <c r="EI49" s="7" t="s">
        <v>369</v>
      </c>
      <c r="EJ49" s="7" t="s">
        <v>398</v>
      </c>
      <c r="EK49" s="7" t="s">
        <v>399</v>
      </c>
      <c r="EL49" s="7" t="s">
        <v>424</v>
      </c>
      <c r="EM49" s="7" t="s">
        <v>440</v>
      </c>
      <c r="EN49" s="7" t="s">
        <v>374</v>
      </c>
      <c r="EO49" s="7"/>
      <c r="EP49" s="7"/>
      <c r="EQ49" s="7" t="s">
        <v>411</v>
      </c>
      <c r="ER49" s="7" t="s">
        <v>375</v>
      </c>
      <c r="ES49" s="7" t="s">
        <v>376</v>
      </c>
      <c r="ET49" s="7" t="s">
        <v>411</v>
      </c>
      <c r="EU49" s="7" t="s">
        <v>375</v>
      </c>
      <c r="EV49" s="7" t="s">
        <v>400</v>
      </c>
      <c r="EW49" s="7"/>
      <c r="EX49" s="159" t="s">
        <v>344</v>
      </c>
      <c r="EY49" s="159" t="s">
        <v>345</v>
      </c>
      <c r="EZ49" s="159" t="s">
        <v>344</v>
      </c>
      <c r="FA49" s="159" t="s">
        <v>344</v>
      </c>
      <c r="FB49" s="7" t="s">
        <v>401</v>
      </c>
      <c r="FC49" s="7"/>
      <c r="FD49" s="7" t="s">
        <v>401</v>
      </c>
      <c r="FE49" s="7"/>
      <c r="FF49" s="7" t="s">
        <v>382</v>
      </c>
      <c r="FG49" s="7" t="s">
        <v>402</v>
      </c>
      <c r="FH49" s="7" t="s">
        <v>432</v>
      </c>
      <c r="FI49" s="7" t="s">
        <v>433</v>
      </c>
      <c r="FJ49" s="7"/>
      <c r="FK49" s="7"/>
      <c r="FL49" s="7"/>
      <c r="FM49" s="7"/>
      <c r="FN49" s="7"/>
      <c r="FO49" s="7"/>
      <c r="FP49" s="7"/>
      <c r="FQ49" s="7"/>
      <c r="FR49" s="7"/>
      <c r="FS49" s="7"/>
      <c r="FT49" s="7"/>
      <c r="FU49" s="7"/>
      <c r="FV49" s="7"/>
      <c r="FW49" s="7"/>
      <c r="FX49" s="7"/>
      <c r="FY49" s="7"/>
      <c r="FZ49" s="7"/>
      <c r="GA49" s="7" t="s">
        <v>368</v>
      </c>
      <c r="GB49" s="7" t="s">
        <v>368</v>
      </c>
      <c r="GC49" s="7" t="s">
        <v>368</v>
      </c>
      <c r="GD49" s="7" t="s">
        <v>368</v>
      </c>
      <c r="GE49" s="7" t="s">
        <v>368</v>
      </c>
      <c r="GF49" s="7" t="s">
        <v>368</v>
      </c>
      <c r="GG49" s="7"/>
      <c r="GH49" s="7"/>
      <c r="GI49" s="7"/>
      <c r="GJ49" s="7"/>
      <c r="GK49" s="7"/>
      <c r="GL49" s="7" t="s">
        <v>344</v>
      </c>
      <c r="GM49" s="7" t="s">
        <v>344</v>
      </c>
      <c r="GN49" s="7" t="s">
        <v>344</v>
      </c>
      <c r="GO49" s="7" t="s">
        <v>344</v>
      </c>
      <c r="GP49" s="7" t="s">
        <v>344</v>
      </c>
      <c r="GQ49" s="7" t="s">
        <v>344</v>
      </c>
      <c r="GR49" s="7" t="s">
        <v>344</v>
      </c>
      <c r="GS49" s="7" t="s">
        <v>344</v>
      </c>
      <c r="GT49" s="7" t="s">
        <v>344</v>
      </c>
      <c r="GU49" s="7" t="s">
        <v>344</v>
      </c>
      <c r="GV49" s="7" t="s">
        <v>345</v>
      </c>
      <c r="GW49" s="7" t="s">
        <v>344</v>
      </c>
      <c r="GX49" s="7" t="s">
        <v>344</v>
      </c>
      <c r="GY49" s="7" t="s">
        <v>344</v>
      </c>
      <c r="GZ49" s="7" t="s">
        <v>344</v>
      </c>
      <c r="HA49" s="7" t="s">
        <v>630</v>
      </c>
      <c r="HB49" s="7" t="s">
        <v>344</v>
      </c>
      <c r="HC49" s="7"/>
      <c r="HD49" s="7" t="s">
        <v>344</v>
      </c>
      <c r="HE49" s="7"/>
      <c r="HF49" s="7" t="s">
        <v>344</v>
      </c>
      <c r="HG49" s="7"/>
      <c r="HH49" s="7" t="s">
        <v>344</v>
      </c>
      <c r="HI49" s="7"/>
      <c r="HJ49" s="7" t="s">
        <v>345</v>
      </c>
      <c r="HK49" s="7" t="s">
        <v>345</v>
      </c>
      <c r="HL49" s="7" t="s">
        <v>344</v>
      </c>
      <c r="HM49" s="7" t="s">
        <v>344</v>
      </c>
      <c r="HN49" s="7" t="s">
        <v>344</v>
      </c>
      <c r="HO49" s="7" t="s">
        <v>344</v>
      </c>
      <c r="HP49" s="7" t="s">
        <v>344</v>
      </c>
      <c r="HQ49" s="7" t="s">
        <v>344</v>
      </c>
      <c r="HR49" s="7" t="s">
        <v>344</v>
      </c>
      <c r="HS49" s="7" t="s">
        <v>344</v>
      </c>
      <c r="HT49" s="7" t="s">
        <v>344</v>
      </c>
      <c r="HU49" s="7" t="s">
        <v>344</v>
      </c>
      <c r="HV49" s="7" t="s">
        <v>344</v>
      </c>
      <c r="HW49" s="7" t="s">
        <v>344</v>
      </c>
      <c r="HX49" s="7" t="s">
        <v>344</v>
      </c>
      <c r="HY49" s="7" t="s">
        <v>631</v>
      </c>
      <c r="HZ49" s="7" t="s">
        <v>345</v>
      </c>
      <c r="IA49" s="7" t="s">
        <v>632</v>
      </c>
      <c r="IB49" s="7" t="s">
        <v>345</v>
      </c>
      <c r="IC49" s="7" t="s">
        <v>631</v>
      </c>
      <c r="ID49" s="7" t="s">
        <v>344</v>
      </c>
      <c r="IE49" s="7"/>
      <c r="IF49" s="7" t="s">
        <v>344</v>
      </c>
      <c r="IG49" s="7"/>
      <c r="IH49" s="7" t="s">
        <v>344</v>
      </c>
      <c r="II49" s="7" t="s">
        <v>345</v>
      </c>
      <c r="IJ49" s="7" t="s">
        <v>344</v>
      </c>
      <c r="IK49" s="7" t="s">
        <v>344</v>
      </c>
      <c r="IL49" s="7" t="s">
        <v>345</v>
      </c>
      <c r="IM49" s="7" t="s">
        <v>344</v>
      </c>
      <c r="IN49" s="7" t="s">
        <v>344</v>
      </c>
      <c r="IO49" s="7" t="s">
        <v>345</v>
      </c>
      <c r="IP49" s="7" t="s">
        <v>344</v>
      </c>
      <c r="IQ49" s="7" t="s">
        <v>344</v>
      </c>
      <c r="IR49" s="7" t="s">
        <v>344</v>
      </c>
      <c r="IS49" s="7" t="s">
        <v>344</v>
      </c>
      <c r="IT49" s="7"/>
      <c r="IU49" s="7" t="s">
        <v>633</v>
      </c>
      <c r="IV49" s="7"/>
      <c r="IW49" s="7"/>
      <c r="IX49" s="7"/>
      <c r="IY49" s="7"/>
      <c r="IZ49" s="7"/>
      <c r="JA49" s="7"/>
      <c r="JB49" s="7"/>
      <c r="JC49" s="7"/>
      <c r="JD49" s="7"/>
      <c r="JE49" s="7"/>
      <c r="JF49" s="7"/>
      <c r="JG49" s="7"/>
      <c r="JH49" s="7"/>
    </row>
    <row r="50" spans="1:268" x14ac:dyDescent="0.3">
      <c r="A50" s="7" t="s">
        <v>338</v>
      </c>
      <c r="B50" s="7">
        <v>109</v>
      </c>
      <c r="C50" s="7" t="s">
        <v>634</v>
      </c>
      <c r="D50" s="7">
        <v>14</v>
      </c>
      <c r="E50" s="7" t="s">
        <v>387</v>
      </c>
      <c r="F50" s="7">
        <v>2008148513</v>
      </c>
      <c r="G50" s="7" t="s">
        <v>635</v>
      </c>
      <c r="H50" s="7" t="s">
        <v>634</v>
      </c>
      <c r="I50" s="7" t="s">
        <v>609</v>
      </c>
      <c r="J50" s="7">
        <v>18</v>
      </c>
      <c r="K50" s="7" t="s">
        <v>389</v>
      </c>
      <c r="L50" s="7"/>
      <c r="M50" s="7" t="s">
        <v>345</v>
      </c>
      <c r="N50" s="7" t="s">
        <v>345</v>
      </c>
      <c r="O50" s="7" t="s">
        <v>344</v>
      </c>
      <c r="P50" s="7" t="s">
        <v>344</v>
      </c>
      <c r="Q50" s="7" t="s">
        <v>344</v>
      </c>
      <c r="R50" s="7"/>
      <c r="S50" s="7" t="s">
        <v>346</v>
      </c>
      <c r="T50" s="7"/>
      <c r="U50" s="7" t="s">
        <v>347</v>
      </c>
      <c r="V50" s="7"/>
      <c r="W50" s="7" t="s">
        <v>344</v>
      </c>
      <c r="X50" s="7" t="s">
        <v>345</v>
      </c>
      <c r="Y50" s="7" t="s">
        <v>344</v>
      </c>
      <c r="Z50" s="7" t="s">
        <v>344</v>
      </c>
      <c r="AA50" s="7" t="s">
        <v>344</v>
      </c>
      <c r="AB50" s="7" t="s">
        <v>344</v>
      </c>
      <c r="AC50" s="7" t="s">
        <v>344</v>
      </c>
      <c r="AD50" s="7" t="s">
        <v>345</v>
      </c>
      <c r="AE50" s="7" t="s">
        <v>344</v>
      </c>
      <c r="AF50" s="7" t="s">
        <v>344</v>
      </c>
      <c r="AG50" s="7" t="s">
        <v>344</v>
      </c>
      <c r="AH50" s="7" t="s">
        <v>344</v>
      </c>
      <c r="AI50" s="7" t="s">
        <v>344</v>
      </c>
      <c r="AJ50" s="7" t="s">
        <v>344</v>
      </c>
      <c r="AK50" s="7" t="s">
        <v>344</v>
      </c>
      <c r="AL50" s="7" t="s">
        <v>344</v>
      </c>
      <c r="AM50" s="7" t="s">
        <v>345</v>
      </c>
      <c r="AN50" s="7" t="s">
        <v>344</v>
      </c>
      <c r="AO50" s="7" t="s">
        <v>344</v>
      </c>
      <c r="AP50" s="7" t="s">
        <v>344</v>
      </c>
      <c r="AQ50" s="7" t="s">
        <v>344</v>
      </c>
      <c r="AR50" s="7" t="s">
        <v>344</v>
      </c>
      <c r="AS50" s="7" t="s">
        <v>344</v>
      </c>
      <c r="AT50" s="7" t="s">
        <v>345</v>
      </c>
      <c r="AU50" s="7" t="s">
        <v>345</v>
      </c>
      <c r="AV50" s="7" t="s">
        <v>345</v>
      </c>
      <c r="AW50" s="7" t="s">
        <v>344</v>
      </c>
      <c r="AX50" s="7" t="s">
        <v>344</v>
      </c>
      <c r="AY50" s="7"/>
      <c r="AZ50" s="7"/>
      <c r="BA50" s="7"/>
      <c r="BB50" s="7"/>
      <c r="BC50" s="7"/>
      <c r="BD50" s="7"/>
      <c r="BE50" s="7" t="s">
        <v>348</v>
      </c>
      <c r="BF50" s="7" t="s">
        <v>349</v>
      </c>
      <c r="BG50" s="7" t="s">
        <v>349</v>
      </c>
      <c r="BH50" s="7" t="s">
        <v>349</v>
      </c>
      <c r="BI50" s="7" t="s">
        <v>349</v>
      </c>
      <c r="BJ50" s="7" t="s">
        <v>391</v>
      </c>
      <c r="BK50" s="7" t="s">
        <v>354</v>
      </c>
      <c r="BL50" s="7" t="s">
        <v>352</v>
      </c>
      <c r="BM50" s="7" t="s">
        <v>391</v>
      </c>
      <c r="BN50" s="7" t="s">
        <v>353</v>
      </c>
      <c r="BO50" s="7" t="s">
        <v>356</v>
      </c>
      <c r="BP50" s="7" t="s">
        <v>351</v>
      </c>
      <c r="BQ50" s="7" t="s">
        <v>407</v>
      </c>
      <c r="BR50" s="7" t="s">
        <v>429</v>
      </c>
      <c r="BS50" s="7" t="s">
        <v>357</v>
      </c>
      <c r="BT50" s="7" t="s">
        <v>354</v>
      </c>
      <c r="BU50" s="7" t="s">
        <v>391</v>
      </c>
      <c r="BV50" s="7" t="s">
        <v>355</v>
      </c>
      <c r="BW50" s="7" t="s">
        <v>391</v>
      </c>
      <c r="BX50" s="7" t="s">
        <v>391</v>
      </c>
      <c r="BY50" s="7" t="s">
        <v>351</v>
      </c>
      <c r="BZ50" s="7" t="s">
        <v>391</v>
      </c>
      <c r="CA50" s="7" t="s">
        <v>391</v>
      </c>
      <c r="CB50" s="7" t="s">
        <v>391</v>
      </c>
      <c r="CC50" s="7" t="s">
        <v>391</v>
      </c>
      <c r="CD50" s="7" t="s">
        <v>391</v>
      </c>
      <c r="CE50" s="7" t="s">
        <v>391</v>
      </c>
      <c r="CF50" s="7" t="s">
        <v>391</v>
      </c>
      <c r="CG50" s="7" t="s">
        <v>420</v>
      </c>
      <c r="CH50" s="7" t="s">
        <v>421</v>
      </c>
      <c r="CI50" s="7" t="s">
        <v>392</v>
      </c>
      <c r="CJ50" s="7" t="s">
        <v>420</v>
      </c>
      <c r="CK50" s="7" t="s">
        <v>636</v>
      </c>
      <c r="CL50" s="7" t="s">
        <v>344</v>
      </c>
      <c r="CM50" s="7" t="s">
        <v>344</v>
      </c>
      <c r="CN50" s="7" t="s">
        <v>345</v>
      </c>
      <c r="CO50" s="7" t="s">
        <v>344</v>
      </c>
      <c r="CP50" s="7" t="s">
        <v>345</v>
      </c>
      <c r="CQ50" s="7" t="s">
        <v>344</v>
      </c>
      <c r="CR50" s="7" t="s">
        <v>394</v>
      </c>
      <c r="CS50" s="7">
        <v>60</v>
      </c>
      <c r="CT50" s="7">
        <v>90</v>
      </c>
      <c r="CU50" s="7">
        <v>30</v>
      </c>
      <c r="CV50" s="7">
        <v>1</v>
      </c>
      <c r="CW50" s="7" t="s">
        <v>364</v>
      </c>
      <c r="CX50" s="7" t="s">
        <v>363</v>
      </c>
      <c r="CY50" s="7" t="s">
        <v>396</v>
      </c>
      <c r="CZ50" s="7" t="s">
        <v>397</v>
      </c>
      <c r="DA50" s="7" t="s">
        <v>397</v>
      </c>
      <c r="DB50" s="7" t="s">
        <v>397</v>
      </c>
      <c r="DC50" s="7" t="s">
        <v>397</v>
      </c>
      <c r="DD50" s="7" t="s">
        <v>366</v>
      </c>
      <c r="DE50" s="7" t="s">
        <v>397</v>
      </c>
      <c r="DF50" s="7" t="s">
        <v>365</v>
      </c>
      <c r="DG50" s="7" t="s">
        <v>397</v>
      </c>
      <c r="DH50" s="7" t="s">
        <v>397</v>
      </c>
      <c r="DI50" s="7" t="s">
        <v>397</v>
      </c>
      <c r="DJ50" s="7"/>
      <c r="DK50" s="7" t="s">
        <v>367</v>
      </c>
      <c r="DL50" s="7" t="s">
        <v>368</v>
      </c>
      <c r="DM50" s="7" t="s">
        <v>368</v>
      </c>
      <c r="DN50" s="7" t="s">
        <v>368</v>
      </c>
      <c r="DO50" s="7" t="s">
        <v>368</v>
      </c>
      <c r="DP50" s="7" t="s">
        <v>345</v>
      </c>
      <c r="DQ50" s="7" t="s">
        <v>344</v>
      </c>
      <c r="DR50" s="7" t="s">
        <v>344</v>
      </c>
      <c r="DS50" s="7" t="s">
        <v>344</v>
      </c>
      <c r="DT50" s="7" t="s">
        <v>345</v>
      </c>
      <c r="DU50" s="7" t="s">
        <v>344</v>
      </c>
      <c r="DV50" s="7" t="s">
        <v>345</v>
      </c>
      <c r="DW50" s="7" t="s">
        <v>344</v>
      </c>
      <c r="DX50" s="7" t="s">
        <v>370</v>
      </c>
      <c r="DY50" s="7" t="s">
        <v>370</v>
      </c>
      <c r="DZ50" s="7" t="s">
        <v>370</v>
      </c>
      <c r="EA50" s="7" t="s">
        <v>370</v>
      </c>
      <c r="EB50" s="7" t="s">
        <v>370</v>
      </c>
      <c r="EC50" s="7" t="s">
        <v>370</v>
      </c>
      <c r="ED50" s="7" t="s">
        <v>370</v>
      </c>
      <c r="EE50" s="7" t="s">
        <v>371</v>
      </c>
      <c r="EF50" s="7" t="s">
        <v>371</v>
      </c>
      <c r="EG50" s="7" t="s">
        <v>369</v>
      </c>
      <c r="EH50" s="7" t="s">
        <v>371</v>
      </c>
      <c r="EI50" s="7" t="s">
        <v>369</v>
      </c>
      <c r="EJ50" s="7" t="s">
        <v>371</v>
      </c>
      <c r="EK50" s="7" t="s">
        <v>369</v>
      </c>
      <c r="EL50" s="7" t="s">
        <v>424</v>
      </c>
      <c r="EM50" s="7" t="s">
        <v>373</v>
      </c>
      <c r="EN50" s="7" t="s">
        <v>372</v>
      </c>
      <c r="EO50" s="7"/>
      <c r="EP50" s="7"/>
      <c r="EQ50" s="7" t="s">
        <v>375</v>
      </c>
      <c r="ER50" s="7" t="s">
        <v>375</v>
      </c>
      <c r="ES50" s="7" t="s">
        <v>378</v>
      </c>
      <c r="ET50" s="7" t="s">
        <v>375</v>
      </c>
      <c r="EU50" s="7" t="s">
        <v>378</v>
      </c>
      <c r="EV50" s="7" t="s">
        <v>400</v>
      </c>
      <c r="EW50" s="7"/>
      <c r="EX50" s="7" t="s">
        <v>368</v>
      </c>
      <c r="EY50" s="7" t="s">
        <v>368</v>
      </c>
      <c r="EZ50" s="7" t="s">
        <v>368</v>
      </c>
      <c r="FA50" s="7" t="s">
        <v>345</v>
      </c>
      <c r="FB50" s="7" t="s">
        <v>401</v>
      </c>
      <c r="FC50" s="7"/>
      <c r="FD50" s="7" t="s">
        <v>401</v>
      </c>
      <c r="FE50" s="7"/>
      <c r="FF50" s="7"/>
      <c r="FG50" s="7"/>
      <c r="FH50" s="7"/>
      <c r="FI50" s="7"/>
      <c r="FJ50" s="7"/>
      <c r="FK50" s="7"/>
      <c r="FL50" s="7"/>
      <c r="FM50" s="7"/>
      <c r="FN50" s="7"/>
      <c r="FO50" s="7"/>
      <c r="FP50" s="7"/>
      <c r="FQ50" s="7"/>
      <c r="FR50" s="7"/>
      <c r="FS50" s="7"/>
      <c r="FT50" s="7"/>
      <c r="FU50" s="7"/>
      <c r="FV50" s="7"/>
      <c r="FW50" s="7"/>
      <c r="FX50" s="7"/>
      <c r="FY50" s="7"/>
      <c r="FZ50" s="7"/>
      <c r="GA50" s="7" t="s">
        <v>368</v>
      </c>
      <c r="GB50" s="7" t="s">
        <v>368</v>
      </c>
      <c r="GC50" s="7" t="s">
        <v>368</v>
      </c>
      <c r="GD50" s="7" t="s">
        <v>368</v>
      </c>
      <c r="GE50" s="7" t="s">
        <v>368</v>
      </c>
      <c r="GF50" s="7" t="s">
        <v>368</v>
      </c>
      <c r="GG50" s="7"/>
      <c r="GH50" s="7"/>
      <c r="GI50" s="7"/>
      <c r="GJ50" s="7"/>
      <c r="GK50" s="7"/>
      <c r="GL50" s="7" t="s">
        <v>344</v>
      </c>
      <c r="GM50" s="7" t="s">
        <v>344</v>
      </c>
      <c r="GN50" s="7" t="s">
        <v>344</v>
      </c>
      <c r="GO50" s="7" t="s">
        <v>344</v>
      </c>
      <c r="GP50" s="7" t="s">
        <v>344</v>
      </c>
      <c r="GQ50" s="7" t="s">
        <v>344</v>
      </c>
      <c r="GR50" s="7" t="s">
        <v>344</v>
      </c>
      <c r="GS50" s="7" t="s">
        <v>344</v>
      </c>
      <c r="GT50" s="7" t="s">
        <v>344</v>
      </c>
      <c r="GU50" s="7" t="s">
        <v>344</v>
      </c>
      <c r="GV50" s="7" t="s">
        <v>344</v>
      </c>
      <c r="GW50" s="7" t="s">
        <v>344</v>
      </c>
      <c r="GX50" s="7" t="s">
        <v>344</v>
      </c>
      <c r="GY50" s="7" t="s">
        <v>344</v>
      </c>
      <c r="GZ50" s="7" t="s">
        <v>345</v>
      </c>
      <c r="HA50" s="7"/>
      <c r="HB50" s="7" t="s">
        <v>344</v>
      </c>
      <c r="HC50" s="7"/>
      <c r="HD50" s="7" t="s">
        <v>344</v>
      </c>
      <c r="HE50" s="7"/>
      <c r="HF50" s="7" t="s">
        <v>344</v>
      </c>
      <c r="HG50" s="7"/>
      <c r="HH50" s="7" t="s">
        <v>344</v>
      </c>
      <c r="HI50" s="7"/>
      <c r="HJ50" s="7" t="s">
        <v>344</v>
      </c>
      <c r="HK50" s="7" t="s">
        <v>344</v>
      </c>
      <c r="HL50" s="7" t="s">
        <v>344</v>
      </c>
      <c r="HM50" s="7" t="s">
        <v>344</v>
      </c>
      <c r="HN50" s="7" t="s">
        <v>344</v>
      </c>
      <c r="HO50" s="7" t="s">
        <v>344</v>
      </c>
      <c r="HP50" s="7" t="s">
        <v>344</v>
      </c>
      <c r="HQ50" s="7" t="s">
        <v>344</v>
      </c>
      <c r="HR50" s="7" t="s">
        <v>344</v>
      </c>
      <c r="HS50" s="7" t="s">
        <v>344</v>
      </c>
      <c r="HT50" s="7" t="s">
        <v>344</v>
      </c>
      <c r="HU50" s="7" t="s">
        <v>344</v>
      </c>
      <c r="HV50" s="7" t="s">
        <v>344</v>
      </c>
      <c r="HW50" s="7" t="s">
        <v>344</v>
      </c>
      <c r="HX50" s="7" t="s">
        <v>345</v>
      </c>
      <c r="HY50" s="7"/>
      <c r="HZ50" s="7" t="s">
        <v>344</v>
      </c>
      <c r="IA50" s="7"/>
      <c r="IB50" s="7" t="s">
        <v>344</v>
      </c>
      <c r="IC50" s="7"/>
      <c r="ID50" s="7" t="s">
        <v>344</v>
      </c>
      <c r="IE50" s="7"/>
      <c r="IF50" s="7" t="s">
        <v>344</v>
      </c>
      <c r="IG50" s="7"/>
      <c r="IH50" s="7" t="s">
        <v>345</v>
      </c>
      <c r="II50" s="7" t="s">
        <v>345</v>
      </c>
      <c r="IJ50" s="7" t="s">
        <v>344</v>
      </c>
      <c r="IK50" s="7" t="s">
        <v>345</v>
      </c>
      <c r="IL50" s="7" t="s">
        <v>345</v>
      </c>
      <c r="IM50" s="7" t="s">
        <v>345</v>
      </c>
      <c r="IN50" s="7" t="s">
        <v>344</v>
      </c>
      <c r="IO50" s="7" t="s">
        <v>345</v>
      </c>
      <c r="IP50" s="7" t="s">
        <v>345</v>
      </c>
      <c r="IQ50" s="7" t="s">
        <v>345</v>
      </c>
      <c r="IR50" s="7" t="s">
        <v>344</v>
      </c>
      <c r="IS50" s="7" t="s">
        <v>344</v>
      </c>
      <c r="IT50" s="7"/>
      <c r="IU50" s="7"/>
      <c r="IV50" s="7"/>
      <c r="IW50" s="7"/>
      <c r="IX50" s="7"/>
      <c r="IY50" s="7"/>
      <c r="IZ50" s="7"/>
      <c r="JA50" s="7"/>
      <c r="JB50" s="7"/>
      <c r="JC50" s="7"/>
      <c r="JD50" s="7"/>
      <c r="JE50" s="7"/>
      <c r="JF50" s="7"/>
      <c r="JG50" s="7"/>
      <c r="JH50" s="7"/>
    </row>
    <row r="51" spans="1:268" x14ac:dyDescent="0.3">
      <c r="A51" s="7" t="s">
        <v>338</v>
      </c>
      <c r="B51" s="7">
        <v>110</v>
      </c>
      <c r="C51" s="7" t="s">
        <v>637</v>
      </c>
      <c r="D51" s="7">
        <v>14</v>
      </c>
      <c r="E51" s="7" t="s">
        <v>387</v>
      </c>
      <c r="F51" s="7">
        <v>117267541</v>
      </c>
      <c r="G51" s="7" t="s">
        <v>638</v>
      </c>
      <c r="H51" s="7" t="s">
        <v>637</v>
      </c>
      <c r="I51" s="7" t="s">
        <v>609</v>
      </c>
      <c r="J51" s="7">
        <v>17</v>
      </c>
      <c r="K51" s="7" t="s">
        <v>389</v>
      </c>
      <c r="L51" s="7"/>
      <c r="M51" s="7" t="s">
        <v>345</v>
      </c>
      <c r="N51" s="7" t="s">
        <v>344</v>
      </c>
      <c r="O51" s="7" t="s">
        <v>344</v>
      </c>
      <c r="P51" s="7" t="s">
        <v>344</v>
      </c>
      <c r="Q51" s="7" t="s">
        <v>344</v>
      </c>
      <c r="R51" s="7"/>
      <c r="S51" s="7" t="s">
        <v>346</v>
      </c>
      <c r="T51" s="7"/>
      <c r="U51" s="7" t="s">
        <v>571</v>
      </c>
      <c r="V51" s="7"/>
      <c r="W51" s="7" t="s">
        <v>345</v>
      </c>
      <c r="X51" s="7" t="s">
        <v>345</v>
      </c>
      <c r="Y51" s="7" t="s">
        <v>344</v>
      </c>
      <c r="Z51" s="7" t="s">
        <v>345</v>
      </c>
      <c r="AA51" s="7" t="s">
        <v>344</v>
      </c>
      <c r="AB51" s="7" t="s">
        <v>344</v>
      </c>
      <c r="AC51" s="7" t="s">
        <v>344</v>
      </c>
      <c r="AD51" s="7" t="s">
        <v>345</v>
      </c>
      <c r="AE51" s="7" t="s">
        <v>345</v>
      </c>
      <c r="AF51" s="7" t="s">
        <v>344</v>
      </c>
      <c r="AG51" s="7" t="s">
        <v>344</v>
      </c>
      <c r="AH51" s="7" t="s">
        <v>344</v>
      </c>
      <c r="AI51" s="7" t="s">
        <v>345</v>
      </c>
      <c r="AJ51" s="7" t="s">
        <v>344</v>
      </c>
      <c r="AK51" s="7" t="s">
        <v>345</v>
      </c>
      <c r="AL51" s="7" t="s">
        <v>345</v>
      </c>
      <c r="AM51" s="7" t="s">
        <v>344</v>
      </c>
      <c r="AN51" s="7" t="s">
        <v>344</v>
      </c>
      <c r="AO51" s="7" t="s">
        <v>345</v>
      </c>
      <c r="AP51" s="7" t="s">
        <v>344</v>
      </c>
      <c r="AQ51" s="7" t="s">
        <v>344</v>
      </c>
      <c r="AR51" s="7" t="s">
        <v>345</v>
      </c>
      <c r="AS51" s="7" t="s">
        <v>345</v>
      </c>
      <c r="AT51" s="7" t="s">
        <v>345</v>
      </c>
      <c r="AU51" s="7" t="s">
        <v>344</v>
      </c>
      <c r="AV51" s="7" t="s">
        <v>344</v>
      </c>
      <c r="AW51" s="7" t="s">
        <v>344</v>
      </c>
      <c r="AX51" s="7" t="s">
        <v>344</v>
      </c>
      <c r="AY51" s="7"/>
      <c r="AZ51" s="7"/>
      <c r="BA51" s="7"/>
      <c r="BB51" s="7"/>
      <c r="BC51" s="7"/>
      <c r="BD51" s="7"/>
      <c r="BE51" s="7" t="s">
        <v>390</v>
      </c>
      <c r="BF51" s="7" t="s">
        <v>349</v>
      </c>
      <c r="BG51" s="7" t="s">
        <v>349</v>
      </c>
      <c r="BH51" s="7" t="s">
        <v>349</v>
      </c>
      <c r="BI51" s="7" t="s">
        <v>349</v>
      </c>
      <c r="BJ51" s="7" t="s">
        <v>391</v>
      </c>
      <c r="BK51" s="7" t="s">
        <v>391</v>
      </c>
      <c r="BL51" s="7" t="s">
        <v>391</v>
      </c>
      <c r="BM51" s="7" t="s">
        <v>391</v>
      </c>
      <c r="BN51" s="7" t="s">
        <v>391</v>
      </c>
      <c r="BO51" s="7" t="s">
        <v>391</v>
      </c>
      <c r="BP51" s="7" t="s">
        <v>391</v>
      </c>
      <c r="BQ51" s="7" t="s">
        <v>455</v>
      </c>
      <c r="BR51" s="7" t="s">
        <v>408</v>
      </c>
      <c r="BS51" s="7" t="s">
        <v>391</v>
      </c>
      <c r="BT51" s="7" t="s">
        <v>391</v>
      </c>
      <c r="BU51" s="7" t="s">
        <v>391</v>
      </c>
      <c r="BV51" s="7" t="s">
        <v>391</v>
      </c>
      <c r="BW51" s="7" t="s">
        <v>391</v>
      </c>
      <c r="BX51" s="7" t="s">
        <v>391</v>
      </c>
      <c r="BY51" s="7" t="s">
        <v>391</v>
      </c>
      <c r="BZ51" s="7" t="s">
        <v>391</v>
      </c>
      <c r="CA51" s="7" t="s">
        <v>391</v>
      </c>
      <c r="CB51" s="7" t="s">
        <v>391</v>
      </c>
      <c r="CC51" s="7" t="s">
        <v>391</v>
      </c>
      <c r="CD51" s="7" t="s">
        <v>391</v>
      </c>
      <c r="CE51" s="7" t="s">
        <v>391</v>
      </c>
      <c r="CF51" s="7" t="s">
        <v>391</v>
      </c>
      <c r="CG51" s="7" t="s">
        <v>420</v>
      </c>
      <c r="CH51" s="7" t="s">
        <v>393</v>
      </c>
      <c r="CI51" s="7" t="s">
        <v>420</v>
      </c>
      <c r="CJ51" s="7" t="s">
        <v>420</v>
      </c>
      <c r="CK51" s="7" t="s">
        <v>391</v>
      </c>
      <c r="CL51" s="7" t="s">
        <v>344</v>
      </c>
      <c r="CM51" s="7" t="s">
        <v>344</v>
      </c>
      <c r="CN51" s="7" t="s">
        <v>344</v>
      </c>
      <c r="CO51" s="7" t="s">
        <v>345</v>
      </c>
      <c r="CP51" s="7" t="s">
        <v>345</v>
      </c>
      <c r="CQ51" s="7" t="s">
        <v>344</v>
      </c>
      <c r="CR51" s="7" t="s">
        <v>394</v>
      </c>
      <c r="CS51" s="7">
        <v>75</v>
      </c>
      <c r="CT51" s="7">
        <v>100</v>
      </c>
      <c r="CU51" s="7"/>
      <c r="CV51" s="7"/>
      <c r="CW51" s="7" t="s">
        <v>363</v>
      </c>
      <c r="CX51" s="7" t="s">
        <v>396</v>
      </c>
      <c r="CY51" s="7" t="s">
        <v>395</v>
      </c>
      <c r="CZ51" s="7" t="s">
        <v>397</v>
      </c>
      <c r="DA51" s="7" t="s">
        <v>397</v>
      </c>
      <c r="DB51" s="7" t="s">
        <v>397</v>
      </c>
      <c r="DC51" s="7" t="s">
        <v>397</v>
      </c>
      <c r="DD51" s="7" t="s">
        <v>397</v>
      </c>
      <c r="DE51" s="7"/>
      <c r="DF51" s="7"/>
      <c r="DG51" s="7"/>
      <c r="DH51" s="7"/>
      <c r="DI51" s="7"/>
      <c r="DJ51" s="7"/>
      <c r="DK51" s="7" t="s">
        <v>367</v>
      </c>
      <c r="DL51" s="7" t="s">
        <v>368</v>
      </c>
      <c r="DM51" s="7" t="s">
        <v>368</v>
      </c>
      <c r="DN51" s="7" t="s">
        <v>368</v>
      </c>
      <c r="DO51" s="7" t="s">
        <v>368</v>
      </c>
      <c r="DP51" s="7" t="s">
        <v>368</v>
      </c>
      <c r="DQ51" s="7" t="s">
        <v>368</v>
      </c>
      <c r="DR51" s="7" t="s">
        <v>368</v>
      </c>
      <c r="DS51" s="7" t="s">
        <v>345</v>
      </c>
      <c r="DT51" s="7" t="s">
        <v>368</v>
      </c>
      <c r="DU51" s="7" t="s">
        <v>368</v>
      </c>
      <c r="DV51" s="7" t="s">
        <v>368</v>
      </c>
      <c r="DW51" s="7" t="s">
        <v>345</v>
      </c>
      <c r="DX51" s="7" t="s">
        <v>370</v>
      </c>
      <c r="DY51" s="7" t="s">
        <v>370</v>
      </c>
      <c r="DZ51" s="7" t="s">
        <v>370</v>
      </c>
      <c r="EA51" s="7" t="s">
        <v>370</v>
      </c>
      <c r="EB51" s="7" t="s">
        <v>370</v>
      </c>
      <c r="EC51" s="7" t="s">
        <v>370</v>
      </c>
      <c r="ED51" s="7" t="s">
        <v>370</v>
      </c>
      <c r="EE51" s="7" t="s">
        <v>369</v>
      </c>
      <c r="EF51" s="7" t="s">
        <v>369</v>
      </c>
      <c r="EG51" s="7" t="s">
        <v>369</v>
      </c>
      <c r="EH51" s="7" t="s">
        <v>369</v>
      </c>
      <c r="EI51" s="7" t="s">
        <v>369</v>
      </c>
      <c r="EJ51" s="7" t="s">
        <v>369</v>
      </c>
      <c r="EK51" s="7" t="s">
        <v>369</v>
      </c>
      <c r="EL51" s="7" t="s">
        <v>373</v>
      </c>
      <c r="EM51" s="7" t="s">
        <v>374</v>
      </c>
      <c r="EN51" s="7" t="s">
        <v>372</v>
      </c>
      <c r="EO51" s="7"/>
      <c r="EP51" s="7"/>
      <c r="EQ51" s="7" t="s">
        <v>391</v>
      </c>
      <c r="ER51" s="7" t="s">
        <v>391</v>
      </c>
      <c r="ES51" s="7" t="s">
        <v>391</v>
      </c>
      <c r="ET51" s="7" t="s">
        <v>391</v>
      </c>
      <c r="EU51" s="7" t="s">
        <v>391</v>
      </c>
      <c r="EV51" s="7" t="s">
        <v>400</v>
      </c>
      <c r="EW51" s="7"/>
      <c r="EX51" s="7" t="s">
        <v>368</v>
      </c>
      <c r="EY51" s="7" t="s">
        <v>368</v>
      </c>
      <c r="EZ51" s="7" t="s">
        <v>368</v>
      </c>
      <c r="FA51" s="7" t="s">
        <v>345</v>
      </c>
      <c r="FB51" s="7" t="s">
        <v>401</v>
      </c>
      <c r="FC51" s="7"/>
      <c r="FD51" s="7" t="s">
        <v>401</v>
      </c>
      <c r="FE51" s="7"/>
      <c r="FF51" s="7" t="s">
        <v>477</v>
      </c>
      <c r="FG51" s="7" t="s">
        <v>402</v>
      </c>
      <c r="FH51" s="7" t="s">
        <v>432</v>
      </c>
      <c r="FI51" s="7" t="s">
        <v>433</v>
      </c>
      <c r="FJ51" s="7"/>
      <c r="FK51" s="7"/>
      <c r="FL51" s="7"/>
      <c r="FM51" s="7"/>
      <c r="FN51" s="7"/>
      <c r="FO51" s="7"/>
      <c r="FP51" s="7"/>
      <c r="FQ51" s="7"/>
      <c r="FR51" s="7"/>
      <c r="FS51" s="7"/>
      <c r="FT51" s="7"/>
      <c r="FU51" s="7"/>
      <c r="FV51" s="7"/>
      <c r="FW51" s="7"/>
      <c r="FX51" s="7"/>
      <c r="FY51" s="7"/>
      <c r="FZ51" s="7"/>
      <c r="GA51" s="7" t="s">
        <v>368</v>
      </c>
      <c r="GB51" s="7" t="s">
        <v>368</v>
      </c>
      <c r="GC51" s="7" t="s">
        <v>368</v>
      </c>
      <c r="GD51" s="7" t="s">
        <v>368</v>
      </c>
      <c r="GE51" s="7" t="s">
        <v>368</v>
      </c>
      <c r="GF51" s="7" t="s">
        <v>368</v>
      </c>
      <c r="GG51" s="7"/>
      <c r="GH51" s="7"/>
      <c r="GI51" s="7"/>
      <c r="GJ51" s="7"/>
      <c r="GK51" s="7"/>
      <c r="GL51" s="7" t="s">
        <v>344</v>
      </c>
      <c r="GM51" s="7" t="s">
        <v>344</v>
      </c>
      <c r="GN51" s="7" t="s">
        <v>344</v>
      </c>
      <c r="GO51" s="7" t="s">
        <v>344</v>
      </c>
      <c r="GP51" s="7" t="s">
        <v>344</v>
      </c>
      <c r="GQ51" s="7" t="s">
        <v>344</v>
      </c>
      <c r="GR51" s="7" t="s">
        <v>344</v>
      </c>
      <c r="GS51" s="7" t="s">
        <v>344</v>
      </c>
      <c r="GT51" s="7" t="s">
        <v>344</v>
      </c>
      <c r="GU51" s="7" t="s">
        <v>344</v>
      </c>
      <c r="GV51" s="7" t="s">
        <v>344</v>
      </c>
      <c r="GW51" s="7" t="s">
        <v>345</v>
      </c>
      <c r="GX51" s="7" t="s">
        <v>344</v>
      </c>
      <c r="GY51" s="7" t="s">
        <v>344</v>
      </c>
      <c r="GZ51" s="7" t="s">
        <v>344</v>
      </c>
      <c r="HA51" s="7"/>
      <c r="HB51" s="7" t="s">
        <v>344</v>
      </c>
      <c r="HC51" s="7"/>
      <c r="HD51" s="7" t="s">
        <v>344</v>
      </c>
      <c r="HE51" s="7"/>
      <c r="HF51" s="7" t="s">
        <v>344</v>
      </c>
      <c r="HG51" s="7"/>
      <c r="HH51" s="7" t="s">
        <v>344</v>
      </c>
      <c r="HI51" s="7"/>
      <c r="HJ51" s="7" t="s">
        <v>344</v>
      </c>
      <c r="HK51" s="7" t="s">
        <v>344</v>
      </c>
      <c r="HL51" s="7" t="s">
        <v>344</v>
      </c>
      <c r="HM51" s="7" t="s">
        <v>344</v>
      </c>
      <c r="HN51" s="7" t="s">
        <v>344</v>
      </c>
      <c r="HO51" s="7" t="s">
        <v>344</v>
      </c>
      <c r="HP51" s="7" t="s">
        <v>344</v>
      </c>
      <c r="HQ51" s="7" t="s">
        <v>344</v>
      </c>
      <c r="HR51" s="7" t="s">
        <v>344</v>
      </c>
      <c r="HS51" s="7" t="s">
        <v>344</v>
      </c>
      <c r="HT51" s="7" t="s">
        <v>344</v>
      </c>
      <c r="HU51" s="7" t="s">
        <v>345</v>
      </c>
      <c r="HV51" s="7" t="s">
        <v>344</v>
      </c>
      <c r="HW51" s="7" t="s">
        <v>344</v>
      </c>
      <c r="HX51" s="7" t="s">
        <v>344</v>
      </c>
      <c r="HY51" s="7"/>
      <c r="HZ51" s="7" t="s">
        <v>344</v>
      </c>
      <c r="IA51" s="7"/>
      <c r="IB51" s="7" t="s">
        <v>344</v>
      </c>
      <c r="IC51" s="7"/>
      <c r="ID51" s="7" t="s">
        <v>344</v>
      </c>
      <c r="IE51" s="7"/>
      <c r="IF51" s="7" t="s">
        <v>344</v>
      </c>
      <c r="IG51" s="7"/>
      <c r="IH51" s="7" t="s">
        <v>345</v>
      </c>
      <c r="II51" s="7" t="s">
        <v>345</v>
      </c>
      <c r="IJ51" s="7" t="s">
        <v>345</v>
      </c>
      <c r="IK51" s="7" t="s">
        <v>344</v>
      </c>
      <c r="IL51" s="7" t="s">
        <v>345</v>
      </c>
      <c r="IM51" s="7" t="s">
        <v>344</v>
      </c>
      <c r="IN51" s="7" t="s">
        <v>344</v>
      </c>
      <c r="IO51" s="7" t="s">
        <v>345</v>
      </c>
      <c r="IP51" s="7" t="s">
        <v>344</v>
      </c>
      <c r="IQ51" s="7" t="s">
        <v>344</v>
      </c>
      <c r="IR51" s="7" t="s">
        <v>344</v>
      </c>
      <c r="IS51" s="7" t="s">
        <v>344</v>
      </c>
      <c r="IT51" s="7"/>
      <c r="IU51" s="7" t="s">
        <v>639</v>
      </c>
      <c r="IV51" s="7"/>
      <c r="IW51" s="7"/>
      <c r="IX51" s="7"/>
      <c r="IY51" s="7"/>
      <c r="IZ51" s="7"/>
      <c r="JA51" s="7"/>
      <c r="JB51" s="7"/>
      <c r="JC51" s="7"/>
      <c r="JD51" s="7"/>
      <c r="JE51" s="7"/>
      <c r="JF51" s="7"/>
      <c r="JG51" s="7"/>
      <c r="JH51" s="7"/>
    </row>
    <row r="52" spans="1:268" x14ac:dyDescent="0.3">
      <c r="A52" s="7" t="s">
        <v>338</v>
      </c>
      <c r="B52" s="7">
        <v>111</v>
      </c>
      <c r="C52" s="7" t="s">
        <v>640</v>
      </c>
      <c r="D52" s="7">
        <v>14</v>
      </c>
      <c r="E52" s="7" t="s">
        <v>387</v>
      </c>
      <c r="F52" s="7">
        <v>1026814538</v>
      </c>
      <c r="G52" s="7" t="s">
        <v>641</v>
      </c>
      <c r="H52" s="7" t="s">
        <v>640</v>
      </c>
      <c r="I52" s="7" t="s">
        <v>609</v>
      </c>
      <c r="J52" s="7">
        <v>17</v>
      </c>
      <c r="K52" s="7" t="s">
        <v>406</v>
      </c>
      <c r="L52" s="7"/>
      <c r="M52" s="7" t="s">
        <v>345</v>
      </c>
      <c r="N52" s="7" t="s">
        <v>344</v>
      </c>
      <c r="O52" s="7" t="s">
        <v>344</v>
      </c>
      <c r="P52" s="7" t="s">
        <v>344</v>
      </c>
      <c r="Q52" s="7" t="s">
        <v>344</v>
      </c>
      <c r="R52" s="7"/>
      <c r="S52" s="7" t="s">
        <v>346</v>
      </c>
      <c r="T52" s="7"/>
      <c r="U52" s="7" t="s">
        <v>347</v>
      </c>
      <c r="V52" s="7"/>
      <c r="W52" s="7" t="s">
        <v>345</v>
      </c>
      <c r="X52" s="7" t="s">
        <v>344</v>
      </c>
      <c r="Y52" s="7" t="s">
        <v>345</v>
      </c>
      <c r="Z52" s="7" t="s">
        <v>345</v>
      </c>
      <c r="AA52" s="7" t="s">
        <v>344</v>
      </c>
      <c r="AB52" s="7" t="s">
        <v>344</v>
      </c>
      <c r="AC52" s="7" t="s">
        <v>344</v>
      </c>
      <c r="AD52" s="7" t="s">
        <v>344</v>
      </c>
      <c r="AE52" s="7" t="s">
        <v>345</v>
      </c>
      <c r="AF52" s="7" t="s">
        <v>344</v>
      </c>
      <c r="AG52" s="7" t="s">
        <v>344</v>
      </c>
      <c r="AH52" s="7" t="s">
        <v>345</v>
      </c>
      <c r="AI52" s="7" t="s">
        <v>345</v>
      </c>
      <c r="AJ52" s="7" t="s">
        <v>344</v>
      </c>
      <c r="AK52" s="7" t="s">
        <v>344</v>
      </c>
      <c r="AL52" s="7" t="s">
        <v>344</v>
      </c>
      <c r="AM52" s="7" t="s">
        <v>345</v>
      </c>
      <c r="AN52" s="7" t="s">
        <v>345</v>
      </c>
      <c r="AO52" s="7" t="s">
        <v>344</v>
      </c>
      <c r="AP52" s="7" t="s">
        <v>344</v>
      </c>
      <c r="AQ52" s="7" t="s">
        <v>344</v>
      </c>
      <c r="AR52" s="7" t="s">
        <v>345</v>
      </c>
      <c r="AS52" s="7" t="s">
        <v>345</v>
      </c>
      <c r="AT52" s="7" t="s">
        <v>344</v>
      </c>
      <c r="AU52" s="7" t="s">
        <v>345</v>
      </c>
      <c r="AV52" s="7" t="s">
        <v>345</v>
      </c>
      <c r="AW52" s="7" t="s">
        <v>345</v>
      </c>
      <c r="AX52" s="7" t="s">
        <v>344</v>
      </c>
      <c r="AY52" s="7"/>
      <c r="AZ52" s="7"/>
      <c r="BA52" s="7"/>
      <c r="BB52" s="7"/>
      <c r="BC52" s="7"/>
      <c r="BD52" s="7"/>
      <c r="BE52" s="7" t="s">
        <v>350</v>
      </c>
      <c r="BF52" s="7" t="s">
        <v>348</v>
      </c>
      <c r="BG52" s="7" t="s">
        <v>349</v>
      </c>
      <c r="BH52" s="7" t="s">
        <v>349</v>
      </c>
      <c r="BI52" s="7" t="s">
        <v>348</v>
      </c>
      <c r="BJ52" s="7" t="s">
        <v>357</v>
      </c>
      <c r="BK52" s="7" t="s">
        <v>355</v>
      </c>
      <c r="BL52" s="7" t="s">
        <v>351</v>
      </c>
      <c r="BM52" s="7" t="s">
        <v>354</v>
      </c>
      <c r="BN52" s="7" t="s">
        <v>352</v>
      </c>
      <c r="BO52" s="7" t="s">
        <v>356</v>
      </c>
      <c r="BP52" s="7" t="s">
        <v>353</v>
      </c>
      <c r="BQ52" s="7" t="s">
        <v>358</v>
      </c>
      <c r="BR52" s="7" t="s">
        <v>408</v>
      </c>
      <c r="BS52" s="7" t="s">
        <v>355</v>
      </c>
      <c r="BT52" s="7" t="s">
        <v>357</v>
      </c>
      <c r="BU52" s="7" t="s">
        <v>354</v>
      </c>
      <c r="BV52" s="7" t="s">
        <v>352</v>
      </c>
      <c r="BW52" s="7" t="s">
        <v>356</v>
      </c>
      <c r="BX52" s="7" t="s">
        <v>351</v>
      </c>
      <c r="BY52" s="7" t="s">
        <v>353</v>
      </c>
      <c r="BZ52" s="7" t="s">
        <v>356</v>
      </c>
      <c r="CA52" s="7" t="s">
        <v>355</v>
      </c>
      <c r="CB52" s="7" t="s">
        <v>351</v>
      </c>
      <c r="CC52" s="7" t="s">
        <v>353</v>
      </c>
      <c r="CD52" s="7" t="s">
        <v>354</v>
      </c>
      <c r="CE52" s="7" t="s">
        <v>352</v>
      </c>
      <c r="CF52" s="7" t="s">
        <v>357</v>
      </c>
      <c r="CG52" s="7" t="s">
        <v>421</v>
      </c>
      <c r="CH52" s="7" t="s">
        <v>420</v>
      </c>
      <c r="CI52" s="7" t="s">
        <v>420</v>
      </c>
      <c r="CJ52" s="7" t="s">
        <v>392</v>
      </c>
      <c r="CK52" s="7" t="s">
        <v>642</v>
      </c>
      <c r="CL52" s="7" t="s">
        <v>344</v>
      </c>
      <c r="CM52" s="7" t="s">
        <v>344</v>
      </c>
      <c r="CN52" s="7" t="s">
        <v>344</v>
      </c>
      <c r="CO52" s="7" t="s">
        <v>344</v>
      </c>
      <c r="CP52" s="7" t="s">
        <v>345</v>
      </c>
      <c r="CQ52" s="7" t="s">
        <v>344</v>
      </c>
      <c r="CR52" s="7" t="s">
        <v>457</v>
      </c>
      <c r="CS52" s="7">
        <v>22</v>
      </c>
      <c r="CT52" s="7">
        <v>62</v>
      </c>
      <c r="CU52" s="7"/>
      <c r="CV52" s="7"/>
      <c r="CW52" s="7" t="s">
        <v>364</v>
      </c>
      <c r="CX52" s="7" t="s">
        <v>395</v>
      </c>
      <c r="CY52" s="7" t="s">
        <v>396</v>
      </c>
      <c r="CZ52" s="7" t="s">
        <v>397</v>
      </c>
      <c r="DA52" s="7" t="s">
        <v>365</v>
      </c>
      <c r="DB52" s="7" t="s">
        <v>397</v>
      </c>
      <c r="DC52" s="7" t="s">
        <v>397</v>
      </c>
      <c r="DD52" s="7" t="s">
        <v>423</v>
      </c>
      <c r="DE52" s="7"/>
      <c r="DF52" s="7"/>
      <c r="DG52" s="7"/>
      <c r="DH52" s="7"/>
      <c r="DI52" s="7"/>
      <c r="DJ52" s="7" t="s">
        <v>643</v>
      </c>
      <c r="DK52" s="7" t="s">
        <v>492</v>
      </c>
      <c r="DL52" s="7" t="s">
        <v>368</v>
      </c>
      <c r="DM52" s="7" t="s">
        <v>368</v>
      </c>
      <c r="DN52" s="7" t="s">
        <v>368</v>
      </c>
      <c r="DO52" s="7" t="s">
        <v>345</v>
      </c>
      <c r="DP52" s="7" t="s">
        <v>344</v>
      </c>
      <c r="DQ52" s="7" t="s">
        <v>345</v>
      </c>
      <c r="DR52" s="7" t="s">
        <v>344</v>
      </c>
      <c r="DS52" s="7" t="s">
        <v>344</v>
      </c>
      <c r="DT52" s="7" t="s">
        <v>345</v>
      </c>
      <c r="DU52" s="7" t="s">
        <v>344</v>
      </c>
      <c r="DV52" s="7" t="s">
        <v>345</v>
      </c>
      <c r="DW52" s="7" t="s">
        <v>344</v>
      </c>
      <c r="DX52" s="7" t="s">
        <v>370</v>
      </c>
      <c r="DY52" s="7" t="s">
        <v>370</v>
      </c>
      <c r="DZ52" s="7" t="s">
        <v>370</v>
      </c>
      <c r="EA52" s="7" t="s">
        <v>370</v>
      </c>
      <c r="EB52" s="7" t="s">
        <v>370</v>
      </c>
      <c r="EC52" s="7" t="s">
        <v>369</v>
      </c>
      <c r="ED52" s="7" t="s">
        <v>370</v>
      </c>
      <c r="EE52" s="7" t="s">
        <v>398</v>
      </c>
      <c r="EF52" s="7" t="s">
        <v>371</v>
      </c>
      <c r="EG52" s="7" t="s">
        <v>371</v>
      </c>
      <c r="EH52" s="7" t="s">
        <v>370</v>
      </c>
      <c r="EI52" s="7" t="s">
        <v>369</v>
      </c>
      <c r="EJ52" s="7" t="s">
        <v>369</v>
      </c>
      <c r="EK52" s="7" t="s">
        <v>371</v>
      </c>
      <c r="EL52" s="7" t="s">
        <v>374</v>
      </c>
      <c r="EM52" s="7" t="s">
        <v>372</v>
      </c>
      <c r="EN52" s="7" t="s">
        <v>424</v>
      </c>
      <c r="EO52" s="7"/>
      <c r="EP52" s="7"/>
      <c r="EQ52" s="7" t="s">
        <v>375</v>
      </c>
      <c r="ER52" s="7" t="s">
        <v>378</v>
      </c>
      <c r="ES52" s="7" t="s">
        <v>378</v>
      </c>
      <c r="ET52" s="7" t="s">
        <v>376</v>
      </c>
      <c r="EU52" s="7" t="s">
        <v>377</v>
      </c>
      <c r="EV52" s="7" t="s">
        <v>400</v>
      </c>
      <c r="EW52" s="7"/>
      <c r="EX52" s="7" t="s">
        <v>368</v>
      </c>
      <c r="EY52" s="7" t="s">
        <v>368</v>
      </c>
      <c r="EZ52" s="7" t="s">
        <v>368</v>
      </c>
      <c r="FA52" s="7" t="s">
        <v>345</v>
      </c>
      <c r="FB52" s="7" t="s">
        <v>401</v>
      </c>
      <c r="FC52" s="7"/>
      <c r="FD52" s="7" t="s">
        <v>401</v>
      </c>
      <c r="FE52" s="7"/>
      <c r="FF52" s="7" t="s">
        <v>412</v>
      </c>
      <c r="FG52" s="7" t="s">
        <v>402</v>
      </c>
      <c r="FH52" s="7" t="s">
        <v>384</v>
      </c>
      <c r="FI52" s="7" t="s">
        <v>433</v>
      </c>
      <c r="FJ52" s="7"/>
      <c r="FK52" s="7"/>
      <c r="FL52" s="7"/>
      <c r="FM52" s="7"/>
      <c r="FN52" s="7"/>
      <c r="FO52" s="7"/>
      <c r="FP52" s="7"/>
      <c r="FQ52" s="7"/>
      <c r="FR52" s="7"/>
      <c r="FS52" s="7"/>
      <c r="FT52" s="7"/>
      <c r="FU52" s="7"/>
      <c r="FV52" s="7"/>
      <c r="FW52" s="7"/>
      <c r="FX52" s="7"/>
      <c r="FY52" s="7"/>
      <c r="FZ52" s="7"/>
      <c r="GA52" s="7" t="s">
        <v>368</v>
      </c>
      <c r="GB52" s="7" t="s">
        <v>368</v>
      </c>
      <c r="GC52" s="7" t="s">
        <v>368</v>
      </c>
      <c r="GD52" s="7" t="s">
        <v>368</v>
      </c>
      <c r="GE52" s="7" t="s">
        <v>368</v>
      </c>
      <c r="GF52" s="7" t="s">
        <v>368</v>
      </c>
      <c r="GG52" s="7"/>
      <c r="GH52" s="7"/>
      <c r="GI52" s="7"/>
      <c r="GJ52" s="7"/>
      <c r="GK52" s="7"/>
      <c r="GL52" s="7" t="s">
        <v>344</v>
      </c>
      <c r="GM52" s="7" t="s">
        <v>344</v>
      </c>
      <c r="GN52" s="7" t="s">
        <v>344</v>
      </c>
      <c r="GO52" s="7" t="s">
        <v>344</v>
      </c>
      <c r="GP52" s="7" t="s">
        <v>344</v>
      </c>
      <c r="GQ52" s="7" t="s">
        <v>344</v>
      </c>
      <c r="GR52" s="7" t="s">
        <v>344</v>
      </c>
      <c r="GS52" s="7" t="s">
        <v>344</v>
      </c>
      <c r="GT52" s="7" t="s">
        <v>344</v>
      </c>
      <c r="GU52" s="7" t="s">
        <v>344</v>
      </c>
      <c r="GV52" s="7" t="s">
        <v>344</v>
      </c>
      <c r="GW52" s="7" t="s">
        <v>345</v>
      </c>
      <c r="GX52" s="7" t="s">
        <v>344</v>
      </c>
      <c r="GY52" s="7" t="s">
        <v>344</v>
      </c>
      <c r="GZ52" s="7" t="s">
        <v>344</v>
      </c>
      <c r="HA52" s="7"/>
      <c r="HB52" s="7" t="s">
        <v>344</v>
      </c>
      <c r="HC52" s="7"/>
      <c r="HD52" s="7" t="s">
        <v>344</v>
      </c>
      <c r="HE52" s="7"/>
      <c r="HF52" s="7" t="s">
        <v>344</v>
      </c>
      <c r="HG52" s="7"/>
      <c r="HH52" s="7" t="s">
        <v>344</v>
      </c>
      <c r="HI52" s="7"/>
      <c r="HJ52" s="7" t="s">
        <v>344</v>
      </c>
      <c r="HK52" s="7" t="s">
        <v>345</v>
      </c>
      <c r="HL52" s="7" t="s">
        <v>344</v>
      </c>
      <c r="HM52" s="7" t="s">
        <v>344</v>
      </c>
      <c r="HN52" s="7" t="s">
        <v>344</v>
      </c>
      <c r="HO52" s="7" t="s">
        <v>344</v>
      </c>
      <c r="HP52" s="7" t="s">
        <v>344</v>
      </c>
      <c r="HQ52" s="7" t="s">
        <v>344</v>
      </c>
      <c r="HR52" s="7" t="s">
        <v>344</v>
      </c>
      <c r="HS52" s="7" t="s">
        <v>344</v>
      </c>
      <c r="HT52" s="7" t="s">
        <v>344</v>
      </c>
      <c r="HU52" s="7" t="s">
        <v>344</v>
      </c>
      <c r="HV52" s="7" t="s">
        <v>344</v>
      </c>
      <c r="HW52" s="7" t="s">
        <v>344</v>
      </c>
      <c r="HX52" s="7" t="s">
        <v>344</v>
      </c>
      <c r="HY52" s="7"/>
      <c r="HZ52" s="7" t="s">
        <v>344</v>
      </c>
      <c r="IA52" s="7"/>
      <c r="IB52" s="7" t="s">
        <v>344</v>
      </c>
      <c r="IC52" s="7"/>
      <c r="ID52" s="7" t="s">
        <v>344</v>
      </c>
      <c r="IE52" s="7"/>
      <c r="IF52" s="7" t="s">
        <v>344</v>
      </c>
      <c r="IG52" s="7"/>
      <c r="IH52" s="7" t="s">
        <v>344</v>
      </c>
      <c r="II52" s="7" t="s">
        <v>344</v>
      </c>
      <c r="IJ52" s="7" t="s">
        <v>344</v>
      </c>
      <c r="IK52" s="7" t="s">
        <v>344</v>
      </c>
      <c r="IL52" s="7" t="s">
        <v>345</v>
      </c>
      <c r="IM52" s="7" t="s">
        <v>344</v>
      </c>
      <c r="IN52" s="7" t="s">
        <v>344</v>
      </c>
      <c r="IO52" s="7" t="s">
        <v>345</v>
      </c>
      <c r="IP52" s="7" t="s">
        <v>345</v>
      </c>
      <c r="IQ52" s="7" t="s">
        <v>344</v>
      </c>
      <c r="IR52" s="7" t="s">
        <v>345</v>
      </c>
      <c r="IS52" s="7" t="s">
        <v>344</v>
      </c>
      <c r="IT52" s="7"/>
      <c r="IU52" s="7" t="s">
        <v>644</v>
      </c>
      <c r="IV52" s="7"/>
      <c r="IW52" s="7"/>
      <c r="IX52" s="7"/>
      <c r="IY52" s="7"/>
      <c r="IZ52" s="7"/>
      <c r="JA52" s="7"/>
      <c r="JB52" s="7"/>
      <c r="JC52" s="7"/>
      <c r="JD52" s="7"/>
      <c r="JE52" s="7"/>
      <c r="JF52" s="7"/>
      <c r="JG52" s="7"/>
      <c r="JH52" s="7"/>
    </row>
    <row r="53" spans="1:268" x14ac:dyDescent="0.3">
      <c r="A53" s="7" t="s">
        <v>338</v>
      </c>
      <c r="B53" s="7">
        <v>112</v>
      </c>
      <c r="C53" s="7" t="s">
        <v>645</v>
      </c>
      <c r="D53" s="7">
        <v>14</v>
      </c>
      <c r="E53" s="7" t="s">
        <v>387</v>
      </c>
      <c r="F53" s="7">
        <v>326248937</v>
      </c>
      <c r="G53" s="7" t="s">
        <v>646</v>
      </c>
      <c r="H53" s="7" t="s">
        <v>645</v>
      </c>
      <c r="I53" s="7" t="s">
        <v>609</v>
      </c>
      <c r="J53" s="7">
        <v>16</v>
      </c>
      <c r="K53" s="7" t="s">
        <v>406</v>
      </c>
      <c r="L53" s="7"/>
      <c r="M53" s="7" t="s">
        <v>345</v>
      </c>
      <c r="N53" s="7" t="s">
        <v>345</v>
      </c>
      <c r="O53" s="7" t="s">
        <v>344</v>
      </c>
      <c r="P53" s="7" t="s">
        <v>344</v>
      </c>
      <c r="Q53" s="7" t="s">
        <v>344</v>
      </c>
      <c r="R53" s="7"/>
      <c r="S53" s="7" t="s">
        <v>346</v>
      </c>
      <c r="T53" s="7"/>
      <c r="U53" s="7" t="s">
        <v>347</v>
      </c>
      <c r="V53" s="7"/>
      <c r="W53" s="7" t="s">
        <v>344</v>
      </c>
      <c r="X53" s="7" t="s">
        <v>345</v>
      </c>
      <c r="Y53" s="7" t="s">
        <v>344</v>
      </c>
      <c r="Z53" s="7" t="s">
        <v>344</v>
      </c>
      <c r="AA53" s="7" t="s">
        <v>344</v>
      </c>
      <c r="AB53" s="7" t="s">
        <v>344</v>
      </c>
      <c r="AC53" s="7" t="s">
        <v>344</v>
      </c>
      <c r="AD53" s="7" t="s">
        <v>368</v>
      </c>
      <c r="AE53" s="7" t="s">
        <v>368</v>
      </c>
      <c r="AF53" s="7" t="s">
        <v>368</v>
      </c>
      <c r="AG53" s="7" t="s">
        <v>368</v>
      </c>
      <c r="AH53" s="7" t="s">
        <v>368</v>
      </c>
      <c r="AI53" s="7" t="s">
        <v>368</v>
      </c>
      <c r="AJ53" s="7" t="s">
        <v>345</v>
      </c>
      <c r="AK53" s="7" t="s">
        <v>345</v>
      </c>
      <c r="AL53" s="7" t="s">
        <v>344</v>
      </c>
      <c r="AM53" s="7" t="s">
        <v>344</v>
      </c>
      <c r="AN53" s="7" t="s">
        <v>344</v>
      </c>
      <c r="AO53" s="7" t="s">
        <v>344</v>
      </c>
      <c r="AP53" s="7" t="s">
        <v>344</v>
      </c>
      <c r="AQ53" s="7" t="s">
        <v>344</v>
      </c>
      <c r="AR53" s="7" t="s">
        <v>344</v>
      </c>
      <c r="AS53" s="7" t="s">
        <v>345</v>
      </c>
      <c r="AT53" s="7" t="s">
        <v>345</v>
      </c>
      <c r="AU53" s="7" t="s">
        <v>344</v>
      </c>
      <c r="AV53" s="7" t="s">
        <v>344</v>
      </c>
      <c r="AW53" s="7" t="s">
        <v>344</v>
      </c>
      <c r="AX53" s="7" t="s">
        <v>344</v>
      </c>
      <c r="AY53" s="7"/>
      <c r="AZ53" s="7"/>
      <c r="BA53" s="7"/>
      <c r="BB53" s="7"/>
      <c r="BC53" s="7"/>
      <c r="BD53" s="7"/>
      <c r="BE53" s="7" t="s">
        <v>349</v>
      </c>
      <c r="BF53" s="7" t="s">
        <v>349</v>
      </c>
      <c r="BG53" s="7" t="s">
        <v>390</v>
      </c>
      <c r="BH53" s="7" t="s">
        <v>390</v>
      </c>
      <c r="BI53" s="7" t="s">
        <v>349</v>
      </c>
      <c r="BJ53" s="7" t="s">
        <v>391</v>
      </c>
      <c r="BK53" s="7" t="s">
        <v>391</v>
      </c>
      <c r="BL53" s="7" t="s">
        <v>391</v>
      </c>
      <c r="BM53" s="7" t="s">
        <v>391</v>
      </c>
      <c r="BN53" s="7" t="s">
        <v>391</v>
      </c>
      <c r="BO53" s="7" t="s">
        <v>391</v>
      </c>
      <c r="BP53" s="7" t="s">
        <v>391</v>
      </c>
      <c r="BQ53" s="7" t="s">
        <v>358</v>
      </c>
      <c r="BR53" s="7" t="s">
        <v>429</v>
      </c>
      <c r="BS53" s="7" t="s">
        <v>391</v>
      </c>
      <c r="BT53" s="7" t="s">
        <v>391</v>
      </c>
      <c r="BU53" s="7" t="s">
        <v>391</v>
      </c>
      <c r="BV53" s="7" t="s">
        <v>391</v>
      </c>
      <c r="BW53" s="7" t="s">
        <v>391</v>
      </c>
      <c r="BX53" s="7" t="s">
        <v>391</v>
      </c>
      <c r="BY53" s="7" t="s">
        <v>391</v>
      </c>
      <c r="BZ53" s="7" t="s">
        <v>391</v>
      </c>
      <c r="CA53" s="7" t="s">
        <v>391</v>
      </c>
      <c r="CB53" s="7" t="s">
        <v>391</v>
      </c>
      <c r="CC53" s="7" t="s">
        <v>391</v>
      </c>
      <c r="CD53" s="7" t="s">
        <v>391</v>
      </c>
      <c r="CE53" s="7" t="s">
        <v>391</v>
      </c>
      <c r="CF53" s="7" t="s">
        <v>391</v>
      </c>
      <c r="CG53" s="7" t="s">
        <v>360</v>
      </c>
      <c r="CH53" s="7" t="s">
        <v>392</v>
      </c>
      <c r="CI53" s="7" t="s">
        <v>420</v>
      </c>
      <c r="CJ53" s="7" t="s">
        <v>360</v>
      </c>
      <c r="CK53" s="7"/>
      <c r="CL53" s="7" t="s">
        <v>344</v>
      </c>
      <c r="CM53" s="7" t="s">
        <v>345</v>
      </c>
      <c r="CN53" s="7" t="s">
        <v>344</v>
      </c>
      <c r="CO53" s="7" t="s">
        <v>344</v>
      </c>
      <c r="CP53" s="7" t="s">
        <v>345</v>
      </c>
      <c r="CQ53" s="7" t="s">
        <v>344</v>
      </c>
      <c r="CR53" s="7" t="s">
        <v>394</v>
      </c>
      <c r="CS53" s="7">
        <v>50</v>
      </c>
      <c r="CT53" s="7">
        <v>88</v>
      </c>
      <c r="CU53" s="7">
        <v>50</v>
      </c>
      <c r="CV53" s="7">
        <v>1</v>
      </c>
      <c r="CW53" s="7" t="s">
        <v>363</v>
      </c>
      <c r="CX53" s="7" t="s">
        <v>395</v>
      </c>
      <c r="CY53" s="7" t="s">
        <v>396</v>
      </c>
      <c r="CZ53" s="7" t="s">
        <v>397</v>
      </c>
      <c r="DA53" s="7" t="s">
        <v>397</v>
      </c>
      <c r="DB53" s="7" t="s">
        <v>397</v>
      </c>
      <c r="DC53" s="7" t="s">
        <v>397</v>
      </c>
      <c r="DD53" s="7" t="s">
        <v>397</v>
      </c>
      <c r="DE53" s="7" t="s">
        <v>397</v>
      </c>
      <c r="DF53" s="7" t="s">
        <v>366</v>
      </c>
      <c r="DG53" s="7" t="s">
        <v>397</v>
      </c>
      <c r="DH53" s="7" t="s">
        <v>397</v>
      </c>
      <c r="DI53" s="7" t="s">
        <v>366</v>
      </c>
      <c r="DJ53" s="7"/>
      <c r="DK53" s="7" t="s">
        <v>367</v>
      </c>
      <c r="DL53" s="7" t="s">
        <v>368</v>
      </c>
      <c r="DM53" s="7" t="s">
        <v>368</v>
      </c>
      <c r="DN53" s="7" t="s">
        <v>368</v>
      </c>
      <c r="DO53" s="7" t="s">
        <v>368</v>
      </c>
      <c r="DP53" s="7" t="s">
        <v>345</v>
      </c>
      <c r="DQ53" s="7" t="s">
        <v>345</v>
      </c>
      <c r="DR53" s="7" t="s">
        <v>344</v>
      </c>
      <c r="DS53" s="7" t="s">
        <v>344</v>
      </c>
      <c r="DT53" s="7" t="s">
        <v>345</v>
      </c>
      <c r="DU53" s="7" t="s">
        <v>344</v>
      </c>
      <c r="DV53" s="7" t="s">
        <v>344</v>
      </c>
      <c r="DW53" s="7" t="s">
        <v>344</v>
      </c>
      <c r="DX53" s="7" t="s">
        <v>370</v>
      </c>
      <c r="DY53" s="7" t="s">
        <v>370</v>
      </c>
      <c r="DZ53" s="7" t="s">
        <v>369</v>
      </c>
      <c r="EA53" s="7" t="s">
        <v>370</v>
      </c>
      <c r="EB53" s="7" t="s">
        <v>371</v>
      </c>
      <c r="EC53" s="7" t="s">
        <v>370</v>
      </c>
      <c r="ED53" s="7" t="s">
        <v>370</v>
      </c>
      <c r="EE53" s="7" t="s">
        <v>370</v>
      </c>
      <c r="EF53" s="7" t="s">
        <v>369</v>
      </c>
      <c r="EG53" s="7" t="s">
        <v>369</v>
      </c>
      <c r="EH53" s="7" t="s">
        <v>371</v>
      </c>
      <c r="EI53" s="7" t="s">
        <v>399</v>
      </c>
      <c r="EJ53" s="7" t="s">
        <v>369</v>
      </c>
      <c r="EK53" s="7" t="s">
        <v>369</v>
      </c>
      <c r="EL53" s="7" t="s">
        <v>374</v>
      </c>
      <c r="EM53" s="7" t="s">
        <v>372</v>
      </c>
      <c r="EN53" s="7" t="s">
        <v>424</v>
      </c>
      <c r="EO53" s="7"/>
      <c r="EP53" s="7"/>
      <c r="EQ53" s="7" t="s">
        <v>391</v>
      </c>
      <c r="ER53" s="7" t="s">
        <v>391</v>
      </c>
      <c r="ES53" s="7" t="s">
        <v>391</v>
      </c>
      <c r="ET53" s="7" t="s">
        <v>391</v>
      </c>
      <c r="EU53" s="7" t="s">
        <v>391</v>
      </c>
      <c r="EV53" s="7" t="s">
        <v>400</v>
      </c>
      <c r="EW53" s="7"/>
      <c r="EX53" s="7" t="s">
        <v>368</v>
      </c>
      <c r="EY53" s="7" t="s">
        <v>368</v>
      </c>
      <c r="EZ53" s="7" t="s">
        <v>368</v>
      </c>
      <c r="FA53" s="7" t="s">
        <v>345</v>
      </c>
      <c r="FB53" s="7" t="s">
        <v>381</v>
      </c>
      <c r="FC53" s="7"/>
      <c r="FD53" s="7" t="s">
        <v>401</v>
      </c>
      <c r="FE53" s="7"/>
      <c r="FF53" s="7"/>
      <c r="FG53" s="7"/>
      <c r="FH53" s="7"/>
      <c r="FI53" s="7"/>
      <c r="FJ53" s="7"/>
      <c r="FK53" s="7"/>
      <c r="FL53" s="7"/>
      <c r="FM53" s="7"/>
      <c r="FN53" s="7"/>
      <c r="FO53" s="7"/>
      <c r="FP53" s="7"/>
      <c r="FQ53" s="7"/>
      <c r="FR53" s="7"/>
      <c r="FS53" s="7"/>
      <c r="FT53" s="7"/>
      <c r="FU53" s="7"/>
      <c r="FV53" s="7"/>
      <c r="FW53" s="7"/>
      <c r="FX53" s="7"/>
      <c r="FY53" s="7"/>
      <c r="FZ53" s="7"/>
      <c r="GA53" s="7" t="s">
        <v>368</v>
      </c>
      <c r="GB53" s="7" t="s">
        <v>368</v>
      </c>
      <c r="GC53" s="7" t="s">
        <v>368</v>
      </c>
      <c r="GD53" s="7" t="s">
        <v>368</v>
      </c>
      <c r="GE53" s="7" t="s">
        <v>368</v>
      </c>
      <c r="GF53" s="7" t="s">
        <v>368</v>
      </c>
      <c r="GG53" s="7"/>
      <c r="GH53" s="7"/>
      <c r="GI53" s="7"/>
      <c r="GJ53" s="7"/>
      <c r="GK53" s="7"/>
      <c r="GL53" s="7" t="s">
        <v>344</v>
      </c>
      <c r="GM53" s="7" t="s">
        <v>344</v>
      </c>
      <c r="GN53" s="7" t="s">
        <v>344</v>
      </c>
      <c r="GO53" s="7" t="s">
        <v>344</v>
      </c>
      <c r="GP53" s="7" t="s">
        <v>344</v>
      </c>
      <c r="GQ53" s="7" t="s">
        <v>344</v>
      </c>
      <c r="GR53" s="7" t="s">
        <v>344</v>
      </c>
      <c r="GS53" s="7" t="s">
        <v>344</v>
      </c>
      <c r="GT53" s="7" t="s">
        <v>344</v>
      </c>
      <c r="GU53" s="7" t="s">
        <v>344</v>
      </c>
      <c r="GV53" s="7" t="s">
        <v>344</v>
      </c>
      <c r="GW53" s="7" t="s">
        <v>344</v>
      </c>
      <c r="GX53" s="7" t="s">
        <v>344</v>
      </c>
      <c r="GY53" s="7" t="s">
        <v>344</v>
      </c>
      <c r="GZ53" s="7" t="s">
        <v>344</v>
      </c>
      <c r="HA53" s="7" t="s">
        <v>544</v>
      </c>
      <c r="HB53" s="7" t="s">
        <v>344</v>
      </c>
      <c r="HC53" s="7"/>
      <c r="HD53" s="7" t="s">
        <v>344</v>
      </c>
      <c r="HE53" s="7"/>
      <c r="HF53" s="7" t="s">
        <v>344</v>
      </c>
      <c r="HG53" s="7"/>
      <c r="HH53" s="7" t="s">
        <v>344</v>
      </c>
      <c r="HI53" s="7"/>
      <c r="HJ53" s="7" t="s">
        <v>345</v>
      </c>
      <c r="HK53" s="7" t="s">
        <v>344</v>
      </c>
      <c r="HL53" s="7" t="s">
        <v>344</v>
      </c>
      <c r="HM53" s="7" t="s">
        <v>345</v>
      </c>
      <c r="HN53" s="7" t="s">
        <v>344</v>
      </c>
      <c r="HO53" s="7" t="s">
        <v>344</v>
      </c>
      <c r="HP53" s="7" t="s">
        <v>344</v>
      </c>
      <c r="HQ53" s="7" t="s">
        <v>344</v>
      </c>
      <c r="HR53" s="7" t="s">
        <v>344</v>
      </c>
      <c r="HS53" s="7" t="s">
        <v>344</v>
      </c>
      <c r="HT53" s="7" t="s">
        <v>344</v>
      </c>
      <c r="HU53" s="7" t="s">
        <v>345</v>
      </c>
      <c r="HV53" s="7" t="s">
        <v>344</v>
      </c>
      <c r="HW53" s="7" t="s">
        <v>344</v>
      </c>
      <c r="HX53" s="7" t="s">
        <v>344</v>
      </c>
      <c r="HY53" s="7"/>
      <c r="HZ53" s="7" t="s">
        <v>344</v>
      </c>
      <c r="IA53" s="7"/>
      <c r="IB53" s="7" t="s">
        <v>344</v>
      </c>
      <c r="IC53" s="7"/>
      <c r="ID53" s="7" t="s">
        <v>344</v>
      </c>
      <c r="IE53" s="7"/>
      <c r="IF53" s="7" t="s">
        <v>344</v>
      </c>
      <c r="IG53" s="7"/>
      <c r="IH53" s="7" t="s">
        <v>345</v>
      </c>
      <c r="II53" s="7" t="s">
        <v>345</v>
      </c>
      <c r="IJ53" s="7" t="s">
        <v>344</v>
      </c>
      <c r="IK53" s="7" t="s">
        <v>344</v>
      </c>
      <c r="IL53" s="7" t="s">
        <v>345</v>
      </c>
      <c r="IM53" s="7" t="s">
        <v>344</v>
      </c>
      <c r="IN53" s="7" t="s">
        <v>344</v>
      </c>
      <c r="IO53" s="7" t="s">
        <v>345</v>
      </c>
      <c r="IP53" s="7" t="s">
        <v>344</v>
      </c>
      <c r="IQ53" s="7" t="s">
        <v>344</v>
      </c>
      <c r="IR53" s="7" t="s">
        <v>344</v>
      </c>
      <c r="IS53" s="7" t="s">
        <v>344</v>
      </c>
      <c r="IT53" s="7"/>
      <c r="IU53" s="7"/>
      <c r="IV53" s="7"/>
      <c r="IW53" s="7"/>
      <c r="IX53" s="7"/>
      <c r="IY53" s="7"/>
      <c r="IZ53" s="7"/>
      <c r="JA53" s="7"/>
      <c r="JB53" s="7"/>
      <c r="JC53" s="7"/>
      <c r="JD53" s="7"/>
      <c r="JE53" s="7"/>
      <c r="JF53" s="7"/>
      <c r="JG53" s="7"/>
      <c r="JH53" s="7"/>
    </row>
    <row r="54" spans="1:268" x14ac:dyDescent="0.3">
      <c r="A54" s="7" t="s">
        <v>338</v>
      </c>
      <c r="B54" s="7">
        <v>113</v>
      </c>
      <c r="C54" s="7" t="s">
        <v>647</v>
      </c>
      <c r="D54" s="7">
        <v>14</v>
      </c>
      <c r="E54" s="7" t="s">
        <v>387</v>
      </c>
      <c r="F54" s="7">
        <v>324536770</v>
      </c>
      <c r="G54" s="7" t="s">
        <v>648</v>
      </c>
      <c r="H54" s="7" t="s">
        <v>647</v>
      </c>
      <c r="I54" s="7" t="s">
        <v>609</v>
      </c>
      <c r="J54" s="7">
        <v>17</v>
      </c>
      <c r="K54" s="7" t="s">
        <v>389</v>
      </c>
      <c r="L54" s="7"/>
      <c r="M54" s="7" t="s">
        <v>345</v>
      </c>
      <c r="N54" s="7" t="s">
        <v>344</v>
      </c>
      <c r="O54" s="7" t="s">
        <v>344</v>
      </c>
      <c r="P54" s="7" t="s">
        <v>344</v>
      </c>
      <c r="Q54" s="7" t="s">
        <v>344</v>
      </c>
      <c r="R54" s="7"/>
      <c r="S54" s="7" t="s">
        <v>346</v>
      </c>
      <c r="T54" s="7"/>
      <c r="U54" s="7" t="s">
        <v>571</v>
      </c>
      <c r="V54" s="7"/>
      <c r="W54" s="7" t="s">
        <v>345</v>
      </c>
      <c r="X54" s="7" t="s">
        <v>344</v>
      </c>
      <c r="Y54" s="7" t="s">
        <v>344</v>
      </c>
      <c r="Z54" s="7" t="s">
        <v>344</v>
      </c>
      <c r="AA54" s="7" t="s">
        <v>344</v>
      </c>
      <c r="AB54" s="7" t="s">
        <v>344</v>
      </c>
      <c r="AC54" s="7" t="s">
        <v>344</v>
      </c>
      <c r="AD54" s="7" t="s">
        <v>344</v>
      </c>
      <c r="AE54" s="7" t="s">
        <v>344</v>
      </c>
      <c r="AF54" s="7" t="s">
        <v>345</v>
      </c>
      <c r="AG54" s="7" t="s">
        <v>344</v>
      </c>
      <c r="AH54" s="7" t="s">
        <v>344</v>
      </c>
      <c r="AI54" s="7" t="s">
        <v>344</v>
      </c>
      <c r="AJ54" s="7" t="s">
        <v>344</v>
      </c>
      <c r="AK54" s="7" t="s">
        <v>344</v>
      </c>
      <c r="AL54" s="7" t="s">
        <v>344</v>
      </c>
      <c r="AM54" s="7" t="s">
        <v>344</v>
      </c>
      <c r="AN54" s="7" t="s">
        <v>344</v>
      </c>
      <c r="AO54" s="7" t="s">
        <v>345</v>
      </c>
      <c r="AP54" s="7" t="s">
        <v>344</v>
      </c>
      <c r="AQ54" s="7" t="s">
        <v>344</v>
      </c>
      <c r="AR54" s="7" t="s">
        <v>345</v>
      </c>
      <c r="AS54" s="7" t="s">
        <v>344</v>
      </c>
      <c r="AT54" s="7" t="s">
        <v>344</v>
      </c>
      <c r="AU54" s="7" t="s">
        <v>344</v>
      </c>
      <c r="AV54" s="7" t="s">
        <v>344</v>
      </c>
      <c r="AW54" s="7" t="s">
        <v>344</v>
      </c>
      <c r="AX54" s="7" t="s">
        <v>344</v>
      </c>
      <c r="AY54" s="7"/>
      <c r="AZ54" s="7"/>
      <c r="BA54" s="7"/>
      <c r="BB54" s="7"/>
      <c r="BC54" s="7"/>
      <c r="BD54" s="7"/>
      <c r="BE54" s="7" t="s">
        <v>390</v>
      </c>
      <c r="BF54" s="7" t="s">
        <v>390</v>
      </c>
      <c r="BG54" s="7" t="s">
        <v>390</v>
      </c>
      <c r="BH54" s="7" t="s">
        <v>390</v>
      </c>
      <c r="BI54" s="7" t="s">
        <v>390</v>
      </c>
      <c r="BJ54" s="7" t="s">
        <v>391</v>
      </c>
      <c r="BK54" s="7" t="s">
        <v>391</v>
      </c>
      <c r="BL54" s="7" t="s">
        <v>391</v>
      </c>
      <c r="BM54" s="7" t="s">
        <v>391</v>
      </c>
      <c r="BN54" s="7" t="s">
        <v>391</v>
      </c>
      <c r="BO54" s="7" t="s">
        <v>391</v>
      </c>
      <c r="BP54" s="7" t="s">
        <v>391</v>
      </c>
      <c r="BQ54" s="7" t="s">
        <v>358</v>
      </c>
      <c r="BR54" s="7" t="s">
        <v>408</v>
      </c>
      <c r="BS54" s="7" t="s">
        <v>391</v>
      </c>
      <c r="BT54" s="7" t="s">
        <v>391</v>
      </c>
      <c r="BU54" s="7" t="s">
        <v>391</v>
      </c>
      <c r="BV54" s="7" t="s">
        <v>391</v>
      </c>
      <c r="BW54" s="7" t="s">
        <v>391</v>
      </c>
      <c r="BX54" s="7" t="s">
        <v>391</v>
      </c>
      <c r="BY54" s="7" t="s">
        <v>391</v>
      </c>
      <c r="BZ54" s="7" t="s">
        <v>391</v>
      </c>
      <c r="CA54" s="7" t="s">
        <v>391</v>
      </c>
      <c r="CB54" s="7" t="s">
        <v>391</v>
      </c>
      <c r="CC54" s="7" t="s">
        <v>391</v>
      </c>
      <c r="CD54" s="7" t="s">
        <v>391</v>
      </c>
      <c r="CE54" s="7" t="s">
        <v>391</v>
      </c>
      <c r="CF54" s="7" t="s">
        <v>391</v>
      </c>
      <c r="CG54" s="7" t="s">
        <v>392</v>
      </c>
      <c r="CH54" s="7" t="s">
        <v>421</v>
      </c>
      <c r="CI54" s="7" t="s">
        <v>420</v>
      </c>
      <c r="CJ54" s="7" t="s">
        <v>420</v>
      </c>
      <c r="CK54" s="7" t="s">
        <v>649</v>
      </c>
      <c r="CL54" s="7" t="s">
        <v>344</v>
      </c>
      <c r="CM54" s="7" t="s">
        <v>344</v>
      </c>
      <c r="CN54" s="7" t="s">
        <v>344</v>
      </c>
      <c r="CO54" s="7" t="s">
        <v>344</v>
      </c>
      <c r="CP54" s="7" t="s">
        <v>345</v>
      </c>
      <c r="CQ54" s="7" t="s">
        <v>344</v>
      </c>
      <c r="CR54" s="7" t="s">
        <v>394</v>
      </c>
      <c r="CS54" s="7">
        <v>100</v>
      </c>
      <c r="CT54" s="7">
        <v>100</v>
      </c>
      <c r="CU54" s="7"/>
      <c r="CV54" s="7"/>
      <c r="CW54" s="7" t="s">
        <v>363</v>
      </c>
      <c r="CX54" s="7" t="s">
        <v>395</v>
      </c>
      <c r="CY54" s="7" t="s">
        <v>363</v>
      </c>
      <c r="CZ54" s="7" t="s">
        <v>397</v>
      </c>
      <c r="DA54" s="7" t="s">
        <v>397</v>
      </c>
      <c r="DB54" s="7" t="s">
        <v>397</v>
      </c>
      <c r="DC54" s="7" t="s">
        <v>397</v>
      </c>
      <c r="DD54" s="7" t="s">
        <v>366</v>
      </c>
      <c r="DE54" s="7"/>
      <c r="DF54" s="7"/>
      <c r="DG54" s="7"/>
      <c r="DH54" s="7"/>
      <c r="DI54" s="7"/>
      <c r="DJ54" s="7" t="s">
        <v>650</v>
      </c>
      <c r="DK54" s="7" t="s">
        <v>367</v>
      </c>
      <c r="DL54" s="7" t="s">
        <v>368</v>
      </c>
      <c r="DM54" s="7" t="s">
        <v>368</v>
      </c>
      <c r="DN54" s="7" t="s">
        <v>368</v>
      </c>
      <c r="DO54" s="7" t="s">
        <v>368</v>
      </c>
      <c r="DP54" s="7" t="s">
        <v>345</v>
      </c>
      <c r="DQ54" s="7" t="s">
        <v>345</v>
      </c>
      <c r="DR54" s="7" t="s">
        <v>345</v>
      </c>
      <c r="DS54" s="7" t="s">
        <v>344</v>
      </c>
      <c r="DT54" s="7" t="s">
        <v>368</v>
      </c>
      <c r="DU54" s="7" t="s">
        <v>368</v>
      </c>
      <c r="DV54" s="7" t="s">
        <v>368</v>
      </c>
      <c r="DW54" s="7" t="s">
        <v>345</v>
      </c>
      <c r="DX54" s="7" t="s">
        <v>370</v>
      </c>
      <c r="DY54" s="7" t="s">
        <v>370</v>
      </c>
      <c r="DZ54" s="7" t="s">
        <v>370</v>
      </c>
      <c r="EA54" s="7" t="s">
        <v>370</v>
      </c>
      <c r="EB54" s="7" t="s">
        <v>370</v>
      </c>
      <c r="EC54" s="7" t="s">
        <v>370</v>
      </c>
      <c r="ED54" s="7" t="s">
        <v>370</v>
      </c>
      <c r="EE54" s="7" t="s">
        <v>369</v>
      </c>
      <c r="EF54" s="7" t="s">
        <v>369</v>
      </c>
      <c r="EG54" s="7" t="s">
        <v>369</v>
      </c>
      <c r="EH54" s="7" t="s">
        <v>369</v>
      </c>
      <c r="EI54" s="7" t="s">
        <v>369</v>
      </c>
      <c r="EJ54" s="7" t="s">
        <v>369</v>
      </c>
      <c r="EK54" s="7" t="s">
        <v>369</v>
      </c>
      <c r="EL54" s="7" t="s">
        <v>373</v>
      </c>
      <c r="EM54" s="7" t="s">
        <v>372</v>
      </c>
      <c r="EN54" s="7" t="s">
        <v>374</v>
      </c>
      <c r="EO54" s="7"/>
      <c r="EP54" s="7"/>
      <c r="EQ54" s="7" t="s">
        <v>375</v>
      </c>
      <c r="ER54" s="7" t="s">
        <v>375</v>
      </c>
      <c r="ES54" s="7" t="s">
        <v>375</v>
      </c>
      <c r="ET54" s="7" t="s">
        <v>375</v>
      </c>
      <c r="EU54" s="7" t="s">
        <v>375</v>
      </c>
      <c r="EV54" s="7" t="s">
        <v>400</v>
      </c>
      <c r="EW54" s="7"/>
      <c r="EX54" s="7" t="s">
        <v>368</v>
      </c>
      <c r="EY54" s="7" t="s">
        <v>368</v>
      </c>
      <c r="EZ54" s="7" t="s">
        <v>368</v>
      </c>
      <c r="FA54" s="7" t="s">
        <v>345</v>
      </c>
      <c r="FB54" s="7" t="s">
        <v>401</v>
      </c>
      <c r="FC54" s="7"/>
      <c r="FD54" s="7" t="s">
        <v>401</v>
      </c>
      <c r="FE54" s="7"/>
      <c r="FF54" s="7" t="s">
        <v>477</v>
      </c>
      <c r="FG54" s="7" t="s">
        <v>402</v>
      </c>
      <c r="FH54" s="7" t="s">
        <v>451</v>
      </c>
      <c r="FI54" s="7" t="s">
        <v>403</v>
      </c>
      <c r="FJ54" s="7"/>
      <c r="FK54" s="7"/>
      <c r="FL54" s="7"/>
      <c r="FM54" s="7"/>
      <c r="FN54" s="7"/>
      <c r="FO54" s="7"/>
      <c r="FP54" s="7"/>
      <c r="FQ54" s="7"/>
      <c r="FR54" s="7"/>
      <c r="FS54" s="7"/>
      <c r="FT54" s="7"/>
      <c r="FU54" s="7"/>
      <c r="FV54" s="7"/>
      <c r="FW54" s="7"/>
      <c r="FX54" s="7"/>
      <c r="FY54" s="7"/>
      <c r="FZ54" s="7"/>
      <c r="GA54" s="7" t="s">
        <v>368</v>
      </c>
      <c r="GB54" s="7" t="s">
        <v>368</v>
      </c>
      <c r="GC54" s="7" t="s">
        <v>368</v>
      </c>
      <c r="GD54" s="7" t="s">
        <v>368</v>
      </c>
      <c r="GE54" s="7" t="s">
        <v>368</v>
      </c>
      <c r="GF54" s="7" t="s">
        <v>368</v>
      </c>
      <c r="GG54" s="7"/>
      <c r="GH54" s="7"/>
      <c r="GI54" s="7"/>
      <c r="GJ54" s="7"/>
      <c r="GK54" s="7"/>
      <c r="GL54" s="7" t="s">
        <v>344</v>
      </c>
      <c r="GM54" s="7" t="s">
        <v>344</v>
      </c>
      <c r="GN54" s="7" t="s">
        <v>344</v>
      </c>
      <c r="GO54" s="7" t="s">
        <v>344</v>
      </c>
      <c r="GP54" s="7" t="s">
        <v>344</v>
      </c>
      <c r="GQ54" s="7" t="s">
        <v>344</v>
      </c>
      <c r="GR54" s="7" t="s">
        <v>344</v>
      </c>
      <c r="GS54" s="7" t="s">
        <v>344</v>
      </c>
      <c r="GT54" s="7" t="s">
        <v>344</v>
      </c>
      <c r="GU54" s="7" t="s">
        <v>344</v>
      </c>
      <c r="GV54" s="7" t="s">
        <v>344</v>
      </c>
      <c r="GW54" s="7" t="s">
        <v>345</v>
      </c>
      <c r="GX54" s="7" t="s">
        <v>344</v>
      </c>
      <c r="GY54" s="7" t="s">
        <v>344</v>
      </c>
      <c r="GZ54" s="7" t="s">
        <v>344</v>
      </c>
      <c r="HA54" s="7"/>
      <c r="HB54" s="7" t="s">
        <v>344</v>
      </c>
      <c r="HC54" s="7"/>
      <c r="HD54" s="7" t="s">
        <v>344</v>
      </c>
      <c r="HE54" s="7"/>
      <c r="HF54" s="7" t="s">
        <v>344</v>
      </c>
      <c r="HG54" s="7"/>
      <c r="HH54" s="7" t="s">
        <v>344</v>
      </c>
      <c r="HI54" s="7"/>
      <c r="HJ54" s="7" t="s">
        <v>344</v>
      </c>
      <c r="HK54" s="7" t="s">
        <v>344</v>
      </c>
      <c r="HL54" s="7" t="s">
        <v>344</v>
      </c>
      <c r="HM54" s="7" t="s">
        <v>344</v>
      </c>
      <c r="HN54" s="7" t="s">
        <v>344</v>
      </c>
      <c r="HO54" s="7" t="s">
        <v>344</v>
      </c>
      <c r="HP54" s="7" t="s">
        <v>344</v>
      </c>
      <c r="HQ54" s="7" t="s">
        <v>344</v>
      </c>
      <c r="HR54" s="7" t="s">
        <v>344</v>
      </c>
      <c r="HS54" s="7" t="s">
        <v>344</v>
      </c>
      <c r="HT54" s="7" t="s">
        <v>344</v>
      </c>
      <c r="HU54" s="7" t="s">
        <v>344</v>
      </c>
      <c r="HV54" s="7" t="s">
        <v>344</v>
      </c>
      <c r="HW54" s="7" t="s">
        <v>344</v>
      </c>
      <c r="HX54" s="7" t="s">
        <v>345</v>
      </c>
      <c r="HY54" s="7"/>
      <c r="HZ54" s="7" t="s">
        <v>344</v>
      </c>
      <c r="IA54" s="7"/>
      <c r="IB54" s="7" t="s">
        <v>344</v>
      </c>
      <c r="IC54" s="7"/>
      <c r="ID54" s="7" t="s">
        <v>344</v>
      </c>
      <c r="IE54" s="7"/>
      <c r="IF54" s="7" t="s">
        <v>344</v>
      </c>
      <c r="IG54" s="7"/>
      <c r="IH54" s="7" t="s">
        <v>345</v>
      </c>
      <c r="II54" s="7" t="s">
        <v>344</v>
      </c>
      <c r="IJ54" s="7" t="s">
        <v>344</v>
      </c>
      <c r="IK54" s="7" t="s">
        <v>344</v>
      </c>
      <c r="IL54" s="7" t="s">
        <v>345</v>
      </c>
      <c r="IM54" s="7" t="s">
        <v>344</v>
      </c>
      <c r="IN54" s="7" t="s">
        <v>344</v>
      </c>
      <c r="IO54" s="7" t="s">
        <v>345</v>
      </c>
      <c r="IP54" s="7" t="s">
        <v>344</v>
      </c>
      <c r="IQ54" s="7" t="s">
        <v>344</v>
      </c>
      <c r="IR54" s="7" t="s">
        <v>344</v>
      </c>
      <c r="IS54" s="7" t="s">
        <v>344</v>
      </c>
      <c r="IT54" s="7"/>
      <c r="IU54" s="7"/>
      <c r="IV54" s="7"/>
      <c r="IW54" s="7"/>
      <c r="IX54" s="7"/>
      <c r="IY54" s="7"/>
      <c r="IZ54" s="7"/>
      <c r="JA54" s="7"/>
      <c r="JB54" s="7"/>
      <c r="JC54" s="7"/>
      <c r="JD54" s="7"/>
      <c r="JE54" s="7"/>
      <c r="JF54" s="7"/>
      <c r="JG54" s="7"/>
      <c r="JH54" s="7"/>
    </row>
    <row r="55" spans="1:268" x14ac:dyDescent="0.3">
      <c r="A55" s="8" t="s">
        <v>338</v>
      </c>
      <c r="B55" s="8">
        <v>124</v>
      </c>
      <c r="C55" s="8" t="s">
        <v>651</v>
      </c>
      <c r="D55" s="8">
        <v>14</v>
      </c>
      <c r="E55" s="8" t="s">
        <v>340</v>
      </c>
      <c r="F55" s="8">
        <v>1321482987</v>
      </c>
      <c r="G55" s="8" t="s">
        <v>652</v>
      </c>
      <c r="H55" s="8" t="s">
        <v>651</v>
      </c>
      <c r="I55" s="8" t="s">
        <v>653</v>
      </c>
      <c r="J55" s="8">
        <v>17</v>
      </c>
      <c r="K55" s="8" t="s">
        <v>406</v>
      </c>
      <c r="L55" s="8"/>
      <c r="M55" s="8" t="s">
        <v>344</v>
      </c>
      <c r="N55" s="8" t="s">
        <v>345</v>
      </c>
      <c r="O55" s="8" t="s">
        <v>344</v>
      </c>
      <c r="P55" s="8" t="s">
        <v>344</v>
      </c>
      <c r="Q55" s="8" t="s">
        <v>344</v>
      </c>
      <c r="R55" s="8"/>
      <c r="S55" s="8" t="s">
        <v>346</v>
      </c>
      <c r="T55" s="8"/>
      <c r="U55" s="8" t="s">
        <v>418</v>
      </c>
      <c r="V55" s="8"/>
      <c r="W55" s="8" t="s">
        <v>345</v>
      </c>
      <c r="X55" s="8" t="s">
        <v>344</v>
      </c>
      <c r="Y55" s="8" t="s">
        <v>344</v>
      </c>
      <c r="Z55" s="8" t="s">
        <v>344</v>
      </c>
      <c r="AA55" s="8" t="s">
        <v>344</v>
      </c>
      <c r="AB55" s="8" t="s">
        <v>344</v>
      </c>
      <c r="AC55" s="8" t="s">
        <v>344</v>
      </c>
      <c r="AD55" s="8" t="s">
        <v>344</v>
      </c>
      <c r="AE55" s="8" t="s">
        <v>344</v>
      </c>
      <c r="AF55" s="8" t="s">
        <v>344</v>
      </c>
      <c r="AG55" s="8" t="s">
        <v>344</v>
      </c>
      <c r="AH55" s="8" t="s">
        <v>345</v>
      </c>
      <c r="AI55" s="8" t="s">
        <v>344</v>
      </c>
      <c r="AJ55" s="8" t="s">
        <v>344</v>
      </c>
      <c r="AK55" s="8" t="s">
        <v>345</v>
      </c>
      <c r="AL55" s="8" t="s">
        <v>344</v>
      </c>
      <c r="AM55" s="8" t="s">
        <v>344</v>
      </c>
      <c r="AN55" s="8" t="s">
        <v>345</v>
      </c>
      <c r="AO55" s="8" t="s">
        <v>344</v>
      </c>
      <c r="AP55" s="8" t="s">
        <v>344</v>
      </c>
      <c r="AQ55" s="8" t="s">
        <v>344</v>
      </c>
      <c r="AR55" s="8" t="s">
        <v>344</v>
      </c>
      <c r="AS55" s="8" t="s">
        <v>344</v>
      </c>
      <c r="AT55" s="8" t="s">
        <v>344</v>
      </c>
      <c r="AU55" s="8" t="s">
        <v>344</v>
      </c>
      <c r="AV55" s="8" t="s">
        <v>345</v>
      </c>
      <c r="AW55" s="8" t="s">
        <v>345</v>
      </c>
      <c r="AX55" s="8" t="s">
        <v>344</v>
      </c>
      <c r="AY55" s="8"/>
      <c r="AZ55" s="8"/>
      <c r="BA55" s="8"/>
      <c r="BB55" s="8"/>
      <c r="BC55" s="8"/>
      <c r="BD55" s="8"/>
      <c r="BE55" s="8" t="s">
        <v>390</v>
      </c>
      <c r="BF55" s="8" t="s">
        <v>390</v>
      </c>
      <c r="BG55" s="8" t="s">
        <v>390</v>
      </c>
      <c r="BH55" s="8" t="s">
        <v>349</v>
      </c>
      <c r="BI55" s="8" t="s">
        <v>390</v>
      </c>
      <c r="BJ55" s="8" t="s">
        <v>391</v>
      </c>
      <c r="BK55" s="8" t="s">
        <v>391</v>
      </c>
      <c r="BL55" s="8" t="s">
        <v>391</v>
      </c>
      <c r="BM55" s="8" t="s">
        <v>391</v>
      </c>
      <c r="BN55" s="8" t="s">
        <v>391</v>
      </c>
      <c r="BO55" s="8" t="s">
        <v>391</v>
      </c>
      <c r="BP55" s="8" t="s">
        <v>391</v>
      </c>
      <c r="BQ55" s="8" t="s">
        <v>407</v>
      </c>
      <c r="BR55" s="8" t="s">
        <v>429</v>
      </c>
      <c r="BS55" s="8" t="s">
        <v>391</v>
      </c>
      <c r="BT55" s="8" t="s">
        <v>391</v>
      </c>
      <c r="BU55" s="8" t="s">
        <v>391</v>
      </c>
      <c r="BV55" s="8" t="s">
        <v>391</v>
      </c>
      <c r="BW55" s="8" t="s">
        <v>391</v>
      </c>
      <c r="BX55" s="8" t="s">
        <v>391</v>
      </c>
      <c r="BY55" s="8" t="s">
        <v>391</v>
      </c>
      <c r="BZ55" s="8" t="s">
        <v>391</v>
      </c>
      <c r="CA55" s="8" t="s">
        <v>391</v>
      </c>
      <c r="CB55" s="8" t="s">
        <v>391</v>
      </c>
      <c r="CC55" s="8" t="s">
        <v>391</v>
      </c>
      <c r="CD55" s="8" t="s">
        <v>391</v>
      </c>
      <c r="CE55" s="8" t="s">
        <v>391</v>
      </c>
      <c r="CF55" s="8" t="s">
        <v>391</v>
      </c>
      <c r="CG55" s="8" t="s">
        <v>360</v>
      </c>
      <c r="CH55" s="8" t="s">
        <v>420</v>
      </c>
      <c r="CI55" s="8" t="s">
        <v>392</v>
      </c>
      <c r="CJ55" s="8" t="s">
        <v>360</v>
      </c>
      <c r="CK55" s="8" t="s">
        <v>654</v>
      </c>
      <c r="CL55" s="8" t="s">
        <v>344</v>
      </c>
      <c r="CM55" s="8" t="s">
        <v>344</v>
      </c>
      <c r="CN55" s="8" t="s">
        <v>344</v>
      </c>
      <c r="CO55" s="8" t="s">
        <v>344</v>
      </c>
      <c r="CP55" s="8" t="s">
        <v>345</v>
      </c>
      <c r="CQ55" s="8" t="s">
        <v>344</v>
      </c>
      <c r="CR55" s="8" t="s">
        <v>655</v>
      </c>
      <c r="CS55" s="8">
        <v>82</v>
      </c>
      <c r="CT55" s="8">
        <v>27</v>
      </c>
      <c r="CU55" s="8">
        <v>100</v>
      </c>
      <c r="CV55" s="8">
        <v>1</v>
      </c>
      <c r="CW55" s="8" t="s">
        <v>363</v>
      </c>
      <c r="CX55" s="8" t="s">
        <v>395</v>
      </c>
      <c r="CY55" s="8" t="s">
        <v>396</v>
      </c>
      <c r="CZ55" s="8" t="s">
        <v>397</v>
      </c>
      <c r="DA55" s="8" t="s">
        <v>397</v>
      </c>
      <c r="DB55" s="8" t="s">
        <v>397</v>
      </c>
      <c r="DC55" s="8" t="s">
        <v>397</v>
      </c>
      <c r="DD55" s="8" t="s">
        <v>397</v>
      </c>
      <c r="DE55" s="8" t="s">
        <v>365</v>
      </c>
      <c r="DF55" s="8" t="s">
        <v>365</v>
      </c>
      <c r="DG55" s="8" t="s">
        <v>366</v>
      </c>
      <c r="DH55" s="8" t="s">
        <v>366</v>
      </c>
      <c r="DI55" s="8" t="s">
        <v>423</v>
      </c>
      <c r="DJ55" s="8" t="s">
        <v>656</v>
      </c>
      <c r="DK55" s="8" t="s">
        <v>367</v>
      </c>
      <c r="DL55" s="8" t="s">
        <v>368</v>
      </c>
      <c r="DM55" s="8" t="s">
        <v>368</v>
      </c>
      <c r="DN55" s="8" t="s">
        <v>368</v>
      </c>
      <c r="DO55" s="8" t="s">
        <v>368</v>
      </c>
      <c r="DP55" s="8" t="s">
        <v>345</v>
      </c>
      <c r="DQ55" s="8" t="s">
        <v>344</v>
      </c>
      <c r="DR55" s="8" t="s">
        <v>345</v>
      </c>
      <c r="DS55" s="8" t="s">
        <v>344</v>
      </c>
      <c r="DT55" s="8" t="s">
        <v>345</v>
      </c>
      <c r="DU55" s="8" t="s">
        <v>344</v>
      </c>
      <c r="DV55" s="8" t="s">
        <v>344</v>
      </c>
      <c r="DW55" s="8" t="s">
        <v>344</v>
      </c>
      <c r="DX55" s="8" t="s">
        <v>371</v>
      </c>
      <c r="DY55" s="8" t="s">
        <v>370</v>
      </c>
      <c r="DZ55" s="8" t="s">
        <v>370</v>
      </c>
      <c r="EA55" s="8" t="s">
        <v>370</v>
      </c>
      <c r="EB55" s="8" t="s">
        <v>371</v>
      </c>
      <c r="EC55" s="8" t="s">
        <v>398</v>
      </c>
      <c r="ED55" s="8" t="s">
        <v>370</v>
      </c>
      <c r="EE55" s="8" t="s">
        <v>370</v>
      </c>
      <c r="EF55" s="8" t="s">
        <v>370</v>
      </c>
      <c r="EG55" s="8" t="s">
        <v>370</v>
      </c>
      <c r="EH55" s="8" t="s">
        <v>370</v>
      </c>
      <c r="EI55" s="8" t="s">
        <v>370</v>
      </c>
      <c r="EJ55" s="8" t="s">
        <v>370</v>
      </c>
      <c r="EK55" s="8" t="s">
        <v>369</v>
      </c>
      <c r="EL55" s="8" t="s">
        <v>374</v>
      </c>
      <c r="EM55" s="8" t="s">
        <v>440</v>
      </c>
      <c r="EN55" s="8" t="s">
        <v>373</v>
      </c>
      <c r="EO55" s="8"/>
      <c r="EP55" s="8"/>
      <c r="EQ55" s="8" t="s">
        <v>376</v>
      </c>
      <c r="ER55" s="8" t="s">
        <v>375</v>
      </c>
      <c r="ES55" s="8" t="s">
        <v>375</v>
      </c>
      <c r="ET55" s="8" t="s">
        <v>375</v>
      </c>
      <c r="EU55" s="8" t="s">
        <v>378</v>
      </c>
      <c r="EV55" s="8" t="s">
        <v>400</v>
      </c>
      <c r="EW55" s="8"/>
      <c r="EX55" s="160" t="s">
        <v>344</v>
      </c>
      <c r="EY55" s="160" t="s">
        <v>345</v>
      </c>
      <c r="EZ55" s="160" t="s">
        <v>344</v>
      </c>
      <c r="FA55" s="160" t="s">
        <v>344</v>
      </c>
      <c r="FB55" s="8" t="s">
        <v>401</v>
      </c>
      <c r="FC55" s="8"/>
      <c r="FD55" s="8" t="s">
        <v>381</v>
      </c>
      <c r="FE55" s="8"/>
      <c r="FF55" s="8" t="s">
        <v>412</v>
      </c>
      <c r="FG55" s="8" t="s">
        <v>413</v>
      </c>
      <c r="FH55" s="8" t="s">
        <v>451</v>
      </c>
      <c r="FI55" s="8" t="s">
        <v>385</v>
      </c>
      <c r="FJ55" s="8"/>
      <c r="FK55" s="8"/>
      <c r="FL55" s="8"/>
      <c r="FM55" s="8"/>
      <c r="FN55" s="8"/>
      <c r="FO55" s="8"/>
      <c r="FP55" s="8"/>
      <c r="FQ55" s="8"/>
      <c r="FR55" s="8"/>
      <c r="FS55" s="8"/>
      <c r="FT55" s="8"/>
      <c r="FU55" s="8"/>
      <c r="FV55" s="8"/>
      <c r="FW55" s="8"/>
      <c r="FX55" s="8"/>
      <c r="FY55" s="8"/>
      <c r="FZ55" s="8"/>
      <c r="GA55" s="8" t="s">
        <v>368</v>
      </c>
      <c r="GB55" s="8" t="s">
        <v>368</v>
      </c>
      <c r="GC55" s="8" t="s">
        <v>368</v>
      </c>
      <c r="GD55" s="8" t="s">
        <v>368</v>
      </c>
      <c r="GE55" s="8" t="s">
        <v>368</v>
      </c>
      <c r="GF55" s="8" t="s">
        <v>368</v>
      </c>
      <c r="GG55" s="8"/>
      <c r="GH55" s="8"/>
      <c r="GI55" s="8"/>
      <c r="GJ55" s="8"/>
      <c r="GK55" s="8"/>
      <c r="GL55" s="8" t="s">
        <v>344</v>
      </c>
      <c r="GM55" s="8" t="s">
        <v>344</v>
      </c>
      <c r="GN55" s="8" t="s">
        <v>344</v>
      </c>
      <c r="GO55" s="8" t="s">
        <v>345</v>
      </c>
      <c r="GP55" s="8" t="s">
        <v>344</v>
      </c>
      <c r="GQ55" s="8" t="s">
        <v>344</v>
      </c>
      <c r="GR55" s="8" t="s">
        <v>345</v>
      </c>
      <c r="GS55" s="8" t="s">
        <v>344</v>
      </c>
      <c r="GT55" s="8" t="s">
        <v>344</v>
      </c>
      <c r="GU55" s="8" t="s">
        <v>344</v>
      </c>
      <c r="GV55" s="8" t="s">
        <v>344</v>
      </c>
      <c r="GW55" s="8" t="s">
        <v>344</v>
      </c>
      <c r="GX55" s="8" t="s">
        <v>344</v>
      </c>
      <c r="GY55" s="8" t="s">
        <v>344</v>
      </c>
      <c r="GZ55" s="8" t="s">
        <v>344</v>
      </c>
      <c r="HA55" s="8"/>
      <c r="HB55" s="8" t="s">
        <v>344</v>
      </c>
      <c r="HC55" s="8"/>
      <c r="HD55" s="8" t="s">
        <v>345</v>
      </c>
      <c r="HE55" s="8" t="s">
        <v>541</v>
      </c>
      <c r="HF55" s="8" t="s">
        <v>344</v>
      </c>
      <c r="HG55" s="8"/>
      <c r="HH55" s="8" t="s">
        <v>344</v>
      </c>
      <c r="HI55" s="8"/>
      <c r="HJ55" s="8" t="s">
        <v>344</v>
      </c>
      <c r="HK55" s="8" t="s">
        <v>344</v>
      </c>
      <c r="HL55" s="8" t="s">
        <v>345</v>
      </c>
      <c r="HM55" s="8" t="s">
        <v>344</v>
      </c>
      <c r="HN55" s="8" t="s">
        <v>345</v>
      </c>
      <c r="HO55" s="8" t="s">
        <v>344</v>
      </c>
      <c r="HP55" s="8" t="s">
        <v>344</v>
      </c>
      <c r="HQ55" s="8" t="s">
        <v>344</v>
      </c>
      <c r="HR55" s="8" t="s">
        <v>344</v>
      </c>
      <c r="HS55" s="8" t="s">
        <v>344</v>
      </c>
      <c r="HT55" s="8" t="s">
        <v>344</v>
      </c>
      <c r="HU55" s="8" t="s">
        <v>345</v>
      </c>
      <c r="HV55" s="8" t="s">
        <v>344</v>
      </c>
      <c r="HW55" s="8" t="s">
        <v>344</v>
      </c>
      <c r="HX55" s="8" t="s">
        <v>344</v>
      </c>
      <c r="HY55" s="8"/>
      <c r="HZ55" s="8" t="s">
        <v>344</v>
      </c>
      <c r="IA55" s="8"/>
      <c r="IB55" s="8" t="s">
        <v>345</v>
      </c>
      <c r="IC55" s="8"/>
      <c r="ID55" s="8" t="s">
        <v>344</v>
      </c>
      <c r="IE55" s="8"/>
      <c r="IF55" s="8" t="s">
        <v>344</v>
      </c>
      <c r="IG55" s="8"/>
      <c r="IH55" s="8" t="s">
        <v>345</v>
      </c>
      <c r="II55" s="8" t="s">
        <v>345</v>
      </c>
      <c r="IJ55" s="8" t="s">
        <v>344</v>
      </c>
      <c r="IK55" s="8" t="s">
        <v>344</v>
      </c>
      <c r="IL55" s="8" t="s">
        <v>345</v>
      </c>
      <c r="IM55" s="8" t="s">
        <v>345</v>
      </c>
      <c r="IN55" s="8" t="s">
        <v>344</v>
      </c>
      <c r="IO55" s="8" t="s">
        <v>345</v>
      </c>
      <c r="IP55" s="8" t="s">
        <v>344</v>
      </c>
      <c r="IQ55" s="8" t="s">
        <v>344</v>
      </c>
      <c r="IR55" s="8" t="s">
        <v>344</v>
      </c>
      <c r="IS55" s="8" t="s">
        <v>344</v>
      </c>
      <c r="IT55" s="8"/>
      <c r="IU55" s="8"/>
      <c r="IV55" s="8"/>
      <c r="IW55" s="8"/>
      <c r="IX55" s="8"/>
      <c r="IY55" s="8"/>
      <c r="IZ55" s="8"/>
      <c r="JA55" s="8"/>
      <c r="JB55" s="8"/>
      <c r="JC55" s="8"/>
      <c r="JD55" s="8"/>
      <c r="JE55" s="8"/>
      <c r="JF55" s="8"/>
      <c r="JG55" s="8"/>
      <c r="JH55" s="9"/>
    </row>
    <row r="56" spans="1:268" x14ac:dyDescent="0.3">
      <c r="A56" s="8" t="s">
        <v>338</v>
      </c>
      <c r="B56" s="8">
        <v>125</v>
      </c>
      <c r="C56" s="8" t="s">
        <v>657</v>
      </c>
      <c r="D56" s="8">
        <v>14</v>
      </c>
      <c r="E56" s="8" t="s">
        <v>340</v>
      </c>
      <c r="F56" s="8">
        <v>1131751698</v>
      </c>
      <c r="G56" s="8" t="s">
        <v>658</v>
      </c>
      <c r="H56" s="8" t="s">
        <v>657</v>
      </c>
      <c r="I56" s="8" t="s">
        <v>653</v>
      </c>
      <c r="J56" s="8">
        <v>17</v>
      </c>
      <c r="K56" s="8" t="s">
        <v>389</v>
      </c>
      <c r="L56" s="8"/>
      <c r="M56" s="8" t="s">
        <v>344</v>
      </c>
      <c r="N56" s="8" t="s">
        <v>345</v>
      </c>
      <c r="O56" s="8" t="s">
        <v>344</v>
      </c>
      <c r="P56" s="8" t="s">
        <v>344</v>
      </c>
      <c r="Q56" s="8" t="s">
        <v>344</v>
      </c>
      <c r="R56" s="8"/>
      <c r="S56" s="8" t="s">
        <v>346</v>
      </c>
      <c r="T56" s="8"/>
      <c r="U56" s="8" t="s">
        <v>418</v>
      </c>
      <c r="V56" s="8"/>
      <c r="W56" s="8" t="s">
        <v>368</v>
      </c>
      <c r="X56" s="8" t="s">
        <v>368</v>
      </c>
      <c r="Y56" s="8" t="s">
        <v>368</v>
      </c>
      <c r="Z56" s="8" t="s">
        <v>368</v>
      </c>
      <c r="AA56" s="8" t="s">
        <v>368</v>
      </c>
      <c r="AB56" s="8" t="s">
        <v>368</v>
      </c>
      <c r="AC56" s="8" t="s">
        <v>345</v>
      </c>
      <c r="AD56" s="8" t="s">
        <v>368</v>
      </c>
      <c r="AE56" s="8" t="s">
        <v>368</v>
      </c>
      <c r="AF56" s="8" t="s">
        <v>368</v>
      </c>
      <c r="AG56" s="8" t="s">
        <v>368</v>
      </c>
      <c r="AH56" s="8" t="s">
        <v>368</v>
      </c>
      <c r="AI56" s="8" t="s">
        <v>368</v>
      </c>
      <c r="AJ56" s="8" t="s">
        <v>345</v>
      </c>
      <c r="AK56" s="8" t="s">
        <v>368</v>
      </c>
      <c r="AL56" s="8" t="s">
        <v>368</v>
      </c>
      <c r="AM56" s="8" t="s">
        <v>368</v>
      </c>
      <c r="AN56" s="8" t="s">
        <v>368</v>
      </c>
      <c r="AO56" s="8" t="s">
        <v>368</v>
      </c>
      <c r="AP56" s="8" t="s">
        <v>368</v>
      </c>
      <c r="AQ56" s="8" t="s">
        <v>345</v>
      </c>
      <c r="AR56" s="8" t="s">
        <v>368</v>
      </c>
      <c r="AS56" s="8" t="s">
        <v>368</v>
      </c>
      <c r="AT56" s="8" t="s">
        <v>368</v>
      </c>
      <c r="AU56" s="8" t="s">
        <v>368</v>
      </c>
      <c r="AV56" s="8" t="s">
        <v>368</v>
      </c>
      <c r="AW56" s="8" t="s">
        <v>368</v>
      </c>
      <c r="AX56" s="8" t="s">
        <v>345</v>
      </c>
      <c r="AY56" s="8"/>
      <c r="AZ56" s="8"/>
      <c r="BA56" s="8"/>
      <c r="BB56" s="8"/>
      <c r="BC56" s="8"/>
      <c r="BD56" s="8"/>
      <c r="BE56" s="8" t="s">
        <v>349</v>
      </c>
      <c r="BF56" s="8" t="s">
        <v>349</v>
      </c>
      <c r="BG56" s="8" t="s">
        <v>349</v>
      </c>
      <c r="BH56" s="8" t="s">
        <v>349</v>
      </c>
      <c r="BI56" s="8" t="s">
        <v>349</v>
      </c>
      <c r="BJ56" s="8" t="s">
        <v>391</v>
      </c>
      <c r="BK56" s="8" t="s">
        <v>391</v>
      </c>
      <c r="BL56" s="8" t="s">
        <v>391</v>
      </c>
      <c r="BM56" s="8" t="s">
        <v>391</v>
      </c>
      <c r="BN56" s="8" t="s">
        <v>391</v>
      </c>
      <c r="BO56" s="8" t="s">
        <v>391</v>
      </c>
      <c r="BP56" s="8" t="s">
        <v>391</v>
      </c>
      <c r="BQ56" s="8" t="s">
        <v>419</v>
      </c>
      <c r="BR56" s="8" t="s">
        <v>367</v>
      </c>
      <c r="BS56" s="8" t="s">
        <v>391</v>
      </c>
      <c r="BT56" s="8" t="s">
        <v>391</v>
      </c>
      <c r="BU56" s="8" t="s">
        <v>391</v>
      </c>
      <c r="BV56" s="8" t="s">
        <v>391</v>
      </c>
      <c r="BW56" s="8" t="s">
        <v>391</v>
      </c>
      <c r="BX56" s="8" t="s">
        <v>391</v>
      </c>
      <c r="BY56" s="8" t="s">
        <v>391</v>
      </c>
      <c r="BZ56" s="8" t="s">
        <v>391</v>
      </c>
      <c r="CA56" s="8" t="s">
        <v>391</v>
      </c>
      <c r="CB56" s="8" t="s">
        <v>391</v>
      </c>
      <c r="CC56" s="8" t="s">
        <v>391</v>
      </c>
      <c r="CD56" s="8" t="s">
        <v>391</v>
      </c>
      <c r="CE56" s="8" t="s">
        <v>391</v>
      </c>
      <c r="CF56" s="8" t="s">
        <v>391</v>
      </c>
      <c r="CG56" s="8" t="s">
        <v>421</v>
      </c>
      <c r="CH56" s="8" t="s">
        <v>421</v>
      </c>
      <c r="CI56" s="8" t="s">
        <v>421</v>
      </c>
      <c r="CJ56" s="8" t="s">
        <v>421</v>
      </c>
      <c r="CK56" s="8" t="s">
        <v>659</v>
      </c>
      <c r="CL56" s="8" t="s">
        <v>344</v>
      </c>
      <c r="CM56" s="8" t="s">
        <v>344</v>
      </c>
      <c r="CN56" s="8" t="s">
        <v>345</v>
      </c>
      <c r="CO56" s="8" t="s">
        <v>344</v>
      </c>
      <c r="CP56" s="8" t="s">
        <v>344</v>
      </c>
      <c r="CQ56" s="8" t="s">
        <v>345</v>
      </c>
      <c r="CR56" s="8" t="s">
        <v>655</v>
      </c>
      <c r="CS56" s="8">
        <v>87</v>
      </c>
      <c r="CT56" s="8">
        <v>1</v>
      </c>
      <c r="CU56" s="8">
        <v>100</v>
      </c>
      <c r="CV56" s="8">
        <v>100</v>
      </c>
      <c r="CW56" s="8" t="s">
        <v>396</v>
      </c>
      <c r="CX56" s="8" t="s">
        <v>396</v>
      </c>
      <c r="CY56" s="8" t="s">
        <v>396</v>
      </c>
      <c r="CZ56" s="8" t="s">
        <v>397</v>
      </c>
      <c r="DA56" s="8" t="s">
        <v>397</v>
      </c>
      <c r="DB56" s="8" t="s">
        <v>397</v>
      </c>
      <c r="DC56" s="8" t="s">
        <v>397</v>
      </c>
      <c r="DD56" s="8" t="s">
        <v>397</v>
      </c>
      <c r="DE56" s="8" t="s">
        <v>397</v>
      </c>
      <c r="DF56" s="8" t="s">
        <v>423</v>
      </c>
      <c r="DG56" s="8" t="s">
        <v>397</v>
      </c>
      <c r="DH56" s="8" t="s">
        <v>397</v>
      </c>
      <c r="DI56" s="8" t="s">
        <v>397</v>
      </c>
      <c r="DJ56" s="8" t="s">
        <v>660</v>
      </c>
      <c r="DK56" s="8" t="s">
        <v>367</v>
      </c>
      <c r="DL56" s="8" t="s">
        <v>368</v>
      </c>
      <c r="DM56" s="8" t="s">
        <v>368</v>
      </c>
      <c r="DN56" s="8" t="s">
        <v>368</v>
      </c>
      <c r="DO56" s="8" t="s">
        <v>368</v>
      </c>
      <c r="DP56" s="8" t="s">
        <v>345</v>
      </c>
      <c r="DQ56" s="8" t="s">
        <v>345</v>
      </c>
      <c r="DR56" s="8" t="s">
        <v>345</v>
      </c>
      <c r="DS56" s="8" t="s">
        <v>344</v>
      </c>
      <c r="DT56" s="8" t="s">
        <v>345</v>
      </c>
      <c r="DU56" s="8" t="s">
        <v>345</v>
      </c>
      <c r="DV56" s="8" t="s">
        <v>345</v>
      </c>
      <c r="DW56" s="8" t="s">
        <v>344</v>
      </c>
      <c r="DX56" s="8" t="s">
        <v>371</v>
      </c>
      <c r="DY56" s="8" t="s">
        <v>371</v>
      </c>
      <c r="DZ56" s="8" t="s">
        <v>369</v>
      </c>
      <c r="EA56" s="8" t="s">
        <v>371</v>
      </c>
      <c r="EB56" s="8" t="s">
        <v>399</v>
      </c>
      <c r="EC56" s="8" t="s">
        <v>369</v>
      </c>
      <c r="ED56" s="8" t="s">
        <v>370</v>
      </c>
      <c r="EE56" s="8" t="s">
        <v>370</v>
      </c>
      <c r="EF56" s="8" t="s">
        <v>370</v>
      </c>
      <c r="EG56" s="8" t="s">
        <v>370</v>
      </c>
      <c r="EH56" s="8" t="s">
        <v>370</v>
      </c>
      <c r="EI56" s="8" t="s">
        <v>370</v>
      </c>
      <c r="EJ56" s="8" t="s">
        <v>370</v>
      </c>
      <c r="EK56" s="8" t="s">
        <v>370</v>
      </c>
      <c r="EL56" s="8" t="s">
        <v>373</v>
      </c>
      <c r="EM56" s="8" t="s">
        <v>374</v>
      </c>
      <c r="EN56" s="8" t="s">
        <v>372</v>
      </c>
      <c r="EO56" s="8"/>
      <c r="EP56" s="8"/>
      <c r="EQ56" s="8" t="s">
        <v>378</v>
      </c>
      <c r="ER56" s="8" t="s">
        <v>377</v>
      </c>
      <c r="ES56" s="8" t="s">
        <v>375</v>
      </c>
      <c r="ET56" s="8" t="s">
        <v>378</v>
      </c>
      <c r="EU56" s="8" t="s">
        <v>391</v>
      </c>
      <c r="EV56" s="8" t="s">
        <v>400</v>
      </c>
      <c r="EW56" s="8"/>
      <c r="EX56" s="8" t="s">
        <v>368</v>
      </c>
      <c r="EY56" s="8" t="s">
        <v>368</v>
      </c>
      <c r="EZ56" s="8" t="s">
        <v>368</v>
      </c>
      <c r="FA56" s="8" t="s">
        <v>345</v>
      </c>
      <c r="FB56" s="8" t="s">
        <v>380</v>
      </c>
      <c r="FC56" s="8"/>
      <c r="FD56" s="8" t="s">
        <v>381</v>
      </c>
      <c r="FE56" s="8"/>
      <c r="FF56" s="8" t="s">
        <v>382</v>
      </c>
      <c r="FG56" s="8" t="s">
        <v>402</v>
      </c>
      <c r="FH56" s="8" t="s">
        <v>432</v>
      </c>
      <c r="FI56" s="8" t="s">
        <v>403</v>
      </c>
      <c r="FJ56" s="8"/>
      <c r="FK56" s="8"/>
      <c r="FL56" s="8"/>
      <c r="FM56" s="8"/>
      <c r="FN56" s="8"/>
      <c r="FO56" s="8"/>
      <c r="FP56" s="8"/>
      <c r="FQ56" s="8"/>
      <c r="FR56" s="8"/>
      <c r="FS56" s="8"/>
      <c r="FT56" s="8"/>
      <c r="FU56" s="8"/>
      <c r="FV56" s="8"/>
      <c r="FW56" s="8"/>
      <c r="FX56" s="8"/>
      <c r="FY56" s="8"/>
      <c r="FZ56" s="8"/>
      <c r="GA56" s="8" t="s">
        <v>368</v>
      </c>
      <c r="GB56" s="8" t="s">
        <v>368</v>
      </c>
      <c r="GC56" s="8" t="s">
        <v>368</v>
      </c>
      <c r="GD56" s="8" t="s">
        <v>368</v>
      </c>
      <c r="GE56" s="8" t="s">
        <v>368</v>
      </c>
      <c r="GF56" s="8" t="s">
        <v>368</v>
      </c>
      <c r="GG56" s="8"/>
      <c r="GH56" s="8"/>
      <c r="GI56" s="8"/>
      <c r="GJ56" s="8"/>
      <c r="GK56" s="8"/>
      <c r="GL56" s="8" t="s">
        <v>344</v>
      </c>
      <c r="GM56" s="8" t="s">
        <v>344</v>
      </c>
      <c r="GN56" s="8" t="s">
        <v>344</v>
      </c>
      <c r="GO56" s="8" t="s">
        <v>344</v>
      </c>
      <c r="GP56" s="8" t="s">
        <v>344</v>
      </c>
      <c r="GQ56" s="8" t="s">
        <v>344</v>
      </c>
      <c r="GR56" s="8" t="s">
        <v>344</v>
      </c>
      <c r="GS56" s="8" t="s">
        <v>344</v>
      </c>
      <c r="GT56" s="8" t="s">
        <v>344</v>
      </c>
      <c r="GU56" s="8" t="s">
        <v>344</v>
      </c>
      <c r="GV56" s="8" t="s">
        <v>344</v>
      </c>
      <c r="GW56" s="8" t="s">
        <v>344</v>
      </c>
      <c r="GX56" s="8" t="s">
        <v>344</v>
      </c>
      <c r="GY56" s="8" t="s">
        <v>344</v>
      </c>
      <c r="GZ56" s="8" t="s">
        <v>345</v>
      </c>
      <c r="HA56" s="8"/>
      <c r="HB56" s="8" t="s">
        <v>344</v>
      </c>
      <c r="HC56" s="8"/>
      <c r="HD56" s="8" t="s">
        <v>344</v>
      </c>
      <c r="HE56" s="8"/>
      <c r="HF56" s="8" t="s">
        <v>344</v>
      </c>
      <c r="HG56" s="8"/>
      <c r="HH56" s="8" t="s">
        <v>344</v>
      </c>
      <c r="HI56" s="8"/>
      <c r="HJ56" s="8" t="s">
        <v>344</v>
      </c>
      <c r="HK56" s="8" t="s">
        <v>344</v>
      </c>
      <c r="HL56" s="8" t="s">
        <v>344</v>
      </c>
      <c r="HM56" s="8" t="s">
        <v>344</v>
      </c>
      <c r="HN56" s="8" t="s">
        <v>344</v>
      </c>
      <c r="HO56" s="8" t="s">
        <v>344</v>
      </c>
      <c r="HP56" s="8" t="s">
        <v>344</v>
      </c>
      <c r="HQ56" s="8" t="s">
        <v>344</v>
      </c>
      <c r="HR56" s="8" t="s">
        <v>344</v>
      </c>
      <c r="HS56" s="8" t="s">
        <v>344</v>
      </c>
      <c r="HT56" s="8" t="s">
        <v>344</v>
      </c>
      <c r="HU56" s="8" t="s">
        <v>344</v>
      </c>
      <c r="HV56" s="8" t="s">
        <v>344</v>
      </c>
      <c r="HW56" s="8" t="s">
        <v>344</v>
      </c>
      <c r="HX56" s="8" t="s">
        <v>345</v>
      </c>
      <c r="HY56" s="8"/>
      <c r="HZ56" s="8" t="s">
        <v>344</v>
      </c>
      <c r="IA56" s="8"/>
      <c r="IB56" s="8" t="s">
        <v>344</v>
      </c>
      <c r="IC56" s="8"/>
      <c r="ID56" s="8" t="s">
        <v>345</v>
      </c>
      <c r="IE56" s="8" t="s">
        <v>661</v>
      </c>
      <c r="IF56" s="8" t="s">
        <v>344</v>
      </c>
      <c r="IG56" s="8"/>
      <c r="IH56" s="8" t="s">
        <v>344</v>
      </c>
      <c r="II56" s="8" t="s">
        <v>344</v>
      </c>
      <c r="IJ56" s="8" t="s">
        <v>344</v>
      </c>
      <c r="IK56" s="8" t="s">
        <v>344</v>
      </c>
      <c r="IL56" s="8" t="s">
        <v>345</v>
      </c>
      <c r="IM56" s="8" t="s">
        <v>345</v>
      </c>
      <c r="IN56" s="8" t="s">
        <v>344</v>
      </c>
      <c r="IO56" s="8" t="s">
        <v>345</v>
      </c>
      <c r="IP56" s="8" t="s">
        <v>344</v>
      </c>
      <c r="IQ56" s="8" t="s">
        <v>344</v>
      </c>
      <c r="IR56" s="8" t="s">
        <v>344</v>
      </c>
      <c r="IS56" s="8" t="s">
        <v>344</v>
      </c>
      <c r="IT56" s="8"/>
      <c r="IU56" s="8" t="s">
        <v>662</v>
      </c>
      <c r="IV56" s="8"/>
      <c r="IW56" s="8"/>
      <c r="IX56" s="8"/>
      <c r="IY56" s="8"/>
      <c r="IZ56" s="8"/>
      <c r="JA56" s="8"/>
      <c r="JB56" s="8"/>
      <c r="JC56" s="8"/>
      <c r="JD56" s="8"/>
      <c r="JE56" s="8"/>
      <c r="JF56" s="8"/>
      <c r="JG56" s="8"/>
      <c r="JH56" s="9"/>
    </row>
    <row r="57" spans="1:268" x14ac:dyDescent="0.3">
      <c r="A57" s="8" t="s">
        <v>338</v>
      </c>
      <c r="B57" s="10">
        <v>128</v>
      </c>
      <c r="C57" s="10" t="s">
        <v>663</v>
      </c>
      <c r="D57" s="10">
        <v>14</v>
      </c>
      <c r="E57" s="10" t="s">
        <v>340</v>
      </c>
      <c r="F57" s="10">
        <v>2132141757</v>
      </c>
      <c r="G57" s="10" t="s">
        <v>664</v>
      </c>
      <c r="H57" s="10" t="s">
        <v>663</v>
      </c>
      <c r="I57" s="10" t="s">
        <v>653</v>
      </c>
      <c r="J57" s="10">
        <v>17</v>
      </c>
      <c r="K57" s="10" t="s">
        <v>343</v>
      </c>
      <c r="L57" s="10" t="s">
        <v>665</v>
      </c>
      <c r="M57" s="10" t="s">
        <v>345</v>
      </c>
      <c r="N57" s="10" t="s">
        <v>345</v>
      </c>
      <c r="O57" s="10" t="s">
        <v>344</v>
      </c>
      <c r="P57" s="10" t="s">
        <v>344</v>
      </c>
      <c r="Q57" s="10" t="s">
        <v>344</v>
      </c>
      <c r="R57" s="10"/>
      <c r="S57" s="10" t="s">
        <v>346</v>
      </c>
      <c r="T57" s="10"/>
      <c r="U57" s="10" t="s">
        <v>347</v>
      </c>
      <c r="V57" s="10"/>
      <c r="W57" s="10" t="s">
        <v>345</v>
      </c>
      <c r="X57" s="10" t="s">
        <v>345</v>
      </c>
      <c r="Y57" s="10" t="s">
        <v>344</v>
      </c>
      <c r="Z57" s="10" t="s">
        <v>344</v>
      </c>
      <c r="AA57" s="10" t="s">
        <v>344</v>
      </c>
      <c r="AB57" s="10" t="s">
        <v>344</v>
      </c>
      <c r="AC57" s="10" t="s">
        <v>344</v>
      </c>
      <c r="AD57" s="10" t="s">
        <v>368</v>
      </c>
      <c r="AE57" s="10" t="s">
        <v>368</v>
      </c>
      <c r="AF57" s="10" t="s">
        <v>368</v>
      </c>
      <c r="AG57" s="10" t="s">
        <v>368</v>
      </c>
      <c r="AH57" s="10" t="s">
        <v>368</v>
      </c>
      <c r="AI57" s="10" t="s">
        <v>368</v>
      </c>
      <c r="AJ57" s="10" t="s">
        <v>345</v>
      </c>
      <c r="AK57" s="10" t="s">
        <v>344</v>
      </c>
      <c r="AL57" s="10" t="s">
        <v>344</v>
      </c>
      <c r="AM57" s="10" t="s">
        <v>344</v>
      </c>
      <c r="AN57" s="10" t="s">
        <v>345</v>
      </c>
      <c r="AO57" s="10" t="s">
        <v>344</v>
      </c>
      <c r="AP57" s="10" t="s">
        <v>344</v>
      </c>
      <c r="AQ57" s="10" t="s">
        <v>344</v>
      </c>
      <c r="AR57" s="10" t="s">
        <v>345</v>
      </c>
      <c r="AS57" s="10" t="s">
        <v>345</v>
      </c>
      <c r="AT57" s="10" t="s">
        <v>344</v>
      </c>
      <c r="AU57" s="10" t="s">
        <v>344</v>
      </c>
      <c r="AV57" s="10" t="s">
        <v>344</v>
      </c>
      <c r="AW57" s="10" t="s">
        <v>344</v>
      </c>
      <c r="AX57" s="10" t="s">
        <v>344</v>
      </c>
      <c r="AY57" s="10"/>
      <c r="AZ57" s="10"/>
      <c r="BA57" s="10"/>
      <c r="BB57" s="10"/>
      <c r="BC57" s="10"/>
      <c r="BD57" s="10"/>
      <c r="BE57" s="10" t="s">
        <v>349</v>
      </c>
      <c r="BF57" s="10" t="s">
        <v>348</v>
      </c>
      <c r="BG57" s="10" t="s">
        <v>349</v>
      </c>
      <c r="BH57" s="10" t="s">
        <v>349</v>
      </c>
      <c r="BI57" s="10" t="s">
        <v>348</v>
      </c>
      <c r="BJ57" s="10" t="s">
        <v>391</v>
      </c>
      <c r="BK57" s="10" t="s">
        <v>391</v>
      </c>
      <c r="BL57" s="10" t="s">
        <v>391</v>
      </c>
      <c r="BM57" s="10" t="s">
        <v>391</v>
      </c>
      <c r="BN57" s="10" t="s">
        <v>391</v>
      </c>
      <c r="BO57" s="10" t="s">
        <v>391</v>
      </c>
      <c r="BP57" s="10" t="s">
        <v>391</v>
      </c>
      <c r="BQ57" s="10" t="s">
        <v>358</v>
      </c>
      <c r="BR57" s="10" t="s">
        <v>408</v>
      </c>
      <c r="BS57" s="10" t="s">
        <v>391</v>
      </c>
      <c r="BT57" s="10" t="s">
        <v>391</v>
      </c>
      <c r="BU57" s="10" t="s">
        <v>391</v>
      </c>
      <c r="BV57" s="10" t="s">
        <v>391</v>
      </c>
      <c r="BW57" s="10" t="s">
        <v>391</v>
      </c>
      <c r="BX57" s="10" t="s">
        <v>391</v>
      </c>
      <c r="BY57" s="10" t="s">
        <v>391</v>
      </c>
      <c r="BZ57" s="10" t="s">
        <v>391</v>
      </c>
      <c r="CA57" s="10" t="s">
        <v>391</v>
      </c>
      <c r="CB57" s="10" t="s">
        <v>391</v>
      </c>
      <c r="CC57" s="10" t="s">
        <v>391</v>
      </c>
      <c r="CD57" s="10" t="s">
        <v>391</v>
      </c>
      <c r="CE57" s="10" t="s">
        <v>391</v>
      </c>
      <c r="CF57" s="10" t="s">
        <v>391</v>
      </c>
      <c r="CG57" s="10" t="s">
        <v>392</v>
      </c>
      <c r="CH57" s="10" t="s">
        <v>360</v>
      </c>
      <c r="CI57" s="10" t="s">
        <v>420</v>
      </c>
      <c r="CJ57" s="10" t="s">
        <v>360</v>
      </c>
      <c r="CK57" s="10" t="s">
        <v>666</v>
      </c>
      <c r="CL57" s="10" t="s">
        <v>345</v>
      </c>
      <c r="CM57" s="10" t="s">
        <v>344</v>
      </c>
      <c r="CN57" s="10" t="s">
        <v>344</v>
      </c>
      <c r="CO57" s="10" t="s">
        <v>344</v>
      </c>
      <c r="CP57" s="10" t="s">
        <v>345</v>
      </c>
      <c r="CQ57" s="10" t="s">
        <v>344</v>
      </c>
      <c r="CR57" s="10" t="s">
        <v>667</v>
      </c>
      <c r="CS57" s="10">
        <v>40</v>
      </c>
      <c r="CT57" s="10">
        <v>59</v>
      </c>
      <c r="CU57" s="10">
        <v>69</v>
      </c>
      <c r="CV57" s="10">
        <v>9</v>
      </c>
      <c r="CW57" s="10" t="s">
        <v>395</v>
      </c>
      <c r="CX57" s="10" t="s">
        <v>396</v>
      </c>
      <c r="CY57" s="10" t="s">
        <v>396</v>
      </c>
      <c r="CZ57" s="10" t="s">
        <v>397</v>
      </c>
      <c r="DA57" s="10" t="s">
        <v>397</v>
      </c>
      <c r="DB57" s="10" t="s">
        <v>397</v>
      </c>
      <c r="DC57" s="10" t="s">
        <v>397</v>
      </c>
      <c r="DD57" s="10" t="s">
        <v>397</v>
      </c>
      <c r="DE57" s="10" t="s">
        <v>365</v>
      </c>
      <c r="DF57" s="10" t="s">
        <v>397</v>
      </c>
      <c r="DG57" s="10" t="s">
        <v>397</v>
      </c>
      <c r="DH57" s="10" t="s">
        <v>397</v>
      </c>
      <c r="DI57" s="10" t="s">
        <v>365</v>
      </c>
      <c r="DJ57" s="10" t="s">
        <v>668</v>
      </c>
      <c r="DK57" s="10" t="s">
        <v>492</v>
      </c>
      <c r="DL57" s="10" t="s">
        <v>368</v>
      </c>
      <c r="DM57" s="10" t="s">
        <v>368</v>
      </c>
      <c r="DN57" s="10" t="s">
        <v>368</v>
      </c>
      <c r="DO57" s="10" t="s">
        <v>345</v>
      </c>
      <c r="DP57" s="10" t="s">
        <v>368</v>
      </c>
      <c r="DQ57" s="10" t="s">
        <v>368</v>
      </c>
      <c r="DR57" s="10" t="s">
        <v>368</v>
      </c>
      <c r="DS57" s="10" t="s">
        <v>345</v>
      </c>
      <c r="DT57" s="10" t="s">
        <v>368</v>
      </c>
      <c r="DU57" s="10" t="s">
        <v>368</v>
      </c>
      <c r="DV57" s="10" t="s">
        <v>368</v>
      </c>
      <c r="DW57" s="10" t="s">
        <v>345</v>
      </c>
      <c r="DX57" s="10" t="s">
        <v>399</v>
      </c>
      <c r="DY57" s="10" t="s">
        <v>398</v>
      </c>
      <c r="DZ57" s="10" t="s">
        <v>370</v>
      </c>
      <c r="EA57" s="10" t="s">
        <v>371</v>
      </c>
      <c r="EB57" s="10" t="s">
        <v>371</v>
      </c>
      <c r="EC57" s="10" t="s">
        <v>399</v>
      </c>
      <c r="ED57" s="10" t="s">
        <v>370</v>
      </c>
      <c r="EE57" s="10" t="s">
        <v>370</v>
      </c>
      <c r="EF57" s="10" t="s">
        <v>398</v>
      </c>
      <c r="EG57" s="10" t="s">
        <v>398</v>
      </c>
      <c r="EH57" s="10" t="s">
        <v>370</v>
      </c>
      <c r="EI57" s="10" t="s">
        <v>398</v>
      </c>
      <c r="EJ57" s="10" t="s">
        <v>370</v>
      </c>
      <c r="EK57" s="10" t="s">
        <v>369</v>
      </c>
      <c r="EL57" s="10" t="s">
        <v>440</v>
      </c>
      <c r="EM57" s="10" t="s">
        <v>374</v>
      </c>
      <c r="EN57" s="10" t="s">
        <v>373</v>
      </c>
      <c r="EO57" s="10"/>
      <c r="EP57" s="10"/>
      <c r="EQ57" s="10" t="s">
        <v>391</v>
      </c>
      <c r="ER57" s="10" t="s">
        <v>375</v>
      </c>
      <c r="ES57" s="10" t="s">
        <v>376</v>
      </c>
      <c r="ET57" s="10" t="s">
        <v>391</v>
      </c>
      <c r="EU57" s="10" t="s">
        <v>375</v>
      </c>
      <c r="EV57" s="10" t="s">
        <v>400</v>
      </c>
      <c r="EW57" s="10"/>
      <c r="EX57" s="10" t="s">
        <v>368</v>
      </c>
      <c r="EY57" s="10" t="s">
        <v>368</v>
      </c>
      <c r="EZ57" s="10" t="s">
        <v>368</v>
      </c>
      <c r="FA57" s="10" t="s">
        <v>345</v>
      </c>
      <c r="FB57" s="10" t="s">
        <v>381</v>
      </c>
      <c r="FC57" s="10"/>
      <c r="FD57" s="10" t="s">
        <v>401</v>
      </c>
      <c r="FE57" s="10"/>
      <c r="FF57" s="10"/>
      <c r="FG57" s="10"/>
      <c r="FH57" s="10"/>
      <c r="FI57" s="10"/>
      <c r="FJ57" s="10"/>
      <c r="FK57" s="10"/>
      <c r="FL57" s="10"/>
      <c r="FM57" s="10"/>
      <c r="FN57" s="10"/>
      <c r="FO57" s="10"/>
      <c r="FP57" s="10"/>
      <c r="FQ57" s="10"/>
      <c r="FR57" s="10"/>
      <c r="FS57" s="10"/>
      <c r="FT57" s="10"/>
      <c r="FU57" s="10"/>
      <c r="FV57" s="10"/>
      <c r="FW57" s="10"/>
      <c r="FX57" s="10"/>
      <c r="FY57" s="10"/>
      <c r="FZ57" s="10"/>
      <c r="GA57" s="10" t="s">
        <v>368</v>
      </c>
      <c r="GB57" s="10" t="s">
        <v>368</v>
      </c>
      <c r="GC57" s="10" t="s">
        <v>368</v>
      </c>
      <c r="GD57" s="10" t="s">
        <v>368</v>
      </c>
      <c r="GE57" s="10" t="s">
        <v>368</v>
      </c>
      <c r="GF57" s="10" t="s">
        <v>368</v>
      </c>
      <c r="GG57" s="10"/>
      <c r="GH57" s="10"/>
      <c r="GI57" s="10"/>
      <c r="GJ57" s="10"/>
      <c r="GK57" s="10"/>
      <c r="GL57" s="10" t="s">
        <v>344</v>
      </c>
      <c r="GM57" s="10" t="s">
        <v>344</v>
      </c>
      <c r="GN57" s="10" t="s">
        <v>344</v>
      </c>
      <c r="GO57" s="10" t="s">
        <v>344</v>
      </c>
      <c r="GP57" s="10" t="s">
        <v>344</v>
      </c>
      <c r="GQ57" s="10" t="s">
        <v>344</v>
      </c>
      <c r="GR57" s="10" t="s">
        <v>344</v>
      </c>
      <c r="GS57" s="10" t="s">
        <v>344</v>
      </c>
      <c r="GT57" s="10" t="s">
        <v>344</v>
      </c>
      <c r="GU57" s="10" t="s">
        <v>344</v>
      </c>
      <c r="GV57" s="10" t="s">
        <v>344</v>
      </c>
      <c r="GW57" s="10" t="s">
        <v>344</v>
      </c>
      <c r="GX57" s="10" t="s">
        <v>344</v>
      </c>
      <c r="GY57" s="10" t="s">
        <v>345</v>
      </c>
      <c r="GZ57" s="10" t="s">
        <v>344</v>
      </c>
      <c r="HA57" s="10"/>
      <c r="HB57" s="10" t="s">
        <v>344</v>
      </c>
      <c r="HC57" s="10"/>
      <c r="HD57" s="10" t="s">
        <v>344</v>
      </c>
      <c r="HE57" s="10"/>
      <c r="HF57" s="10" t="s">
        <v>344</v>
      </c>
      <c r="HG57" s="10"/>
      <c r="HH57" s="10" t="s">
        <v>344</v>
      </c>
      <c r="HI57" s="10"/>
      <c r="HJ57" s="10" t="s">
        <v>344</v>
      </c>
      <c r="HK57" s="10" t="s">
        <v>344</v>
      </c>
      <c r="HL57" s="10" t="s">
        <v>344</v>
      </c>
      <c r="HM57" s="10" t="s">
        <v>344</v>
      </c>
      <c r="HN57" s="10" t="s">
        <v>344</v>
      </c>
      <c r="HO57" s="10" t="s">
        <v>344</v>
      </c>
      <c r="HP57" s="10" t="s">
        <v>344</v>
      </c>
      <c r="HQ57" s="10" t="s">
        <v>344</v>
      </c>
      <c r="HR57" s="10" t="s">
        <v>344</v>
      </c>
      <c r="HS57" s="10" t="s">
        <v>344</v>
      </c>
      <c r="HT57" s="10" t="s">
        <v>344</v>
      </c>
      <c r="HU57" s="10" t="s">
        <v>344</v>
      </c>
      <c r="HV57" s="10" t="s">
        <v>344</v>
      </c>
      <c r="HW57" s="10" t="s">
        <v>344</v>
      </c>
      <c r="HX57" s="10" t="s">
        <v>345</v>
      </c>
      <c r="HY57" s="10"/>
      <c r="HZ57" s="10" t="s">
        <v>344</v>
      </c>
      <c r="IA57" s="10"/>
      <c r="IB57" s="10" t="s">
        <v>344</v>
      </c>
      <c r="IC57" s="10"/>
      <c r="ID57" s="10" t="s">
        <v>344</v>
      </c>
      <c r="IE57" s="10"/>
      <c r="IF57" s="10" t="s">
        <v>344</v>
      </c>
      <c r="IG57" s="10"/>
      <c r="IH57" s="10" t="s">
        <v>345</v>
      </c>
      <c r="II57" s="10" t="s">
        <v>345</v>
      </c>
      <c r="IJ57" s="10" t="s">
        <v>344</v>
      </c>
      <c r="IK57" s="10" t="s">
        <v>344</v>
      </c>
      <c r="IL57" s="10" t="s">
        <v>345</v>
      </c>
      <c r="IM57" s="10" t="s">
        <v>345</v>
      </c>
      <c r="IN57" s="10" t="s">
        <v>344</v>
      </c>
      <c r="IO57" s="10" t="s">
        <v>345</v>
      </c>
      <c r="IP57" s="10" t="s">
        <v>344</v>
      </c>
      <c r="IQ57" s="10" t="s">
        <v>344</v>
      </c>
      <c r="IR57" s="10" t="s">
        <v>345</v>
      </c>
      <c r="IS57" s="10" t="s">
        <v>344</v>
      </c>
      <c r="IT57" s="10"/>
      <c r="IU57" s="10"/>
      <c r="IV57" s="10"/>
      <c r="IW57" s="10"/>
      <c r="IX57" s="10"/>
      <c r="IY57" s="10"/>
      <c r="IZ57" s="10"/>
      <c r="JA57" s="10"/>
      <c r="JB57" s="10"/>
      <c r="JC57" s="10"/>
      <c r="JD57" s="10"/>
      <c r="JE57" s="10"/>
      <c r="JF57" s="10"/>
      <c r="JG57" s="10"/>
      <c r="JH57" s="11"/>
    </row>
    <row r="58" spans="1:268" x14ac:dyDescent="0.3">
      <c r="A58" s="8" t="s">
        <v>338</v>
      </c>
      <c r="B58" s="8">
        <v>130</v>
      </c>
      <c r="C58" s="8" t="s">
        <v>669</v>
      </c>
      <c r="D58" s="8">
        <v>14</v>
      </c>
      <c r="E58" s="8" t="s">
        <v>340</v>
      </c>
      <c r="F58" s="8">
        <v>1920791389</v>
      </c>
      <c r="G58" s="8" t="s">
        <v>670</v>
      </c>
      <c r="H58" s="8" t="s">
        <v>669</v>
      </c>
      <c r="I58" s="8" t="s">
        <v>653</v>
      </c>
      <c r="J58" s="8">
        <v>17</v>
      </c>
      <c r="K58" s="8" t="s">
        <v>389</v>
      </c>
      <c r="L58" s="8"/>
      <c r="M58" s="8" t="s">
        <v>344</v>
      </c>
      <c r="N58" s="8" t="s">
        <v>345</v>
      </c>
      <c r="O58" s="8" t="s">
        <v>344</v>
      </c>
      <c r="P58" s="8" t="s">
        <v>344</v>
      </c>
      <c r="Q58" s="8" t="s">
        <v>344</v>
      </c>
      <c r="R58" s="8"/>
      <c r="S58" s="8" t="s">
        <v>346</v>
      </c>
      <c r="T58" s="8"/>
      <c r="U58" s="8" t="s">
        <v>418</v>
      </c>
      <c r="V58" s="8"/>
      <c r="W58" s="8" t="s">
        <v>345</v>
      </c>
      <c r="X58" s="8" t="s">
        <v>345</v>
      </c>
      <c r="Y58" s="8" t="s">
        <v>344</v>
      </c>
      <c r="Z58" s="8" t="s">
        <v>344</v>
      </c>
      <c r="AA58" s="8" t="s">
        <v>344</v>
      </c>
      <c r="AB58" s="8" t="s">
        <v>344</v>
      </c>
      <c r="AC58" s="8" t="s">
        <v>344</v>
      </c>
      <c r="AD58" s="8" t="s">
        <v>344</v>
      </c>
      <c r="AE58" s="8" t="s">
        <v>344</v>
      </c>
      <c r="AF58" s="8" t="s">
        <v>344</v>
      </c>
      <c r="AG58" s="8" t="s">
        <v>344</v>
      </c>
      <c r="AH58" s="8" t="s">
        <v>344</v>
      </c>
      <c r="AI58" s="8" t="s">
        <v>345</v>
      </c>
      <c r="AJ58" s="8" t="s">
        <v>344</v>
      </c>
      <c r="AK58" s="8" t="s">
        <v>344</v>
      </c>
      <c r="AL58" s="8" t="s">
        <v>344</v>
      </c>
      <c r="AM58" s="8" t="s">
        <v>344</v>
      </c>
      <c r="AN58" s="8" t="s">
        <v>345</v>
      </c>
      <c r="AO58" s="8" t="s">
        <v>344</v>
      </c>
      <c r="AP58" s="8" t="s">
        <v>344</v>
      </c>
      <c r="AQ58" s="8" t="s">
        <v>344</v>
      </c>
      <c r="AR58" s="8" t="s">
        <v>345</v>
      </c>
      <c r="AS58" s="8" t="s">
        <v>345</v>
      </c>
      <c r="AT58" s="8" t="s">
        <v>344</v>
      </c>
      <c r="AU58" s="8" t="s">
        <v>344</v>
      </c>
      <c r="AV58" s="8" t="s">
        <v>344</v>
      </c>
      <c r="AW58" s="8" t="s">
        <v>344</v>
      </c>
      <c r="AX58" s="8" t="s">
        <v>344</v>
      </c>
      <c r="AY58" s="8"/>
      <c r="AZ58" s="8"/>
      <c r="BA58" s="8"/>
      <c r="BB58" s="8"/>
      <c r="BC58" s="8"/>
      <c r="BD58" s="8"/>
      <c r="BE58" s="8" t="s">
        <v>390</v>
      </c>
      <c r="BF58" s="8" t="s">
        <v>348</v>
      </c>
      <c r="BG58" s="8" t="s">
        <v>349</v>
      </c>
      <c r="BH58" s="8" t="s">
        <v>348</v>
      </c>
      <c r="BI58" s="8" t="s">
        <v>350</v>
      </c>
      <c r="BJ58" s="8" t="s">
        <v>391</v>
      </c>
      <c r="BK58" s="8" t="s">
        <v>391</v>
      </c>
      <c r="BL58" s="8" t="s">
        <v>391</v>
      </c>
      <c r="BM58" s="8" t="s">
        <v>391</v>
      </c>
      <c r="BN58" s="8" t="s">
        <v>391</v>
      </c>
      <c r="BO58" s="8" t="s">
        <v>391</v>
      </c>
      <c r="BP58" s="8" t="s">
        <v>391</v>
      </c>
      <c r="BQ58" s="8" t="s">
        <v>407</v>
      </c>
      <c r="BR58" s="8" t="s">
        <v>408</v>
      </c>
      <c r="BS58" s="8" t="s">
        <v>391</v>
      </c>
      <c r="BT58" s="8" t="s">
        <v>391</v>
      </c>
      <c r="BU58" s="8" t="s">
        <v>391</v>
      </c>
      <c r="BV58" s="8" t="s">
        <v>391</v>
      </c>
      <c r="BW58" s="8" t="s">
        <v>391</v>
      </c>
      <c r="BX58" s="8" t="s">
        <v>391</v>
      </c>
      <c r="BY58" s="8" t="s">
        <v>391</v>
      </c>
      <c r="BZ58" s="8" t="s">
        <v>391</v>
      </c>
      <c r="CA58" s="8" t="s">
        <v>391</v>
      </c>
      <c r="CB58" s="8" t="s">
        <v>391</v>
      </c>
      <c r="CC58" s="8" t="s">
        <v>391</v>
      </c>
      <c r="CD58" s="8" t="s">
        <v>391</v>
      </c>
      <c r="CE58" s="8" t="s">
        <v>391</v>
      </c>
      <c r="CF58" s="8" t="s">
        <v>391</v>
      </c>
      <c r="CG58" s="8" t="s">
        <v>420</v>
      </c>
      <c r="CH58" s="8" t="s">
        <v>421</v>
      </c>
      <c r="CI58" s="8" t="s">
        <v>420</v>
      </c>
      <c r="CJ58" s="8" t="s">
        <v>393</v>
      </c>
      <c r="CK58" s="8" t="s">
        <v>671</v>
      </c>
      <c r="CL58" s="8" t="s">
        <v>344</v>
      </c>
      <c r="CM58" s="8" t="s">
        <v>345</v>
      </c>
      <c r="CN58" s="8" t="s">
        <v>344</v>
      </c>
      <c r="CO58" s="8" t="s">
        <v>344</v>
      </c>
      <c r="CP58" s="8" t="s">
        <v>344</v>
      </c>
      <c r="CQ58" s="8" t="s">
        <v>344</v>
      </c>
      <c r="CR58" s="8" t="s">
        <v>672</v>
      </c>
      <c r="CS58" s="8">
        <v>1</v>
      </c>
      <c r="CT58" s="8">
        <v>50</v>
      </c>
      <c r="CU58" s="8">
        <v>50</v>
      </c>
      <c r="CV58" s="8">
        <v>50</v>
      </c>
      <c r="CW58" s="8" t="s">
        <v>395</v>
      </c>
      <c r="CX58" s="8" t="s">
        <v>396</v>
      </c>
      <c r="CY58" s="8" t="s">
        <v>396</v>
      </c>
      <c r="CZ58" s="8" t="s">
        <v>397</v>
      </c>
      <c r="DA58" s="8" t="s">
        <v>397</v>
      </c>
      <c r="DB58" s="8" t="s">
        <v>397</v>
      </c>
      <c r="DC58" s="8" t="s">
        <v>397</v>
      </c>
      <c r="DD58" s="8" t="s">
        <v>397</v>
      </c>
      <c r="DE58" s="8" t="s">
        <v>397</v>
      </c>
      <c r="DF58" s="8" t="s">
        <v>397</v>
      </c>
      <c r="DG58" s="8" t="s">
        <v>397</v>
      </c>
      <c r="DH58" s="8" t="s">
        <v>397</v>
      </c>
      <c r="DI58" s="8" t="s">
        <v>397</v>
      </c>
      <c r="DJ58" s="8"/>
      <c r="DK58" s="8" t="s">
        <v>367</v>
      </c>
      <c r="DL58" s="8" t="s">
        <v>368</v>
      </c>
      <c r="DM58" s="8" t="s">
        <v>368</v>
      </c>
      <c r="DN58" s="8" t="s">
        <v>368</v>
      </c>
      <c r="DO58" s="8" t="s">
        <v>368</v>
      </c>
      <c r="DP58" s="8" t="s">
        <v>368</v>
      </c>
      <c r="DQ58" s="8" t="s">
        <v>368</v>
      </c>
      <c r="DR58" s="8" t="s">
        <v>368</v>
      </c>
      <c r="DS58" s="8" t="s">
        <v>345</v>
      </c>
      <c r="DT58" s="8" t="s">
        <v>368</v>
      </c>
      <c r="DU58" s="8" t="s">
        <v>368</v>
      </c>
      <c r="DV58" s="8" t="s">
        <v>368</v>
      </c>
      <c r="DW58" s="8" t="s">
        <v>345</v>
      </c>
      <c r="DX58" s="8" t="s">
        <v>370</v>
      </c>
      <c r="DY58" s="8" t="s">
        <v>370</v>
      </c>
      <c r="DZ58" s="8" t="s">
        <v>370</v>
      </c>
      <c r="EA58" s="8" t="s">
        <v>370</v>
      </c>
      <c r="EB58" s="8" t="s">
        <v>370</v>
      </c>
      <c r="EC58" s="8" t="s">
        <v>370</v>
      </c>
      <c r="ED58" s="8" t="s">
        <v>370</v>
      </c>
      <c r="EE58" s="8" t="s">
        <v>370</v>
      </c>
      <c r="EF58" s="8" t="s">
        <v>370</v>
      </c>
      <c r="EG58" s="8" t="s">
        <v>370</v>
      </c>
      <c r="EH58" s="8" t="s">
        <v>370</v>
      </c>
      <c r="EI58" s="8" t="s">
        <v>370</v>
      </c>
      <c r="EJ58" s="8" t="s">
        <v>370</v>
      </c>
      <c r="EK58" s="8" t="s">
        <v>370</v>
      </c>
      <c r="EL58" s="8" t="s">
        <v>373</v>
      </c>
      <c r="EM58" s="8" t="s">
        <v>374</v>
      </c>
      <c r="EN58" s="8" t="s">
        <v>440</v>
      </c>
      <c r="EO58" s="8"/>
      <c r="EP58" s="8"/>
      <c r="EQ58" s="8" t="s">
        <v>391</v>
      </c>
      <c r="ER58" s="8" t="s">
        <v>391</v>
      </c>
      <c r="ES58" s="8" t="s">
        <v>391</v>
      </c>
      <c r="ET58" s="8" t="s">
        <v>391</v>
      </c>
      <c r="EU58" s="8" t="s">
        <v>391</v>
      </c>
      <c r="EV58" s="8" t="s">
        <v>400</v>
      </c>
      <c r="EW58" s="8"/>
      <c r="EX58" s="8" t="s">
        <v>368</v>
      </c>
      <c r="EY58" s="8" t="s">
        <v>368</v>
      </c>
      <c r="EZ58" s="8" t="s">
        <v>368</v>
      </c>
      <c r="FA58" s="8" t="s">
        <v>345</v>
      </c>
      <c r="FB58" s="8" t="s">
        <v>401</v>
      </c>
      <c r="FC58" s="8"/>
      <c r="FD58" s="8" t="s">
        <v>401</v>
      </c>
      <c r="FE58" s="8"/>
      <c r="FF58" s="8" t="s">
        <v>382</v>
      </c>
      <c r="FG58" s="8" t="s">
        <v>383</v>
      </c>
      <c r="FH58" s="8" t="s">
        <v>384</v>
      </c>
      <c r="FI58" s="8" t="s">
        <v>385</v>
      </c>
      <c r="FJ58" s="8"/>
      <c r="FK58" s="8"/>
      <c r="FL58" s="8"/>
      <c r="FM58" s="8"/>
      <c r="FN58" s="8"/>
      <c r="FO58" s="8"/>
      <c r="FP58" s="8"/>
      <c r="FQ58" s="8"/>
      <c r="FR58" s="8"/>
      <c r="FS58" s="8"/>
      <c r="FT58" s="8"/>
      <c r="FU58" s="8"/>
      <c r="FV58" s="8"/>
      <c r="FW58" s="8"/>
      <c r="FX58" s="8"/>
      <c r="FY58" s="8"/>
      <c r="FZ58" s="8"/>
      <c r="GA58" s="8" t="s">
        <v>368</v>
      </c>
      <c r="GB58" s="8" t="s">
        <v>368</v>
      </c>
      <c r="GC58" s="8" t="s">
        <v>368</v>
      </c>
      <c r="GD58" s="8" t="s">
        <v>368</v>
      </c>
      <c r="GE58" s="8" t="s">
        <v>368</v>
      </c>
      <c r="GF58" s="8" t="s">
        <v>368</v>
      </c>
      <c r="GG58" s="8"/>
      <c r="GH58" s="8"/>
      <c r="GI58" s="8"/>
      <c r="GJ58" s="8"/>
      <c r="GK58" s="8"/>
      <c r="GL58" s="8" t="s">
        <v>344</v>
      </c>
      <c r="GM58" s="8" t="s">
        <v>344</v>
      </c>
      <c r="GN58" s="8" t="s">
        <v>344</v>
      </c>
      <c r="GO58" s="8" t="s">
        <v>344</v>
      </c>
      <c r="GP58" s="8" t="s">
        <v>344</v>
      </c>
      <c r="GQ58" s="8" t="s">
        <v>344</v>
      </c>
      <c r="GR58" s="8" t="s">
        <v>344</v>
      </c>
      <c r="GS58" s="8" t="s">
        <v>344</v>
      </c>
      <c r="GT58" s="8" t="s">
        <v>345</v>
      </c>
      <c r="GU58" s="8" t="s">
        <v>344</v>
      </c>
      <c r="GV58" s="8" t="s">
        <v>345</v>
      </c>
      <c r="GW58" s="8" t="s">
        <v>344</v>
      </c>
      <c r="GX58" s="8" t="s">
        <v>344</v>
      </c>
      <c r="GY58" s="8" t="s">
        <v>344</v>
      </c>
      <c r="GZ58" s="8" t="s">
        <v>344</v>
      </c>
      <c r="HA58" s="8"/>
      <c r="HB58" s="8" t="s">
        <v>344</v>
      </c>
      <c r="HC58" s="8"/>
      <c r="HD58" s="8" t="s">
        <v>345</v>
      </c>
      <c r="HE58" s="8" t="s">
        <v>673</v>
      </c>
      <c r="HF58" s="8" t="s">
        <v>345</v>
      </c>
      <c r="HG58" s="8" t="s">
        <v>674</v>
      </c>
      <c r="HH58" s="8" t="s">
        <v>344</v>
      </c>
      <c r="HI58" s="8"/>
      <c r="HJ58" s="8" t="s">
        <v>344</v>
      </c>
      <c r="HK58" s="8" t="s">
        <v>344</v>
      </c>
      <c r="HL58" s="8" t="s">
        <v>344</v>
      </c>
      <c r="HM58" s="8" t="s">
        <v>344</v>
      </c>
      <c r="HN58" s="8" t="s">
        <v>344</v>
      </c>
      <c r="HO58" s="8" t="s">
        <v>344</v>
      </c>
      <c r="HP58" s="8" t="s">
        <v>344</v>
      </c>
      <c r="HQ58" s="8" t="s">
        <v>344</v>
      </c>
      <c r="HR58" s="8" t="s">
        <v>344</v>
      </c>
      <c r="HS58" s="8" t="s">
        <v>344</v>
      </c>
      <c r="HT58" s="8" t="s">
        <v>344</v>
      </c>
      <c r="HU58" s="8" t="s">
        <v>344</v>
      </c>
      <c r="HV58" s="8" t="s">
        <v>344</v>
      </c>
      <c r="HW58" s="8" t="s">
        <v>344</v>
      </c>
      <c r="HX58" s="8" t="s">
        <v>345</v>
      </c>
      <c r="HY58" s="8"/>
      <c r="HZ58" s="8" t="s">
        <v>344</v>
      </c>
      <c r="IA58" s="8"/>
      <c r="IB58" s="8" t="s">
        <v>345</v>
      </c>
      <c r="IC58" s="8" t="s">
        <v>673</v>
      </c>
      <c r="ID58" s="8" t="s">
        <v>345</v>
      </c>
      <c r="IE58" s="8" t="s">
        <v>673</v>
      </c>
      <c r="IF58" s="8" t="s">
        <v>344</v>
      </c>
      <c r="IG58" s="8"/>
      <c r="IH58" s="8" t="s">
        <v>345</v>
      </c>
      <c r="II58" s="8" t="s">
        <v>345</v>
      </c>
      <c r="IJ58" s="8" t="s">
        <v>345</v>
      </c>
      <c r="IK58" s="8" t="s">
        <v>344</v>
      </c>
      <c r="IL58" s="8" t="s">
        <v>345</v>
      </c>
      <c r="IM58" s="8" t="s">
        <v>345</v>
      </c>
      <c r="IN58" s="8" t="s">
        <v>344</v>
      </c>
      <c r="IO58" s="8" t="s">
        <v>345</v>
      </c>
      <c r="IP58" s="8" t="s">
        <v>344</v>
      </c>
      <c r="IQ58" s="8" t="s">
        <v>344</v>
      </c>
      <c r="IR58" s="8" t="s">
        <v>344</v>
      </c>
      <c r="IS58" s="8" t="s">
        <v>344</v>
      </c>
      <c r="IT58" s="8"/>
      <c r="IU58" s="8"/>
      <c r="IV58" s="8"/>
      <c r="IW58" s="8"/>
      <c r="IX58" s="8"/>
      <c r="IY58" s="8"/>
      <c r="IZ58" s="8"/>
      <c r="JA58" s="8"/>
      <c r="JB58" s="8"/>
      <c r="JC58" s="8"/>
      <c r="JD58" s="8"/>
      <c r="JE58" s="8"/>
      <c r="JF58" s="8"/>
      <c r="JG58" s="8"/>
      <c r="JH58" s="9"/>
    </row>
    <row r="59" spans="1:268" x14ac:dyDescent="0.3">
      <c r="A59" s="8" t="s">
        <v>338</v>
      </c>
      <c r="B59" s="8">
        <v>132</v>
      </c>
      <c r="C59" s="8" t="s">
        <v>675</v>
      </c>
      <c r="D59" s="8">
        <v>14</v>
      </c>
      <c r="E59" s="8" t="s">
        <v>340</v>
      </c>
      <c r="F59" s="8">
        <v>1813659222</v>
      </c>
      <c r="G59" s="8" t="s">
        <v>676</v>
      </c>
      <c r="H59" s="8" t="s">
        <v>675</v>
      </c>
      <c r="I59" s="8" t="s">
        <v>653</v>
      </c>
      <c r="J59" s="8">
        <v>17</v>
      </c>
      <c r="K59" s="8" t="s">
        <v>406</v>
      </c>
      <c r="L59" s="8"/>
      <c r="M59" s="8" t="s">
        <v>345</v>
      </c>
      <c r="N59" s="8" t="s">
        <v>345</v>
      </c>
      <c r="O59" s="8" t="s">
        <v>344</v>
      </c>
      <c r="P59" s="8" t="s">
        <v>344</v>
      </c>
      <c r="Q59" s="8" t="s">
        <v>344</v>
      </c>
      <c r="R59" s="8"/>
      <c r="S59" s="8" t="s">
        <v>346</v>
      </c>
      <c r="T59" s="8"/>
      <c r="U59" s="8" t="s">
        <v>418</v>
      </c>
      <c r="V59" s="8"/>
      <c r="W59" s="8" t="s">
        <v>344</v>
      </c>
      <c r="X59" s="8" t="s">
        <v>345</v>
      </c>
      <c r="Y59" s="8" t="s">
        <v>344</v>
      </c>
      <c r="Z59" s="8" t="s">
        <v>344</v>
      </c>
      <c r="AA59" s="8" t="s">
        <v>344</v>
      </c>
      <c r="AB59" s="8" t="s">
        <v>344</v>
      </c>
      <c r="AC59" s="8" t="s">
        <v>344</v>
      </c>
      <c r="AD59" s="8" t="s">
        <v>345</v>
      </c>
      <c r="AE59" s="8" t="s">
        <v>344</v>
      </c>
      <c r="AF59" s="8" t="s">
        <v>344</v>
      </c>
      <c r="AG59" s="8" t="s">
        <v>344</v>
      </c>
      <c r="AH59" s="8" t="s">
        <v>344</v>
      </c>
      <c r="AI59" s="8" t="s">
        <v>345</v>
      </c>
      <c r="AJ59" s="8" t="s">
        <v>344</v>
      </c>
      <c r="AK59" s="8" t="s">
        <v>344</v>
      </c>
      <c r="AL59" s="8" t="s">
        <v>344</v>
      </c>
      <c r="AM59" s="8" t="s">
        <v>345</v>
      </c>
      <c r="AN59" s="8" t="s">
        <v>344</v>
      </c>
      <c r="AO59" s="8" t="s">
        <v>344</v>
      </c>
      <c r="AP59" s="8" t="s">
        <v>344</v>
      </c>
      <c r="AQ59" s="8" t="s">
        <v>344</v>
      </c>
      <c r="AR59" s="8" t="s">
        <v>345</v>
      </c>
      <c r="AS59" s="8" t="s">
        <v>344</v>
      </c>
      <c r="AT59" s="8" t="s">
        <v>344</v>
      </c>
      <c r="AU59" s="8" t="s">
        <v>345</v>
      </c>
      <c r="AV59" s="8" t="s">
        <v>345</v>
      </c>
      <c r="AW59" s="8" t="s">
        <v>344</v>
      </c>
      <c r="AX59" s="8" t="s">
        <v>344</v>
      </c>
      <c r="AY59" s="8"/>
      <c r="AZ59" s="8"/>
      <c r="BA59" s="8"/>
      <c r="BB59" s="8"/>
      <c r="BC59" s="8"/>
      <c r="BD59" s="8"/>
      <c r="BE59" s="8" t="s">
        <v>390</v>
      </c>
      <c r="BF59" s="8" t="s">
        <v>349</v>
      </c>
      <c r="BG59" s="8" t="s">
        <v>390</v>
      </c>
      <c r="BH59" s="8" t="s">
        <v>390</v>
      </c>
      <c r="BI59" s="8" t="s">
        <v>390</v>
      </c>
      <c r="BJ59" s="8" t="s">
        <v>352</v>
      </c>
      <c r="BK59" s="8" t="s">
        <v>354</v>
      </c>
      <c r="BL59" s="8" t="s">
        <v>353</v>
      </c>
      <c r="BM59" s="8" t="s">
        <v>357</v>
      </c>
      <c r="BN59" s="8" t="s">
        <v>355</v>
      </c>
      <c r="BO59" s="8" t="s">
        <v>352</v>
      </c>
      <c r="BP59" s="8" t="s">
        <v>351</v>
      </c>
      <c r="BQ59" s="8" t="s">
        <v>419</v>
      </c>
      <c r="BR59" s="8" t="s">
        <v>367</v>
      </c>
      <c r="BS59" s="8" t="s">
        <v>354</v>
      </c>
      <c r="BT59" s="8" t="s">
        <v>356</v>
      </c>
      <c r="BU59" s="8" t="s">
        <v>355</v>
      </c>
      <c r="BV59" s="8" t="s">
        <v>352</v>
      </c>
      <c r="BW59" s="8" t="s">
        <v>353</v>
      </c>
      <c r="BX59" s="8" t="s">
        <v>351</v>
      </c>
      <c r="BY59" s="8" t="s">
        <v>357</v>
      </c>
      <c r="BZ59" s="8" t="s">
        <v>353</v>
      </c>
      <c r="CA59" s="8" t="s">
        <v>356</v>
      </c>
      <c r="CB59" s="8" t="s">
        <v>352</v>
      </c>
      <c r="CC59" s="8" t="s">
        <v>354</v>
      </c>
      <c r="CD59" s="8" t="s">
        <v>351</v>
      </c>
      <c r="CE59" s="8" t="s">
        <v>357</v>
      </c>
      <c r="CF59" s="8" t="s">
        <v>355</v>
      </c>
      <c r="CG59" s="8" t="s">
        <v>420</v>
      </c>
      <c r="CH59" s="8" t="s">
        <v>420</v>
      </c>
      <c r="CI59" s="8" t="s">
        <v>420</v>
      </c>
      <c r="CJ59" s="8" t="s">
        <v>420</v>
      </c>
      <c r="CK59" s="8" t="s">
        <v>677</v>
      </c>
      <c r="CL59" s="8" t="s">
        <v>344</v>
      </c>
      <c r="CM59" s="8" t="s">
        <v>344</v>
      </c>
      <c r="CN59" s="8" t="s">
        <v>344</v>
      </c>
      <c r="CO59" s="8" t="s">
        <v>345</v>
      </c>
      <c r="CP59" s="8" t="s">
        <v>345</v>
      </c>
      <c r="CQ59" s="8" t="s">
        <v>344</v>
      </c>
      <c r="CR59" s="8" t="s">
        <v>655</v>
      </c>
      <c r="CS59" s="8">
        <v>1</v>
      </c>
      <c r="CT59" s="8">
        <v>50</v>
      </c>
      <c r="CU59" s="8">
        <v>100</v>
      </c>
      <c r="CV59" s="8">
        <v>100</v>
      </c>
      <c r="CW59" s="8" t="s">
        <v>364</v>
      </c>
      <c r="CX59" s="8" t="s">
        <v>395</v>
      </c>
      <c r="CY59" s="8" t="s">
        <v>396</v>
      </c>
      <c r="CZ59" s="8" t="s">
        <v>397</v>
      </c>
      <c r="DA59" s="8" t="s">
        <v>397</v>
      </c>
      <c r="DB59" s="8" t="s">
        <v>397</v>
      </c>
      <c r="DC59" s="8" t="s">
        <v>397</v>
      </c>
      <c r="DD59" s="8" t="s">
        <v>397</v>
      </c>
      <c r="DE59" s="8" t="s">
        <v>365</v>
      </c>
      <c r="DF59" s="8" t="s">
        <v>397</v>
      </c>
      <c r="DG59" s="8" t="s">
        <v>397</v>
      </c>
      <c r="DH59" s="8" t="s">
        <v>397</v>
      </c>
      <c r="DI59" s="8" t="s">
        <v>366</v>
      </c>
      <c r="DJ59" s="8" t="s">
        <v>678</v>
      </c>
      <c r="DK59" s="8" t="s">
        <v>449</v>
      </c>
      <c r="DL59" s="8" t="s">
        <v>368</v>
      </c>
      <c r="DM59" s="8" t="s">
        <v>368</v>
      </c>
      <c r="DN59" s="8" t="s">
        <v>368</v>
      </c>
      <c r="DO59" s="8" t="s">
        <v>345</v>
      </c>
      <c r="DP59" s="8" t="s">
        <v>345</v>
      </c>
      <c r="DQ59" s="8" t="s">
        <v>344</v>
      </c>
      <c r="DR59" s="8" t="s">
        <v>344</v>
      </c>
      <c r="DS59" s="8" t="s">
        <v>344</v>
      </c>
      <c r="DT59" s="8" t="s">
        <v>345</v>
      </c>
      <c r="DU59" s="8" t="s">
        <v>345</v>
      </c>
      <c r="DV59" s="8" t="s">
        <v>344</v>
      </c>
      <c r="DW59" s="8" t="s">
        <v>344</v>
      </c>
      <c r="DX59" s="8" t="s">
        <v>369</v>
      </c>
      <c r="DY59" s="8" t="s">
        <v>370</v>
      </c>
      <c r="DZ59" s="8" t="s">
        <v>370</v>
      </c>
      <c r="EA59" s="8" t="s">
        <v>369</v>
      </c>
      <c r="EB59" s="8" t="s">
        <v>399</v>
      </c>
      <c r="EC59" s="8" t="s">
        <v>399</v>
      </c>
      <c r="ED59" s="8" t="s">
        <v>371</v>
      </c>
      <c r="EE59" s="8" t="s">
        <v>370</v>
      </c>
      <c r="EF59" s="8" t="s">
        <v>370</v>
      </c>
      <c r="EG59" s="8" t="s">
        <v>370</v>
      </c>
      <c r="EH59" s="8" t="s">
        <v>370</v>
      </c>
      <c r="EI59" s="8" t="s">
        <v>370</v>
      </c>
      <c r="EJ59" s="8" t="s">
        <v>370</v>
      </c>
      <c r="EK59" s="8" t="s">
        <v>370</v>
      </c>
      <c r="EL59" s="8" t="s">
        <v>374</v>
      </c>
      <c r="EM59" s="8" t="s">
        <v>372</v>
      </c>
      <c r="EN59" s="8" t="s">
        <v>373</v>
      </c>
      <c r="EO59" s="8"/>
      <c r="EP59" s="8"/>
      <c r="EQ59" s="8" t="s">
        <v>377</v>
      </c>
      <c r="ER59" s="8" t="s">
        <v>378</v>
      </c>
      <c r="ES59" s="8" t="s">
        <v>376</v>
      </c>
      <c r="ET59" s="8" t="s">
        <v>375</v>
      </c>
      <c r="EU59" s="8" t="s">
        <v>375</v>
      </c>
      <c r="EV59" s="8" t="s">
        <v>400</v>
      </c>
      <c r="EW59" s="8"/>
      <c r="EX59" s="160" t="s">
        <v>345</v>
      </c>
      <c r="EY59" s="160" t="s">
        <v>345</v>
      </c>
      <c r="EZ59" s="160" t="s">
        <v>344</v>
      </c>
      <c r="FA59" s="160" t="s">
        <v>344</v>
      </c>
      <c r="FB59" s="8" t="s">
        <v>381</v>
      </c>
      <c r="FC59" s="8"/>
      <c r="FD59" s="8" t="s">
        <v>381</v>
      </c>
      <c r="FE59" s="8"/>
      <c r="FF59" s="8"/>
      <c r="FG59" s="8"/>
      <c r="FH59" s="8"/>
      <c r="FI59" s="8"/>
      <c r="FJ59" s="8"/>
      <c r="FK59" s="8"/>
      <c r="FL59" s="8"/>
      <c r="FM59" s="8"/>
      <c r="FN59" s="8"/>
      <c r="FO59" s="8"/>
      <c r="FP59" s="8"/>
      <c r="FQ59" s="8"/>
      <c r="FR59" s="8"/>
      <c r="FS59" s="8"/>
      <c r="FT59" s="8"/>
      <c r="FU59" s="8"/>
      <c r="FV59" s="8"/>
      <c r="FW59" s="8"/>
      <c r="FX59" s="8"/>
      <c r="FY59" s="8"/>
      <c r="FZ59" s="8"/>
      <c r="GA59" s="8" t="s">
        <v>368</v>
      </c>
      <c r="GB59" s="8" t="s">
        <v>368</v>
      </c>
      <c r="GC59" s="8" t="s">
        <v>368</v>
      </c>
      <c r="GD59" s="8" t="s">
        <v>368</v>
      </c>
      <c r="GE59" s="8" t="s">
        <v>368</v>
      </c>
      <c r="GF59" s="8" t="s">
        <v>368</v>
      </c>
      <c r="GG59" s="8"/>
      <c r="GH59" s="8"/>
      <c r="GI59" s="8"/>
      <c r="GJ59" s="8"/>
      <c r="GK59" s="8"/>
      <c r="GL59" s="8" t="s">
        <v>344</v>
      </c>
      <c r="GM59" s="8" t="s">
        <v>344</v>
      </c>
      <c r="GN59" s="8" t="s">
        <v>344</v>
      </c>
      <c r="GO59" s="8" t="s">
        <v>344</v>
      </c>
      <c r="GP59" s="8" t="s">
        <v>344</v>
      </c>
      <c r="GQ59" s="8" t="s">
        <v>344</v>
      </c>
      <c r="GR59" s="8" t="s">
        <v>345</v>
      </c>
      <c r="GS59" s="8" t="s">
        <v>344</v>
      </c>
      <c r="GT59" s="8" t="s">
        <v>344</v>
      </c>
      <c r="GU59" s="8" t="s">
        <v>344</v>
      </c>
      <c r="GV59" s="8" t="s">
        <v>344</v>
      </c>
      <c r="GW59" s="8" t="s">
        <v>344</v>
      </c>
      <c r="GX59" s="8" t="s">
        <v>345</v>
      </c>
      <c r="GY59" s="8" t="s">
        <v>344</v>
      </c>
      <c r="GZ59" s="8" t="s">
        <v>344</v>
      </c>
      <c r="HA59" s="8" t="s">
        <v>679</v>
      </c>
      <c r="HB59" s="8" t="s">
        <v>344</v>
      </c>
      <c r="HC59" s="8"/>
      <c r="HD59" s="8" t="s">
        <v>344</v>
      </c>
      <c r="HE59" s="8"/>
      <c r="HF59" s="8" t="s">
        <v>344</v>
      </c>
      <c r="HG59" s="8"/>
      <c r="HH59" s="8" t="s">
        <v>344</v>
      </c>
      <c r="HI59" s="8"/>
      <c r="HJ59" s="8" t="s">
        <v>344</v>
      </c>
      <c r="HK59" s="8" t="s">
        <v>344</v>
      </c>
      <c r="HL59" s="8" t="s">
        <v>344</v>
      </c>
      <c r="HM59" s="8" t="s">
        <v>344</v>
      </c>
      <c r="HN59" s="8" t="s">
        <v>344</v>
      </c>
      <c r="HO59" s="8" t="s">
        <v>344</v>
      </c>
      <c r="HP59" s="8" t="s">
        <v>344</v>
      </c>
      <c r="HQ59" s="8" t="s">
        <v>344</v>
      </c>
      <c r="HR59" s="8" t="s">
        <v>344</v>
      </c>
      <c r="HS59" s="8" t="s">
        <v>344</v>
      </c>
      <c r="HT59" s="8" t="s">
        <v>344</v>
      </c>
      <c r="HU59" s="8" t="s">
        <v>345</v>
      </c>
      <c r="HV59" s="8" t="s">
        <v>345</v>
      </c>
      <c r="HW59" s="8" t="s">
        <v>344</v>
      </c>
      <c r="HX59" s="8" t="s">
        <v>344</v>
      </c>
      <c r="HY59" s="8"/>
      <c r="HZ59" s="8" t="s">
        <v>344</v>
      </c>
      <c r="IA59" s="8"/>
      <c r="IB59" s="8" t="s">
        <v>344</v>
      </c>
      <c r="IC59" s="8"/>
      <c r="ID59" s="8" t="s">
        <v>344</v>
      </c>
      <c r="IE59" s="8"/>
      <c r="IF59" s="8" t="s">
        <v>344</v>
      </c>
      <c r="IG59" s="8"/>
      <c r="IH59" s="8" t="s">
        <v>345</v>
      </c>
      <c r="II59" s="8" t="s">
        <v>345</v>
      </c>
      <c r="IJ59" s="8" t="s">
        <v>345</v>
      </c>
      <c r="IK59" s="8" t="s">
        <v>344</v>
      </c>
      <c r="IL59" s="8" t="s">
        <v>345</v>
      </c>
      <c r="IM59" s="8" t="s">
        <v>345</v>
      </c>
      <c r="IN59" s="8" t="s">
        <v>344</v>
      </c>
      <c r="IO59" s="8" t="s">
        <v>345</v>
      </c>
      <c r="IP59" s="8" t="s">
        <v>344</v>
      </c>
      <c r="IQ59" s="8" t="s">
        <v>344</v>
      </c>
      <c r="IR59" s="8" t="s">
        <v>345</v>
      </c>
      <c r="IS59" s="8" t="s">
        <v>344</v>
      </c>
      <c r="IT59" s="8" t="s">
        <v>495</v>
      </c>
      <c r="IU59" s="8" t="s">
        <v>680</v>
      </c>
      <c r="IV59" s="8"/>
      <c r="IW59" s="8"/>
      <c r="IX59" s="8"/>
      <c r="IY59" s="8"/>
      <c r="IZ59" s="8"/>
      <c r="JA59" s="8"/>
      <c r="JB59" s="8"/>
      <c r="JC59" s="8"/>
      <c r="JD59" s="8"/>
      <c r="JE59" s="8"/>
      <c r="JF59" s="8"/>
      <c r="JG59" s="8"/>
      <c r="JH59" s="9"/>
    </row>
    <row r="60" spans="1:268" x14ac:dyDescent="0.3">
      <c r="A60" s="8" t="s">
        <v>338</v>
      </c>
      <c r="B60" s="8">
        <v>133</v>
      </c>
      <c r="C60" s="8" t="s">
        <v>681</v>
      </c>
      <c r="D60" s="8">
        <v>14</v>
      </c>
      <c r="E60" s="8" t="s">
        <v>340</v>
      </c>
      <c r="F60" s="8">
        <v>1852258753</v>
      </c>
      <c r="G60" s="8" t="s">
        <v>682</v>
      </c>
      <c r="H60" s="8" t="s">
        <v>681</v>
      </c>
      <c r="I60" s="8" t="s">
        <v>653</v>
      </c>
      <c r="J60" s="8">
        <v>18</v>
      </c>
      <c r="K60" s="8" t="s">
        <v>406</v>
      </c>
      <c r="L60" s="8"/>
      <c r="M60" s="8" t="s">
        <v>344</v>
      </c>
      <c r="N60" s="8" t="s">
        <v>345</v>
      </c>
      <c r="O60" s="8" t="s">
        <v>344</v>
      </c>
      <c r="P60" s="8" t="s">
        <v>344</v>
      </c>
      <c r="Q60" s="8" t="s">
        <v>344</v>
      </c>
      <c r="R60" s="8"/>
      <c r="S60" s="8" t="s">
        <v>346</v>
      </c>
      <c r="T60" s="8"/>
      <c r="U60" s="8" t="s">
        <v>418</v>
      </c>
      <c r="V60" s="8"/>
      <c r="W60" s="8" t="s">
        <v>345</v>
      </c>
      <c r="X60" s="8" t="s">
        <v>345</v>
      </c>
      <c r="Y60" s="8" t="s">
        <v>344</v>
      </c>
      <c r="Z60" s="8" t="s">
        <v>344</v>
      </c>
      <c r="AA60" s="8" t="s">
        <v>344</v>
      </c>
      <c r="AB60" s="8" t="s">
        <v>344</v>
      </c>
      <c r="AC60" s="8" t="s">
        <v>344</v>
      </c>
      <c r="AD60" s="8" t="s">
        <v>345</v>
      </c>
      <c r="AE60" s="8" t="s">
        <v>345</v>
      </c>
      <c r="AF60" s="8" t="s">
        <v>344</v>
      </c>
      <c r="AG60" s="8" t="s">
        <v>344</v>
      </c>
      <c r="AH60" s="8" t="s">
        <v>344</v>
      </c>
      <c r="AI60" s="8" t="s">
        <v>344</v>
      </c>
      <c r="AJ60" s="8" t="s">
        <v>344</v>
      </c>
      <c r="AK60" s="8" t="s">
        <v>344</v>
      </c>
      <c r="AL60" s="8" t="s">
        <v>344</v>
      </c>
      <c r="AM60" s="8" t="s">
        <v>344</v>
      </c>
      <c r="AN60" s="8" t="s">
        <v>345</v>
      </c>
      <c r="AO60" s="8" t="s">
        <v>344</v>
      </c>
      <c r="AP60" s="8" t="s">
        <v>345</v>
      </c>
      <c r="AQ60" s="8" t="s">
        <v>344</v>
      </c>
      <c r="AR60" s="8" t="s">
        <v>345</v>
      </c>
      <c r="AS60" s="8" t="s">
        <v>345</v>
      </c>
      <c r="AT60" s="8" t="s">
        <v>345</v>
      </c>
      <c r="AU60" s="8" t="s">
        <v>345</v>
      </c>
      <c r="AV60" s="8" t="s">
        <v>345</v>
      </c>
      <c r="AW60" s="8" t="s">
        <v>345</v>
      </c>
      <c r="AX60" s="8" t="s">
        <v>344</v>
      </c>
      <c r="AY60" s="8"/>
      <c r="AZ60" s="8"/>
      <c r="BA60" s="8"/>
      <c r="BB60" s="8"/>
      <c r="BC60" s="8"/>
      <c r="BD60" s="8"/>
      <c r="BE60" s="8" t="s">
        <v>348</v>
      </c>
      <c r="BF60" s="8" t="s">
        <v>349</v>
      </c>
      <c r="BG60" s="8" t="s">
        <v>390</v>
      </c>
      <c r="BH60" s="8" t="s">
        <v>349</v>
      </c>
      <c r="BI60" s="8" t="s">
        <v>349</v>
      </c>
      <c r="BJ60" s="8" t="s">
        <v>391</v>
      </c>
      <c r="BK60" s="8" t="s">
        <v>391</v>
      </c>
      <c r="BL60" s="8" t="s">
        <v>391</v>
      </c>
      <c r="BM60" s="8" t="s">
        <v>391</v>
      </c>
      <c r="BN60" s="8" t="s">
        <v>391</v>
      </c>
      <c r="BO60" s="8" t="s">
        <v>391</v>
      </c>
      <c r="BP60" s="8" t="s">
        <v>391</v>
      </c>
      <c r="BQ60" s="8" t="s">
        <v>455</v>
      </c>
      <c r="BR60" s="8" t="s">
        <v>408</v>
      </c>
      <c r="BS60" s="8" t="s">
        <v>391</v>
      </c>
      <c r="BT60" s="8" t="s">
        <v>391</v>
      </c>
      <c r="BU60" s="8" t="s">
        <v>391</v>
      </c>
      <c r="BV60" s="8" t="s">
        <v>391</v>
      </c>
      <c r="BW60" s="8" t="s">
        <v>391</v>
      </c>
      <c r="BX60" s="8" t="s">
        <v>391</v>
      </c>
      <c r="BY60" s="8" t="s">
        <v>391</v>
      </c>
      <c r="BZ60" s="8" t="s">
        <v>391</v>
      </c>
      <c r="CA60" s="8" t="s">
        <v>391</v>
      </c>
      <c r="CB60" s="8" t="s">
        <v>391</v>
      </c>
      <c r="CC60" s="8" t="s">
        <v>391</v>
      </c>
      <c r="CD60" s="8" t="s">
        <v>391</v>
      </c>
      <c r="CE60" s="8" t="s">
        <v>391</v>
      </c>
      <c r="CF60" s="8" t="s">
        <v>391</v>
      </c>
      <c r="CG60" s="8" t="s">
        <v>421</v>
      </c>
      <c r="CH60" s="8" t="s">
        <v>392</v>
      </c>
      <c r="CI60" s="8" t="s">
        <v>420</v>
      </c>
      <c r="CJ60" s="8" t="s">
        <v>420</v>
      </c>
      <c r="CK60" s="8" t="s">
        <v>683</v>
      </c>
      <c r="CL60" s="8" t="s">
        <v>344</v>
      </c>
      <c r="CM60" s="8" t="s">
        <v>344</v>
      </c>
      <c r="CN60" s="8" t="s">
        <v>344</v>
      </c>
      <c r="CO60" s="8" t="s">
        <v>344</v>
      </c>
      <c r="CP60" s="8" t="s">
        <v>345</v>
      </c>
      <c r="CQ60" s="8" t="s">
        <v>344</v>
      </c>
      <c r="CR60" s="8" t="s">
        <v>655</v>
      </c>
      <c r="CS60" s="8">
        <v>50</v>
      </c>
      <c r="CT60" s="8">
        <v>1</v>
      </c>
      <c r="CU60" s="8">
        <v>100</v>
      </c>
      <c r="CV60" s="8">
        <v>1</v>
      </c>
      <c r="CW60" s="8" t="s">
        <v>395</v>
      </c>
      <c r="CX60" s="8" t="s">
        <v>396</v>
      </c>
      <c r="CY60" s="8" t="s">
        <v>395</v>
      </c>
      <c r="CZ60" s="8" t="s">
        <v>397</v>
      </c>
      <c r="DA60" s="8" t="s">
        <v>397</v>
      </c>
      <c r="DB60" s="8" t="s">
        <v>397</v>
      </c>
      <c r="DC60" s="8" t="s">
        <v>397</v>
      </c>
      <c r="DD60" s="8" t="s">
        <v>397</v>
      </c>
      <c r="DE60" s="8" t="s">
        <v>397</v>
      </c>
      <c r="DF60" s="8" t="s">
        <v>397</v>
      </c>
      <c r="DG60" s="8" t="s">
        <v>397</v>
      </c>
      <c r="DH60" s="8" t="s">
        <v>397</v>
      </c>
      <c r="DI60" s="8" t="s">
        <v>366</v>
      </c>
      <c r="DJ60" s="8" t="s">
        <v>684</v>
      </c>
      <c r="DK60" s="8" t="s">
        <v>367</v>
      </c>
      <c r="DL60" s="8" t="s">
        <v>368</v>
      </c>
      <c r="DM60" s="8" t="s">
        <v>368</v>
      </c>
      <c r="DN60" s="8" t="s">
        <v>368</v>
      </c>
      <c r="DO60" s="8" t="s">
        <v>368</v>
      </c>
      <c r="DP60" s="8" t="s">
        <v>368</v>
      </c>
      <c r="DQ60" s="8" t="s">
        <v>368</v>
      </c>
      <c r="DR60" s="8" t="s">
        <v>368</v>
      </c>
      <c r="DS60" s="8" t="s">
        <v>345</v>
      </c>
      <c r="DT60" s="8" t="s">
        <v>345</v>
      </c>
      <c r="DU60" s="8" t="s">
        <v>345</v>
      </c>
      <c r="DV60" s="8" t="s">
        <v>345</v>
      </c>
      <c r="DW60" s="8" t="s">
        <v>344</v>
      </c>
      <c r="DX60" s="8" t="s">
        <v>369</v>
      </c>
      <c r="DY60" s="8" t="s">
        <v>369</v>
      </c>
      <c r="DZ60" s="8" t="s">
        <v>369</v>
      </c>
      <c r="EA60" s="8" t="s">
        <v>399</v>
      </c>
      <c r="EB60" s="8" t="s">
        <v>369</v>
      </c>
      <c r="EC60" s="8" t="s">
        <v>369</v>
      </c>
      <c r="ED60" s="8" t="s">
        <v>371</v>
      </c>
      <c r="EE60" s="8" t="s">
        <v>370</v>
      </c>
      <c r="EF60" s="8" t="s">
        <v>370</v>
      </c>
      <c r="EG60" s="8" t="s">
        <v>370</v>
      </c>
      <c r="EH60" s="8" t="s">
        <v>370</v>
      </c>
      <c r="EI60" s="8" t="s">
        <v>370</v>
      </c>
      <c r="EJ60" s="8" t="s">
        <v>370</v>
      </c>
      <c r="EK60" s="8" t="s">
        <v>371</v>
      </c>
      <c r="EL60" s="8" t="s">
        <v>373</v>
      </c>
      <c r="EM60" s="8" t="s">
        <v>374</v>
      </c>
      <c r="EN60" s="8" t="s">
        <v>440</v>
      </c>
      <c r="EO60" s="8"/>
      <c r="EP60" s="8"/>
      <c r="EQ60" s="8" t="s">
        <v>376</v>
      </c>
      <c r="ER60" s="8" t="s">
        <v>376</v>
      </c>
      <c r="ES60" s="8" t="s">
        <v>411</v>
      </c>
      <c r="ET60" s="8" t="s">
        <v>376</v>
      </c>
      <c r="EU60" s="8" t="s">
        <v>376</v>
      </c>
      <c r="EV60" s="8" t="s">
        <v>400</v>
      </c>
      <c r="EW60" s="8"/>
      <c r="EX60" s="160" t="s">
        <v>344</v>
      </c>
      <c r="EY60" s="160" t="s">
        <v>345</v>
      </c>
      <c r="EZ60" s="160" t="s">
        <v>344</v>
      </c>
      <c r="FA60" s="160" t="s">
        <v>344</v>
      </c>
      <c r="FB60" s="8" t="s">
        <v>401</v>
      </c>
      <c r="FC60" s="8"/>
      <c r="FD60" s="8" t="s">
        <v>401</v>
      </c>
      <c r="FE60" s="8"/>
      <c r="FF60" s="8" t="s">
        <v>412</v>
      </c>
      <c r="FG60" s="8" t="s">
        <v>413</v>
      </c>
      <c r="FH60" s="8" t="s">
        <v>451</v>
      </c>
      <c r="FI60" s="8" t="s">
        <v>385</v>
      </c>
      <c r="FJ60" s="8"/>
      <c r="FK60" s="8"/>
      <c r="FL60" s="8"/>
      <c r="FM60" s="8"/>
      <c r="FN60" s="8"/>
      <c r="FO60" s="8"/>
      <c r="FP60" s="8"/>
      <c r="FQ60" s="8"/>
      <c r="FR60" s="8"/>
      <c r="FS60" s="8"/>
      <c r="FT60" s="8"/>
      <c r="FU60" s="8"/>
      <c r="FV60" s="8"/>
      <c r="FW60" s="8"/>
      <c r="FX60" s="8"/>
      <c r="FY60" s="8"/>
      <c r="FZ60" s="8"/>
      <c r="GA60" s="8" t="s">
        <v>368</v>
      </c>
      <c r="GB60" s="8" t="s">
        <v>368</v>
      </c>
      <c r="GC60" s="8" t="s">
        <v>368</v>
      </c>
      <c r="GD60" s="8" t="s">
        <v>368</v>
      </c>
      <c r="GE60" s="8" t="s">
        <v>368</v>
      </c>
      <c r="GF60" s="8" t="s">
        <v>368</v>
      </c>
      <c r="GG60" s="8"/>
      <c r="GH60" s="8"/>
      <c r="GI60" s="8"/>
      <c r="GJ60" s="8"/>
      <c r="GK60" s="8"/>
      <c r="GL60" s="8" t="s">
        <v>344</v>
      </c>
      <c r="GM60" s="8" t="s">
        <v>344</v>
      </c>
      <c r="GN60" s="8" t="s">
        <v>344</v>
      </c>
      <c r="GO60" s="8" t="s">
        <v>344</v>
      </c>
      <c r="GP60" s="8" t="s">
        <v>344</v>
      </c>
      <c r="GQ60" s="8" t="s">
        <v>344</v>
      </c>
      <c r="GR60" s="8" t="s">
        <v>344</v>
      </c>
      <c r="GS60" s="8" t="s">
        <v>344</v>
      </c>
      <c r="GT60" s="8" t="s">
        <v>344</v>
      </c>
      <c r="GU60" s="8" t="s">
        <v>344</v>
      </c>
      <c r="GV60" s="8" t="s">
        <v>344</v>
      </c>
      <c r="GW60" s="8" t="s">
        <v>344</v>
      </c>
      <c r="GX60" s="8" t="s">
        <v>344</v>
      </c>
      <c r="GY60" s="8" t="s">
        <v>344</v>
      </c>
      <c r="GZ60" s="8" t="s">
        <v>345</v>
      </c>
      <c r="HA60" s="8"/>
      <c r="HB60" s="8" t="s">
        <v>344</v>
      </c>
      <c r="HC60" s="8"/>
      <c r="HD60" s="8" t="s">
        <v>344</v>
      </c>
      <c r="HE60" s="8"/>
      <c r="HF60" s="8" t="s">
        <v>344</v>
      </c>
      <c r="HG60" s="8"/>
      <c r="HH60" s="8" t="s">
        <v>344</v>
      </c>
      <c r="HI60" s="8"/>
      <c r="HJ60" s="8" t="s">
        <v>344</v>
      </c>
      <c r="HK60" s="8" t="s">
        <v>344</v>
      </c>
      <c r="HL60" s="8" t="s">
        <v>344</v>
      </c>
      <c r="HM60" s="8" t="s">
        <v>344</v>
      </c>
      <c r="HN60" s="8" t="s">
        <v>344</v>
      </c>
      <c r="HO60" s="8" t="s">
        <v>344</v>
      </c>
      <c r="HP60" s="8" t="s">
        <v>344</v>
      </c>
      <c r="HQ60" s="8" t="s">
        <v>344</v>
      </c>
      <c r="HR60" s="8" t="s">
        <v>344</v>
      </c>
      <c r="HS60" s="8" t="s">
        <v>344</v>
      </c>
      <c r="HT60" s="8" t="s">
        <v>344</v>
      </c>
      <c r="HU60" s="8" t="s">
        <v>344</v>
      </c>
      <c r="HV60" s="8" t="s">
        <v>344</v>
      </c>
      <c r="HW60" s="8" t="s">
        <v>344</v>
      </c>
      <c r="HX60" s="8" t="s">
        <v>345</v>
      </c>
      <c r="HY60" s="8"/>
      <c r="HZ60" s="8" t="s">
        <v>344</v>
      </c>
      <c r="IA60" s="8"/>
      <c r="IB60" s="8" t="s">
        <v>344</v>
      </c>
      <c r="IC60" s="8"/>
      <c r="ID60" s="8" t="s">
        <v>344</v>
      </c>
      <c r="IE60" s="8"/>
      <c r="IF60" s="8" t="s">
        <v>344</v>
      </c>
      <c r="IG60" s="8"/>
      <c r="IH60" s="8" t="s">
        <v>345</v>
      </c>
      <c r="II60" s="8" t="s">
        <v>345</v>
      </c>
      <c r="IJ60" s="8" t="s">
        <v>344</v>
      </c>
      <c r="IK60" s="8" t="s">
        <v>344</v>
      </c>
      <c r="IL60" s="8" t="s">
        <v>345</v>
      </c>
      <c r="IM60" s="8" t="s">
        <v>345</v>
      </c>
      <c r="IN60" s="8" t="s">
        <v>344</v>
      </c>
      <c r="IO60" s="8" t="s">
        <v>345</v>
      </c>
      <c r="IP60" s="8" t="s">
        <v>344</v>
      </c>
      <c r="IQ60" s="8" t="s">
        <v>344</v>
      </c>
      <c r="IR60" s="8" t="s">
        <v>344</v>
      </c>
      <c r="IS60" s="8" t="s">
        <v>344</v>
      </c>
      <c r="IT60" s="8"/>
      <c r="IU60" s="8" t="s">
        <v>685</v>
      </c>
      <c r="IV60" s="8"/>
      <c r="IW60" s="8"/>
      <c r="IX60" s="8"/>
      <c r="IY60" s="8"/>
      <c r="IZ60" s="8"/>
      <c r="JA60" s="8"/>
      <c r="JB60" s="8"/>
      <c r="JC60" s="8"/>
      <c r="JD60" s="8"/>
      <c r="JE60" s="8"/>
      <c r="JF60" s="8"/>
      <c r="JG60" s="8"/>
      <c r="JH60" s="9"/>
    </row>
    <row r="61" spans="1:268" x14ac:dyDescent="0.3">
      <c r="A61" s="8" t="s">
        <v>338</v>
      </c>
      <c r="B61" s="8">
        <v>134</v>
      </c>
      <c r="C61" s="8" t="s">
        <v>686</v>
      </c>
      <c r="D61" s="8">
        <v>14</v>
      </c>
      <c r="E61" s="8" t="s">
        <v>340</v>
      </c>
      <c r="F61" s="8">
        <v>473793615</v>
      </c>
      <c r="G61" s="8" t="s">
        <v>687</v>
      </c>
      <c r="H61" s="8" t="s">
        <v>686</v>
      </c>
      <c r="I61" s="8" t="s">
        <v>653</v>
      </c>
      <c r="J61" s="8">
        <v>17</v>
      </c>
      <c r="K61" s="8" t="s">
        <v>389</v>
      </c>
      <c r="L61" s="8"/>
      <c r="M61" s="8" t="s">
        <v>344</v>
      </c>
      <c r="N61" s="8" t="s">
        <v>345</v>
      </c>
      <c r="O61" s="8" t="s">
        <v>344</v>
      </c>
      <c r="P61" s="8" t="s">
        <v>344</v>
      </c>
      <c r="Q61" s="8" t="s">
        <v>344</v>
      </c>
      <c r="R61" s="12" t="s">
        <v>688</v>
      </c>
      <c r="S61" s="8" t="s">
        <v>346</v>
      </c>
      <c r="T61" s="8"/>
      <c r="U61" s="8" t="s">
        <v>428</v>
      </c>
      <c r="V61" s="8"/>
      <c r="W61" s="8" t="s">
        <v>368</v>
      </c>
      <c r="X61" s="8" t="s">
        <v>368</v>
      </c>
      <c r="Y61" s="8" t="s">
        <v>368</v>
      </c>
      <c r="Z61" s="8" t="s">
        <v>368</v>
      </c>
      <c r="AA61" s="8" t="s">
        <v>368</v>
      </c>
      <c r="AB61" s="8" t="s">
        <v>368</v>
      </c>
      <c r="AC61" s="8" t="s">
        <v>345</v>
      </c>
      <c r="AD61" s="8" t="s">
        <v>368</v>
      </c>
      <c r="AE61" s="8" t="s">
        <v>368</v>
      </c>
      <c r="AF61" s="8" t="s">
        <v>368</v>
      </c>
      <c r="AG61" s="8" t="s">
        <v>368</v>
      </c>
      <c r="AH61" s="8" t="s">
        <v>368</v>
      </c>
      <c r="AI61" s="8" t="s">
        <v>368</v>
      </c>
      <c r="AJ61" s="8" t="s">
        <v>345</v>
      </c>
      <c r="AK61" s="8" t="s">
        <v>368</v>
      </c>
      <c r="AL61" s="8" t="s">
        <v>368</v>
      </c>
      <c r="AM61" s="8" t="s">
        <v>368</v>
      </c>
      <c r="AN61" s="8" t="s">
        <v>368</v>
      </c>
      <c r="AO61" s="8" t="s">
        <v>368</v>
      </c>
      <c r="AP61" s="8" t="s">
        <v>368</v>
      </c>
      <c r="AQ61" s="8" t="s">
        <v>345</v>
      </c>
      <c r="AR61" s="8" t="s">
        <v>368</v>
      </c>
      <c r="AS61" s="8" t="s">
        <v>368</v>
      </c>
      <c r="AT61" s="8" t="s">
        <v>368</v>
      </c>
      <c r="AU61" s="8" t="s">
        <v>368</v>
      </c>
      <c r="AV61" s="8" t="s">
        <v>368</v>
      </c>
      <c r="AW61" s="8" t="s">
        <v>368</v>
      </c>
      <c r="AX61" s="8" t="s">
        <v>345</v>
      </c>
      <c r="AY61" s="8"/>
      <c r="AZ61" s="8"/>
      <c r="BA61" s="8"/>
      <c r="BB61" s="8"/>
      <c r="BC61" s="8"/>
      <c r="BD61" s="8"/>
      <c r="BE61" s="8" t="s">
        <v>349</v>
      </c>
      <c r="BF61" s="8" t="s">
        <v>349</v>
      </c>
      <c r="BG61" s="8" t="s">
        <v>390</v>
      </c>
      <c r="BH61" s="8" t="s">
        <v>390</v>
      </c>
      <c r="BI61" s="8" t="s">
        <v>390</v>
      </c>
      <c r="BJ61" s="8" t="s">
        <v>391</v>
      </c>
      <c r="BK61" s="8" t="s">
        <v>391</v>
      </c>
      <c r="BL61" s="8" t="s">
        <v>391</v>
      </c>
      <c r="BM61" s="8" t="s">
        <v>391</v>
      </c>
      <c r="BN61" s="8" t="s">
        <v>391</v>
      </c>
      <c r="BO61" s="8" t="s">
        <v>391</v>
      </c>
      <c r="BP61" s="8" t="s">
        <v>391</v>
      </c>
      <c r="BQ61" s="8" t="s">
        <v>689</v>
      </c>
      <c r="BR61" s="8" t="s">
        <v>367</v>
      </c>
      <c r="BS61" s="8" t="s">
        <v>391</v>
      </c>
      <c r="BT61" s="8" t="s">
        <v>391</v>
      </c>
      <c r="BU61" s="8" t="s">
        <v>391</v>
      </c>
      <c r="BV61" s="8" t="s">
        <v>391</v>
      </c>
      <c r="BW61" s="8" t="s">
        <v>391</v>
      </c>
      <c r="BX61" s="8" t="s">
        <v>391</v>
      </c>
      <c r="BY61" s="8" t="s">
        <v>391</v>
      </c>
      <c r="BZ61" s="8" t="s">
        <v>391</v>
      </c>
      <c r="CA61" s="8" t="s">
        <v>391</v>
      </c>
      <c r="CB61" s="8" t="s">
        <v>391</v>
      </c>
      <c r="CC61" s="8" t="s">
        <v>391</v>
      </c>
      <c r="CD61" s="8" t="s">
        <v>391</v>
      </c>
      <c r="CE61" s="8" t="s">
        <v>391</v>
      </c>
      <c r="CF61" s="8" t="s">
        <v>391</v>
      </c>
      <c r="CG61" s="8" t="s">
        <v>421</v>
      </c>
      <c r="CH61" s="8" t="s">
        <v>421</v>
      </c>
      <c r="CI61" s="8" t="s">
        <v>421</v>
      </c>
      <c r="CJ61" s="8" t="s">
        <v>421</v>
      </c>
      <c r="CK61" s="8" t="s">
        <v>510</v>
      </c>
      <c r="CL61" s="8" t="s">
        <v>368</v>
      </c>
      <c r="CM61" s="8" t="s">
        <v>368</v>
      </c>
      <c r="CN61" s="8" t="s">
        <v>368</v>
      </c>
      <c r="CO61" s="8" t="s">
        <v>368</v>
      </c>
      <c r="CP61" s="8" t="s">
        <v>368</v>
      </c>
      <c r="CQ61" s="8" t="s">
        <v>368</v>
      </c>
      <c r="CR61" s="8"/>
      <c r="CS61" s="8">
        <v>1</v>
      </c>
      <c r="CT61" s="8">
        <v>1</v>
      </c>
      <c r="CU61" s="8"/>
      <c r="CV61" s="8"/>
      <c r="CW61" s="8"/>
      <c r="CX61" s="8"/>
      <c r="CY61" s="8"/>
      <c r="CZ61" s="8"/>
      <c r="DA61" s="8"/>
      <c r="DB61" s="8"/>
      <c r="DC61" s="8"/>
      <c r="DD61" s="8"/>
      <c r="DE61" s="8"/>
      <c r="DF61" s="8"/>
      <c r="DG61" s="8"/>
      <c r="DH61" s="8"/>
      <c r="DI61" s="8"/>
      <c r="DJ61" s="8"/>
      <c r="DK61" s="8" t="s">
        <v>449</v>
      </c>
      <c r="DL61" s="8" t="s">
        <v>368</v>
      </c>
      <c r="DM61" s="8" t="s">
        <v>368</v>
      </c>
      <c r="DN61" s="8" t="s">
        <v>368</v>
      </c>
      <c r="DO61" s="8" t="s">
        <v>345</v>
      </c>
      <c r="DP61" s="8" t="s">
        <v>368</v>
      </c>
      <c r="DQ61" s="8" t="s">
        <v>368</v>
      </c>
      <c r="DR61" s="8" t="s">
        <v>368</v>
      </c>
      <c r="DS61" s="8" t="s">
        <v>345</v>
      </c>
      <c r="DT61" s="8" t="s">
        <v>368</v>
      </c>
      <c r="DU61" s="8" t="s">
        <v>368</v>
      </c>
      <c r="DV61" s="8" t="s">
        <v>368</v>
      </c>
      <c r="DW61" s="8" t="s">
        <v>345</v>
      </c>
      <c r="DX61" s="8" t="s">
        <v>397</v>
      </c>
      <c r="DY61" s="8" t="s">
        <v>370</v>
      </c>
      <c r="DZ61" s="8" t="s">
        <v>397</v>
      </c>
      <c r="EA61" s="8" t="s">
        <v>397</v>
      </c>
      <c r="EB61" s="8" t="s">
        <v>397</v>
      </c>
      <c r="EC61" s="8" t="s">
        <v>397</v>
      </c>
      <c r="ED61" s="8" t="s">
        <v>399</v>
      </c>
      <c r="EE61" s="8" t="s">
        <v>370</v>
      </c>
      <c r="EF61" s="8" t="s">
        <v>370</v>
      </c>
      <c r="EG61" s="8" t="s">
        <v>370</v>
      </c>
      <c r="EH61" s="8" t="s">
        <v>370</v>
      </c>
      <c r="EI61" s="8" t="s">
        <v>370</v>
      </c>
      <c r="EJ61" s="8" t="s">
        <v>370</v>
      </c>
      <c r="EK61" s="8" t="s">
        <v>370</v>
      </c>
      <c r="EL61" s="8" t="s">
        <v>372</v>
      </c>
      <c r="EM61" s="8" t="s">
        <v>374</v>
      </c>
      <c r="EN61" s="8" t="s">
        <v>373</v>
      </c>
      <c r="EO61" s="8"/>
      <c r="EP61" s="8"/>
      <c r="EQ61" s="8" t="s">
        <v>391</v>
      </c>
      <c r="ER61" s="8" t="s">
        <v>391</v>
      </c>
      <c r="ES61" s="8" t="s">
        <v>391</v>
      </c>
      <c r="ET61" s="8" t="s">
        <v>391</v>
      </c>
      <c r="EU61" s="8" t="s">
        <v>391</v>
      </c>
      <c r="EV61" s="8" t="s">
        <v>400</v>
      </c>
      <c r="EW61" s="8"/>
      <c r="EX61" s="8" t="s">
        <v>368</v>
      </c>
      <c r="EY61" s="8" t="s">
        <v>368</v>
      </c>
      <c r="EZ61" s="8" t="s">
        <v>368</v>
      </c>
      <c r="FA61" s="8" t="s">
        <v>345</v>
      </c>
      <c r="FB61" s="8" t="s">
        <v>380</v>
      </c>
      <c r="FC61" s="8"/>
      <c r="FD61" s="8" t="s">
        <v>380</v>
      </c>
      <c r="FE61" s="8"/>
      <c r="FF61" s="8" t="s">
        <v>382</v>
      </c>
      <c r="FG61" s="8" t="s">
        <v>402</v>
      </c>
      <c r="FH61" s="8" t="s">
        <v>432</v>
      </c>
      <c r="FI61" s="8" t="s">
        <v>690</v>
      </c>
      <c r="FN61" s="8"/>
      <c r="FO61" s="8"/>
      <c r="FR61" s="8"/>
      <c r="FS61" s="8"/>
      <c r="FT61" s="8"/>
      <c r="FU61" s="8"/>
      <c r="FV61" s="8"/>
      <c r="FW61" s="8"/>
      <c r="FX61" s="8" t="s">
        <v>343</v>
      </c>
      <c r="FY61" s="8" t="s">
        <v>691</v>
      </c>
      <c r="FZ61" s="8"/>
      <c r="GA61" s="8" t="s">
        <v>344</v>
      </c>
      <c r="GB61" s="8" t="s">
        <v>344</v>
      </c>
      <c r="GC61" s="8" t="s">
        <v>344</v>
      </c>
      <c r="GD61" s="8" t="s">
        <v>344</v>
      </c>
      <c r="GE61" s="8" t="s">
        <v>345</v>
      </c>
      <c r="GF61" s="8" t="s">
        <v>344</v>
      </c>
      <c r="GG61" s="8"/>
      <c r="GH61" s="8"/>
      <c r="GI61" s="8"/>
      <c r="GJ61" s="8"/>
      <c r="GK61" s="8" t="s">
        <v>692</v>
      </c>
      <c r="GL61" s="8" t="s">
        <v>344</v>
      </c>
      <c r="GM61" s="8" t="s">
        <v>344</v>
      </c>
      <c r="GN61" s="8" t="s">
        <v>344</v>
      </c>
      <c r="GO61" s="8" t="s">
        <v>344</v>
      </c>
      <c r="GP61" s="8" t="s">
        <v>344</v>
      </c>
      <c r="GQ61" s="8" t="s">
        <v>344</v>
      </c>
      <c r="GR61" s="8" t="s">
        <v>344</v>
      </c>
      <c r="GS61" s="8" t="s">
        <v>344</v>
      </c>
      <c r="GT61" s="8" t="s">
        <v>344</v>
      </c>
      <c r="GU61" s="8" t="s">
        <v>344</v>
      </c>
      <c r="GV61" s="8" t="s">
        <v>344</v>
      </c>
      <c r="GW61" s="8" t="s">
        <v>344</v>
      </c>
      <c r="GX61" s="8" t="s">
        <v>344</v>
      </c>
      <c r="GY61" s="8" t="s">
        <v>344</v>
      </c>
      <c r="GZ61" s="8" t="s">
        <v>344</v>
      </c>
      <c r="HA61" s="8" t="s">
        <v>693</v>
      </c>
      <c r="HB61" s="8" t="s">
        <v>344</v>
      </c>
      <c r="HC61" s="8"/>
      <c r="HD61" s="8" t="s">
        <v>344</v>
      </c>
      <c r="HE61" s="8"/>
      <c r="HF61" s="8" t="s">
        <v>344</v>
      </c>
      <c r="HG61" s="8"/>
      <c r="HH61" s="8" t="s">
        <v>344</v>
      </c>
      <c r="HI61" s="8"/>
      <c r="HJ61" s="8" t="s">
        <v>344</v>
      </c>
      <c r="HK61" s="8" t="s">
        <v>344</v>
      </c>
      <c r="HL61" s="8" t="s">
        <v>344</v>
      </c>
      <c r="HM61" s="8" t="s">
        <v>344</v>
      </c>
      <c r="HN61" s="8" t="s">
        <v>344</v>
      </c>
      <c r="HO61" s="8" t="s">
        <v>344</v>
      </c>
      <c r="HP61" s="8" t="s">
        <v>344</v>
      </c>
      <c r="HQ61" s="8" t="s">
        <v>344</v>
      </c>
      <c r="HR61" s="8" t="s">
        <v>344</v>
      </c>
      <c r="HS61" s="8" t="s">
        <v>344</v>
      </c>
      <c r="HT61" s="8" t="s">
        <v>344</v>
      </c>
      <c r="HU61" s="8" t="s">
        <v>344</v>
      </c>
      <c r="HV61" s="8" t="s">
        <v>344</v>
      </c>
      <c r="HW61" s="8" t="s">
        <v>344</v>
      </c>
      <c r="HX61" s="8" t="s">
        <v>344</v>
      </c>
      <c r="HY61" s="8" t="s">
        <v>694</v>
      </c>
      <c r="HZ61" s="8" t="s">
        <v>344</v>
      </c>
      <c r="IA61" s="8"/>
      <c r="IB61" s="8" t="s">
        <v>344</v>
      </c>
      <c r="IC61" s="8"/>
      <c r="ID61" s="8" t="s">
        <v>344</v>
      </c>
      <c r="IE61" s="8"/>
      <c r="IF61" s="8" t="s">
        <v>344</v>
      </c>
      <c r="IG61" s="8"/>
      <c r="IH61" s="8" t="s">
        <v>345</v>
      </c>
      <c r="II61" s="8" t="s">
        <v>345</v>
      </c>
      <c r="IJ61" s="8" t="s">
        <v>344</v>
      </c>
      <c r="IK61" s="8" t="s">
        <v>345</v>
      </c>
      <c r="IL61" s="8" t="s">
        <v>345</v>
      </c>
      <c r="IM61" s="8" t="s">
        <v>345</v>
      </c>
      <c r="IN61" s="8" t="s">
        <v>344</v>
      </c>
      <c r="IO61" s="8" t="s">
        <v>345</v>
      </c>
      <c r="IP61" s="8" t="s">
        <v>344</v>
      </c>
      <c r="IQ61" s="8" t="s">
        <v>344</v>
      </c>
      <c r="IR61" s="8" t="s">
        <v>344</v>
      </c>
      <c r="IS61" s="8" t="s">
        <v>344</v>
      </c>
      <c r="IT61" s="8" t="s">
        <v>695</v>
      </c>
      <c r="IU61" s="8" t="s">
        <v>696</v>
      </c>
      <c r="IV61" s="8"/>
      <c r="IW61" s="8"/>
      <c r="IX61" s="8"/>
      <c r="IY61" s="8"/>
      <c r="IZ61" s="8"/>
      <c r="JA61" s="8"/>
      <c r="JB61" s="8"/>
      <c r="JC61" s="8"/>
      <c r="JD61" s="8"/>
      <c r="JE61" s="8"/>
      <c r="JF61" s="8"/>
      <c r="JG61" s="8"/>
      <c r="JH61" s="9"/>
    </row>
    <row r="62" spans="1:268" x14ac:dyDescent="0.3">
      <c r="A62" s="8" t="s">
        <v>338</v>
      </c>
      <c r="B62" s="8">
        <v>135</v>
      </c>
      <c r="C62" s="8" t="s">
        <v>697</v>
      </c>
      <c r="D62" s="8">
        <v>14</v>
      </c>
      <c r="E62" s="8" t="s">
        <v>340</v>
      </c>
      <c r="F62" s="8">
        <v>467947419</v>
      </c>
      <c r="G62" s="8" t="s">
        <v>698</v>
      </c>
      <c r="H62" s="8" t="s">
        <v>697</v>
      </c>
      <c r="I62" s="8" t="s">
        <v>653</v>
      </c>
      <c r="J62" s="8">
        <v>17</v>
      </c>
      <c r="K62" s="8" t="s">
        <v>389</v>
      </c>
      <c r="L62" s="8"/>
      <c r="M62" s="8" t="s">
        <v>344</v>
      </c>
      <c r="N62" s="8" t="s">
        <v>345</v>
      </c>
      <c r="O62" s="8" t="s">
        <v>344</v>
      </c>
      <c r="P62" s="8" t="s">
        <v>344</v>
      </c>
      <c r="Q62" s="8" t="s">
        <v>344</v>
      </c>
      <c r="R62" s="8"/>
      <c r="S62" s="8" t="s">
        <v>346</v>
      </c>
      <c r="T62" s="8"/>
      <c r="U62" s="8" t="s">
        <v>418</v>
      </c>
      <c r="V62" s="8"/>
      <c r="W62" s="8" t="s">
        <v>344</v>
      </c>
      <c r="X62" s="8" t="s">
        <v>344</v>
      </c>
      <c r="Y62" s="8" t="s">
        <v>345</v>
      </c>
      <c r="Z62" s="8" t="s">
        <v>345</v>
      </c>
      <c r="AA62" s="8" t="s">
        <v>344</v>
      </c>
      <c r="AB62" s="8" t="s">
        <v>344</v>
      </c>
      <c r="AC62" s="8" t="s">
        <v>344</v>
      </c>
      <c r="AD62" s="8" t="s">
        <v>344</v>
      </c>
      <c r="AE62" s="8" t="s">
        <v>345</v>
      </c>
      <c r="AF62" s="8" t="s">
        <v>344</v>
      </c>
      <c r="AG62" s="8" t="s">
        <v>344</v>
      </c>
      <c r="AH62" s="8" t="s">
        <v>345</v>
      </c>
      <c r="AI62" s="8" t="s">
        <v>344</v>
      </c>
      <c r="AJ62" s="8" t="s">
        <v>344</v>
      </c>
      <c r="AK62" s="8" t="s">
        <v>344</v>
      </c>
      <c r="AL62" s="8" t="s">
        <v>344</v>
      </c>
      <c r="AM62" s="8" t="s">
        <v>344</v>
      </c>
      <c r="AN62" s="8" t="s">
        <v>344</v>
      </c>
      <c r="AO62" s="8" t="s">
        <v>344</v>
      </c>
      <c r="AP62" s="8" t="s">
        <v>345</v>
      </c>
      <c r="AQ62" s="8" t="s">
        <v>344</v>
      </c>
      <c r="AR62" s="8" t="s">
        <v>344</v>
      </c>
      <c r="AS62" s="8" t="s">
        <v>345</v>
      </c>
      <c r="AT62" s="8" t="s">
        <v>344</v>
      </c>
      <c r="AU62" s="8" t="s">
        <v>344</v>
      </c>
      <c r="AV62" s="8" t="s">
        <v>344</v>
      </c>
      <c r="AW62" s="8" t="s">
        <v>344</v>
      </c>
      <c r="AX62" s="8" t="s">
        <v>344</v>
      </c>
      <c r="AY62" s="8"/>
      <c r="AZ62" s="8"/>
      <c r="BA62" s="8"/>
      <c r="BB62" s="8"/>
      <c r="BC62" s="8"/>
      <c r="BD62" s="8"/>
      <c r="BE62" s="8" t="s">
        <v>350</v>
      </c>
      <c r="BF62" s="8" t="s">
        <v>350</v>
      </c>
      <c r="BG62" s="8" t="s">
        <v>350</v>
      </c>
      <c r="BH62" s="8" t="s">
        <v>350</v>
      </c>
      <c r="BI62" s="8" t="s">
        <v>350</v>
      </c>
      <c r="BJ62" s="8" t="s">
        <v>391</v>
      </c>
      <c r="BK62" s="8" t="s">
        <v>391</v>
      </c>
      <c r="BL62" s="8" t="s">
        <v>391</v>
      </c>
      <c r="BM62" s="8" t="s">
        <v>391</v>
      </c>
      <c r="BN62" s="8" t="s">
        <v>391</v>
      </c>
      <c r="BO62" s="8" t="s">
        <v>391</v>
      </c>
      <c r="BP62" s="8" t="s">
        <v>391</v>
      </c>
      <c r="BQ62" s="8" t="s">
        <v>407</v>
      </c>
      <c r="BR62" s="8" t="s">
        <v>429</v>
      </c>
      <c r="BS62" s="8" t="s">
        <v>391</v>
      </c>
      <c r="BT62" s="8" t="s">
        <v>391</v>
      </c>
      <c r="BU62" s="8" t="s">
        <v>391</v>
      </c>
      <c r="BV62" s="8" t="s">
        <v>391</v>
      </c>
      <c r="BW62" s="8" t="s">
        <v>391</v>
      </c>
      <c r="BX62" s="8" t="s">
        <v>391</v>
      </c>
      <c r="BY62" s="8" t="s">
        <v>391</v>
      </c>
      <c r="BZ62" s="8" t="s">
        <v>391</v>
      </c>
      <c r="CA62" s="8" t="s">
        <v>391</v>
      </c>
      <c r="CB62" s="8" t="s">
        <v>391</v>
      </c>
      <c r="CC62" s="8" t="s">
        <v>391</v>
      </c>
      <c r="CD62" s="8" t="s">
        <v>391</v>
      </c>
      <c r="CE62" s="8" t="s">
        <v>391</v>
      </c>
      <c r="CF62" s="8" t="s">
        <v>391</v>
      </c>
      <c r="CG62" s="8" t="s">
        <v>421</v>
      </c>
      <c r="CH62" s="8" t="s">
        <v>421</v>
      </c>
      <c r="CI62" s="8" t="s">
        <v>421</v>
      </c>
      <c r="CJ62" s="8" t="s">
        <v>421</v>
      </c>
      <c r="CK62" s="8" t="s">
        <v>699</v>
      </c>
      <c r="CL62" s="8" t="s">
        <v>344</v>
      </c>
      <c r="CM62" s="8" t="s">
        <v>344</v>
      </c>
      <c r="CN62" s="8" t="s">
        <v>345</v>
      </c>
      <c r="CO62" s="8" t="s">
        <v>344</v>
      </c>
      <c r="CP62" s="8" t="s">
        <v>345</v>
      </c>
      <c r="CQ62" s="8" t="s">
        <v>344</v>
      </c>
      <c r="CR62" s="8" t="s">
        <v>655</v>
      </c>
      <c r="CS62" s="8">
        <v>90</v>
      </c>
      <c r="CT62" s="8">
        <v>1</v>
      </c>
      <c r="CU62" s="8">
        <v>100</v>
      </c>
      <c r="CV62" s="8">
        <v>1</v>
      </c>
      <c r="CW62" s="8" t="s">
        <v>363</v>
      </c>
      <c r="CX62" s="8" t="s">
        <v>396</v>
      </c>
      <c r="CY62" s="8" t="s">
        <v>364</v>
      </c>
      <c r="CZ62" s="8" t="s">
        <v>423</v>
      </c>
      <c r="DA62" s="8" t="s">
        <v>423</v>
      </c>
      <c r="DB62" s="8" t="s">
        <v>423</v>
      </c>
      <c r="DC62" s="8" t="s">
        <v>423</v>
      </c>
      <c r="DD62" s="8" t="s">
        <v>423</v>
      </c>
      <c r="DE62" s="8" t="s">
        <v>423</v>
      </c>
      <c r="DF62" s="8" t="s">
        <v>423</v>
      </c>
      <c r="DG62" s="8" t="s">
        <v>423</v>
      </c>
      <c r="DH62" s="8" t="s">
        <v>423</v>
      </c>
      <c r="DI62" s="8" t="s">
        <v>423</v>
      </c>
      <c r="DJ62" s="8" t="s">
        <v>700</v>
      </c>
      <c r="DK62" s="8" t="s">
        <v>492</v>
      </c>
      <c r="DL62" s="8" t="s">
        <v>344</v>
      </c>
      <c r="DM62" s="8" t="s">
        <v>345</v>
      </c>
      <c r="DN62" s="8" t="s">
        <v>344</v>
      </c>
      <c r="DO62" s="8" t="s">
        <v>344</v>
      </c>
      <c r="DP62" s="8" t="s">
        <v>345</v>
      </c>
      <c r="DQ62" s="8" t="s">
        <v>344</v>
      </c>
      <c r="DR62" s="8" t="s">
        <v>344</v>
      </c>
      <c r="DS62" s="8" t="s">
        <v>344</v>
      </c>
      <c r="DT62" s="8" t="s">
        <v>344</v>
      </c>
      <c r="DU62" s="8" t="s">
        <v>345</v>
      </c>
      <c r="DV62" s="8" t="s">
        <v>344</v>
      </c>
      <c r="DW62" s="8" t="s">
        <v>344</v>
      </c>
      <c r="DX62" s="8" t="s">
        <v>398</v>
      </c>
      <c r="DY62" s="8" t="s">
        <v>371</v>
      </c>
      <c r="DZ62" s="8" t="s">
        <v>398</v>
      </c>
      <c r="EA62" s="8" t="s">
        <v>398</v>
      </c>
      <c r="EB62" s="8" t="s">
        <v>399</v>
      </c>
      <c r="EC62" s="8" t="s">
        <v>371</v>
      </c>
      <c r="ED62" s="8" t="s">
        <v>398</v>
      </c>
      <c r="EE62" s="8" t="s">
        <v>370</v>
      </c>
      <c r="EF62" s="8" t="s">
        <v>371</v>
      </c>
      <c r="EG62" s="8" t="s">
        <v>398</v>
      </c>
      <c r="EH62" s="8" t="s">
        <v>398</v>
      </c>
      <c r="EI62" s="8" t="s">
        <v>398</v>
      </c>
      <c r="EJ62" s="8" t="s">
        <v>370</v>
      </c>
      <c r="EK62" s="8" t="s">
        <v>398</v>
      </c>
      <c r="EL62" s="8" t="s">
        <v>372</v>
      </c>
      <c r="EM62" s="8" t="s">
        <v>374</v>
      </c>
      <c r="EN62" s="8" t="s">
        <v>373</v>
      </c>
      <c r="EO62" s="8"/>
      <c r="EP62" s="8"/>
      <c r="EQ62" s="8" t="s">
        <v>376</v>
      </c>
      <c r="ER62" s="8" t="s">
        <v>375</v>
      </c>
      <c r="ES62" s="8" t="s">
        <v>375</v>
      </c>
      <c r="ET62" s="8" t="s">
        <v>375</v>
      </c>
      <c r="EU62" s="8" t="s">
        <v>375</v>
      </c>
      <c r="EV62" s="8" t="s">
        <v>400</v>
      </c>
      <c r="EW62" s="8"/>
      <c r="EX62" s="160" t="s">
        <v>344</v>
      </c>
      <c r="EY62" s="160" t="s">
        <v>345</v>
      </c>
      <c r="EZ62" s="160" t="s">
        <v>344</v>
      </c>
      <c r="FA62" s="160" t="s">
        <v>344</v>
      </c>
      <c r="FB62" s="8" t="s">
        <v>380</v>
      </c>
      <c r="FC62" s="8"/>
      <c r="FD62" s="8" t="s">
        <v>380</v>
      </c>
      <c r="FE62" s="8"/>
      <c r="FF62" s="8" t="s">
        <v>431</v>
      </c>
      <c r="FG62" s="8" t="s">
        <v>402</v>
      </c>
      <c r="FH62" s="8" t="s">
        <v>451</v>
      </c>
      <c r="FI62" s="8" t="s">
        <v>403</v>
      </c>
      <c r="FJ62" s="8"/>
      <c r="FK62" s="8"/>
      <c r="FL62" s="8"/>
      <c r="FM62" s="8"/>
      <c r="FN62" s="8"/>
      <c r="FO62" s="8"/>
      <c r="FP62" s="8"/>
      <c r="FQ62" s="8"/>
      <c r="FR62" s="8"/>
      <c r="FS62" s="8"/>
      <c r="FT62" s="8"/>
      <c r="FU62" s="8"/>
      <c r="FV62" s="8"/>
      <c r="FW62" s="8"/>
      <c r="FX62" s="8"/>
      <c r="FY62" s="8"/>
      <c r="FZ62" s="8"/>
      <c r="GA62" s="8" t="s">
        <v>368</v>
      </c>
      <c r="GB62" s="8" t="s">
        <v>368</v>
      </c>
      <c r="GC62" s="8" t="s">
        <v>368</v>
      </c>
      <c r="GD62" s="8" t="s">
        <v>368</v>
      </c>
      <c r="GE62" s="8" t="s">
        <v>368</v>
      </c>
      <c r="GF62" s="8" t="s">
        <v>368</v>
      </c>
      <c r="GG62" s="8"/>
      <c r="GH62" s="8"/>
      <c r="GI62" s="8"/>
      <c r="GJ62" s="8"/>
      <c r="GK62" s="8"/>
      <c r="GL62" s="8" t="s">
        <v>344</v>
      </c>
      <c r="GM62" s="8" t="s">
        <v>344</v>
      </c>
      <c r="GN62" s="8" t="s">
        <v>344</v>
      </c>
      <c r="GO62" s="8" t="s">
        <v>345</v>
      </c>
      <c r="GP62" s="8" t="s">
        <v>345</v>
      </c>
      <c r="GQ62" s="8" t="s">
        <v>344</v>
      </c>
      <c r="GR62" s="8" t="s">
        <v>344</v>
      </c>
      <c r="GS62" s="8" t="s">
        <v>345</v>
      </c>
      <c r="GT62" s="8" t="s">
        <v>344</v>
      </c>
      <c r="GU62" s="8" t="s">
        <v>344</v>
      </c>
      <c r="GV62" s="8" t="s">
        <v>344</v>
      </c>
      <c r="GW62" s="8" t="s">
        <v>344</v>
      </c>
      <c r="GX62" s="8" t="s">
        <v>344</v>
      </c>
      <c r="GY62" s="8" t="s">
        <v>344</v>
      </c>
      <c r="GZ62" s="8" t="s">
        <v>345</v>
      </c>
      <c r="HA62" s="8"/>
      <c r="HB62" s="8" t="s">
        <v>344</v>
      </c>
      <c r="HC62" s="8"/>
      <c r="HD62" s="8" t="s">
        <v>345</v>
      </c>
      <c r="HE62" s="8"/>
      <c r="HF62" s="8" t="s">
        <v>344</v>
      </c>
      <c r="HG62" s="8"/>
      <c r="HH62" s="8" t="s">
        <v>344</v>
      </c>
      <c r="HI62" s="8"/>
      <c r="HJ62" s="8" t="s">
        <v>344</v>
      </c>
      <c r="HK62" s="8" t="s">
        <v>344</v>
      </c>
      <c r="HL62" s="8" t="s">
        <v>344</v>
      </c>
      <c r="HM62" s="8" t="s">
        <v>344</v>
      </c>
      <c r="HN62" s="8" t="s">
        <v>345</v>
      </c>
      <c r="HO62" s="8" t="s">
        <v>344</v>
      </c>
      <c r="HP62" s="8" t="s">
        <v>344</v>
      </c>
      <c r="HQ62" s="8" t="s">
        <v>344</v>
      </c>
      <c r="HR62" s="8" t="s">
        <v>344</v>
      </c>
      <c r="HS62" s="8" t="s">
        <v>344</v>
      </c>
      <c r="HT62" s="8" t="s">
        <v>344</v>
      </c>
      <c r="HU62" s="8" t="s">
        <v>344</v>
      </c>
      <c r="HV62" s="8" t="s">
        <v>344</v>
      </c>
      <c r="HW62" s="8" t="s">
        <v>344</v>
      </c>
      <c r="HX62" s="8" t="s">
        <v>344</v>
      </c>
      <c r="HY62" s="8"/>
      <c r="HZ62" s="8" t="s">
        <v>344</v>
      </c>
      <c r="IA62" s="8"/>
      <c r="IB62" s="8" t="s">
        <v>344</v>
      </c>
      <c r="IC62" s="8"/>
      <c r="ID62" s="8" t="s">
        <v>345</v>
      </c>
      <c r="IE62" s="8"/>
      <c r="IF62" s="8" t="s">
        <v>344</v>
      </c>
      <c r="IG62" s="8"/>
      <c r="IH62" s="8" t="s">
        <v>344</v>
      </c>
      <c r="II62" s="8" t="s">
        <v>345</v>
      </c>
      <c r="IJ62" s="8" t="s">
        <v>344</v>
      </c>
      <c r="IK62" s="8" t="s">
        <v>344</v>
      </c>
      <c r="IL62" s="8" t="s">
        <v>344</v>
      </c>
      <c r="IM62" s="8" t="s">
        <v>344</v>
      </c>
      <c r="IN62" s="8" t="s">
        <v>344</v>
      </c>
      <c r="IO62" s="8" t="s">
        <v>345</v>
      </c>
      <c r="IP62" s="8" t="s">
        <v>344</v>
      </c>
      <c r="IQ62" s="8" t="s">
        <v>344</v>
      </c>
      <c r="IR62" s="8" t="s">
        <v>344</v>
      </c>
      <c r="IS62" s="8" t="s">
        <v>344</v>
      </c>
      <c r="IT62" s="8"/>
      <c r="IU62" s="8"/>
      <c r="IV62" s="8"/>
      <c r="IW62" s="8"/>
      <c r="IX62" s="8"/>
      <c r="IY62" s="8"/>
      <c r="IZ62" s="8"/>
      <c r="JA62" s="8"/>
      <c r="JB62" s="8"/>
      <c r="JC62" s="8"/>
      <c r="JD62" s="8"/>
      <c r="JE62" s="8"/>
      <c r="JF62" s="8"/>
      <c r="JG62" s="8"/>
      <c r="JH62" s="9"/>
    </row>
    <row r="63" spans="1:268" x14ac:dyDescent="0.3">
      <c r="A63" s="8" t="s">
        <v>338</v>
      </c>
      <c r="B63" s="8">
        <v>136</v>
      </c>
      <c r="C63" s="8" t="s">
        <v>701</v>
      </c>
      <c r="D63" s="8">
        <v>14</v>
      </c>
      <c r="E63" s="8" t="s">
        <v>340</v>
      </c>
      <c r="F63" s="8">
        <v>2009892334</v>
      </c>
      <c r="G63" s="8" t="s">
        <v>702</v>
      </c>
      <c r="H63" s="8" t="s">
        <v>701</v>
      </c>
      <c r="I63" s="8" t="s">
        <v>653</v>
      </c>
      <c r="J63" s="8">
        <v>18</v>
      </c>
      <c r="K63" s="8" t="s">
        <v>389</v>
      </c>
      <c r="L63" s="8"/>
      <c r="M63" s="8" t="s">
        <v>344</v>
      </c>
      <c r="N63" s="8" t="s">
        <v>345</v>
      </c>
      <c r="O63" s="8" t="s">
        <v>344</v>
      </c>
      <c r="P63" s="8" t="s">
        <v>345</v>
      </c>
      <c r="Q63" s="8" t="s">
        <v>344</v>
      </c>
      <c r="R63" s="8"/>
      <c r="S63" s="8" t="s">
        <v>346</v>
      </c>
      <c r="T63" s="8"/>
      <c r="U63" s="8" t="s">
        <v>347</v>
      </c>
      <c r="V63" s="8"/>
      <c r="W63" s="8" t="s">
        <v>368</v>
      </c>
      <c r="X63" s="8" t="s">
        <v>368</v>
      </c>
      <c r="Y63" s="8" t="s">
        <v>368</v>
      </c>
      <c r="Z63" s="8" t="s">
        <v>368</v>
      </c>
      <c r="AA63" s="8" t="s">
        <v>368</v>
      </c>
      <c r="AB63" s="8" t="s">
        <v>368</v>
      </c>
      <c r="AC63" s="8" t="s">
        <v>345</v>
      </c>
      <c r="AD63" s="8" t="s">
        <v>344</v>
      </c>
      <c r="AE63" s="8" t="s">
        <v>345</v>
      </c>
      <c r="AF63" s="8" t="s">
        <v>344</v>
      </c>
      <c r="AG63" s="8" t="s">
        <v>344</v>
      </c>
      <c r="AH63" s="8" t="s">
        <v>344</v>
      </c>
      <c r="AI63" s="8" t="s">
        <v>344</v>
      </c>
      <c r="AJ63" s="8" t="s">
        <v>344</v>
      </c>
      <c r="AK63" s="8" t="s">
        <v>345</v>
      </c>
      <c r="AL63" s="8" t="s">
        <v>344</v>
      </c>
      <c r="AM63" s="8" t="s">
        <v>344</v>
      </c>
      <c r="AN63" s="8" t="s">
        <v>344</v>
      </c>
      <c r="AO63" s="8" t="s">
        <v>344</v>
      </c>
      <c r="AP63" s="8" t="s">
        <v>344</v>
      </c>
      <c r="AQ63" s="8" t="s">
        <v>344</v>
      </c>
      <c r="AR63" s="8" t="s">
        <v>345</v>
      </c>
      <c r="AS63" s="8" t="s">
        <v>344</v>
      </c>
      <c r="AT63" s="8" t="s">
        <v>344</v>
      </c>
      <c r="AU63" s="8" t="s">
        <v>344</v>
      </c>
      <c r="AV63" s="8" t="s">
        <v>344</v>
      </c>
      <c r="AW63" s="8" t="s">
        <v>344</v>
      </c>
      <c r="AX63" s="8" t="s">
        <v>344</v>
      </c>
      <c r="AY63" s="8"/>
      <c r="AZ63" s="8"/>
      <c r="BA63" s="8"/>
      <c r="BB63" s="8"/>
      <c r="BC63" s="8"/>
      <c r="BD63" s="8"/>
      <c r="BE63" s="8" t="s">
        <v>350</v>
      </c>
      <c r="BF63" s="8" t="s">
        <v>350</v>
      </c>
      <c r="BG63" s="8" t="s">
        <v>350</v>
      </c>
      <c r="BH63" s="8" t="s">
        <v>350</v>
      </c>
      <c r="BI63" s="8" t="s">
        <v>350</v>
      </c>
      <c r="BJ63" s="8" t="s">
        <v>354</v>
      </c>
      <c r="BK63" s="8" t="s">
        <v>351</v>
      </c>
      <c r="BL63" s="8" t="s">
        <v>357</v>
      </c>
      <c r="BM63" s="8" t="s">
        <v>353</v>
      </c>
      <c r="BN63" s="8" t="s">
        <v>356</v>
      </c>
      <c r="BO63" s="8" t="s">
        <v>355</v>
      </c>
      <c r="BP63" s="8" t="s">
        <v>352</v>
      </c>
      <c r="BQ63" s="8" t="s">
        <v>358</v>
      </c>
      <c r="BR63" s="8" t="s">
        <v>359</v>
      </c>
      <c r="BS63" s="8" t="s">
        <v>391</v>
      </c>
      <c r="BT63" s="8" t="s">
        <v>391</v>
      </c>
      <c r="BU63" s="8" t="s">
        <v>391</v>
      </c>
      <c r="BV63" s="8" t="s">
        <v>391</v>
      </c>
      <c r="BW63" s="8" t="s">
        <v>391</v>
      </c>
      <c r="BX63" s="8" t="s">
        <v>391</v>
      </c>
      <c r="BY63" s="8" t="s">
        <v>391</v>
      </c>
      <c r="BZ63" s="8" t="s">
        <v>391</v>
      </c>
      <c r="CA63" s="8" t="s">
        <v>391</v>
      </c>
      <c r="CB63" s="8" t="s">
        <v>391</v>
      </c>
      <c r="CC63" s="8" t="s">
        <v>391</v>
      </c>
      <c r="CD63" s="8" t="s">
        <v>391</v>
      </c>
      <c r="CE63" s="8" t="s">
        <v>391</v>
      </c>
      <c r="CF63" s="8" t="s">
        <v>391</v>
      </c>
      <c r="CG63" s="8" t="s">
        <v>421</v>
      </c>
      <c r="CH63" s="8" t="s">
        <v>421</v>
      </c>
      <c r="CI63" s="8" t="s">
        <v>421</v>
      </c>
      <c r="CJ63" s="8" t="s">
        <v>421</v>
      </c>
      <c r="CK63" s="8" t="s">
        <v>703</v>
      </c>
      <c r="CL63" s="8" t="s">
        <v>344</v>
      </c>
      <c r="CM63" s="8" t="s">
        <v>344</v>
      </c>
      <c r="CN63" s="8" t="s">
        <v>345</v>
      </c>
      <c r="CO63" s="8" t="s">
        <v>344</v>
      </c>
      <c r="CP63" s="8" t="s">
        <v>344</v>
      </c>
      <c r="CQ63" s="8" t="s">
        <v>344</v>
      </c>
      <c r="CR63" s="8" t="s">
        <v>655</v>
      </c>
      <c r="CS63" s="8">
        <v>100</v>
      </c>
      <c r="CT63" s="8">
        <v>1</v>
      </c>
      <c r="CU63" s="8">
        <v>100</v>
      </c>
      <c r="CV63" s="8">
        <v>1</v>
      </c>
      <c r="CW63" s="8" t="s">
        <v>363</v>
      </c>
      <c r="CX63" s="8" t="s">
        <v>396</v>
      </c>
      <c r="CY63" s="8" t="s">
        <v>364</v>
      </c>
      <c r="CZ63" s="8" t="s">
        <v>397</v>
      </c>
      <c r="DA63" s="8" t="s">
        <v>397</v>
      </c>
      <c r="DB63" s="8" t="s">
        <v>397</v>
      </c>
      <c r="DC63" s="8" t="s">
        <v>397</v>
      </c>
      <c r="DD63" s="8" t="s">
        <v>397</v>
      </c>
      <c r="DE63" s="8" t="s">
        <v>397</v>
      </c>
      <c r="DF63" s="8" t="s">
        <v>397</v>
      </c>
      <c r="DG63" s="8" t="s">
        <v>397</v>
      </c>
      <c r="DH63" s="8" t="s">
        <v>397</v>
      </c>
      <c r="DI63" s="8" t="s">
        <v>397</v>
      </c>
      <c r="DJ63" s="8"/>
      <c r="DK63" s="8" t="s">
        <v>367</v>
      </c>
      <c r="DL63" s="8" t="s">
        <v>368</v>
      </c>
      <c r="DM63" s="8" t="s">
        <v>368</v>
      </c>
      <c r="DN63" s="8" t="s">
        <v>368</v>
      </c>
      <c r="DO63" s="8" t="s">
        <v>368</v>
      </c>
      <c r="DP63" s="8" t="s">
        <v>345</v>
      </c>
      <c r="DQ63" s="8" t="s">
        <v>344</v>
      </c>
      <c r="DR63" s="8" t="s">
        <v>344</v>
      </c>
      <c r="DS63" s="8" t="s">
        <v>344</v>
      </c>
      <c r="DT63" s="8" t="s">
        <v>368</v>
      </c>
      <c r="DU63" s="8" t="s">
        <v>368</v>
      </c>
      <c r="DV63" s="8" t="s">
        <v>368</v>
      </c>
      <c r="DW63" s="8" t="s">
        <v>345</v>
      </c>
      <c r="DX63" s="8" t="s">
        <v>370</v>
      </c>
      <c r="DY63" s="8" t="s">
        <v>370</v>
      </c>
      <c r="DZ63" s="8" t="s">
        <v>370</v>
      </c>
      <c r="EA63" s="8" t="s">
        <v>370</v>
      </c>
      <c r="EB63" s="8" t="s">
        <v>370</v>
      </c>
      <c r="EC63" s="8" t="s">
        <v>370</v>
      </c>
      <c r="ED63" s="8" t="s">
        <v>370</v>
      </c>
      <c r="EE63" s="8" t="s">
        <v>370</v>
      </c>
      <c r="EF63" s="8" t="s">
        <v>370</v>
      </c>
      <c r="EG63" s="8" t="s">
        <v>370</v>
      </c>
      <c r="EH63" s="8" t="s">
        <v>370</v>
      </c>
      <c r="EI63" s="8" t="s">
        <v>370</v>
      </c>
      <c r="EJ63" s="8" t="s">
        <v>370</v>
      </c>
      <c r="EK63" s="8" t="s">
        <v>370</v>
      </c>
      <c r="EL63" s="8" t="s">
        <v>372</v>
      </c>
      <c r="EM63" s="8" t="s">
        <v>373</v>
      </c>
      <c r="EN63" s="8" t="s">
        <v>374</v>
      </c>
      <c r="EO63" s="8"/>
      <c r="EP63" s="8"/>
      <c r="EQ63" s="8" t="s">
        <v>391</v>
      </c>
      <c r="ER63" s="8" t="s">
        <v>391</v>
      </c>
      <c r="ES63" s="8" t="s">
        <v>391</v>
      </c>
      <c r="ET63" s="8" t="s">
        <v>391</v>
      </c>
      <c r="EU63" s="8" t="s">
        <v>391</v>
      </c>
      <c r="EV63" s="8" t="s">
        <v>400</v>
      </c>
      <c r="EW63" s="8"/>
      <c r="EX63" s="8" t="s">
        <v>368</v>
      </c>
      <c r="EY63" s="8" t="s">
        <v>368</v>
      </c>
      <c r="EZ63" s="8" t="s">
        <v>368</v>
      </c>
      <c r="FA63" s="8" t="s">
        <v>345</v>
      </c>
      <c r="FB63" s="8" t="s">
        <v>380</v>
      </c>
      <c r="FC63" s="8"/>
      <c r="FD63" s="8" t="s">
        <v>380</v>
      </c>
      <c r="FE63" s="8"/>
      <c r="FF63" s="8" t="s">
        <v>431</v>
      </c>
      <c r="FG63" s="8" t="s">
        <v>441</v>
      </c>
      <c r="FH63" s="8" t="s">
        <v>460</v>
      </c>
      <c r="FI63" s="8" t="s">
        <v>442</v>
      </c>
      <c r="FJ63" s="8"/>
      <c r="FK63" s="8"/>
      <c r="FL63" s="8"/>
      <c r="FM63" s="8"/>
      <c r="FN63" s="8"/>
      <c r="FO63" s="8"/>
      <c r="FP63" s="8"/>
      <c r="FQ63" s="8"/>
      <c r="FR63" s="8"/>
      <c r="FS63" s="8"/>
      <c r="FT63" s="8"/>
      <c r="FU63" s="8"/>
      <c r="FV63" s="8"/>
      <c r="FW63" s="8"/>
      <c r="FX63" s="8"/>
      <c r="FY63" s="8"/>
      <c r="FZ63" s="8"/>
      <c r="GA63" s="8" t="s">
        <v>368</v>
      </c>
      <c r="GB63" s="8" t="s">
        <v>368</v>
      </c>
      <c r="GC63" s="8" t="s">
        <v>368</v>
      </c>
      <c r="GD63" s="8" t="s">
        <v>368</v>
      </c>
      <c r="GE63" s="8" t="s">
        <v>368</v>
      </c>
      <c r="GF63" s="8" t="s">
        <v>368</v>
      </c>
      <c r="GG63" s="8"/>
      <c r="GH63" s="8"/>
      <c r="GI63" s="8"/>
      <c r="GJ63" s="8"/>
      <c r="GK63" s="8"/>
      <c r="GL63" s="8" t="s">
        <v>344</v>
      </c>
      <c r="GM63" s="8" t="s">
        <v>344</v>
      </c>
      <c r="GN63" s="8" t="s">
        <v>344</v>
      </c>
      <c r="GO63" s="8" t="s">
        <v>344</v>
      </c>
      <c r="GP63" s="8" t="s">
        <v>344</v>
      </c>
      <c r="GQ63" s="8" t="s">
        <v>344</v>
      </c>
      <c r="GR63" s="8" t="s">
        <v>344</v>
      </c>
      <c r="GS63" s="8" t="s">
        <v>344</v>
      </c>
      <c r="GT63" s="8" t="s">
        <v>344</v>
      </c>
      <c r="GU63" s="8" t="s">
        <v>344</v>
      </c>
      <c r="GV63" s="8" t="s">
        <v>344</v>
      </c>
      <c r="GW63" s="8" t="s">
        <v>344</v>
      </c>
      <c r="GX63" s="8" t="s">
        <v>345</v>
      </c>
      <c r="GY63" s="8" t="s">
        <v>344</v>
      </c>
      <c r="GZ63" s="8" t="s">
        <v>344</v>
      </c>
      <c r="HA63" s="8"/>
      <c r="HB63" s="8" t="s">
        <v>344</v>
      </c>
      <c r="HC63" s="8"/>
      <c r="HD63" s="8" t="s">
        <v>344</v>
      </c>
      <c r="HE63" s="8"/>
      <c r="HF63" s="8" t="s">
        <v>344</v>
      </c>
      <c r="HG63" s="8"/>
      <c r="HH63" s="8" t="s">
        <v>344</v>
      </c>
      <c r="HI63" s="8"/>
      <c r="HJ63" s="8" t="s">
        <v>345</v>
      </c>
      <c r="HK63" s="8" t="s">
        <v>344</v>
      </c>
      <c r="HL63" s="8" t="s">
        <v>344</v>
      </c>
      <c r="HM63" s="8" t="s">
        <v>344</v>
      </c>
      <c r="HN63" s="8" t="s">
        <v>344</v>
      </c>
      <c r="HO63" s="8" t="s">
        <v>344</v>
      </c>
      <c r="HP63" s="8" t="s">
        <v>344</v>
      </c>
      <c r="HQ63" s="8" t="s">
        <v>344</v>
      </c>
      <c r="HR63" s="8" t="s">
        <v>344</v>
      </c>
      <c r="HS63" s="8" t="s">
        <v>344</v>
      </c>
      <c r="HT63" s="8" t="s">
        <v>344</v>
      </c>
      <c r="HU63" s="8" t="s">
        <v>344</v>
      </c>
      <c r="HV63" s="8" t="s">
        <v>344</v>
      </c>
      <c r="HW63" s="8" t="s">
        <v>344</v>
      </c>
      <c r="HX63" s="8" t="s">
        <v>344</v>
      </c>
      <c r="HY63" s="8"/>
      <c r="HZ63" s="8" t="s">
        <v>344</v>
      </c>
      <c r="IA63" s="8"/>
      <c r="IB63" s="8" t="s">
        <v>344</v>
      </c>
      <c r="IC63" s="8"/>
      <c r="ID63" s="8" t="s">
        <v>344</v>
      </c>
      <c r="IE63" s="8"/>
      <c r="IF63" s="8" t="s">
        <v>344</v>
      </c>
      <c r="IG63" s="8"/>
      <c r="IH63" s="8" t="s">
        <v>345</v>
      </c>
      <c r="II63" s="8" t="s">
        <v>345</v>
      </c>
      <c r="IJ63" s="8" t="s">
        <v>344</v>
      </c>
      <c r="IK63" s="8" t="s">
        <v>344</v>
      </c>
      <c r="IL63" s="8" t="s">
        <v>344</v>
      </c>
      <c r="IM63" s="8" t="s">
        <v>345</v>
      </c>
      <c r="IN63" s="8" t="s">
        <v>344</v>
      </c>
      <c r="IO63" s="8" t="s">
        <v>344</v>
      </c>
      <c r="IP63" s="8" t="s">
        <v>345</v>
      </c>
      <c r="IQ63" s="8" t="s">
        <v>344</v>
      </c>
      <c r="IR63" s="8" t="s">
        <v>344</v>
      </c>
      <c r="IS63" s="8" t="s">
        <v>344</v>
      </c>
      <c r="IT63" s="8"/>
      <c r="IU63" s="8"/>
      <c r="IV63" s="8"/>
      <c r="IW63" s="8"/>
      <c r="IX63" s="8"/>
      <c r="IY63" s="8"/>
      <c r="IZ63" s="8"/>
      <c r="JA63" s="8"/>
      <c r="JB63" s="8"/>
      <c r="JC63" s="8"/>
      <c r="JD63" s="8"/>
      <c r="JE63" s="8"/>
      <c r="JF63" s="8"/>
      <c r="JG63" s="8"/>
      <c r="JH63" s="9"/>
    </row>
    <row r="64" spans="1:268" x14ac:dyDescent="0.3">
      <c r="A64" s="8" t="s">
        <v>338</v>
      </c>
      <c r="B64" s="8">
        <v>140</v>
      </c>
      <c r="C64" s="8" t="s">
        <v>704</v>
      </c>
      <c r="D64" s="8">
        <v>14</v>
      </c>
      <c r="E64" s="8" t="s">
        <v>340</v>
      </c>
      <c r="F64" s="8">
        <v>1176897833</v>
      </c>
      <c r="G64" s="8" t="s">
        <v>705</v>
      </c>
      <c r="H64" s="8" t="s">
        <v>704</v>
      </c>
      <c r="I64" s="8" t="s">
        <v>653</v>
      </c>
      <c r="J64" s="8">
        <v>17</v>
      </c>
      <c r="K64" s="8" t="s">
        <v>389</v>
      </c>
      <c r="L64" s="8"/>
      <c r="M64" s="8" t="s">
        <v>345</v>
      </c>
      <c r="N64" s="8" t="s">
        <v>345</v>
      </c>
      <c r="O64" s="8" t="s">
        <v>344</v>
      </c>
      <c r="P64" s="8" t="s">
        <v>344</v>
      </c>
      <c r="Q64" s="8" t="s">
        <v>344</v>
      </c>
      <c r="R64" s="8"/>
      <c r="S64" s="8" t="s">
        <v>346</v>
      </c>
      <c r="T64" s="8"/>
      <c r="U64" s="8" t="s">
        <v>347</v>
      </c>
      <c r="V64" s="8"/>
      <c r="W64" s="8" t="s">
        <v>344</v>
      </c>
      <c r="X64" s="8" t="s">
        <v>345</v>
      </c>
      <c r="Y64" s="8" t="s">
        <v>344</v>
      </c>
      <c r="Z64" s="8" t="s">
        <v>344</v>
      </c>
      <c r="AA64" s="8" t="s">
        <v>344</v>
      </c>
      <c r="AB64" s="8" t="s">
        <v>344</v>
      </c>
      <c r="AC64" s="8" t="s">
        <v>344</v>
      </c>
      <c r="AD64" s="8" t="s">
        <v>345</v>
      </c>
      <c r="AE64" s="8" t="s">
        <v>345</v>
      </c>
      <c r="AF64" s="8" t="s">
        <v>344</v>
      </c>
      <c r="AG64" s="8" t="s">
        <v>344</v>
      </c>
      <c r="AH64" s="8" t="s">
        <v>344</v>
      </c>
      <c r="AI64" s="8" t="s">
        <v>344</v>
      </c>
      <c r="AJ64" s="8" t="s">
        <v>344</v>
      </c>
      <c r="AK64" s="8" t="s">
        <v>344</v>
      </c>
      <c r="AL64" s="8" t="s">
        <v>344</v>
      </c>
      <c r="AM64" s="8" t="s">
        <v>344</v>
      </c>
      <c r="AN64" s="8" t="s">
        <v>345</v>
      </c>
      <c r="AO64" s="8" t="s">
        <v>344</v>
      </c>
      <c r="AP64" s="8" t="s">
        <v>344</v>
      </c>
      <c r="AQ64" s="8" t="s">
        <v>344</v>
      </c>
      <c r="AR64" s="8" t="s">
        <v>344</v>
      </c>
      <c r="AS64" s="8" t="s">
        <v>345</v>
      </c>
      <c r="AT64" s="8" t="s">
        <v>345</v>
      </c>
      <c r="AU64" s="8" t="s">
        <v>344</v>
      </c>
      <c r="AV64" s="8" t="s">
        <v>344</v>
      </c>
      <c r="AW64" s="8" t="s">
        <v>344</v>
      </c>
      <c r="AX64" s="8" t="s">
        <v>344</v>
      </c>
      <c r="AY64" s="8"/>
      <c r="AZ64" s="8"/>
      <c r="BA64" s="8"/>
      <c r="BB64" s="8"/>
      <c r="BC64" s="8"/>
      <c r="BD64" s="8"/>
      <c r="BE64" s="8" t="s">
        <v>390</v>
      </c>
      <c r="BF64" s="8" t="s">
        <v>390</v>
      </c>
      <c r="BG64" s="8" t="s">
        <v>390</v>
      </c>
      <c r="BH64" s="8" t="s">
        <v>349</v>
      </c>
      <c r="BI64" s="8" t="s">
        <v>349</v>
      </c>
      <c r="BJ64" s="8" t="s">
        <v>391</v>
      </c>
      <c r="BK64" s="8" t="s">
        <v>391</v>
      </c>
      <c r="BL64" s="8" t="s">
        <v>391</v>
      </c>
      <c r="BM64" s="8" t="s">
        <v>391</v>
      </c>
      <c r="BN64" s="8" t="s">
        <v>391</v>
      </c>
      <c r="BO64" s="8" t="s">
        <v>391</v>
      </c>
      <c r="BP64" s="8" t="s">
        <v>391</v>
      </c>
      <c r="BQ64" s="8" t="s">
        <v>689</v>
      </c>
      <c r="BR64" s="8" t="s">
        <v>359</v>
      </c>
      <c r="BS64" s="8" t="s">
        <v>391</v>
      </c>
      <c r="BT64" s="8" t="s">
        <v>391</v>
      </c>
      <c r="BU64" s="8" t="s">
        <v>391</v>
      </c>
      <c r="BV64" s="8" t="s">
        <v>391</v>
      </c>
      <c r="BW64" s="8" t="s">
        <v>391</v>
      </c>
      <c r="BX64" s="8" t="s">
        <v>391</v>
      </c>
      <c r="BY64" s="8" t="s">
        <v>391</v>
      </c>
      <c r="BZ64" s="8" t="s">
        <v>391</v>
      </c>
      <c r="CA64" s="8" t="s">
        <v>391</v>
      </c>
      <c r="CB64" s="8" t="s">
        <v>391</v>
      </c>
      <c r="CC64" s="8" t="s">
        <v>391</v>
      </c>
      <c r="CD64" s="8" t="s">
        <v>391</v>
      </c>
      <c r="CE64" s="8" t="s">
        <v>391</v>
      </c>
      <c r="CF64" s="8" t="s">
        <v>391</v>
      </c>
      <c r="CG64" s="8" t="s">
        <v>420</v>
      </c>
      <c r="CH64" s="8" t="s">
        <v>421</v>
      </c>
      <c r="CI64" s="8" t="s">
        <v>421</v>
      </c>
      <c r="CJ64" s="8" t="s">
        <v>421</v>
      </c>
      <c r="CK64" s="8"/>
      <c r="CL64" s="8" t="s">
        <v>344</v>
      </c>
      <c r="CM64" s="8" t="s">
        <v>345</v>
      </c>
      <c r="CN64" s="8" t="s">
        <v>344</v>
      </c>
      <c r="CO64" s="8" t="s">
        <v>344</v>
      </c>
      <c r="CP64" s="8" t="s">
        <v>344</v>
      </c>
      <c r="CQ64" s="8" t="s">
        <v>344</v>
      </c>
      <c r="CR64" s="8" t="s">
        <v>655</v>
      </c>
      <c r="CS64" s="8">
        <v>49</v>
      </c>
      <c r="CT64" s="8">
        <v>50</v>
      </c>
      <c r="CU64" s="8">
        <v>51</v>
      </c>
      <c r="CV64" s="8">
        <v>51</v>
      </c>
      <c r="CW64" s="8" t="s">
        <v>471</v>
      </c>
      <c r="CX64" s="8" t="s">
        <v>395</v>
      </c>
      <c r="CY64" s="8" t="s">
        <v>396</v>
      </c>
      <c r="CZ64" s="8" t="s">
        <v>423</v>
      </c>
      <c r="DA64" s="8" t="s">
        <v>366</v>
      </c>
      <c r="DB64" s="8" t="s">
        <v>365</v>
      </c>
      <c r="DC64" s="8" t="s">
        <v>423</v>
      </c>
      <c r="DD64" s="8" t="s">
        <v>423</v>
      </c>
      <c r="DE64" s="8" t="s">
        <v>365</v>
      </c>
      <c r="DF64" s="8" t="s">
        <v>366</v>
      </c>
      <c r="DG64" s="8" t="s">
        <v>423</v>
      </c>
      <c r="DH64" s="8" t="s">
        <v>365</v>
      </c>
      <c r="DI64" s="8" t="s">
        <v>365</v>
      </c>
      <c r="DJ64" s="8"/>
      <c r="DK64" s="8" t="s">
        <v>367</v>
      </c>
      <c r="DL64" s="8" t="s">
        <v>368</v>
      </c>
      <c r="DM64" s="8" t="s">
        <v>368</v>
      </c>
      <c r="DN64" s="8" t="s">
        <v>368</v>
      </c>
      <c r="DO64" s="8" t="s">
        <v>368</v>
      </c>
      <c r="DP64" s="8" t="s">
        <v>344</v>
      </c>
      <c r="DQ64" s="8" t="s">
        <v>344</v>
      </c>
      <c r="DR64" s="8" t="s">
        <v>345</v>
      </c>
      <c r="DS64" s="8" t="s">
        <v>344</v>
      </c>
      <c r="DT64" s="8" t="s">
        <v>368</v>
      </c>
      <c r="DU64" s="8" t="s">
        <v>368</v>
      </c>
      <c r="DV64" s="8" t="s">
        <v>368</v>
      </c>
      <c r="DW64" s="8" t="s">
        <v>345</v>
      </c>
      <c r="DX64" s="8" t="s">
        <v>371</v>
      </c>
      <c r="DY64" s="8" t="s">
        <v>370</v>
      </c>
      <c r="DZ64" s="8" t="s">
        <v>371</v>
      </c>
      <c r="EA64" s="8" t="s">
        <v>398</v>
      </c>
      <c r="EB64" s="8" t="s">
        <v>370</v>
      </c>
      <c r="EC64" s="8" t="s">
        <v>369</v>
      </c>
      <c r="ED64" s="8" t="s">
        <v>370</v>
      </c>
      <c r="EE64" s="8" t="s">
        <v>370</v>
      </c>
      <c r="EF64" s="8" t="s">
        <v>370</v>
      </c>
      <c r="EG64" s="8" t="s">
        <v>398</v>
      </c>
      <c r="EH64" s="8" t="s">
        <v>370</v>
      </c>
      <c r="EI64" s="8" t="s">
        <v>370</v>
      </c>
      <c r="EJ64" s="8" t="s">
        <v>369</v>
      </c>
      <c r="EK64" s="8" t="s">
        <v>398</v>
      </c>
      <c r="EL64" s="8" t="s">
        <v>372</v>
      </c>
      <c r="EM64" s="8" t="s">
        <v>440</v>
      </c>
      <c r="EN64" s="8" t="s">
        <v>424</v>
      </c>
      <c r="EO64" s="8"/>
      <c r="EP64" s="8"/>
      <c r="EQ64" s="8" t="s">
        <v>391</v>
      </c>
      <c r="ER64" s="8" t="s">
        <v>391</v>
      </c>
      <c r="ES64" s="8" t="s">
        <v>391</v>
      </c>
      <c r="ET64" s="8" t="s">
        <v>391</v>
      </c>
      <c r="EU64" s="8" t="s">
        <v>391</v>
      </c>
      <c r="EV64" s="8" t="s">
        <v>400</v>
      </c>
      <c r="EW64" s="8"/>
      <c r="EX64" s="8" t="s">
        <v>368</v>
      </c>
      <c r="EY64" s="8" t="s">
        <v>368</v>
      </c>
      <c r="EZ64" s="8" t="s">
        <v>368</v>
      </c>
      <c r="FA64" s="8" t="s">
        <v>345</v>
      </c>
      <c r="FB64" s="8" t="s">
        <v>401</v>
      </c>
      <c r="FC64" s="8"/>
      <c r="FD64" s="8" t="s">
        <v>401</v>
      </c>
      <c r="FE64" s="8"/>
      <c r="FF64" s="8"/>
      <c r="FG64" s="8"/>
      <c r="FH64" s="8"/>
      <c r="FI64" s="8"/>
      <c r="FJ64" s="8"/>
      <c r="FK64" s="8"/>
      <c r="FL64" s="8"/>
      <c r="FM64" s="8"/>
      <c r="FN64" s="8"/>
      <c r="FO64" s="8"/>
      <c r="FP64" s="8"/>
      <c r="FQ64" s="8"/>
      <c r="FR64" s="8"/>
      <c r="FS64" s="8"/>
      <c r="FT64" s="8"/>
      <c r="FU64" s="8"/>
      <c r="FV64" s="8"/>
      <c r="FW64" s="8"/>
      <c r="FX64" s="8"/>
      <c r="FY64" s="8"/>
      <c r="FZ64" s="8"/>
      <c r="GA64" s="8" t="s">
        <v>368</v>
      </c>
      <c r="GB64" s="8" t="s">
        <v>368</v>
      </c>
      <c r="GC64" s="8" t="s">
        <v>368</v>
      </c>
      <c r="GD64" s="8" t="s">
        <v>368</v>
      </c>
      <c r="GE64" s="8" t="s">
        <v>368</v>
      </c>
      <c r="GF64" s="8" t="s">
        <v>368</v>
      </c>
      <c r="GG64" s="8"/>
      <c r="GH64" s="8"/>
      <c r="GI64" s="8"/>
      <c r="GJ64" s="8"/>
      <c r="GK64" s="8"/>
      <c r="GL64" s="8" t="s">
        <v>344</v>
      </c>
      <c r="GM64" s="8" t="s">
        <v>344</v>
      </c>
      <c r="GN64" s="8" t="s">
        <v>344</v>
      </c>
      <c r="GO64" s="8" t="s">
        <v>344</v>
      </c>
      <c r="GP64" s="8" t="s">
        <v>344</v>
      </c>
      <c r="GQ64" s="8" t="s">
        <v>344</v>
      </c>
      <c r="GR64" s="8" t="s">
        <v>344</v>
      </c>
      <c r="GS64" s="8" t="s">
        <v>344</v>
      </c>
      <c r="GT64" s="8" t="s">
        <v>344</v>
      </c>
      <c r="GU64" s="8" t="s">
        <v>344</v>
      </c>
      <c r="GV64" s="8" t="s">
        <v>344</v>
      </c>
      <c r="GW64" s="8" t="s">
        <v>344</v>
      </c>
      <c r="GX64" s="8" t="s">
        <v>344</v>
      </c>
      <c r="GY64" s="8" t="s">
        <v>344</v>
      </c>
      <c r="GZ64" s="8" t="s">
        <v>345</v>
      </c>
      <c r="HA64" s="8"/>
      <c r="HB64" s="8" t="s">
        <v>344</v>
      </c>
      <c r="HC64" s="8"/>
      <c r="HD64" s="8" t="s">
        <v>345</v>
      </c>
      <c r="HE64" s="8" t="s">
        <v>706</v>
      </c>
      <c r="HF64" s="8" t="s">
        <v>345</v>
      </c>
      <c r="HG64" s="8" t="s">
        <v>706</v>
      </c>
      <c r="HH64" s="8" t="s">
        <v>344</v>
      </c>
      <c r="HI64" s="8"/>
      <c r="HJ64" s="8" t="s">
        <v>344</v>
      </c>
      <c r="HK64" s="8" t="s">
        <v>344</v>
      </c>
      <c r="HL64" s="8" t="s">
        <v>344</v>
      </c>
      <c r="HM64" s="8" t="s">
        <v>344</v>
      </c>
      <c r="HN64" s="8" t="s">
        <v>344</v>
      </c>
      <c r="HO64" s="8" t="s">
        <v>344</v>
      </c>
      <c r="HP64" s="8" t="s">
        <v>344</v>
      </c>
      <c r="HQ64" s="8" t="s">
        <v>344</v>
      </c>
      <c r="HR64" s="8" t="s">
        <v>344</v>
      </c>
      <c r="HS64" s="8" t="s">
        <v>344</v>
      </c>
      <c r="HT64" s="8" t="s">
        <v>344</v>
      </c>
      <c r="HU64" s="8" t="s">
        <v>344</v>
      </c>
      <c r="HV64" s="8" t="s">
        <v>344</v>
      </c>
      <c r="HW64" s="8" t="s">
        <v>344</v>
      </c>
      <c r="HX64" s="8" t="s">
        <v>345</v>
      </c>
      <c r="HY64" s="8"/>
      <c r="HZ64" s="8" t="s">
        <v>344</v>
      </c>
      <c r="IA64" s="8"/>
      <c r="IB64" s="8" t="s">
        <v>345</v>
      </c>
      <c r="IC64" s="8" t="s">
        <v>707</v>
      </c>
      <c r="ID64" s="8" t="s">
        <v>345</v>
      </c>
      <c r="IE64" s="8" t="s">
        <v>707</v>
      </c>
      <c r="IF64" s="8" t="s">
        <v>344</v>
      </c>
      <c r="IG64" s="8"/>
      <c r="IH64" s="8" t="s">
        <v>345</v>
      </c>
      <c r="II64" s="8" t="s">
        <v>345</v>
      </c>
      <c r="IJ64" s="8" t="s">
        <v>344</v>
      </c>
      <c r="IK64" s="8" t="s">
        <v>344</v>
      </c>
      <c r="IL64" s="8" t="s">
        <v>345</v>
      </c>
      <c r="IM64" s="8" t="s">
        <v>345</v>
      </c>
      <c r="IN64" s="8" t="s">
        <v>344</v>
      </c>
      <c r="IO64" s="8" t="s">
        <v>345</v>
      </c>
      <c r="IP64" s="8" t="s">
        <v>344</v>
      </c>
      <c r="IQ64" s="8" t="s">
        <v>344</v>
      </c>
      <c r="IR64" s="8" t="s">
        <v>345</v>
      </c>
      <c r="IS64" s="8" t="s">
        <v>344</v>
      </c>
      <c r="IT64" s="8"/>
      <c r="IU64" s="8"/>
      <c r="IV64" s="8"/>
      <c r="IW64" s="8"/>
      <c r="IX64" s="8"/>
      <c r="IY64" s="8"/>
      <c r="IZ64" s="8"/>
      <c r="JA64" s="8"/>
      <c r="JB64" s="8"/>
      <c r="JC64" s="8"/>
      <c r="JD64" s="8"/>
      <c r="JE64" s="8"/>
      <c r="JF64" s="8"/>
      <c r="JG64" s="8"/>
      <c r="JH64" s="9"/>
    </row>
    <row r="65" spans="1:268" x14ac:dyDescent="0.3">
      <c r="A65" s="8" t="s">
        <v>338</v>
      </c>
      <c r="B65" s="8">
        <v>141</v>
      </c>
      <c r="C65" s="8" t="s">
        <v>708</v>
      </c>
      <c r="D65" s="8">
        <v>14</v>
      </c>
      <c r="E65" s="8" t="s">
        <v>340</v>
      </c>
      <c r="F65" s="8">
        <v>551958700</v>
      </c>
      <c r="G65" s="8" t="s">
        <v>709</v>
      </c>
      <c r="H65" s="8" t="s">
        <v>708</v>
      </c>
      <c r="I65" s="8" t="s">
        <v>653</v>
      </c>
      <c r="J65" s="8">
        <v>18</v>
      </c>
      <c r="K65" s="8" t="s">
        <v>389</v>
      </c>
      <c r="L65" s="8"/>
      <c r="M65" s="8" t="s">
        <v>344</v>
      </c>
      <c r="N65" s="8" t="s">
        <v>345</v>
      </c>
      <c r="O65" s="8" t="s">
        <v>344</v>
      </c>
      <c r="P65" s="8" t="s">
        <v>344</v>
      </c>
      <c r="Q65" s="8" t="s">
        <v>344</v>
      </c>
      <c r="R65" s="8"/>
      <c r="S65" s="8" t="s">
        <v>346</v>
      </c>
      <c r="T65" s="8"/>
      <c r="U65" s="8" t="s">
        <v>418</v>
      </c>
      <c r="V65" s="8"/>
      <c r="W65" s="8" t="s">
        <v>368</v>
      </c>
      <c r="X65" s="8" t="s">
        <v>368</v>
      </c>
      <c r="Y65" s="8" t="s">
        <v>368</v>
      </c>
      <c r="Z65" s="8" t="s">
        <v>368</v>
      </c>
      <c r="AA65" s="8" t="s">
        <v>368</v>
      </c>
      <c r="AB65" s="8" t="s">
        <v>368</v>
      </c>
      <c r="AC65" s="8" t="s">
        <v>345</v>
      </c>
      <c r="AD65" s="8" t="s">
        <v>368</v>
      </c>
      <c r="AE65" s="8" t="s">
        <v>368</v>
      </c>
      <c r="AF65" s="8" t="s">
        <v>368</v>
      </c>
      <c r="AG65" s="8" t="s">
        <v>368</v>
      </c>
      <c r="AH65" s="8" t="s">
        <v>368</v>
      </c>
      <c r="AI65" s="8" t="s">
        <v>368</v>
      </c>
      <c r="AJ65" s="8" t="s">
        <v>345</v>
      </c>
      <c r="AK65" s="8" t="s">
        <v>368</v>
      </c>
      <c r="AL65" s="8" t="s">
        <v>368</v>
      </c>
      <c r="AM65" s="8" t="s">
        <v>368</v>
      </c>
      <c r="AN65" s="8" t="s">
        <v>368</v>
      </c>
      <c r="AO65" s="8" t="s">
        <v>368</v>
      </c>
      <c r="AP65" s="8" t="s">
        <v>368</v>
      </c>
      <c r="AQ65" s="8" t="s">
        <v>345</v>
      </c>
      <c r="AR65" s="8" t="s">
        <v>368</v>
      </c>
      <c r="AS65" s="8" t="s">
        <v>368</v>
      </c>
      <c r="AT65" s="8" t="s">
        <v>368</v>
      </c>
      <c r="AU65" s="8" t="s">
        <v>368</v>
      </c>
      <c r="AV65" s="8" t="s">
        <v>368</v>
      </c>
      <c r="AW65" s="8" t="s">
        <v>368</v>
      </c>
      <c r="AX65" s="8" t="s">
        <v>345</v>
      </c>
      <c r="AY65" s="8"/>
      <c r="AZ65" s="8"/>
      <c r="BA65" s="8"/>
      <c r="BB65" s="8"/>
      <c r="BC65" s="8"/>
      <c r="BD65" s="8"/>
      <c r="BE65" s="8" t="s">
        <v>349</v>
      </c>
      <c r="BF65" s="8" t="s">
        <v>349</v>
      </c>
      <c r="BG65" s="8" t="s">
        <v>390</v>
      </c>
      <c r="BH65" s="8" t="s">
        <v>390</v>
      </c>
      <c r="BI65" s="8" t="s">
        <v>390</v>
      </c>
      <c r="BJ65" s="8" t="s">
        <v>391</v>
      </c>
      <c r="BK65" s="8" t="s">
        <v>391</v>
      </c>
      <c r="BL65" s="8" t="s">
        <v>391</v>
      </c>
      <c r="BM65" s="8" t="s">
        <v>391</v>
      </c>
      <c r="BN65" s="8" t="s">
        <v>391</v>
      </c>
      <c r="BO65" s="8" t="s">
        <v>391</v>
      </c>
      <c r="BP65" s="8" t="s">
        <v>391</v>
      </c>
      <c r="BQ65" s="8" t="s">
        <v>689</v>
      </c>
      <c r="BR65" s="8" t="s">
        <v>429</v>
      </c>
      <c r="BS65" s="8" t="s">
        <v>391</v>
      </c>
      <c r="BT65" s="8" t="s">
        <v>391</v>
      </c>
      <c r="BU65" s="8" t="s">
        <v>391</v>
      </c>
      <c r="BV65" s="8" t="s">
        <v>391</v>
      </c>
      <c r="BW65" s="8" t="s">
        <v>391</v>
      </c>
      <c r="BX65" s="8" t="s">
        <v>391</v>
      </c>
      <c r="BY65" s="8" t="s">
        <v>391</v>
      </c>
      <c r="BZ65" s="8" t="s">
        <v>391</v>
      </c>
      <c r="CA65" s="8" t="s">
        <v>391</v>
      </c>
      <c r="CB65" s="8" t="s">
        <v>391</v>
      </c>
      <c r="CC65" s="8" t="s">
        <v>391</v>
      </c>
      <c r="CD65" s="8" t="s">
        <v>391</v>
      </c>
      <c r="CE65" s="8" t="s">
        <v>391</v>
      </c>
      <c r="CF65" s="8" t="s">
        <v>391</v>
      </c>
      <c r="CG65" s="8" t="s">
        <v>421</v>
      </c>
      <c r="CH65" s="8" t="s">
        <v>421</v>
      </c>
      <c r="CI65" s="8" t="s">
        <v>421</v>
      </c>
      <c r="CJ65" s="8" t="s">
        <v>421</v>
      </c>
      <c r="CK65" s="8" t="s">
        <v>710</v>
      </c>
      <c r="CL65" s="8" t="s">
        <v>344</v>
      </c>
      <c r="CM65" s="8" t="s">
        <v>344</v>
      </c>
      <c r="CN65" s="8" t="s">
        <v>344</v>
      </c>
      <c r="CO65" s="8" t="s">
        <v>344</v>
      </c>
      <c r="CP65" s="8" t="s">
        <v>345</v>
      </c>
      <c r="CQ65" s="8" t="s">
        <v>344</v>
      </c>
      <c r="CR65" s="8" t="s">
        <v>672</v>
      </c>
      <c r="CS65" s="8">
        <v>50</v>
      </c>
      <c r="CT65" s="8">
        <v>51</v>
      </c>
      <c r="CU65" s="8">
        <v>51</v>
      </c>
      <c r="CV65" s="8">
        <v>51</v>
      </c>
      <c r="CW65" s="8" t="s">
        <v>471</v>
      </c>
      <c r="CX65" s="8" t="s">
        <v>471</v>
      </c>
      <c r="CY65" s="8" t="s">
        <v>471</v>
      </c>
      <c r="CZ65" s="8" t="s">
        <v>397</v>
      </c>
      <c r="DA65" s="8" t="s">
        <v>397</v>
      </c>
      <c r="DB65" s="8" t="s">
        <v>397</v>
      </c>
      <c r="DC65" s="8" t="s">
        <v>397</v>
      </c>
      <c r="DD65" s="8" t="s">
        <v>397</v>
      </c>
      <c r="DE65" s="8" t="s">
        <v>397</v>
      </c>
      <c r="DF65" s="8" t="s">
        <v>397</v>
      </c>
      <c r="DG65" s="8" t="s">
        <v>397</v>
      </c>
      <c r="DH65" s="8" t="s">
        <v>397</v>
      </c>
      <c r="DI65" s="8" t="s">
        <v>397</v>
      </c>
      <c r="DJ65" s="8"/>
      <c r="DK65" s="8" t="s">
        <v>492</v>
      </c>
      <c r="DL65" s="8" t="s">
        <v>368</v>
      </c>
      <c r="DM65" s="8" t="s">
        <v>368</v>
      </c>
      <c r="DN65" s="8" t="s">
        <v>368</v>
      </c>
      <c r="DO65" s="8" t="s">
        <v>345</v>
      </c>
      <c r="DP65" s="8" t="s">
        <v>368</v>
      </c>
      <c r="DQ65" s="8" t="s">
        <v>368</v>
      </c>
      <c r="DR65" s="8" t="s">
        <v>368</v>
      </c>
      <c r="DS65" s="8" t="s">
        <v>345</v>
      </c>
      <c r="DT65" s="8" t="s">
        <v>368</v>
      </c>
      <c r="DU65" s="8" t="s">
        <v>368</v>
      </c>
      <c r="DV65" s="8" t="s">
        <v>368</v>
      </c>
      <c r="DW65" s="8" t="s">
        <v>345</v>
      </c>
      <c r="DX65" s="8" t="s">
        <v>369</v>
      </c>
      <c r="DY65" s="8" t="s">
        <v>371</v>
      </c>
      <c r="DZ65" s="8" t="s">
        <v>370</v>
      </c>
      <c r="EA65" s="8" t="s">
        <v>369</v>
      </c>
      <c r="EB65" s="8" t="s">
        <v>371</v>
      </c>
      <c r="EC65" s="8" t="s">
        <v>398</v>
      </c>
      <c r="ED65" s="8" t="s">
        <v>371</v>
      </c>
      <c r="EE65" s="8" t="s">
        <v>370</v>
      </c>
      <c r="EF65" s="8" t="s">
        <v>370</v>
      </c>
      <c r="EG65" s="8" t="s">
        <v>370</v>
      </c>
      <c r="EH65" s="8" t="s">
        <v>370</v>
      </c>
      <c r="EI65" s="8" t="s">
        <v>370</v>
      </c>
      <c r="EJ65" s="8" t="s">
        <v>370</v>
      </c>
      <c r="EK65" s="8" t="s">
        <v>370</v>
      </c>
      <c r="EL65" s="8" t="s">
        <v>440</v>
      </c>
      <c r="EM65" s="8" t="s">
        <v>374</v>
      </c>
      <c r="EN65" s="8" t="s">
        <v>373</v>
      </c>
      <c r="EO65" s="8"/>
      <c r="EP65" s="8"/>
      <c r="EQ65" s="8" t="s">
        <v>391</v>
      </c>
      <c r="ER65" s="8" t="s">
        <v>391</v>
      </c>
      <c r="ES65" s="8" t="s">
        <v>391</v>
      </c>
      <c r="ET65" s="8" t="s">
        <v>391</v>
      </c>
      <c r="EU65" s="8" t="s">
        <v>391</v>
      </c>
      <c r="EV65" s="8" t="s">
        <v>400</v>
      </c>
      <c r="EW65" s="8"/>
      <c r="EX65" s="8" t="s">
        <v>368</v>
      </c>
      <c r="EY65" s="8" t="s">
        <v>368</v>
      </c>
      <c r="EZ65" s="8" t="s">
        <v>368</v>
      </c>
      <c r="FA65" s="8" t="s">
        <v>345</v>
      </c>
      <c r="FB65" s="8" t="s">
        <v>381</v>
      </c>
      <c r="FC65" s="8"/>
      <c r="FD65" s="8" t="s">
        <v>401</v>
      </c>
      <c r="FE65" s="8"/>
      <c r="FF65" s="8" t="s">
        <v>382</v>
      </c>
      <c r="FG65" s="8" t="s">
        <v>383</v>
      </c>
      <c r="FH65" s="8" t="s">
        <v>451</v>
      </c>
      <c r="FI65" s="8" t="s">
        <v>403</v>
      </c>
      <c r="FJ65" s="8"/>
      <c r="FK65" s="8"/>
      <c r="FL65" s="8"/>
      <c r="FM65" s="8"/>
      <c r="FN65" s="8"/>
      <c r="FO65" s="8"/>
      <c r="FP65" s="8"/>
      <c r="FQ65" s="8"/>
      <c r="FR65" s="8"/>
      <c r="FS65" s="8"/>
      <c r="FT65" s="8"/>
      <c r="FU65" s="8"/>
      <c r="FV65" s="8"/>
      <c r="FW65" s="8"/>
      <c r="FX65" s="8"/>
      <c r="FY65" s="8"/>
      <c r="FZ65" s="8"/>
      <c r="GA65" s="8" t="s">
        <v>368</v>
      </c>
      <c r="GB65" s="8" t="s">
        <v>368</v>
      </c>
      <c r="GC65" s="8" t="s">
        <v>368</v>
      </c>
      <c r="GD65" s="8" t="s">
        <v>368</v>
      </c>
      <c r="GE65" s="8" t="s">
        <v>368</v>
      </c>
      <c r="GF65" s="8" t="s">
        <v>368</v>
      </c>
      <c r="GG65" s="8"/>
      <c r="GH65" s="8"/>
      <c r="GI65" s="8"/>
      <c r="GJ65" s="8"/>
      <c r="GK65" s="8"/>
      <c r="GL65" s="8" t="s">
        <v>344</v>
      </c>
      <c r="GM65" s="8" t="s">
        <v>344</v>
      </c>
      <c r="GN65" s="8" t="s">
        <v>344</v>
      </c>
      <c r="GO65" s="8" t="s">
        <v>344</v>
      </c>
      <c r="GP65" s="8" t="s">
        <v>344</v>
      </c>
      <c r="GQ65" s="8" t="s">
        <v>344</v>
      </c>
      <c r="GR65" s="8" t="s">
        <v>344</v>
      </c>
      <c r="GS65" s="8" t="s">
        <v>344</v>
      </c>
      <c r="GT65" s="8" t="s">
        <v>344</v>
      </c>
      <c r="GU65" s="8" t="s">
        <v>344</v>
      </c>
      <c r="GV65" s="8" t="s">
        <v>344</v>
      </c>
      <c r="GW65" s="8" t="s">
        <v>344</v>
      </c>
      <c r="GX65" s="8" t="s">
        <v>344</v>
      </c>
      <c r="GY65" s="8" t="s">
        <v>344</v>
      </c>
      <c r="GZ65" s="8" t="s">
        <v>345</v>
      </c>
      <c r="HA65" s="8"/>
      <c r="HB65" s="8" t="s">
        <v>344</v>
      </c>
      <c r="HC65" s="8"/>
      <c r="HD65" s="8" t="s">
        <v>344</v>
      </c>
      <c r="HE65" s="8"/>
      <c r="HF65" s="8" t="s">
        <v>344</v>
      </c>
      <c r="HG65" s="8"/>
      <c r="HH65" s="8" t="s">
        <v>344</v>
      </c>
      <c r="HI65" s="8"/>
      <c r="HJ65" s="8" t="s">
        <v>344</v>
      </c>
      <c r="HK65" s="8" t="s">
        <v>344</v>
      </c>
      <c r="HL65" s="8" t="s">
        <v>344</v>
      </c>
      <c r="HM65" s="8" t="s">
        <v>344</v>
      </c>
      <c r="HN65" s="8" t="s">
        <v>344</v>
      </c>
      <c r="HO65" s="8" t="s">
        <v>344</v>
      </c>
      <c r="HP65" s="8" t="s">
        <v>344</v>
      </c>
      <c r="HQ65" s="8" t="s">
        <v>344</v>
      </c>
      <c r="HR65" s="8" t="s">
        <v>344</v>
      </c>
      <c r="HS65" s="8" t="s">
        <v>344</v>
      </c>
      <c r="HT65" s="8" t="s">
        <v>344</v>
      </c>
      <c r="HU65" s="8" t="s">
        <v>344</v>
      </c>
      <c r="HV65" s="8" t="s">
        <v>344</v>
      </c>
      <c r="HW65" s="8" t="s">
        <v>344</v>
      </c>
      <c r="HX65" s="8" t="s">
        <v>345</v>
      </c>
      <c r="HY65" s="8"/>
      <c r="HZ65" s="8" t="s">
        <v>344</v>
      </c>
      <c r="IA65" s="8"/>
      <c r="IB65" s="8" t="s">
        <v>344</v>
      </c>
      <c r="IC65" s="8"/>
      <c r="ID65" s="8" t="s">
        <v>344</v>
      </c>
      <c r="IE65" s="8"/>
      <c r="IF65" s="8" t="s">
        <v>344</v>
      </c>
      <c r="IG65" s="8"/>
      <c r="IH65" s="8" t="s">
        <v>345</v>
      </c>
      <c r="II65" s="8" t="s">
        <v>345</v>
      </c>
      <c r="IJ65" s="8" t="s">
        <v>344</v>
      </c>
      <c r="IK65" s="8" t="s">
        <v>344</v>
      </c>
      <c r="IL65" s="8" t="s">
        <v>345</v>
      </c>
      <c r="IM65" s="8" t="s">
        <v>345</v>
      </c>
      <c r="IN65" s="8" t="s">
        <v>344</v>
      </c>
      <c r="IO65" s="8" t="s">
        <v>345</v>
      </c>
      <c r="IP65" s="8" t="s">
        <v>344</v>
      </c>
      <c r="IQ65" s="8" t="s">
        <v>344</v>
      </c>
      <c r="IR65" s="8" t="s">
        <v>344</v>
      </c>
      <c r="IS65" s="8" t="s">
        <v>344</v>
      </c>
      <c r="IT65" s="8"/>
      <c r="IU65" s="8" t="s">
        <v>711</v>
      </c>
      <c r="IV65" s="8"/>
      <c r="IW65" s="8"/>
      <c r="IX65" s="8"/>
      <c r="IY65" s="8"/>
      <c r="IZ65" s="8"/>
      <c r="JA65" s="8"/>
      <c r="JB65" s="8"/>
      <c r="JC65" s="8"/>
      <c r="JD65" s="8"/>
      <c r="JE65" s="8"/>
      <c r="JF65" s="8"/>
      <c r="JG65" s="8"/>
      <c r="JH65" s="9"/>
    </row>
    <row r="66" spans="1:268" x14ac:dyDescent="0.3">
      <c r="A66" s="8" t="s">
        <v>338</v>
      </c>
      <c r="B66" s="8">
        <v>143</v>
      </c>
      <c r="C66" s="8" t="s">
        <v>712</v>
      </c>
      <c r="D66" s="8">
        <v>14</v>
      </c>
      <c r="E66" s="8" t="s">
        <v>340</v>
      </c>
      <c r="F66" s="8">
        <v>1114402343</v>
      </c>
      <c r="G66" s="8" t="s">
        <v>713</v>
      </c>
      <c r="H66" s="8" t="s">
        <v>712</v>
      </c>
      <c r="I66" s="8" t="s">
        <v>714</v>
      </c>
      <c r="J66" s="8">
        <v>18</v>
      </c>
      <c r="K66" s="8" t="s">
        <v>406</v>
      </c>
      <c r="L66" s="8"/>
      <c r="M66" s="8" t="s">
        <v>344</v>
      </c>
      <c r="N66" s="8" t="s">
        <v>345</v>
      </c>
      <c r="O66" s="8" t="s">
        <v>344</v>
      </c>
      <c r="P66" s="8" t="s">
        <v>344</v>
      </c>
      <c r="Q66" s="8" t="s">
        <v>344</v>
      </c>
      <c r="R66" s="8"/>
      <c r="S66" s="8" t="s">
        <v>346</v>
      </c>
      <c r="T66" s="8"/>
      <c r="U66" s="8" t="s">
        <v>418</v>
      </c>
      <c r="V66" s="8"/>
      <c r="W66" s="8" t="s">
        <v>345</v>
      </c>
      <c r="X66" s="8" t="s">
        <v>344</v>
      </c>
      <c r="Y66" s="8" t="s">
        <v>344</v>
      </c>
      <c r="Z66" s="8" t="s">
        <v>344</v>
      </c>
      <c r="AA66" s="8" t="s">
        <v>344</v>
      </c>
      <c r="AB66" s="8" t="s">
        <v>344</v>
      </c>
      <c r="AC66" s="8" t="s">
        <v>344</v>
      </c>
      <c r="AD66" s="8" t="s">
        <v>344</v>
      </c>
      <c r="AE66" s="8" t="s">
        <v>345</v>
      </c>
      <c r="AF66" s="8" t="s">
        <v>344</v>
      </c>
      <c r="AG66" s="8" t="s">
        <v>344</v>
      </c>
      <c r="AH66" s="8" t="s">
        <v>344</v>
      </c>
      <c r="AI66" s="8" t="s">
        <v>344</v>
      </c>
      <c r="AJ66" s="8" t="s">
        <v>344</v>
      </c>
      <c r="AK66" s="8" t="s">
        <v>344</v>
      </c>
      <c r="AL66" s="8" t="s">
        <v>344</v>
      </c>
      <c r="AM66" s="8" t="s">
        <v>344</v>
      </c>
      <c r="AN66" s="8" t="s">
        <v>345</v>
      </c>
      <c r="AO66" s="8" t="s">
        <v>344</v>
      </c>
      <c r="AP66" s="8" t="s">
        <v>344</v>
      </c>
      <c r="AQ66" s="8" t="s">
        <v>344</v>
      </c>
      <c r="AR66" s="8" t="s">
        <v>344</v>
      </c>
      <c r="AS66" s="8" t="s">
        <v>344</v>
      </c>
      <c r="AT66" s="8" t="s">
        <v>344</v>
      </c>
      <c r="AU66" s="8" t="s">
        <v>345</v>
      </c>
      <c r="AV66" s="8" t="s">
        <v>344</v>
      </c>
      <c r="AW66" s="8" t="s">
        <v>344</v>
      </c>
      <c r="AX66" s="8" t="s">
        <v>344</v>
      </c>
      <c r="AY66" s="8"/>
      <c r="AZ66" s="8"/>
      <c r="BA66" s="8"/>
      <c r="BB66" s="8"/>
      <c r="BC66" s="8"/>
      <c r="BD66" s="8"/>
      <c r="BE66" s="8" t="s">
        <v>348</v>
      </c>
      <c r="BF66" s="8" t="s">
        <v>348</v>
      </c>
      <c r="BG66" s="8" t="s">
        <v>390</v>
      </c>
      <c r="BH66" s="8" t="s">
        <v>349</v>
      </c>
      <c r="BI66" s="8" t="s">
        <v>349</v>
      </c>
      <c r="BJ66" s="8" t="s">
        <v>354</v>
      </c>
      <c r="BK66" s="8" t="s">
        <v>354</v>
      </c>
      <c r="BL66" s="8" t="s">
        <v>354</v>
      </c>
      <c r="BM66" s="8" t="s">
        <v>391</v>
      </c>
      <c r="BN66" s="8" t="s">
        <v>354</v>
      </c>
      <c r="BO66" s="8" t="s">
        <v>354</v>
      </c>
      <c r="BP66" s="8" t="s">
        <v>354</v>
      </c>
      <c r="BQ66" s="8" t="s">
        <v>358</v>
      </c>
      <c r="BR66" s="8" t="s">
        <v>408</v>
      </c>
      <c r="BS66" s="8" t="s">
        <v>354</v>
      </c>
      <c r="BT66" s="8" t="s">
        <v>354</v>
      </c>
      <c r="BU66" s="8" t="s">
        <v>354</v>
      </c>
      <c r="BV66" s="8" t="s">
        <v>354</v>
      </c>
      <c r="BW66" s="8" t="s">
        <v>354</v>
      </c>
      <c r="BX66" s="8" t="s">
        <v>354</v>
      </c>
      <c r="BY66" s="8" t="s">
        <v>354</v>
      </c>
      <c r="BZ66" s="8" t="s">
        <v>354</v>
      </c>
      <c r="CA66" s="8" t="s">
        <v>354</v>
      </c>
      <c r="CB66" s="8" t="s">
        <v>354</v>
      </c>
      <c r="CC66" s="8" t="s">
        <v>354</v>
      </c>
      <c r="CD66" s="8" t="s">
        <v>354</v>
      </c>
      <c r="CE66" s="8" t="s">
        <v>354</v>
      </c>
      <c r="CF66" s="8" t="s">
        <v>354</v>
      </c>
      <c r="CG66" s="8" t="s">
        <v>420</v>
      </c>
      <c r="CH66" s="8" t="s">
        <v>420</v>
      </c>
      <c r="CI66" s="8" t="s">
        <v>420</v>
      </c>
      <c r="CJ66" s="8" t="s">
        <v>420</v>
      </c>
      <c r="CK66" s="8"/>
      <c r="CL66" s="8" t="s">
        <v>344</v>
      </c>
      <c r="CM66" s="8" t="s">
        <v>344</v>
      </c>
      <c r="CN66" s="8" t="s">
        <v>345</v>
      </c>
      <c r="CO66" s="8" t="s">
        <v>344</v>
      </c>
      <c r="CP66" s="8" t="s">
        <v>344</v>
      </c>
      <c r="CQ66" s="8" t="s">
        <v>344</v>
      </c>
      <c r="CR66" s="8" t="s">
        <v>655</v>
      </c>
      <c r="CS66" s="8">
        <v>50</v>
      </c>
      <c r="CT66" s="8">
        <v>42</v>
      </c>
      <c r="CU66" s="8">
        <v>50</v>
      </c>
      <c r="CV66" s="8">
        <v>50</v>
      </c>
      <c r="CW66" s="8" t="s">
        <v>395</v>
      </c>
      <c r="CX66" s="8" t="s">
        <v>396</v>
      </c>
      <c r="CY66" s="8" t="s">
        <v>396</v>
      </c>
      <c r="CZ66" s="8" t="s">
        <v>397</v>
      </c>
      <c r="DA66" s="8" t="s">
        <v>397</v>
      </c>
      <c r="DB66" s="8" t="s">
        <v>397</v>
      </c>
      <c r="DC66" s="8" t="s">
        <v>397</v>
      </c>
      <c r="DD66" s="8" t="s">
        <v>397</v>
      </c>
      <c r="DE66" s="8" t="s">
        <v>366</v>
      </c>
      <c r="DF66" s="8" t="s">
        <v>397</v>
      </c>
      <c r="DG66" s="8" t="s">
        <v>366</v>
      </c>
      <c r="DH66" s="8" t="s">
        <v>365</v>
      </c>
      <c r="DI66" s="8" t="s">
        <v>365</v>
      </c>
      <c r="DJ66" s="8"/>
      <c r="DK66" s="8" t="s">
        <v>367</v>
      </c>
      <c r="DL66" s="8" t="s">
        <v>368</v>
      </c>
      <c r="DM66" s="8" t="s">
        <v>368</v>
      </c>
      <c r="DN66" s="8" t="s">
        <v>368</v>
      </c>
      <c r="DO66" s="8" t="s">
        <v>368</v>
      </c>
      <c r="DP66" s="8" t="s">
        <v>368</v>
      </c>
      <c r="DQ66" s="8" t="s">
        <v>368</v>
      </c>
      <c r="DR66" s="8" t="s">
        <v>368</v>
      </c>
      <c r="DS66" s="8" t="s">
        <v>345</v>
      </c>
      <c r="DT66" s="8" t="s">
        <v>368</v>
      </c>
      <c r="DU66" s="8" t="s">
        <v>368</v>
      </c>
      <c r="DV66" s="8" t="s">
        <v>368</v>
      </c>
      <c r="DW66" s="8" t="s">
        <v>345</v>
      </c>
      <c r="DX66" s="8" t="s">
        <v>369</v>
      </c>
      <c r="DY66" s="8" t="s">
        <v>370</v>
      </c>
      <c r="DZ66" s="8" t="s">
        <v>369</v>
      </c>
      <c r="EA66" s="8" t="s">
        <v>369</v>
      </c>
      <c r="EB66" s="8" t="s">
        <v>369</v>
      </c>
      <c r="EC66" s="8" t="s">
        <v>369</v>
      </c>
      <c r="ED66" s="8" t="s">
        <v>371</v>
      </c>
      <c r="EE66" s="8" t="s">
        <v>370</v>
      </c>
      <c r="EF66" s="8" t="s">
        <v>370</v>
      </c>
      <c r="EG66" s="8" t="s">
        <v>369</v>
      </c>
      <c r="EH66" s="8" t="s">
        <v>370</v>
      </c>
      <c r="EI66" s="8" t="s">
        <v>370</v>
      </c>
      <c r="EJ66" s="8" t="s">
        <v>370</v>
      </c>
      <c r="EK66" s="8" t="s">
        <v>398</v>
      </c>
      <c r="EL66" s="8" t="s">
        <v>372</v>
      </c>
      <c r="EM66" s="8" t="s">
        <v>374</v>
      </c>
      <c r="EN66" s="8" t="s">
        <v>424</v>
      </c>
      <c r="EO66" s="8"/>
      <c r="EP66" s="8"/>
      <c r="EQ66" s="8" t="s">
        <v>376</v>
      </c>
      <c r="ER66" s="8" t="s">
        <v>376</v>
      </c>
      <c r="ES66" s="8" t="s">
        <v>378</v>
      </c>
      <c r="ET66" s="8" t="s">
        <v>411</v>
      </c>
      <c r="EU66" s="8" t="s">
        <v>411</v>
      </c>
      <c r="EV66" s="8" t="s">
        <v>400</v>
      </c>
      <c r="EW66" s="8"/>
      <c r="EX66" s="160" t="s">
        <v>344</v>
      </c>
      <c r="EY66" s="160" t="s">
        <v>345</v>
      </c>
      <c r="EZ66" s="160" t="s">
        <v>344</v>
      </c>
      <c r="FA66" s="160" t="s">
        <v>344</v>
      </c>
      <c r="FB66" s="8" t="s">
        <v>380</v>
      </c>
      <c r="FC66" s="8"/>
      <c r="FD66" s="8" t="s">
        <v>381</v>
      </c>
      <c r="FE66" s="8"/>
      <c r="FF66" s="8" t="s">
        <v>382</v>
      </c>
      <c r="FG66" s="8" t="s">
        <v>383</v>
      </c>
      <c r="FH66" s="8" t="s">
        <v>451</v>
      </c>
      <c r="FI66" s="8" t="s">
        <v>403</v>
      </c>
      <c r="FJ66" s="8"/>
      <c r="FK66" s="8"/>
      <c r="FL66" s="8"/>
      <c r="FM66" s="8"/>
      <c r="FN66" s="8"/>
      <c r="FO66" s="8"/>
      <c r="FP66" s="8"/>
      <c r="FQ66" s="8"/>
      <c r="FR66" s="8"/>
      <c r="FS66" s="8"/>
      <c r="FT66" s="8"/>
      <c r="FU66" s="8"/>
      <c r="FV66" s="8"/>
      <c r="FW66" s="8"/>
      <c r="FX66" s="8"/>
      <c r="FY66" s="8"/>
      <c r="FZ66" s="8"/>
      <c r="GA66" s="8" t="s">
        <v>368</v>
      </c>
      <c r="GB66" s="8" t="s">
        <v>368</v>
      </c>
      <c r="GC66" s="8" t="s">
        <v>368</v>
      </c>
      <c r="GD66" s="8" t="s">
        <v>368</v>
      </c>
      <c r="GE66" s="8" t="s">
        <v>368</v>
      </c>
      <c r="GF66" s="8" t="s">
        <v>368</v>
      </c>
      <c r="GG66" s="8"/>
      <c r="GH66" s="8"/>
      <c r="GI66" s="8"/>
      <c r="GJ66" s="8"/>
      <c r="GK66" s="8"/>
      <c r="GL66" s="8" t="s">
        <v>344</v>
      </c>
      <c r="GM66" s="8" t="s">
        <v>344</v>
      </c>
      <c r="GN66" s="8" t="s">
        <v>344</v>
      </c>
      <c r="GO66" s="8" t="s">
        <v>344</v>
      </c>
      <c r="GP66" s="8" t="s">
        <v>344</v>
      </c>
      <c r="GQ66" s="8" t="s">
        <v>344</v>
      </c>
      <c r="GR66" s="8" t="s">
        <v>344</v>
      </c>
      <c r="GS66" s="8" t="s">
        <v>344</v>
      </c>
      <c r="GT66" s="8" t="s">
        <v>344</v>
      </c>
      <c r="GU66" s="8" t="s">
        <v>344</v>
      </c>
      <c r="GV66" s="8" t="s">
        <v>344</v>
      </c>
      <c r="GW66" s="8" t="s">
        <v>344</v>
      </c>
      <c r="GX66" s="8" t="s">
        <v>344</v>
      </c>
      <c r="GY66" s="8" t="s">
        <v>344</v>
      </c>
      <c r="GZ66" s="8" t="s">
        <v>345</v>
      </c>
      <c r="HA66" s="8"/>
      <c r="HB66" s="8" t="s">
        <v>345</v>
      </c>
      <c r="HC66" s="8"/>
      <c r="HD66" s="8" t="s">
        <v>344</v>
      </c>
      <c r="HE66" s="8"/>
      <c r="HF66" s="8" t="s">
        <v>345</v>
      </c>
      <c r="HG66" s="8"/>
      <c r="HH66" s="8" t="s">
        <v>344</v>
      </c>
      <c r="HI66" s="8"/>
      <c r="HJ66" s="8" t="s">
        <v>344</v>
      </c>
      <c r="HK66" s="8" t="s">
        <v>344</v>
      </c>
      <c r="HL66" s="8" t="s">
        <v>344</v>
      </c>
      <c r="HM66" s="8" t="s">
        <v>344</v>
      </c>
      <c r="HN66" s="8" t="s">
        <v>344</v>
      </c>
      <c r="HO66" s="8" t="s">
        <v>344</v>
      </c>
      <c r="HP66" s="8" t="s">
        <v>344</v>
      </c>
      <c r="HQ66" s="8" t="s">
        <v>344</v>
      </c>
      <c r="HR66" s="8" t="s">
        <v>344</v>
      </c>
      <c r="HS66" s="8" t="s">
        <v>344</v>
      </c>
      <c r="HT66" s="8" t="s">
        <v>344</v>
      </c>
      <c r="HU66" s="8" t="s">
        <v>344</v>
      </c>
      <c r="HV66" s="8" t="s">
        <v>344</v>
      </c>
      <c r="HW66" s="8" t="s">
        <v>344</v>
      </c>
      <c r="HX66" s="8" t="s">
        <v>345</v>
      </c>
      <c r="HY66" s="8"/>
      <c r="HZ66" s="8" t="s">
        <v>344</v>
      </c>
      <c r="IA66" s="8"/>
      <c r="IB66" s="8" t="s">
        <v>344</v>
      </c>
      <c r="IC66" s="8"/>
      <c r="ID66" s="8" t="s">
        <v>344</v>
      </c>
      <c r="IE66" s="8"/>
      <c r="IF66" s="8" t="s">
        <v>345</v>
      </c>
      <c r="IG66" s="8"/>
      <c r="IH66" s="8" t="s">
        <v>345</v>
      </c>
      <c r="II66" s="8" t="s">
        <v>345</v>
      </c>
      <c r="IJ66" s="8" t="s">
        <v>345</v>
      </c>
      <c r="IK66" s="8" t="s">
        <v>344</v>
      </c>
      <c r="IL66" s="8" t="s">
        <v>345</v>
      </c>
      <c r="IM66" s="8" t="s">
        <v>345</v>
      </c>
      <c r="IN66" s="8" t="s">
        <v>344</v>
      </c>
      <c r="IO66" s="8" t="s">
        <v>345</v>
      </c>
      <c r="IP66" s="8" t="s">
        <v>344</v>
      </c>
      <c r="IQ66" s="8" t="s">
        <v>344</v>
      </c>
      <c r="IR66" s="8" t="s">
        <v>344</v>
      </c>
      <c r="IS66" s="8" t="s">
        <v>344</v>
      </c>
      <c r="IT66" s="8"/>
      <c r="IU66" s="8"/>
      <c r="IV66" s="8"/>
      <c r="IW66" s="8"/>
      <c r="IX66" s="8"/>
      <c r="IY66" s="8"/>
      <c r="IZ66" s="8"/>
      <c r="JA66" s="8"/>
      <c r="JB66" s="8"/>
      <c r="JC66" s="8"/>
      <c r="JD66" s="8"/>
      <c r="JE66" s="8"/>
      <c r="JF66" s="8"/>
      <c r="JG66" s="8"/>
      <c r="JH66" s="9"/>
    </row>
    <row r="67" spans="1:268" x14ac:dyDescent="0.3">
      <c r="A67" s="8" t="s">
        <v>338</v>
      </c>
      <c r="B67" s="8">
        <v>144</v>
      </c>
      <c r="C67" s="8" t="s">
        <v>715</v>
      </c>
      <c r="D67" s="8">
        <v>14</v>
      </c>
      <c r="E67" s="8" t="s">
        <v>387</v>
      </c>
      <c r="F67" s="8">
        <v>527866496</v>
      </c>
      <c r="G67" s="8" t="s">
        <v>716</v>
      </c>
      <c r="H67" s="8" t="s">
        <v>715</v>
      </c>
      <c r="I67" s="8" t="s">
        <v>714</v>
      </c>
      <c r="J67" s="8">
        <v>18</v>
      </c>
      <c r="K67" s="8" t="s">
        <v>389</v>
      </c>
      <c r="L67" s="8"/>
      <c r="M67" s="8" t="s">
        <v>345</v>
      </c>
      <c r="N67" s="8" t="s">
        <v>344</v>
      </c>
      <c r="O67" s="8" t="s">
        <v>344</v>
      </c>
      <c r="P67" s="8" t="s">
        <v>344</v>
      </c>
      <c r="Q67" s="8" t="s">
        <v>344</v>
      </c>
      <c r="R67" s="8"/>
      <c r="S67" s="8" t="s">
        <v>522</v>
      </c>
      <c r="T67" s="8"/>
      <c r="U67" s="8" t="s">
        <v>347</v>
      </c>
      <c r="V67" s="8"/>
      <c r="W67" s="8" t="s">
        <v>344</v>
      </c>
      <c r="X67" s="8" t="s">
        <v>345</v>
      </c>
      <c r="Y67" s="8" t="s">
        <v>344</v>
      </c>
      <c r="Z67" s="8" t="s">
        <v>344</v>
      </c>
      <c r="AA67" s="8" t="s">
        <v>344</v>
      </c>
      <c r="AB67" s="8" t="s">
        <v>344</v>
      </c>
      <c r="AC67" s="8" t="s">
        <v>344</v>
      </c>
      <c r="AD67" s="8" t="s">
        <v>344</v>
      </c>
      <c r="AE67" s="8" t="s">
        <v>345</v>
      </c>
      <c r="AF67" s="8" t="s">
        <v>344</v>
      </c>
      <c r="AG67" s="8" t="s">
        <v>344</v>
      </c>
      <c r="AH67" s="8" t="s">
        <v>344</v>
      </c>
      <c r="AI67" s="8" t="s">
        <v>344</v>
      </c>
      <c r="AJ67" s="8" t="s">
        <v>344</v>
      </c>
      <c r="AK67" s="8" t="s">
        <v>344</v>
      </c>
      <c r="AL67" s="8" t="s">
        <v>344</v>
      </c>
      <c r="AM67" s="8" t="s">
        <v>344</v>
      </c>
      <c r="AN67" s="8" t="s">
        <v>344</v>
      </c>
      <c r="AO67" s="8" t="s">
        <v>344</v>
      </c>
      <c r="AP67" s="8" t="s">
        <v>345</v>
      </c>
      <c r="AQ67" s="8" t="s">
        <v>344</v>
      </c>
      <c r="AR67" s="8" t="s">
        <v>344</v>
      </c>
      <c r="AS67" s="8" t="s">
        <v>344</v>
      </c>
      <c r="AT67" s="8" t="s">
        <v>345</v>
      </c>
      <c r="AU67" s="8" t="s">
        <v>345</v>
      </c>
      <c r="AV67" s="8" t="s">
        <v>344</v>
      </c>
      <c r="AW67" s="8" t="s">
        <v>344</v>
      </c>
      <c r="AX67" s="8" t="s">
        <v>344</v>
      </c>
      <c r="AY67" s="8"/>
      <c r="AZ67" s="8"/>
      <c r="BA67" s="8"/>
      <c r="BB67" s="8"/>
      <c r="BC67" s="8"/>
      <c r="BD67" s="8"/>
      <c r="BE67" s="8" t="s">
        <v>349</v>
      </c>
      <c r="BF67" s="8" t="s">
        <v>349</v>
      </c>
      <c r="BG67" s="8" t="s">
        <v>349</v>
      </c>
      <c r="BH67" s="8" t="s">
        <v>349</v>
      </c>
      <c r="BI67" s="8" t="s">
        <v>349</v>
      </c>
      <c r="BJ67" s="8" t="s">
        <v>391</v>
      </c>
      <c r="BK67" s="8" t="s">
        <v>391</v>
      </c>
      <c r="BL67" s="8" t="s">
        <v>391</v>
      </c>
      <c r="BM67" s="8" t="s">
        <v>391</v>
      </c>
      <c r="BN67" s="8" t="s">
        <v>391</v>
      </c>
      <c r="BO67" s="8" t="s">
        <v>391</v>
      </c>
      <c r="BP67" s="8" t="s">
        <v>391</v>
      </c>
      <c r="BQ67" s="8" t="s">
        <v>407</v>
      </c>
      <c r="BR67" s="8" t="s">
        <v>429</v>
      </c>
      <c r="BS67" s="8" t="s">
        <v>391</v>
      </c>
      <c r="BT67" s="8" t="s">
        <v>391</v>
      </c>
      <c r="BU67" s="8" t="s">
        <v>391</v>
      </c>
      <c r="BV67" s="8" t="s">
        <v>391</v>
      </c>
      <c r="BW67" s="8" t="s">
        <v>391</v>
      </c>
      <c r="BX67" s="8" t="s">
        <v>391</v>
      </c>
      <c r="BY67" s="8" t="s">
        <v>391</v>
      </c>
      <c r="BZ67" s="8" t="s">
        <v>391</v>
      </c>
      <c r="CA67" s="8" t="s">
        <v>391</v>
      </c>
      <c r="CB67" s="8" t="s">
        <v>391</v>
      </c>
      <c r="CC67" s="8" t="s">
        <v>391</v>
      </c>
      <c r="CD67" s="8" t="s">
        <v>391</v>
      </c>
      <c r="CE67" s="8" t="s">
        <v>391</v>
      </c>
      <c r="CF67" s="8" t="s">
        <v>391</v>
      </c>
      <c r="CG67" s="8" t="s">
        <v>421</v>
      </c>
      <c r="CH67" s="8" t="s">
        <v>421</v>
      </c>
      <c r="CI67" s="8" t="s">
        <v>421</v>
      </c>
      <c r="CJ67" s="8" t="s">
        <v>421</v>
      </c>
      <c r="CK67" s="8" t="s">
        <v>717</v>
      </c>
      <c r="CL67" s="8" t="s">
        <v>345</v>
      </c>
      <c r="CM67" s="8" t="s">
        <v>344</v>
      </c>
      <c r="CN67" s="8" t="s">
        <v>344</v>
      </c>
      <c r="CO67" s="8" t="s">
        <v>344</v>
      </c>
      <c r="CP67" s="8" t="s">
        <v>344</v>
      </c>
      <c r="CQ67" s="8" t="s">
        <v>344</v>
      </c>
      <c r="CR67" s="8" t="s">
        <v>655</v>
      </c>
      <c r="CS67" s="8">
        <v>12</v>
      </c>
      <c r="CT67" s="8">
        <v>52</v>
      </c>
      <c r="CU67" s="8"/>
      <c r="CV67" s="8"/>
      <c r="CW67" s="8" t="s">
        <v>395</v>
      </c>
      <c r="CX67" s="8" t="s">
        <v>396</v>
      </c>
      <c r="CY67" s="8" t="s">
        <v>396</v>
      </c>
      <c r="CZ67" s="8" t="s">
        <v>397</v>
      </c>
      <c r="DA67" s="8" t="s">
        <v>366</v>
      </c>
      <c r="DB67" s="8" t="s">
        <v>397</v>
      </c>
      <c r="DC67" s="8" t="s">
        <v>397</v>
      </c>
      <c r="DD67" s="8" t="s">
        <v>397</v>
      </c>
      <c r="DE67" s="8"/>
      <c r="DF67" s="8"/>
      <c r="DG67" s="8"/>
      <c r="DH67" s="8"/>
      <c r="DI67" s="8"/>
      <c r="DJ67" s="8" t="s">
        <v>718</v>
      </c>
      <c r="DK67" s="8" t="s">
        <v>367</v>
      </c>
      <c r="DL67" s="8" t="s">
        <v>368</v>
      </c>
      <c r="DM67" s="8" t="s">
        <v>368</v>
      </c>
      <c r="DN67" s="8" t="s">
        <v>368</v>
      </c>
      <c r="DO67" s="8" t="s">
        <v>368</v>
      </c>
      <c r="DP67" s="8" t="s">
        <v>345</v>
      </c>
      <c r="DQ67" s="8" t="s">
        <v>345</v>
      </c>
      <c r="DR67" s="8" t="s">
        <v>345</v>
      </c>
      <c r="DS67" s="8" t="s">
        <v>344</v>
      </c>
      <c r="DT67" s="8" t="s">
        <v>368</v>
      </c>
      <c r="DU67" s="8" t="s">
        <v>368</v>
      </c>
      <c r="DV67" s="8" t="s">
        <v>368</v>
      </c>
      <c r="DW67" s="8" t="s">
        <v>345</v>
      </c>
      <c r="DX67" s="8" t="s">
        <v>370</v>
      </c>
      <c r="DY67" s="8" t="s">
        <v>371</v>
      </c>
      <c r="DZ67" s="8" t="s">
        <v>370</v>
      </c>
      <c r="EA67" s="8" t="s">
        <v>370</v>
      </c>
      <c r="EB67" s="8" t="s">
        <v>370</v>
      </c>
      <c r="EC67" s="8" t="s">
        <v>370</v>
      </c>
      <c r="ED67" s="8" t="s">
        <v>370</v>
      </c>
      <c r="EE67" s="8" t="s">
        <v>370</v>
      </c>
      <c r="EF67" s="8" t="s">
        <v>370</v>
      </c>
      <c r="EG67" s="8" t="s">
        <v>370</v>
      </c>
      <c r="EH67" s="8" t="s">
        <v>371</v>
      </c>
      <c r="EI67" s="8" t="s">
        <v>370</v>
      </c>
      <c r="EJ67" s="8" t="s">
        <v>370</v>
      </c>
      <c r="EK67" s="8" t="s">
        <v>370</v>
      </c>
      <c r="EL67" s="8" t="s">
        <v>374</v>
      </c>
      <c r="EM67" s="8" t="s">
        <v>372</v>
      </c>
      <c r="EN67" s="8" t="s">
        <v>373</v>
      </c>
      <c r="EO67" s="8"/>
      <c r="EP67" s="8"/>
      <c r="EQ67" s="8" t="s">
        <v>391</v>
      </c>
      <c r="ER67" s="8" t="s">
        <v>411</v>
      </c>
      <c r="ES67" s="8" t="s">
        <v>375</v>
      </c>
      <c r="ET67" s="8" t="s">
        <v>375</v>
      </c>
      <c r="EU67" s="8" t="s">
        <v>375</v>
      </c>
      <c r="EV67" s="8" t="s">
        <v>400</v>
      </c>
      <c r="EW67" s="8"/>
      <c r="EX67" s="8" t="s">
        <v>368</v>
      </c>
      <c r="EY67" s="8" t="s">
        <v>368</v>
      </c>
      <c r="EZ67" s="8" t="s">
        <v>368</v>
      </c>
      <c r="FA67" s="8" t="s">
        <v>345</v>
      </c>
      <c r="FB67" s="8" t="s">
        <v>401</v>
      </c>
      <c r="FC67" s="8"/>
      <c r="FD67" s="8" t="s">
        <v>401</v>
      </c>
      <c r="FE67" s="8"/>
      <c r="FF67" s="8" t="s">
        <v>412</v>
      </c>
      <c r="FG67" s="8" t="s">
        <v>413</v>
      </c>
      <c r="FH67" s="8" t="s">
        <v>384</v>
      </c>
      <c r="FI67" s="8" t="s">
        <v>385</v>
      </c>
      <c r="FJ67" s="8"/>
      <c r="FK67" s="8"/>
      <c r="FL67" s="8"/>
      <c r="FM67" s="8"/>
      <c r="FN67" s="8"/>
      <c r="FO67" s="8"/>
      <c r="FP67" s="8"/>
      <c r="FQ67" s="8"/>
      <c r="FR67" s="8"/>
      <c r="FS67" s="8"/>
      <c r="FT67" s="8"/>
      <c r="FU67" s="8"/>
      <c r="FV67" s="8"/>
      <c r="FW67" s="8"/>
      <c r="FX67" s="8"/>
      <c r="FY67" s="8"/>
      <c r="FZ67" s="8"/>
      <c r="GA67" s="8" t="s">
        <v>368</v>
      </c>
      <c r="GB67" s="8" t="s">
        <v>368</v>
      </c>
      <c r="GC67" s="8" t="s">
        <v>368</v>
      </c>
      <c r="GD67" s="8" t="s">
        <v>368</v>
      </c>
      <c r="GE67" s="8" t="s">
        <v>368</v>
      </c>
      <c r="GF67" s="8" t="s">
        <v>368</v>
      </c>
      <c r="GG67" s="8"/>
      <c r="GH67" s="8"/>
      <c r="GI67" s="8"/>
      <c r="GJ67" s="8"/>
      <c r="GK67" s="8"/>
      <c r="GL67" s="8" t="s">
        <v>344</v>
      </c>
      <c r="GM67" s="8" t="s">
        <v>344</v>
      </c>
      <c r="GN67" s="8" t="s">
        <v>344</v>
      </c>
      <c r="GO67" s="8" t="s">
        <v>344</v>
      </c>
      <c r="GP67" s="8" t="s">
        <v>344</v>
      </c>
      <c r="GQ67" s="8" t="s">
        <v>344</v>
      </c>
      <c r="GR67" s="8" t="s">
        <v>344</v>
      </c>
      <c r="GS67" s="8" t="s">
        <v>344</v>
      </c>
      <c r="GT67" s="8" t="s">
        <v>344</v>
      </c>
      <c r="GU67" s="8" t="s">
        <v>344</v>
      </c>
      <c r="GV67" s="8" t="s">
        <v>344</v>
      </c>
      <c r="GW67" s="8" t="s">
        <v>344</v>
      </c>
      <c r="GX67" s="8" t="s">
        <v>344</v>
      </c>
      <c r="GY67" s="8" t="s">
        <v>344</v>
      </c>
      <c r="GZ67" s="8" t="s">
        <v>345</v>
      </c>
      <c r="HA67" s="8"/>
      <c r="HB67" s="8" t="s">
        <v>344</v>
      </c>
      <c r="HC67" s="8"/>
      <c r="HD67" s="8" t="s">
        <v>344</v>
      </c>
      <c r="HE67" s="8"/>
      <c r="HF67" s="8" t="s">
        <v>344</v>
      </c>
      <c r="HG67" s="8"/>
      <c r="HH67" s="8" t="s">
        <v>344</v>
      </c>
      <c r="HI67" s="8"/>
      <c r="HJ67" s="8" t="s">
        <v>344</v>
      </c>
      <c r="HK67" s="8" t="s">
        <v>344</v>
      </c>
      <c r="HL67" s="8" t="s">
        <v>344</v>
      </c>
      <c r="HM67" s="8" t="s">
        <v>344</v>
      </c>
      <c r="HN67" s="8" t="s">
        <v>344</v>
      </c>
      <c r="HO67" s="8" t="s">
        <v>344</v>
      </c>
      <c r="HP67" s="8" t="s">
        <v>344</v>
      </c>
      <c r="HQ67" s="8" t="s">
        <v>344</v>
      </c>
      <c r="HR67" s="8" t="s">
        <v>344</v>
      </c>
      <c r="HS67" s="8" t="s">
        <v>344</v>
      </c>
      <c r="HT67" s="8" t="s">
        <v>344</v>
      </c>
      <c r="HU67" s="8" t="s">
        <v>344</v>
      </c>
      <c r="HV67" s="8" t="s">
        <v>344</v>
      </c>
      <c r="HW67" s="8" t="s">
        <v>344</v>
      </c>
      <c r="HX67" s="8" t="s">
        <v>345</v>
      </c>
      <c r="HY67" s="8"/>
      <c r="HZ67" s="8" t="s">
        <v>344</v>
      </c>
      <c r="IA67" s="8"/>
      <c r="IB67" s="8" t="s">
        <v>344</v>
      </c>
      <c r="IC67" s="8"/>
      <c r="ID67" s="8" t="s">
        <v>344</v>
      </c>
      <c r="IE67" s="8"/>
      <c r="IF67" s="8" t="s">
        <v>344</v>
      </c>
      <c r="IG67" s="8"/>
      <c r="IH67" s="8" t="s">
        <v>344</v>
      </c>
      <c r="II67" s="8" t="s">
        <v>345</v>
      </c>
      <c r="IJ67" s="8" t="s">
        <v>344</v>
      </c>
      <c r="IK67" s="8" t="s">
        <v>344</v>
      </c>
      <c r="IL67" s="8" t="s">
        <v>345</v>
      </c>
      <c r="IM67" s="8" t="s">
        <v>345</v>
      </c>
      <c r="IN67" s="8" t="s">
        <v>344</v>
      </c>
      <c r="IO67" s="8" t="s">
        <v>344</v>
      </c>
      <c r="IP67" s="8" t="s">
        <v>344</v>
      </c>
      <c r="IQ67" s="8" t="s">
        <v>344</v>
      </c>
      <c r="IR67" s="8" t="s">
        <v>344</v>
      </c>
      <c r="IS67" s="8" t="s">
        <v>344</v>
      </c>
      <c r="IT67" s="8"/>
      <c r="IU67" s="8" t="s">
        <v>719</v>
      </c>
      <c r="IV67" s="8"/>
      <c r="IW67" s="8"/>
      <c r="IX67" s="8"/>
      <c r="IY67" s="8"/>
      <c r="IZ67" s="8"/>
      <c r="JA67" s="8"/>
      <c r="JB67" s="8"/>
      <c r="JC67" s="8"/>
      <c r="JD67" s="8"/>
      <c r="JE67" s="8"/>
      <c r="JF67" s="8"/>
      <c r="JG67" s="8"/>
      <c r="JH67" s="9"/>
    </row>
    <row r="68" spans="1:268" x14ac:dyDescent="0.3">
      <c r="A68" s="8" t="s">
        <v>338</v>
      </c>
      <c r="B68" s="8">
        <v>145</v>
      </c>
      <c r="C68" s="8" t="s">
        <v>720</v>
      </c>
      <c r="D68" s="8">
        <v>14</v>
      </c>
      <c r="E68" s="8" t="s">
        <v>340</v>
      </c>
      <c r="F68" s="8">
        <v>704894836</v>
      </c>
      <c r="G68" s="8" t="s">
        <v>721</v>
      </c>
      <c r="H68" s="8" t="s">
        <v>720</v>
      </c>
      <c r="I68" s="8" t="s">
        <v>653</v>
      </c>
      <c r="J68" s="8">
        <v>17</v>
      </c>
      <c r="K68" s="8" t="s">
        <v>389</v>
      </c>
      <c r="L68" s="8"/>
      <c r="M68" s="8" t="s">
        <v>344</v>
      </c>
      <c r="N68" s="8" t="s">
        <v>345</v>
      </c>
      <c r="O68" s="8" t="s">
        <v>344</v>
      </c>
      <c r="P68" s="8" t="s">
        <v>344</v>
      </c>
      <c r="Q68" s="8" t="s">
        <v>344</v>
      </c>
      <c r="R68" s="8"/>
      <c r="S68" s="8" t="s">
        <v>346</v>
      </c>
      <c r="T68" s="8"/>
      <c r="U68" s="8" t="s">
        <v>418</v>
      </c>
      <c r="V68" s="8"/>
      <c r="W68" s="8" t="s">
        <v>345</v>
      </c>
      <c r="X68" s="8" t="s">
        <v>344</v>
      </c>
      <c r="Y68" s="8" t="s">
        <v>344</v>
      </c>
      <c r="Z68" s="8" t="s">
        <v>344</v>
      </c>
      <c r="AA68" s="8" t="s">
        <v>344</v>
      </c>
      <c r="AB68" s="8" t="s">
        <v>344</v>
      </c>
      <c r="AC68" s="8" t="s">
        <v>344</v>
      </c>
      <c r="AD68" s="8" t="s">
        <v>368</v>
      </c>
      <c r="AE68" s="8" t="s">
        <v>368</v>
      </c>
      <c r="AF68" s="8" t="s">
        <v>368</v>
      </c>
      <c r="AG68" s="8" t="s">
        <v>368</v>
      </c>
      <c r="AH68" s="8" t="s">
        <v>368</v>
      </c>
      <c r="AI68" s="8" t="s">
        <v>368</v>
      </c>
      <c r="AJ68" s="8" t="s">
        <v>345</v>
      </c>
      <c r="AK68" s="8" t="s">
        <v>344</v>
      </c>
      <c r="AL68" s="8" t="s">
        <v>344</v>
      </c>
      <c r="AM68" s="8" t="s">
        <v>344</v>
      </c>
      <c r="AN68" s="8" t="s">
        <v>345</v>
      </c>
      <c r="AO68" s="8" t="s">
        <v>344</v>
      </c>
      <c r="AP68" s="8" t="s">
        <v>344</v>
      </c>
      <c r="AQ68" s="8" t="s">
        <v>344</v>
      </c>
      <c r="AR68" s="8" t="s">
        <v>345</v>
      </c>
      <c r="AS68" s="8" t="s">
        <v>344</v>
      </c>
      <c r="AT68" s="8" t="s">
        <v>344</v>
      </c>
      <c r="AU68" s="8" t="s">
        <v>344</v>
      </c>
      <c r="AV68" s="8" t="s">
        <v>344</v>
      </c>
      <c r="AW68" s="8" t="s">
        <v>344</v>
      </c>
      <c r="AX68" s="8" t="s">
        <v>344</v>
      </c>
      <c r="AY68" s="8"/>
      <c r="AZ68" s="8"/>
      <c r="BA68" s="8"/>
      <c r="BB68" s="8"/>
      <c r="BC68" s="8"/>
      <c r="BD68" s="8"/>
      <c r="BE68" s="8" t="s">
        <v>390</v>
      </c>
      <c r="BF68" s="8" t="s">
        <v>348</v>
      </c>
      <c r="BG68" s="8" t="s">
        <v>390</v>
      </c>
      <c r="BH68" s="8" t="s">
        <v>390</v>
      </c>
      <c r="BI68" s="8" t="s">
        <v>390</v>
      </c>
      <c r="BJ68" s="8" t="s">
        <v>351</v>
      </c>
      <c r="BK68" s="8" t="s">
        <v>356</v>
      </c>
      <c r="BL68" s="8" t="s">
        <v>357</v>
      </c>
      <c r="BM68" s="8" t="s">
        <v>355</v>
      </c>
      <c r="BN68" s="8" t="s">
        <v>351</v>
      </c>
      <c r="BO68" s="8" t="s">
        <v>353</v>
      </c>
      <c r="BP68" s="8" t="s">
        <v>352</v>
      </c>
      <c r="BQ68" s="8" t="s">
        <v>689</v>
      </c>
      <c r="BR68" s="8" t="s">
        <v>408</v>
      </c>
      <c r="BS68" s="8" t="s">
        <v>354</v>
      </c>
      <c r="BT68" s="8" t="s">
        <v>354</v>
      </c>
      <c r="BU68" s="8" t="s">
        <v>354</v>
      </c>
      <c r="BV68" s="8" t="s">
        <v>354</v>
      </c>
      <c r="BW68" s="8" t="s">
        <v>354</v>
      </c>
      <c r="BX68" s="8" t="s">
        <v>354</v>
      </c>
      <c r="BY68" s="8" t="s">
        <v>354</v>
      </c>
      <c r="BZ68" s="8" t="s">
        <v>354</v>
      </c>
      <c r="CA68" s="8" t="s">
        <v>351</v>
      </c>
      <c r="CB68" s="8" t="s">
        <v>357</v>
      </c>
      <c r="CC68" s="8" t="s">
        <v>353</v>
      </c>
      <c r="CD68" s="8" t="s">
        <v>356</v>
      </c>
      <c r="CE68" s="8" t="s">
        <v>355</v>
      </c>
      <c r="CF68" s="8" t="s">
        <v>352</v>
      </c>
      <c r="CG68" s="8" t="s">
        <v>421</v>
      </c>
      <c r="CH68" s="8" t="s">
        <v>421</v>
      </c>
      <c r="CI68" s="8" t="s">
        <v>421</v>
      </c>
      <c r="CJ68" s="8" t="s">
        <v>421</v>
      </c>
      <c r="CK68" s="8" t="s">
        <v>722</v>
      </c>
      <c r="CL68" s="8" t="s">
        <v>344</v>
      </c>
      <c r="CM68" s="8" t="s">
        <v>344</v>
      </c>
      <c r="CN68" s="8" t="s">
        <v>344</v>
      </c>
      <c r="CO68" s="8" t="s">
        <v>345</v>
      </c>
      <c r="CP68" s="8" t="s">
        <v>344</v>
      </c>
      <c r="CQ68" s="8" t="s">
        <v>344</v>
      </c>
      <c r="CR68" s="8" t="s">
        <v>655</v>
      </c>
      <c r="CS68" s="8">
        <v>100</v>
      </c>
      <c r="CT68" s="8">
        <v>50</v>
      </c>
      <c r="CU68" s="8">
        <v>100</v>
      </c>
      <c r="CV68" s="8">
        <v>1</v>
      </c>
      <c r="CW68" s="8" t="s">
        <v>363</v>
      </c>
      <c r="CX68" s="8" t="s">
        <v>396</v>
      </c>
      <c r="CY68" s="8" t="s">
        <v>396</v>
      </c>
      <c r="CZ68" s="8" t="s">
        <v>397</v>
      </c>
      <c r="DA68" s="8" t="s">
        <v>397</v>
      </c>
      <c r="DB68" s="8" t="s">
        <v>397</v>
      </c>
      <c r="DC68" s="8" t="s">
        <v>397</v>
      </c>
      <c r="DD68" s="8" t="s">
        <v>397</v>
      </c>
      <c r="DE68" s="8" t="s">
        <v>397</v>
      </c>
      <c r="DF68" s="8" t="s">
        <v>397</v>
      </c>
      <c r="DG68" s="8" t="s">
        <v>397</v>
      </c>
      <c r="DH68" s="8" t="s">
        <v>397</v>
      </c>
      <c r="DI68" s="8" t="s">
        <v>397</v>
      </c>
      <c r="DJ68" s="8"/>
      <c r="DK68" s="8" t="s">
        <v>367</v>
      </c>
      <c r="DL68" s="8" t="s">
        <v>368</v>
      </c>
      <c r="DM68" s="8" t="s">
        <v>368</v>
      </c>
      <c r="DN68" s="8" t="s">
        <v>368</v>
      </c>
      <c r="DO68" s="8" t="s">
        <v>368</v>
      </c>
      <c r="DP68" s="8" t="s">
        <v>368</v>
      </c>
      <c r="DQ68" s="8" t="s">
        <v>368</v>
      </c>
      <c r="DR68" s="8" t="s">
        <v>368</v>
      </c>
      <c r="DS68" s="8" t="s">
        <v>345</v>
      </c>
      <c r="DT68" s="8" t="s">
        <v>368</v>
      </c>
      <c r="DU68" s="8" t="s">
        <v>368</v>
      </c>
      <c r="DV68" s="8" t="s">
        <v>368</v>
      </c>
      <c r="DW68" s="8" t="s">
        <v>345</v>
      </c>
      <c r="DX68" s="8" t="s">
        <v>369</v>
      </c>
      <c r="DY68" s="8" t="s">
        <v>369</v>
      </c>
      <c r="DZ68" s="8" t="s">
        <v>370</v>
      </c>
      <c r="EA68" s="8" t="s">
        <v>369</v>
      </c>
      <c r="EB68" s="8" t="s">
        <v>369</v>
      </c>
      <c r="EC68" s="8" t="s">
        <v>369</v>
      </c>
      <c r="ED68" s="8" t="s">
        <v>371</v>
      </c>
      <c r="EE68" s="8" t="s">
        <v>370</v>
      </c>
      <c r="EF68" s="8" t="s">
        <v>370</v>
      </c>
      <c r="EG68" s="8" t="s">
        <v>398</v>
      </c>
      <c r="EH68" s="8" t="s">
        <v>370</v>
      </c>
      <c r="EI68" s="8" t="s">
        <v>370</v>
      </c>
      <c r="EJ68" s="8" t="s">
        <v>370</v>
      </c>
      <c r="EK68" s="8" t="s">
        <v>371</v>
      </c>
      <c r="EL68" s="8" t="s">
        <v>373</v>
      </c>
      <c r="EM68" s="8" t="s">
        <v>374</v>
      </c>
      <c r="EN68" s="8" t="s">
        <v>424</v>
      </c>
      <c r="EO68" s="8"/>
      <c r="EP68" s="8"/>
      <c r="EQ68" s="8" t="s">
        <v>377</v>
      </c>
      <c r="ER68" s="8" t="s">
        <v>375</v>
      </c>
      <c r="ES68" s="8" t="s">
        <v>378</v>
      </c>
      <c r="ET68" s="8" t="s">
        <v>378</v>
      </c>
      <c r="EU68" s="8" t="s">
        <v>391</v>
      </c>
      <c r="EV68" s="8" t="s">
        <v>400</v>
      </c>
      <c r="EW68" s="8"/>
      <c r="EX68" s="160" t="s">
        <v>344</v>
      </c>
      <c r="EY68" s="160" t="s">
        <v>345</v>
      </c>
      <c r="EZ68" s="160" t="s">
        <v>344</v>
      </c>
      <c r="FA68" s="160" t="s">
        <v>344</v>
      </c>
      <c r="FB68" s="8" t="s">
        <v>401</v>
      </c>
      <c r="FC68" s="8"/>
      <c r="FD68" s="8" t="s">
        <v>401</v>
      </c>
      <c r="FE68" s="8"/>
      <c r="FF68" s="8" t="s">
        <v>382</v>
      </c>
      <c r="FG68" s="8" t="s">
        <v>402</v>
      </c>
      <c r="FH68" s="8" t="s">
        <v>384</v>
      </c>
      <c r="FI68" s="8" t="s">
        <v>385</v>
      </c>
      <c r="FJ68" s="8"/>
      <c r="FK68" s="8"/>
      <c r="FL68" s="8"/>
      <c r="FM68" s="8"/>
      <c r="FN68" s="8"/>
      <c r="FO68" s="8"/>
      <c r="FP68" s="8"/>
      <c r="FQ68" s="8"/>
      <c r="FR68" s="8"/>
      <c r="FS68" s="8"/>
      <c r="FT68" s="8"/>
      <c r="FU68" s="8"/>
      <c r="FV68" s="8"/>
      <c r="FW68" s="8"/>
      <c r="FX68" s="8"/>
      <c r="FY68" s="8"/>
      <c r="FZ68" s="8"/>
      <c r="GA68" s="8" t="s">
        <v>368</v>
      </c>
      <c r="GB68" s="8" t="s">
        <v>368</v>
      </c>
      <c r="GC68" s="8" t="s">
        <v>368</v>
      </c>
      <c r="GD68" s="8" t="s">
        <v>368</v>
      </c>
      <c r="GE68" s="8" t="s">
        <v>368</v>
      </c>
      <c r="GF68" s="8" t="s">
        <v>368</v>
      </c>
      <c r="GG68" s="8"/>
      <c r="GH68" s="8"/>
      <c r="GI68" s="8"/>
      <c r="GJ68" s="8"/>
      <c r="GK68" s="8"/>
      <c r="GL68" s="8" t="s">
        <v>344</v>
      </c>
      <c r="GM68" s="8" t="s">
        <v>344</v>
      </c>
      <c r="GN68" s="8" t="s">
        <v>344</v>
      </c>
      <c r="GO68" s="8" t="s">
        <v>344</v>
      </c>
      <c r="GP68" s="8" t="s">
        <v>344</v>
      </c>
      <c r="GQ68" s="8" t="s">
        <v>344</v>
      </c>
      <c r="GR68" s="8" t="s">
        <v>344</v>
      </c>
      <c r="GS68" s="8" t="s">
        <v>344</v>
      </c>
      <c r="GT68" s="8" t="s">
        <v>344</v>
      </c>
      <c r="GU68" s="8" t="s">
        <v>344</v>
      </c>
      <c r="GV68" s="8" t="s">
        <v>344</v>
      </c>
      <c r="GW68" s="8" t="s">
        <v>345</v>
      </c>
      <c r="GX68" s="8" t="s">
        <v>344</v>
      </c>
      <c r="GY68" s="8" t="s">
        <v>344</v>
      </c>
      <c r="GZ68" s="8" t="s">
        <v>344</v>
      </c>
      <c r="HA68" s="8"/>
      <c r="HB68" s="8" t="s">
        <v>344</v>
      </c>
      <c r="HC68" s="8"/>
      <c r="HD68" s="8" t="s">
        <v>344</v>
      </c>
      <c r="HE68" s="8"/>
      <c r="HF68" s="8" t="s">
        <v>344</v>
      </c>
      <c r="HG68" s="8"/>
      <c r="HH68" s="8" t="s">
        <v>344</v>
      </c>
      <c r="HI68" s="8"/>
      <c r="HJ68" s="8" t="s">
        <v>344</v>
      </c>
      <c r="HK68" s="8" t="s">
        <v>344</v>
      </c>
      <c r="HL68" s="8" t="s">
        <v>344</v>
      </c>
      <c r="HM68" s="8" t="s">
        <v>345</v>
      </c>
      <c r="HN68" s="8" t="s">
        <v>344</v>
      </c>
      <c r="HO68" s="8" t="s">
        <v>344</v>
      </c>
      <c r="HP68" s="8" t="s">
        <v>344</v>
      </c>
      <c r="HQ68" s="8" t="s">
        <v>344</v>
      </c>
      <c r="HR68" s="8" t="s">
        <v>344</v>
      </c>
      <c r="HS68" s="8" t="s">
        <v>344</v>
      </c>
      <c r="HT68" s="8" t="s">
        <v>344</v>
      </c>
      <c r="HU68" s="8" t="s">
        <v>344</v>
      </c>
      <c r="HV68" s="8" t="s">
        <v>345</v>
      </c>
      <c r="HW68" s="8" t="s">
        <v>344</v>
      </c>
      <c r="HX68" s="8" t="s">
        <v>344</v>
      </c>
      <c r="HY68" s="8"/>
      <c r="HZ68" s="8" t="s">
        <v>344</v>
      </c>
      <c r="IA68" s="8"/>
      <c r="IB68" s="8" t="s">
        <v>344</v>
      </c>
      <c r="IC68" s="8"/>
      <c r="ID68" s="8" t="s">
        <v>344</v>
      </c>
      <c r="IE68" s="8"/>
      <c r="IF68" s="8" t="s">
        <v>344</v>
      </c>
      <c r="IG68" s="8"/>
      <c r="IH68" s="8" t="s">
        <v>345</v>
      </c>
      <c r="II68" s="8" t="s">
        <v>344</v>
      </c>
      <c r="IJ68" s="8" t="s">
        <v>344</v>
      </c>
      <c r="IK68" s="8" t="s">
        <v>344</v>
      </c>
      <c r="IL68" s="8" t="s">
        <v>345</v>
      </c>
      <c r="IM68" s="8" t="s">
        <v>345</v>
      </c>
      <c r="IN68" s="8" t="s">
        <v>344</v>
      </c>
      <c r="IO68" s="8" t="s">
        <v>345</v>
      </c>
      <c r="IP68" s="8" t="s">
        <v>344</v>
      </c>
      <c r="IQ68" s="8" t="s">
        <v>344</v>
      </c>
      <c r="IR68" s="8" t="s">
        <v>344</v>
      </c>
      <c r="IS68" s="8" t="s">
        <v>344</v>
      </c>
      <c r="IT68" s="8"/>
      <c r="IU68" s="8"/>
      <c r="IV68" s="8"/>
      <c r="IW68" s="8"/>
      <c r="IX68" s="8"/>
      <c r="IY68" s="8"/>
      <c r="IZ68" s="8"/>
      <c r="JA68" s="8"/>
      <c r="JB68" s="8"/>
      <c r="JC68" s="8"/>
      <c r="JD68" s="8"/>
      <c r="JE68" s="8"/>
      <c r="JF68" s="8"/>
      <c r="JG68" s="8"/>
      <c r="JH68" s="9"/>
    </row>
    <row r="69" spans="1:268" x14ac:dyDescent="0.3">
      <c r="A69" s="8" t="s">
        <v>338</v>
      </c>
      <c r="B69" s="8">
        <v>146</v>
      </c>
      <c r="C69" s="8" t="s">
        <v>723</v>
      </c>
      <c r="D69" s="8">
        <v>14</v>
      </c>
      <c r="E69" s="8" t="s">
        <v>340</v>
      </c>
      <c r="F69" s="8">
        <v>1572075629</v>
      </c>
      <c r="G69" s="8" t="s">
        <v>724</v>
      </c>
      <c r="H69" s="8" t="s">
        <v>723</v>
      </c>
      <c r="I69" s="8" t="s">
        <v>653</v>
      </c>
      <c r="J69" s="8">
        <v>17</v>
      </c>
      <c r="K69" s="8" t="s">
        <v>406</v>
      </c>
      <c r="L69" s="8"/>
      <c r="M69" s="8" t="s">
        <v>344</v>
      </c>
      <c r="N69" s="8" t="s">
        <v>345</v>
      </c>
      <c r="O69" s="8" t="s">
        <v>344</v>
      </c>
      <c r="P69" s="8" t="s">
        <v>344</v>
      </c>
      <c r="Q69" s="8" t="s">
        <v>344</v>
      </c>
      <c r="R69" s="8"/>
      <c r="S69" s="8" t="s">
        <v>346</v>
      </c>
      <c r="T69" s="8"/>
      <c r="U69" s="8" t="s">
        <v>418</v>
      </c>
      <c r="V69" s="8"/>
      <c r="W69" s="8" t="s">
        <v>344</v>
      </c>
      <c r="X69" s="8" t="s">
        <v>345</v>
      </c>
      <c r="Y69" s="8" t="s">
        <v>344</v>
      </c>
      <c r="Z69" s="8" t="s">
        <v>344</v>
      </c>
      <c r="AA69" s="8" t="s">
        <v>344</v>
      </c>
      <c r="AB69" s="8" t="s">
        <v>344</v>
      </c>
      <c r="AC69" s="8" t="s">
        <v>344</v>
      </c>
      <c r="AD69" s="8" t="s">
        <v>344</v>
      </c>
      <c r="AE69" s="8" t="s">
        <v>344</v>
      </c>
      <c r="AF69" s="8" t="s">
        <v>345</v>
      </c>
      <c r="AG69" s="8" t="s">
        <v>345</v>
      </c>
      <c r="AH69" s="8" t="s">
        <v>344</v>
      </c>
      <c r="AI69" s="8" t="s">
        <v>344</v>
      </c>
      <c r="AJ69" s="8" t="s">
        <v>344</v>
      </c>
      <c r="AK69" s="8" t="s">
        <v>344</v>
      </c>
      <c r="AL69" s="8" t="s">
        <v>344</v>
      </c>
      <c r="AM69" s="8" t="s">
        <v>345</v>
      </c>
      <c r="AN69" s="8" t="s">
        <v>344</v>
      </c>
      <c r="AO69" s="8" t="s">
        <v>344</v>
      </c>
      <c r="AP69" s="8" t="s">
        <v>344</v>
      </c>
      <c r="AQ69" s="8" t="s">
        <v>344</v>
      </c>
      <c r="AR69" s="8" t="s">
        <v>344</v>
      </c>
      <c r="AS69" s="8" t="s">
        <v>345</v>
      </c>
      <c r="AT69" s="8" t="s">
        <v>345</v>
      </c>
      <c r="AU69" s="8" t="s">
        <v>345</v>
      </c>
      <c r="AV69" s="8" t="s">
        <v>344</v>
      </c>
      <c r="AW69" s="8" t="s">
        <v>344</v>
      </c>
      <c r="AX69" s="8" t="s">
        <v>344</v>
      </c>
      <c r="AY69" s="8"/>
      <c r="AZ69" s="8"/>
      <c r="BA69" s="8"/>
      <c r="BB69" s="8"/>
      <c r="BC69" s="8"/>
      <c r="BD69" s="8"/>
      <c r="BE69" s="8" t="s">
        <v>390</v>
      </c>
      <c r="BF69" s="8" t="s">
        <v>349</v>
      </c>
      <c r="BG69" s="8" t="s">
        <v>390</v>
      </c>
      <c r="BH69" s="8" t="s">
        <v>390</v>
      </c>
      <c r="BI69" s="8" t="s">
        <v>390</v>
      </c>
      <c r="BJ69" s="8" t="s">
        <v>351</v>
      </c>
      <c r="BK69" s="8" t="s">
        <v>353</v>
      </c>
      <c r="BL69" s="8" t="s">
        <v>391</v>
      </c>
      <c r="BM69" s="8" t="s">
        <v>357</v>
      </c>
      <c r="BN69" s="8" t="s">
        <v>351</v>
      </c>
      <c r="BO69" s="8" t="s">
        <v>353</v>
      </c>
      <c r="BP69" s="8" t="s">
        <v>357</v>
      </c>
      <c r="BQ69" s="8" t="s">
        <v>419</v>
      </c>
      <c r="BR69" s="8" t="s">
        <v>367</v>
      </c>
      <c r="BS69" s="8" t="s">
        <v>391</v>
      </c>
      <c r="BT69" s="8" t="s">
        <v>391</v>
      </c>
      <c r="BU69" s="8" t="s">
        <v>391</v>
      </c>
      <c r="BV69" s="8" t="s">
        <v>391</v>
      </c>
      <c r="BW69" s="8" t="s">
        <v>391</v>
      </c>
      <c r="BX69" s="8" t="s">
        <v>391</v>
      </c>
      <c r="BY69" s="8" t="s">
        <v>391</v>
      </c>
      <c r="BZ69" s="8" t="s">
        <v>354</v>
      </c>
      <c r="CA69" s="8" t="s">
        <v>356</v>
      </c>
      <c r="CB69" s="8" t="s">
        <v>351</v>
      </c>
      <c r="CC69" s="8" t="s">
        <v>391</v>
      </c>
      <c r="CD69" s="8" t="s">
        <v>353</v>
      </c>
      <c r="CE69" s="8" t="s">
        <v>353</v>
      </c>
      <c r="CF69" s="8" t="s">
        <v>391</v>
      </c>
      <c r="CG69" s="8" t="s">
        <v>393</v>
      </c>
      <c r="CH69" s="8" t="s">
        <v>420</v>
      </c>
      <c r="CI69" s="8" t="s">
        <v>392</v>
      </c>
      <c r="CJ69" s="8" t="s">
        <v>420</v>
      </c>
      <c r="CK69" s="8" t="s">
        <v>725</v>
      </c>
      <c r="CL69" s="8" t="s">
        <v>344</v>
      </c>
      <c r="CM69" s="8" t="s">
        <v>344</v>
      </c>
      <c r="CN69" s="8" t="s">
        <v>344</v>
      </c>
      <c r="CO69" s="8" t="s">
        <v>345</v>
      </c>
      <c r="CP69" s="8" t="s">
        <v>345</v>
      </c>
      <c r="CQ69" s="8" t="s">
        <v>344</v>
      </c>
      <c r="CR69" s="8" t="s">
        <v>667</v>
      </c>
      <c r="CS69" s="8">
        <v>9</v>
      </c>
      <c r="CT69" s="8">
        <v>1</v>
      </c>
      <c r="CU69" s="8">
        <v>100</v>
      </c>
      <c r="CV69" s="8">
        <v>1</v>
      </c>
      <c r="CW69" s="8" t="s">
        <v>364</v>
      </c>
      <c r="CX69" s="8" t="s">
        <v>363</v>
      </c>
      <c r="CY69" s="8" t="s">
        <v>396</v>
      </c>
      <c r="CZ69" s="8" t="s">
        <v>397</v>
      </c>
      <c r="DA69" s="8" t="s">
        <v>397</v>
      </c>
      <c r="DB69" s="8" t="s">
        <v>397</v>
      </c>
      <c r="DC69" s="8" t="s">
        <v>397</v>
      </c>
      <c r="DD69" s="8" t="s">
        <v>397</v>
      </c>
      <c r="DE69" s="8" t="s">
        <v>423</v>
      </c>
      <c r="DF69" s="8" t="s">
        <v>397</v>
      </c>
      <c r="DG69" s="8" t="s">
        <v>397</v>
      </c>
      <c r="DH69" s="8" t="s">
        <v>397</v>
      </c>
      <c r="DI69" s="8" t="s">
        <v>423</v>
      </c>
      <c r="DJ69" s="8" t="s">
        <v>726</v>
      </c>
      <c r="DK69" s="8" t="s">
        <v>492</v>
      </c>
      <c r="DL69" s="8" t="s">
        <v>368</v>
      </c>
      <c r="DM69" s="8" t="s">
        <v>368</v>
      </c>
      <c r="DN69" s="8" t="s">
        <v>368</v>
      </c>
      <c r="DO69" s="8" t="s">
        <v>345</v>
      </c>
      <c r="DP69" s="8" t="s">
        <v>345</v>
      </c>
      <c r="DQ69" s="8" t="s">
        <v>344</v>
      </c>
      <c r="DR69" s="8" t="s">
        <v>345</v>
      </c>
      <c r="DS69" s="8" t="s">
        <v>344</v>
      </c>
      <c r="DT69" s="8" t="s">
        <v>368</v>
      </c>
      <c r="DU69" s="8" t="s">
        <v>368</v>
      </c>
      <c r="DV69" s="8" t="s">
        <v>368</v>
      </c>
      <c r="DW69" s="8" t="s">
        <v>345</v>
      </c>
      <c r="DX69" s="8" t="s">
        <v>369</v>
      </c>
      <c r="DY69" s="8" t="s">
        <v>369</v>
      </c>
      <c r="DZ69" s="8" t="s">
        <v>370</v>
      </c>
      <c r="EA69" s="8" t="s">
        <v>369</v>
      </c>
      <c r="EB69" s="8" t="s">
        <v>369</v>
      </c>
      <c r="EC69" s="8" t="s">
        <v>369</v>
      </c>
      <c r="ED69" s="8" t="s">
        <v>371</v>
      </c>
      <c r="EE69" s="8" t="s">
        <v>370</v>
      </c>
      <c r="EF69" s="8" t="s">
        <v>370</v>
      </c>
      <c r="EG69" s="8" t="s">
        <v>370</v>
      </c>
      <c r="EH69" s="8" t="s">
        <v>370</v>
      </c>
      <c r="EI69" s="8" t="s">
        <v>370</v>
      </c>
      <c r="EJ69" s="8" t="s">
        <v>370</v>
      </c>
      <c r="EK69" s="8" t="s">
        <v>370</v>
      </c>
      <c r="EL69" s="8" t="s">
        <v>372</v>
      </c>
      <c r="EM69" s="8" t="s">
        <v>373</v>
      </c>
      <c r="EN69" s="8" t="s">
        <v>374</v>
      </c>
      <c r="EO69" s="8"/>
      <c r="EP69" s="8"/>
      <c r="EQ69" s="8" t="s">
        <v>378</v>
      </c>
      <c r="ER69" s="8" t="s">
        <v>375</v>
      </c>
      <c r="ES69" s="8" t="s">
        <v>377</v>
      </c>
      <c r="ET69" s="8" t="s">
        <v>376</v>
      </c>
      <c r="EU69" s="8" t="s">
        <v>378</v>
      </c>
      <c r="EV69" s="8" t="s">
        <v>400</v>
      </c>
      <c r="EW69" s="8"/>
      <c r="EX69" s="8" t="s">
        <v>368</v>
      </c>
      <c r="EY69" s="8" t="s">
        <v>368</v>
      </c>
      <c r="EZ69" s="8" t="s">
        <v>368</v>
      </c>
      <c r="FA69" s="8" t="s">
        <v>345</v>
      </c>
      <c r="FB69" s="8" t="s">
        <v>381</v>
      </c>
      <c r="FC69" s="8"/>
      <c r="FD69" s="8" t="s">
        <v>380</v>
      </c>
      <c r="FE69" s="8"/>
      <c r="FF69" s="8" t="s">
        <v>412</v>
      </c>
      <c r="FG69" s="8" t="s">
        <v>383</v>
      </c>
      <c r="FH69" s="8" t="s">
        <v>384</v>
      </c>
      <c r="FI69" s="8" t="s">
        <v>403</v>
      </c>
      <c r="FJ69" s="8"/>
      <c r="FK69" s="8"/>
      <c r="FL69" s="8"/>
      <c r="FM69" s="8"/>
      <c r="FN69" s="8"/>
      <c r="FO69" s="8"/>
      <c r="FP69" s="8"/>
      <c r="FQ69" s="8"/>
      <c r="FR69" s="8"/>
      <c r="FS69" s="8"/>
      <c r="FT69" s="8"/>
      <c r="FU69" s="8"/>
      <c r="FV69" s="8"/>
      <c r="FW69" s="8"/>
      <c r="FX69" s="8"/>
      <c r="FY69" s="8"/>
      <c r="FZ69" s="8"/>
      <c r="GA69" s="8" t="s">
        <v>368</v>
      </c>
      <c r="GB69" s="8" t="s">
        <v>368</v>
      </c>
      <c r="GC69" s="8" t="s">
        <v>368</v>
      </c>
      <c r="GD69" s="8" t="s">
        <v>368</v>
      </c>
      <c r="GE69" s="8" t="s">
        <v>368</v>
      </c>
      <c r="GF69" s="8" t="s">
        <v>368</v>
      </c>
      <c r="GG69" s="8"/>
      <c r="GH69" s="8"/>
      <c r="GI69" s="8"/>
      <c r="GJ69" s="8"/>
      <c r="GK69" s="8"/>
      <c r="GL69" s="8" t="s">
        <v>344</v>
      </c>
      <c r="GM69" s="8" t="s">
        <v>344</v>
      </c>
      <c r="GN69" s="8" t="s">
        <v>344</v>
      </c>
      <c r="GO69" s="8" t="s">
        <v>344</v>
      </c>
      <c r="GP69" s="8" t="s">
        <v>344</v>
      </c>
      <c r="GQ69" s="8" t="s">
        <v>344</v>
      </c>
      <c r="GR69" s="8" t="s">
        <v>344</v>
      </c>
      <c r="GS69" s="8" t="s">
        <v>344</v>
      </c>
      <c r="GT69" s="8" t="s">
        <v>344</v>
      </c>
      <c r="GU69" s="8" t="s">
        <v>344</v>
      </c>
      <c r="GV69" s="8" t="s">
        <v>345</v>
      </c>
      <c r="GW69" s="8" t="s">
        <v>344</v>
      </c>
      <c r="GX69" s="8" t="s">
        <v>345</v>
      </c>
      <c r="GY69" s="8" t="s">
        <v>344</v>
      </c>
      <c r="GZ69" s="8" t="s">
        <v>344</v>
      </c>
      <c r="HA69" s="8"/>
      <c r="HB69" s="8" t="s">
        <v>344</v>
      </c>
      <c r="HC69" s="8"/>
      <c r="HD69" s="8" t="s">
        <v>344</v>
      </c>
      <c r="HE69" s="8"/>
      <c r="HF69" s="8" t="s">
        <v>344</v>
      </c>
      <c r="HG69" s="8"/>
      <c r="HH69" s="8" t="s">
        <v>344</v>
      </c>
      <c r="HI69" s="8"/>
      <c r="HJ69" s="8" t="s">
        <v>344</v>
      </c>
      <c r="HK69" s="8" t="s">
        <v>344</v>
      </c>
      <c r="HL69" s="8" t="s">
        <v>344</v>
      </c>
      <c r="HM69" s="8" t="s">
        <v>344</v>
      </c>
      <c r="HN69" s="8" t="s">
        <v>344</v>
      </c>
      <c r="HO69" s="8" t="s">
        <v>344</v>
      </c>
      <c r="HP69" s="8" t="s">
        <v>344</v>
      </c>
      <c r="HQ69" s="8" t="s">
        <v>344</v>
      </c>
      <c r="HR69" s="8" t="s">
        <v>344</v>
      </c>
      <c r="HS69" s="8" t="s">
        <v>344</v>
      </c>
      <c r="HT69" s="8" t="s">
        <v>344</v>
      </c>
      <c r="HU69" s="8" t="s">
        <v>344</v>
      </c>
      <c r="HV69" s="8" t="s">
        <v>345</v>
      </c>
      <c r="HW69" s="8" t="s">
        <v>344</v>
      </c>
      <c r="HX69" s="8" t="s">
        <v>344</v>
      </c>
      <c r="HY69" s="8"/>
      <c r="HZ69" s="8" t="s">
        <v>344</v>
      </c>
      <c r="IA69" s="8"/>
      <c r="IB69" s="8" t="s">
        <v>344</v>
      </c>
      <c r="IC69" s="8"/>
      <c r="ID69" s="8" t="s">
        <v>344</v>
      </c>
      <c r="IE69" s="8"/>
      <c r="IF69" s="8" t="s">
        <v>344</v>
      </c>
      <c r="IG69" s="8"/>
      <c r="IH69" s="8" t="s">
        <v>345</v>
      </c>
      <c r="II69" s="8" t="s">
        <v>345</v>
      </c>
      <c r="IJ69" s="8" t="s">
        <v>345</v>
      </c>
      <c r="IK69" s="8" t="s">
        <v>344</v>
      </c>
      <c r="IL69" s="8" t="s">
        <v>345</v>
      </c>
      <c r="IM69" s="8" t="s">
        <v>345</v>
      </c>
      <c r="IN69" s="8" t="s">
        <v>344</v>
      </c>
      <c r="IO69" s="8" t="s">
        <v>345</v>
      </c>
      <c r="IP69" s="8" t="s">
        <v>344</v>
      </c>
      <c r="IQ69" s="8" t="s">
        <v>344</v>
      </c>
      <c r="IR69" s="8" t="s">
        <v>344</v>
      </c>
      <c r="IS69" s="8" t="s">
        <v>344</v>
      </c>
      <c r="IT69" s="8" t="s">
        <v>495</v>
      </c>
      <c r="IU69" s="8"/>
      <c r="IV69" s="8"/>
      <c r="IW69" s="8"/>
      <c r="IX69" s="8"/>
      <c r="IY69" s="8"/>
      <c r="IZ69" s="8"/>
      <c r="JA69" s="8"/>
      <c r="JB69" s="8"/>
      <c r="JC69" s="8"/>
      <c r="JD69" s="8"/>
      <c r="JE69" s="8"/>
      <c r="JF69" s="8"/>
      <c r="JG69" s="8"/>
      <c r="JH69" s="9"/>
    </row>
    <row r="70" spans="1:268" x14ac:dyDescent="0.3">
      <c r="A70" s="13" t="s">
        <v>727</v>
      </c>
      <c r="B70" s="13">
        <v>150</v>
      </c>
      <c r="C70" s="13" t="s">
        <v>728</v>
      </c>
      <c r="D70" s="13">
        <v>14</v>
      </c>
      <c r="E70" s="13" t="s">
        <v>387</v>
      </c>
      <c r="F70" s="13">
        <v>951767781</v>
      </c>
      <c r="G70" s="13" t="s">
        <v>729</v>
      </c>
      <c r="H70" s="13" t="s">
        <v>728</v>
      </c>
      <c r="I70" s="13" t="s">
        <v>730</v>
      </c>
      <c r="J70" s="13">
        <v>22</v>
      </c>
      <c r="K70" s="13" t="s">
        <v>389</v>
      </c>
      <c r="L70" s="13"/>
      <c r="M70" s="13" t="s">
        <v>345</v>
      </c>
      <c r="N70" s="13" t="s">
        <v>344</v>
      </c>
      <c r="O70" s="13" t="s">
        <v>344</v>
      </c>
      <c r="P70" s="13" t="s">
        <v>344</v>
      </c>
      <c r="Q70" s="13" t="s">
        <v>344</v>
      </c>
      <c r="R70" s="13"/>
      <c r="S70" s="13" t="s">
        <v>475</v>
      </c>
      <c r="T70" s="13"/>
      <c r="U70" s="13" t="s">
        <v>347</v>
      </c>
      <c r="V70" s="13"/>
      <c r="W70" s="13" t="s">
        <v>345</v>
      </c>
      <c r="X70" s="13" t="s">
        <v>344</v>
      </c>
      <c r="Y70" s="13" t="s">
        <v>344</v>
      </c>
      <c r="Z70" s="13" t="s">
        <v>344</v>
      </c>
      <c r="AA70" s="13" t="s">
        <v>344</v>
      </c>
      <c r="AB70" s="13" t="s">
        <v>344</v>
      </c>
      <c r="AC70" s="13" t="s">
        <v>344</v>
      </c>
      <c r="AD70" s="13" t="s">
        <v>345</v>
      </c>
      <c r="AE70" s="13" t="s">
        <v>345</v>
      </c>
      <c r="AF70" s="13" t="s">
        <v>344</v>
      </c>
      <c r="AG70" s="13" t="s">
        <v>344</v>
      </c>
      <c r="AH70" s="13" t="s">
        <v>344</v>
      </c>
      <c r="AI70" s="13" t="s">
        <v>345</v>
      </c>
      <c r="AJ70" s="13" t="s">
        <v>344</v>
      </c>
      <c r="AK70" s="13" t="s">
        <v>345</v>
      </c>
      <c r="AL70" s="13" t="s">
        <v>344</v>
      </c>
      <c r="AM70" s="13" t="s">
        <v>344</v>
      </c>
      <c r="AN70" s="13" t="s">
        <v>344</v>
      </c>
      <c r="AO70" s="13" t="s">
        <v>344</v>
      </c>
      <c r="AP70" s="13" t="s">
        <v>344</v>
      </c>
      <c r="AQ70" s="13" t="s">
        <v>344</v>
      </c>
      <c r="AR70" s="13" t="s">
        <v>345</v>
      </c>
      <c r="AS70" s="13" t="s">
        <v>345</v>
      </c>
      <c r="AT70" s="13" t="s">
        <v>345</v>
      </c>
      <c r="AU70" s="13" t="s">
        <v>344</v>
      </c>
      <c r="AV70" s="13" t="s">
        <v>344</v>
      </c>
      <c r="AW70" s="13" t="s">
        <v>344</v>
      </c>
      <c r="AX70" s="13" t="s">
        <v>344</v>
      </c>
      <c r="AY70" s="13" t="s">
        <v>731</v>
      </c>
      <c r="AZ70" s="13" t="s">
        <v>732</v>
      </c>
      <c r="BA70" s="13" t="s">
        <v>732</v>
      </c>
      <c r="BB70" s="13" t="s">
        <v>733</v>
      </c>
      <c r="BC70" s="13" t="s">
        <v>732</v>
      </c>
      <c r="BD70" s="13" t="s">
        <v>732</v>
      </c>
      <c r="BE70" s="13" t="s">
        <v>390</v>
      </c>
      <c r="BF70" s="13" t="s">
        <v>348</v>
      </c>
      <c r="BG70" s="13" t="s">
        <v>349</v>
      </c>
      <c r="BH70" s="13" t="s">
        <v>390</v>
      </c>
      <c r="BI70" s="13" t="s">
        <v>348</v>
      </c>
      <c r="BJ70" s="13" t="s">
        <v>353</v>
      </c>
      <c r="BK70" s="13" t="s">
        <v>357</v>
      </c>
      <c r="BL70" s="13" t="s">
        <v>355</v>
      </c>
      <c r="BM70" s="13" t="s">
        <v>391</v>
      </c>
      <c r="BN70" s="13" t="s">
        <v>356</v>
      </c>
      <c r="BO70" s="13" t="s">
        <v>352</v>
      </c>
      <c r="BP70" s="13" t="s">
        <v>354</v>
      </c>
      <c r="BQ70" s="13" t="s">
        <v>407</v>
      </c>
      <c r="BR70" s="13" t="s">
        <v>429</v>
      </c>
      <c r="BS70" s="13" t="s">
        <v>357</v>
      </c>
      <c r="BT70" s="13" t="s">
        <v>353</v>
      </c>
      <c r="BU70" s="13" t="s">
        <v>352</v>
      </c>
      <c r="BV70" s="13" t="s">
        <v>355</v>
      </c>
      <c r="BW70" s="13" t="s">
        <v>356</v>
      </c>
      <c r="BX70" s="13" t="s">
        <v>351</v>
      </c>
      <c r="BY70" s="13" t="s">
        <v>354</v>
      </c>
      <c r="BZ70" s="13" t="s">
        <v>357</v>
      </c>
      <c r="CA70" s="13" t="s">
        <v>352</v>
      </c>
      <c r="CB70" s="13" t="s">
        <v>354</v>
      </c>
      <c r="CC70" s="13" t="s">
        <v>351</v>
      </c>
      <c r="CD70" s="13" t="s">
        <v>353</v>
      </c>
      <c r="CE70" s="13" t="s">
        <v>356</v>
      </c>
      <c r="CF70" s="13" t="s">
        <v>355</v>
      </c>
      <c r="CG70" s="13" t="s">
        <v>393</v>
      </c>
      <c r="CH70" s="13" t="s">
        <v>393</v>
      </c>
      <c r="CI70" s="13" t="s">
        <v>393</v>
      </c>
      <c r="CJ70" s="13" t="s">
        <v>393</v>
      </c>
      <c r="CK70" s="13" t="s">
        <v>391</v>
      </c>
      <c r="CL70" s="13" t="s">
        <v>344</v>
      </c>
      <c r="CM70" s="13" t="s">
        <v>345</v>
      </c>
      <c r="CN70" s="13" t="s">
        <v>344</v>
      </c>
      <c r="CO70" s="13" t="s">
        <v>344</v>
      </c>
      <c r="CP70" s="13" t="s">
        <v>344</v>
      </c>
      <c r="CQ70" s="13" t="s">
        <v>344</v>
      </c>
      <c r="CR70" s="13" t="s">
        <v>655</v>
      </c>
      <c r="CS70" s="13">
        <v>65</v>
      </c>
      <c r="CT70" s="13">
        <v>80</v>
      </c>
      <c r="CU70" s="13"/>
      <c r="CV70" s="13"/>
      <c r="CW70" s="13" t="s">
        <v>363</v>
      </c>
      <c r="CX70" s="13" t="s">
        <v>396</v>
      </c>
      <c r="CY70" s="13" t="s">
        <v>363</v>
      </c>
      <c r="CZ70" s="13" t="s">
        <v>397</v>
      </c>
      <c r="DA70" s="13" t="s">
        <v>397</v>
      </c>
      <c r="DB70" s="13" t="s">
        <v>397</v>
      </c>
      <c r="DC70" s="13" t="s">
        <v>397</v>
      </c>
      <c r="DD70" s="13" t="s">
        <v>423</v>
      </c>
      <c r="DE70" s="13"/>
      <c r="DF70" s="13"/>
      <c r="DG70" s="13"/>
      <c r="DH70" s="13"/>
      <c r="DI70" s="13"/>
      <c r="DJ70" s="13" t="s">
        <v>734</v>
      </c>
      <c r="DK70" s="13" t="s">
        <v>515</v>
      </c>
      <c r="DL70" s="13" t="s">
        <v>345</v>
      </c>
      <c r="DM70" s="13" t="s">
        <v>345</v>
      </c>
      <c r="DN70" s="13" t="s">
        <v>345</v>
      </c>
      <c r="DO70" s="13" t="s">
        <v>344</v>
      </c>
      <c r="DP70" s="13" t="s">
        <v>368</v>
      </c>
      <c r="DQ70" s="13" t="s">
        <v>368</v>
      </c>
      <c r="DR70" s="13" t="s">
        <v>368</v>
      </c>
      <c r="DS70" s="13" t="s">
        <v>345</v>
      </c>
      <c r="DT70" s="13" t="s">
        <v>345</v>
      </c>
      <c r="DU70" s="13" t="s">
        <v>345</v>
      </c>
      <c r="DV70" s="13" t="s">
        <v>344</v>
      </c>
      <c r="DW70" s="13" t="s">
        <v>344</v>
      </c>
      <c r="DX70" s="13" t="s">
        <v>370</v>
      </c>
      <c r="DY70" s="13" t="s">
        <v>370</v>
      </c>
      <c r="DZ70" s="13" t="s">
        <v>370</v>
      </c>
      <c r="EA70" s="13" t="s">
        <v>370</v>
      </c>
      <c r="EB70" s="13" t="s">
        <v>370</v>
      </c>
      <c r="EC70" s="13" t="s">
        <v>370</v>
      </c>
      <c r="ED70" s="13" t="s">
        <v>370</v>
      </c>
      <c r="EE70" s="13" t="s">
        <v>369</v>
      </c>
      <c r="EF70" s="13" t="s">
        <v>369</v>
      </c>
      <c r="EG70" s="13" t="s">
        <v>369</v>
      </c>
      <c r="EH70" s="13" t="s">
        <v>369</v>
      </c>
      <c r="EI70" s="13" t="s">
        <v>369</v>
      </c>
      <c r="EJ70" s="13" t="s">
        <v>369</v>
      </c>
      <c r="EK70" s="13" t="s">
        <v>399</v>
      </c>
      <c r="EL70" s="13" t="s">
        <v>372</v>
      </c>
      <c r="EM70" s="13" t="s">
        <v>374</v>
      </c>
      <c r="EN70" s="13" t="s">
        <v>373</v>
      </c>
      <c r="EO70" s="13"/>
      <c r="EP70" s="13"/>
      <c r="EQ70" s="13" t="s">
        <v>376</v>
      </c>
      <c r="ER70" s="13" t="s">
        <v>376</v>
      </c>
      <c r="ES70" s="13" t="s">
        <v>411</v>
      </c>
      <c r="ET70" s="13" t="s">
        <v>391</v>
      </c>
      <c r="EU70" s="13" t="s">
        <v>391</v>
      </c>
      <c r="EV70" s="13" t="s">
        <v>484</v>
      </c>
      <c r="EW70" s="13"/>
      <c r="EX70" s="13" t="s">
        <v>368</v>
      </c>
      <c r="EY70" s="13" t="s">
        <v>368</v>
      </c>
      <c r="EZ70" s="13" t="s">
        <v>368</v>
      </c>
      <c r="FA70" s="13" t="s">
        <v>345</v>
      </c>
      <c r="FB70" s="13" t="s">
        <v>401</v>
      </c>
      <c r="FC70" s="13"/>
      <c r="FD70" s="13" t="s">
        <v>401</v>
      </c>
      <c r="FE70" s="13"/>
      <c r="FF70" s="13" t="s">
        <v>477</v>
      </c>
      <c r="FG70" s="13" t="s">
        <v>441</v>
      </c>
      <c r="FH70" s="13" t="s">
        <v>432</v>
      </c>
      <c r="FI70" s="13" t="s">
        <v>433</v>
      </c>
      <c r="FJ70" s="13"/>
      <c r="FK70" s="13"/>
      <c r="FL70" s="13"/>
      <c r="FM70" s="13"/>
      <c r="FN70" s="13"/>
      <c r="FO70" s="13"/>
      <c r="FP70" s="13"/>
      <c r="FQ70" s="13"/>
      <c r="FR70" s="13"/>
      <c r="FS70" s="13"/>
      <c r="FT70" s="13"/>
      <c r="FU70" s="13"/>
      <c r="FV70" s="13"/>
      <c r="FW70" s="13"/>
      <c r="FX70" s="13"/>
      <c r="FY70" s="13"/>
      <c r="FZ70" s="13"/>
      <c r="GA70" s="13" t="s">
        <v>368</v>
      </c>
      <c r="GB70" s="13" t="s">
        <v>368</v>
      </c>
      <c r="GC70" s="13" t="s">
        <v>368</v>
      </c>
      <c r="GD70" s="13" t="s">
        <v>368</v>
      </c>
      <c r="GE70" s="13" t="s">
        <v>368</v>
      </c>
      <c r="GF70" s="13" t="s">
        <v>368</v>
      </c>
      <c r="GG70" s="13"/>
      <c r="GH70" s="13"/>
      <c r="GI70" s="13"/>
      <c r="GJ70" s="13"/>
      <c r="GK70" s="13"/>
      <c r="GL70" s="13" t="s">
        <v>344</v>
      </c>
      <c r="GM70" s="13" t="s">
        <v>344</v>
      </c>
      <c r="GN70" s="13" t="s">
        <v>344</v>
      </c>
      <c r="GO70" s="13" t="s">
        <v>344</v>
      </c>
      <c r="GP70" s="13" t="s">
        <v>344</v>
      </c>
      <c r="GQ70" s="13" t="s">
        <v>344</v>
      </c>
      <c r="GR70" s="13" t="s">
        <v>344</v>
      </c>
      <c r="GS70" s="13" t="s">
        <v>344</v>
      </c>
      <c r="GT70" s="13" t="s">
        <v>344</v>
      </c>
      <c r="GU70" s="13" t="s">
        <v>344</v>
      </c>
      <c r="GV70" s="13" t="s">
        <v>345</v>
      </c>
      <c r="GW70" s="13" t="s">
        <v>345</v>
      </c>
      <c r="GX70" s="13" t="s">
        <v>344</v>
      </c>
      <c r="GY70" s="13" t="s">
        <v>344</v>
      </c>
      <c r="GZ70" s="13" t="s">
        <v>344</v>
      </c>
      <c r="HA70" s="13"/>
      <c r="HB70" s="13" t="s">
        <v>344</v>
      </c>
      <c r="HC70" s="13"/>
      <c r="HD70" s="13" t="s">
        <v>344</v>
      </c>
      <c r="HE70" s="13"/>
      <c r="HF70" s="13" t="s">
        <v>344</v>
      </c>
      <c r="HG70" s="13"/>
      <c r="HH70" s="13" t="s">
        <v>344</v>
      </c>
      <c r="HI70" s="13"/>
      <c r="HJ70" s="13" t="s">
        <v>344</v>
      </c>
      <c r="HK70" s="13" t="s">
        <v>344</v>
      </c>
      <c r="HL70" s="13" t="s">
        <v>344</v>
      </c>
      <c r="HM70" s="13" t="s">
        <v>344</v>
      </c>
      <c r="HN70" s="13" t="s">
        <v>344</v>
      </c>
      <c r="HO70" s="13" t="s">
        <v>344</v>
      </c>
      <c r="HP70" s="13" t="s">
        <v>344</v>
      </c>
      <c r="HQ70" s="13" t="s">
        <v>344</v>
      </c>
      <c r="HR70" s="13" t="s">
        <v>344</v>
      </c>
      <c r="HS70" s="13" t="s">
        <v>344</v>
      </c>
      <c r="HT70" s="13" t="s">
        <v>344</v>
      </c>
      <c r="HU70" s="13" t="s">
        <v>345</v>
      </c>
      <c r="HV70" s="13" t="s">
        <v>344</v>
      </c>
      <c r="HW70" s="13" t="s">
        <v>344</v>
      </c>
      <c r="HX70" s="13" t="s">
        <v>344</v>
      </c>
      <c r="HY70" s="13"/>
      <c r="HZ70" s="13" t="s">
        <v>344</v>
      </c>
      <c r="IA70" s="13"/>
      <c r="IB70" s="13" t="s">
        <v>344</v>
      </c>
      <c r="IC70" s="13"/>
      <c r="ID70" s="13" t="s">
        <v>344</v>
      </c>
      <c r="IE70" s="13"/>
      <c r="IF70" s="13" t="s">
        <v>344</v>
      </c>
      <c r="IG70" s="13"/>
      <c r="IH70" s="13" t="s">
        <v>344</v>
      </c>
      <c r="II70" s="13" t="s">
        <v>345</v>
      </c>
      <c r="IJ70" s="13" t="s">
        <v>345</v>
      </c>
      <c r="IK70" s="13" t="s">
        <v>344</v>
      </c>
      <c r="IL70" s="13" t="s">
        <v>345</v>
      </c>
      <c r="IM70" s="13" t="s">
        <v>344</v>
      </c>
      <c r="IN70" s="13" t="s">
        <v>344</v>
      </c>
      <c r="IO70" s="13" t="s">
        <v>345</v>
      </c>
      <c r="IP70" s="13" t="s">
        <v>344</v>
      </c>
      <c r="IQ70" s="13" t="s">
        <v>344</v>
      </c>
      <c r="IR70" s="13" t="s">
        <v>344</v>
      </c>
      <c r="IS70" s="13" t="s">
        <v>344</v>
      </c>
      <c r="IT70" s="13"/>
      <c r="IU70" s="13"/>
      <c r="IV70" s="13"/>
      <c r="IW70" s="13"/>
      <c r="IX70" s="13"/>
      <c r="IY70" s="13"/>
      <c r="IZ70" s="13"/>
      <c r="JA70" s="13"/>
      <c r="JB70" s="13"/>
      <c r="JC70" s="13"/>
      <c r="JD70" s="13"/>
      <c r="JE70" s="13"/>
      <c r="JF70" s="13"/>
      <c r="JG70" s="13"/>
      <c r="JH70" s="13"/>
    </row>
    <row r="71" spans="1:268" x14ac:dyDescent="0.3">
      <c r="A71" s="13" t="s">
        <v>727</v>
      </c>
      <c r="B71" s="14">
        <v>151</v>
      </c>
      <c r="C71" s="14" t="s">
        <v>735</v>
      </c>
      <c r="D71" s="14">
        <v>14</v>
      </c>
      <c r="E71" s="14" t="s">
        <v>387</v>
      </c>
      <c r="F71" s="14">
        <v>258053491</v>
      </c>
      <c r="G71" s="14" t="s">
        <v>736</v>
      </c>
      <c r="H71" s="14" t="s">
        <v>735</v>
      </c>
      <c r="I71" s="14" t="s">
        <v>730</v>
      </c>
      <c r="J71" s="14">
        <v>20</v>
      </c>
      <c r="K71" s="14" t="s">
        <v>389</v>
      </c>
      <c r="L71" s="14"/>
      <c r="M71" s="14" t="s">
        <v>345</v>
      </c>
      <c r="N71" s="14" t="s">
        <v>344</v>
      </c>
      <c r="O71" s="14" t="s">
        <v>344</v>
      </c>
      <c r="P71" s="14" t="s">
        <v>344</v>
      </c>
      <c r="Q71" s="14" t="s">
        <v>344</v>
      </c>
      <c r="R71" s="14"/>
      <c r="S71" s="14" t="s">
        <v>475</v>
      </c>
      <c r="T71" s="14"/>
      <c r="U71" s="14" t="s">
        <v>347</v>
      </c>
      <c r="V71" s="14"/>
      <c r="W71" s="14" t="s">
        <v>344</v>
      </c>
      <c r="X71" s="14" t="s">
        <v>344</v>
      </c>
      <c r="Y71" s="14" t="s">
        <v>345</v>
      </c>
      <c r="Z71" s="14" t="s">
        <v>345</v>
      </c>
      <c r="AA71" s="14" t="s">
        <v>344</v>
      </c>
      <c r="AB71" s="14" t="s">
        <v>344</v>
      </c>
      <c r="AC71" s="14" t="s">
        <v>344</v>
      </c>
      <c r="AD71" s="14" t="s">
        <v>344</v>
      </c>
      <c r="AE71" s="14" t="s">
        <v>345</v>
      </c>
      <c r="AF71" s="14" t="s">
        <v>344</v>
      </c>
      <c r="AG71" s="14" t="s">
        <v>344</v>
      </c>
      <c r="AH71" s="14" t="s">
        <v>345</v>
      </c>
      <c r="AI71" s="14" t="s">
        <v>344</v>
      </c>
      <c r="AJ71" s="14" t="s">
        <v>344</v>
      </c>
      <c r="AK71" s="14" t="s">
        <v>344</v>
      </c>
      <c r="AL71" s="14" t="s">
        <v>345</v>
      </c>
      <c r="AM71" s="14" t="s">
        <v>344</v>
      </c>
      <c r="AN71" s="14" t="s">
        <v>344</v>
      </c>
      <c r="AO71" s="14" t="s">
        <v>345</v>
      </c>
      <c r="AP71" s="14" t="s">
        <v>344</v>
      </c>
      <c r="AQ71" s="14" t="s">
        <v>344</v>
      </c>
      <c r="AR71" s="14" t="s">
        <v>345</v>
      </c>
      <c r="AS71" s="14" t="s">
        <v>345</v>
      </c>
      <c r="AT71" s="14" t="s">
        <v>344</v>
      </c>
      <c r="AU71" s="14" t="s">
        <v>344</v>
      </c>
      <c r="AV71" s="14" t="s">
        <v>345</v>
      </c>
      <c r="AW71" s="14" t="s">
        <v>344</v>
      </c>
      <c r="AX71" s="14" t="s">
        <v>344</v>
      </c>
      <c r="AY71" s="14" t="s">
        <v>731</v>
      </c>
      <c r="AZ71" s="14" t="s">
        <v>733</v>
      </c>
      <c r="BA71" s="14" t="s">
        <v>731</v>
      </c>
      <c r="BB71" s="14" t="s">
        <v>737</v>
      </c>
      <c r="BC71" s="14" t="s">
        <v>731</v>
      </c>
      <c r="BD71" s="14" t="s">
        <v>732</v>
      </c>
      <c r="BE71" s="14" t="s">
        <v>349</v>
      </c>
      <c r="BF71" s="14" t="s">
        <v>390</v>
      </c>
      <c r="BG71" s="14" t="s">
        <v>348</v>
      </c>
      <c r="BH71" s="14" t="s">
        <v>349</v>
      </c>
      <c r="BI71" s="14" t="s">
        <v>348</v>
      </c>
      <c r="BJ71" s="14" t="s">
        <v>351</v>
      </c>
      <c r="BK71" s="14" t="s">
        <v>356</v>
      </c>
      <c r="BL71" s="14" t="s">
        <v>354</v>
      </c>
      <c r="BM71" s="14" t="s">
        <v>354</v>
      </c>
      <c r="BN71" s="14" t="s">
        <v>357</v>
      </c>
      <c r="BO71" s="14" t="s">
        <v>355</v>
      </c>
      <c r="BP71" s="14" t="s">
        <v>352</v>
      </c>
      <c r="BQ71" s="14" t="s">
        <v>419</v>
      </c>
      <c r="BR71" s="14" t="s">
        <v>408</v>
      </c>
      <c r="BS71" s="14" t="s">
        <v>391</v>
      </c>
      <c r="BT71" s="14" t="s">
        <v>351</v>
      </c>
      <c r="BU71" s="14" t="s">
        <v>356</v>
      </c>
      <c r="BV71" s="14" t="s">
        <v>353</v>
      </c>
      <c r="BW71" s="14" t="s">
        <v>355</v>
      </c>
      <c r="BX71" s="14" t="s">
        <v>357</v>
      </c>
      <c r="BY71" s="14" t="s">
        <v>354</v>
      </c>
      <c r="BZ71" s="14" t="s">
        <v>354</v>
      </c>
      <c r="CA71" s="14" t="s">
        <v>357</v>
      </c>
      <c r="CB71" s="14" t="s">
        <v>355</v>
      </c>
      <c r="CC71" s="14" t="s">
        <v>351</v>
      </c>
      <c r="CD71" s="14" t="s">
        <v>356</v>
      </c>
      <c r="CE71" s="14" t="s">
        <v>353</v>
      </c>
      <c r="CF71" s="14" t="s">
        <v>352</v>
      </c>
      <c r="CG71" s="14" t="s">
        <v>392</v>
      </c>
      <c r="CH71" s="14" t="s">
        <v>421</v>
      </c>
      <c r="CI71" s="14" t="s">
        <v>420</v>
      </c>
      <c r="CJ71" s="14" t="s">
        <v>420</v>
      </c>
      <c r="CK71" s="14" t="s">
        <v>738</v>
      </c>
      <c r="CL71" s="14" t="s">
        <v>344</v>
      </c>
      <c r="CM71" s="14" t="s">
        <v>344</v>
      </c>
      <c r="CN71" s="14" t="s">
        <v>344</v>
      </c>
      <c r="CO71" s="14" t="s">
        <v>344</v>
      </c>
      <c r="CP71" s="14" t="s">
        <v>345</v>
      </c>
      <c r="CQ71" s="14" t="s">
        <v>344</v>
      </c>
      <c r="CR71" s="14" t="s">
        <v>655</v>
      </c>
      <c r="CS71" s="14">
        <v>21</v>
      </c>
      <c r="CT71" s="14">
        <v>83</v>
      </c>
      <c r="CU71" s="14"/>
      <c r="CV71" s="14"/>
      <c r="CW71" s="14" t="s">
        <v>396</v>
      </c>
      <c r="CX71" s="14" t="s">
        <v>396</v>
      </c>
      <c r="CY71" s="14" t="s">
        <v>396</v>
      </c>
      <c r="CZ71" s="14" t="s">
        <v>397</v>
      </c>
      <c r="DA71" s="14" t="s">
        <v>397</v>
      </c>
      <c r="DB71" s="14" t="s">
        <v>366</v>
      </c>
      <c r="DC71" s="14" t="s">
        <v>397</v>
      </c>
      <c r="DD71" s="14" t="s">
        <v>366</v>
      </c>
      <c r="DE71" s="14"/>
      <c r="DF71" s="14"/>
      <c r="DG71" s="14"/>
      <c r="DH71" s="14"/>
      <c r="DI71" s="14"/>
      <c r="DJ71" s="14" t="s">
        <v>739</v>
      </c>
      <c r="DK71" s="14" t="s">
        <v>367</v>
      </c>
      <c r="DL71" s="14" t="s">
        <v>368</v>
      </c>
      <c r="DM71" s="14" t="s">
        <v>368</v>
      </c>
      <c r="DN71" s="14" t="s">
        <v>368</v>
      </c>
      <c r="DO71" s="14" t="s">
        <v>368</v>
      </c>
      <c r="DP71" s="14" t="s">
        <v>368</v>
      </c>
      <c r="DQ71" s="14" t="s">
        <v>368</v>
      </c>
      <c r="DR71" s="14" t="s">
        <v>368</v>
      </c>
      <c r="DS71" s="14" t="s">
        <v>345</v>
      </c>
      <c r="DT71" s="14" t="s">
        <v>345</v>
      </c>
      <c r="DU71" s="14" t="s">
        <v>344</v>
      </c>
      <c r="DV71" s="14" t="s">
        <v>344</v>
      </c>
      <c r="DW71" s="14" t="s">
        <v>344</v>
      </c>
      <c r="DX71" s="14" t="s">
        <v>370</v>
      </c>
      <c r="DY71" s="14" t="s">
        <v>370</v>
      </c>
      <c r="DZ71" s="14" t="s">
        <v>370</v>
      </c>
      <c r="EA71" s="14" t="s">
        <v>371</v>
      </c>
      <c r="EB71" s="14" t="s">
        <v>399</v>
      </c>
      <c r="EC71" s="14" t="s">
        <v>371</v>
      </c>
      <c r="ED71" s="14" t="s">
        <v>370</v>
      </c>
      <c r="EE71" s="14" t="s">
        <v>369</v>
      </c>
      <c r="EF71" s="14" t="s">
        <v>369</v>
      </c>
      <c r="EG71" s="14" t="s">
        <v>369</v>
      </c>
      <c r="EH71" s="14" t="s">
        <v>369</v>
      </c>
      <c r="EI71" s="14" t="s">
        <v>369</v>
      </c>
      <c r="EJ71" s="14" t="s">
        <v>369</v>
      </c>
      <c r="EK71" s="14" t="s">
        <v>369</v>
      </c>
      <c r="EL71" s="14" t="s">
        <v>374</v>
      </c>
      <c r="EM71" s="14" t="s">
        <v>373</v>
      </c>
      <c r="EN71" s="14" t="s">
        <v>424</v>
      </c>
      <c r="EO71" s="14"/>
      <c r="EP71" s="14"/>
      <c r="EQ71" s="14" t="s">
        <v>376</v>
      </c>
      <c r="ER71" s="14" t="s">
        <v>375</v>
      </c>
      <c r="ES71" s="14" t="s">
        <v>376</v>
      </c>
      <c r="ET71" s="14" t="s">
        <v>375</v>
      </c>
      <c r="EU71" s="14" t="s">
        <v>376</v>
      </c>
      <c r="EV71" s="14" t="s">
        <v>379</v>
      </c>
      <c r="EW71" s="14"/>
      <c r="EX71" s="14" t="s">
        <v>368</v>
      </c>
      <c r="EY71" s="14" t="s">
        <v>368</v>
      </c>
      <c r="EZ71" s="14" t="s">
        <v>368</v>
      </c>
      <c r="FA71" s="14" t="s">
        <v>345</v>
      </c>
      <c r="FB71" s="14" t="s">
        <v>401</v>
      </c>
      <c r="FC71" s="14"/>
      <c r="FD71" s="14" t="s">
        <v>401</v>
      </c>
      <c r="FE71" s="14"/>
      <c r="FF71" s="14" t="s">
        <v>382</v>
      </c>
      <c r="FG71" s="14" t="s">
        <v>383</v>
      </c>
      <c r="FH71" s="14" t="s">
        <v>451</v>
      </c>
      <c r="FI71" s="14" t="s">
        <v>385</v>
      </c>
      <c r="FJ71" s="14"/>
      <c r="FK71" s="14"/>
      <c r="FL71" s="14"/>
      <c r="FM71" s="14"/>
      <c r="FN71" s="14"/>
      <c r="FO71" s="14"/>
      <c r="FP71" s="14"/>
      <c r="FQ71" s="14"/>
      <c r="FR71" s="14"/>
      <c r="FS71" s="14"/>
      <c r="FT71" s="14"/>
      <c r="FU71" s="14"/>
      <c r="FV71" s="14"/>
      <c r="FW71" s="14"/>
      <c r="FX71" s="14"/>
      <c r="FY71" s="14"/>
      <c r="FZ71" s="14"/>
      <c r="GA71" s="14" t="s">
        <v>368</v>
      </c>
      <c r="GB71" s="14" t="s">
        <v>368</v>
      </c>
      <c r="GC71" s="14" t="s">
        <v>368</v>
      </c>
      <c r="GD71" s="14" t="s">
        <v>368</v>
      </c>
      <c r="GE71" s="14" t="s">
        <v>368</v>
      </c>
      <c r="GF71" s="14" t="s">
        <v>368</v>
      </c>
      <c r="GG71" s="14"/>
      <c r="GH71" s="14"/>
      <c r="GI71" s="14"/>
      <c r="GJ71" s="14"/>
      <c r="GK71" s="14"/>
      <c r="GL71" s="14" t="s">
        <v>344</v>
      </c>
      <c r="GM71" s="14" t="s">
        <v>344</v>
      </c>
      <c r="GN71" s="14" t="s">
        <v>344</v>
      </c>
      <c r="GO71" s="14" t="s">
        <v>344</v>
      </c>
      <c r="GP71" s="14" t="s">
        <v>344</v>
      </c>
      <c r="GQ71" s="14" t="s">
        <v>344</v>
      </c>
      <c r="GR71" s="14" t="s">
        <v>344</v>
      </c>
      <c r="GS71" s="14" t="s">
        <v>344</v>
      </c>
      <c r="GT71" s="14" t="s">
        <v>344</v>
      </c>
      <c r="GU71" s="14" t="s">
        <v>344</v>
      </c>
      <c r="GV71" s="14" t="s">
        <v>344</v>
      </c>
      <c r="GW71" s="14" t="s">
        <v>345</v>
      </c>
      <c r="GX71" s="14" t="s">
        <v>344</v>
      </c>
      <c r="GY71" s="14" t="s">
        <v>344</v>
      </c>
      <c r="GZ71" s="14" t="s">
        <v>344</v>
      </c>
      <c r="HA71" s="14"/>
      <c r="HB71" s="14" t="s">
        <v>344</v>
      </c>
      <c r="HC71" s="14"/>
      <c r="HD71" s="14" t="s">
        <v>344</v>
      </c>
      <c r="HE71" s="14"/>
      <c r="HF71" s="14" t="s">
        <v>344</v>
      </c>
      <c r="HG71" s="14"/>
      <c r="HH71" s="14" t="s">
        <v>344</v>
      </c>
      <c r="HI71" s="14"/>
      <c r="HJ71" s="14" t="s">
        <v>344</v>
      </c>
      <c r="HK71" s="14" t="s">
        <v>344</v>
      </c>
      <c r="HL71" s="14" t="s">
        <v>344</v>
      </c>
      <c r="HM71" s="14" t="s">
        <v>344</v>
      </c>
      <c r="HN71" s="14" t="s">
        <v>344</v>
      </c>
      <c r="HO71" s="14" t="s">
        <v>344</v>
      </c>
      <c r="HP71" s="14" t="s">
        <v>344</v>
      </c>
      <c r="HQ71" s="14" t="s">
        <v>344</v>
      </c>
      <c r="HR71" s="14" t="s">
        <v>344</v>
      </c>
      <c r="HS71" s="14" t="s">
        <v>344</v>
      </c>
      <c r="HT71" s="14" t="s">
        <v>344</v>
      </c>
      <c r="HU71" s="14" t="s">
        <v>344</v>
      </c>
      <c r="HV71" s="14" t="s">
        <v>344</v>
      </c>
      <c r="HW71" s="14" t="s">
        <v>344</v>
      </c>
      <c r="HX71" s="14" t="s">
        <v>345</v>
      </c>
      <c r="HY71" s="14"/>
      <c r="HZ71" s="14" t="s">
        <v>344</v>
      </c>
      <c r="IA71" s="14"/>
      <c r="IB71" s="14" t="s">
        <v>344</v>
      </c>
      <c r="IC71" s="14"/>
      <c r="ID71" s="14" t="s">
        <v>344</v>
      </c>
      <c r="IE71" s="14"/>
      <c r="IF71" s="14" t="s">
        <v>344</v>
      </c>
      <c r="IG71" s="14"/>
      <c r="IH71" s="14" t="s">
        <v>345</v>
      </c>
      <c r="II71" s="14" t="s">
        <v>344</v>
      </c>
      <c r="IJ71" s="14" t="s">
        <v>344</v>
      </c>
      <c r="IK71" s="14" t="s">
        <v>344</v>
      </c>
      <c r="IL71" s="14" t="s">
        <v>344</v>
      </c>
      <c r="IM71" s="14" t="s">
        <v>344</v>
      </c>
      <c r="IN71" s="14" t="s">
        <v>344</v>
      </c>
      <c r="IO71" s="14" t="s">
        <v>345</v>
      </c>
      <c r="IP71" s="14" t="s">
        <v>344</v>
      </c>
      <c r="IQ71" s="14" t="s">
        <v>344</v>
      </c>
      <c r="IR71" s="14" t="s">
        <v>344</v>
      </c>
      <c r="IS71" s="14" t="s">
        <v>344</v>
      </c>
      <c r="IT71" s="14"/>
      <c r="IU71" s="14"/>
      <c r="IV71" s="14"/>
      <c r="IW71" s="14"/>
      <c r="IX71" s="14"/>
      <c r="IY71" s="14"/>
      <c r="IZ71" s="14"/>
      <c r="JA71" s="14"/>
      <c r="JB71" s="14"/>
      <c r="JC71" s="14"/>
      <c r="JD71" s="14"/>
      <c r="JE71" s="14"/>
      <c r="JF71" s="14"/>
      <c r="JG71" s="14"/>
      <c r="JH71" s="14"/>
    </row>
    <row r="72" spans="1:268" x14ac:dyDescent="0.3">
      <c r="A72" s="13" t="s">
        <v>727</v>
      </c>
      <c r="B72" s="14">
        <v>152</v>
      </c>
      <c r="C72" s="14" t="s">
        <v>740</v>
      </c>
      <c r="D72" s="14">
        <v>14</v>
      </c>
      <c r="E72" s="14" t="s">
        <v>387</v>
      </c>
      <c r="F72" s="14">
        <v>286898728</v>
      </c>
      <c r="G72" s="14" t="s">
        <v>741</v>
      </c>
      <c r="H72" s="14" t="s">
        <v>740</v>
      </c>
      <c r="I72" s="14" t="s">
        <v>730</v>
      </c>
      <c r="J72" s="14">
        <v>21</v>
      </c>
      <c r="K72" s="14" t="s">
        <v>389</v>
      </c>
      <c r="L72" s="14"/>
      <c r="M72" s="14" t="s">
        <v>345</v>
      </c>
      <c r="N72" s="14" t="s">
        <v>344</v>
      </c>
      <c r="O72" s="14" t="s">
        <v>344</v>
      </c>
      <c r="P72" s="14" t="s">
        <v>344</v>
      </c>
      <c r="Q72" s="14" t="s">
        <v>344</v>
      </c>
      <c r="R72" s="14"/>
      <c r="S72" s="14" t="s">
        <v>475</v>
      </c>
      <c r="T72" s="14"/>
      <c r="U72" s="14" t="s">
        <v>347</v>
      </c>
      <c r="V72" s="14"/>
      <c r="W72" s="14" t="s">
        <v>345</v>
      </c>
      <c r="X72" s="14" t="s">
        <v>344</v>
      </c>
      <c r="Y72" s="14" t="s">
        <v>344</v>
      </c>
      <c r="Z72" s="14" t="s">
        <v>344</v>
      </c>
      <c r="AA72" s="14" t="s">
        <v>344</v>
      </c>
      <c r="AB72" s="14" t="s">
        <v>345</v>
      </c>
      <c r="AC72" s="14" t="s">
        <v>344</v>
      </c>
      <c r="AD72" s="14" t="s">
        <v>344</v>
      </c>
      <c r="AE72" s="14" t="s">
        <v>345</v>
      </c>
      <c r="AF72" s="14" t="s">
        <v>344</v>
      </c>
      <c r="AG72" s="14" t="s">
        <v>345</v>
      </c>
      <c r="AH72" s="14" t="s">
        <v>344</v>
      </c>
      <c r="AI72" s="14" t="s">
        <v>344</v>
      </c>
      <c r="AJ72" s="14" t="s">
        <v>344</v>
      </c>
      <c r="AK72" s="14" t="s">
        <v>344</v>
      </c>
      <c r="AL72" s="14" t="s">
        <v>345</v>
      </c>
      <c r="AM72" s="14" t="s">
        <v>344</v>
      </c>
      <c r="AN72" s="14" t="s">
        <v>344</v>
      </c>
      <c r="AO72" s="14" t="s">
        <v>345</v>
      </c>
      <c r="AP72" s="14" t="s">
        <v>344</v>
      </c>
      <c r="AQ72" s="14" t="s">
        <v>344</v>
      </c>
      <c r="AR72" s="14" t="s">
        <v>345</v>
      </c>
      <c r="AS72" s="14" t="s">
        <v>345</v>
      </c>
      <c r="AT72" s="14" t="s">
        <v>344</v>
      </c>
      <c r="AU72" s="14" t="s">
        <v>344</v>
      </c>
      <c r="AV72" s="14" t="s">
        <v>344</v>
      </c>
      <c r="AW72" s="14" t="s">
        <v>345</v>
      </c>
      <c r="AX72" s="14" t="s">
        <v>344</v>
      </c>
      <c r="AY72" s="14" t="s">
        <v>391</v>
      </c>
      <c r="AZ72" s="14" t="s">
        <v>731</v>
      </c>
      <c r="BA72" s="14" t="s">
        <v>732</v>
      </c>
      <c r="BB72" s="14" t="s">
        <v>391</v>
      </c>
      <c r="BC72" s="14" t="s">
        <v>732</v>
      </c>
      <c r="BD72" s="14" t="s">
        <v>732</v>
      </c>
      <c r="BE72" s="14" t="s">
        <v>349</v>
      </c>
      <c r="BF72" s="14" t="s">
        <v>349</v>
      </c>
      <c r="BG72" s="14" t="s">
        <v>349</v>
      </c>
      <c r="BH72" s="14" t="s">
        <v>349</v>
      </c>
      <c r="BI72" s="14" t="s">
        <v>348</v>
      </c>
      <c r="BJ72" s="14" t="s">
        <v>351</v>
      </c>
      <c r="BK72" s="14" t="s">
        <v>354</v>
      </c>
      <c r="BL72" s="14" t="s">
        <v>356</v>
      </c>
      <c r="BM72" s="14" t="s">
        <v>355</v>
      </c>
      <c r="BN72" s="14" t="s">
        <v>352</v>
      </c>
      <c r="BO72" s="14" t="s">
        <v>356</v>
      </c>
      <c r="BP72" s="14" t="s">
        <v>391</v>
      </c>
      <c r="BQ72" s="14" t="s">
        <v>358</v>
      </c>
      <c r="BR72" s="14" t="s">
        <v>429</v>
      </c>
      <c r="BS72" s="14" t="s">
        <v>354</v>
      </c>
      <c r="BT72" s="14" t="s">
        <v>357</v>
      </c>
      <c r="BU72" s="14" t="s">
        <v>356</v>
      </c>
      <c r="BV72" s="14" t="s">
        <v>351</v>
      </c>
      <c r="BW72" s="14" t="s">
        <v>391</v>
      </c>
      <c r="BX72" s="14" t="s">
        <v>353</v>
      </c>
      <c r="BY72" s="14" t="s">
        <v>352</v>
      </c>
      <c r="BZ72" s="14" t="s">
        <v>355</v>
      </c>
      <c r="CA72" s="14" t="s">
        <v>354</v>
      </c>
      <c r="CB72" s="14" t="s">
        <v>352</v>
      </c>
      <c r="CC72" s="14" t="s">
        <v>353</v>
      </c>
      <c r="CD72" s="14" t="s">
        <v>356</v>
      </c>
      <c r="CE72" s="14" t="s">
        <v>351</v>
      </c>
      <c r="CF72" s="14" t="s">
        <v>357</v>
      </c>
      <c r="CG72" s="14" t="s">
        <v>420</v>
      </c>
      <c r="CH72" s="14" t="s">
        <v>420</v>
      </c>
      <c r="CI72" s="14" t="s">
        <v>420</v>
      </c>
      <c r="CJ72" s="14" t="s">
        <v>420</v>
      </c>
      <c r="CK72" s="14" t="s">
        <v>391</v>
      </c>
      <c r="CL72" s="14" t="s">
        <v>344</v>
      </c>
      <c r="CM72" s="14" t="s">
        <v>344</v>
      </c>
      <c r="CN72" s="14" t="s">
        <v>344</v>
      </c>
      <c r="CO72" s="14" t="s">
        <v>344</v>
      </c>
      <c r="CP72" s="14" t="s">
        <v>345</v>
      </c>
      <c r="CQ72" s="14" t="s">
        <v>344</v>
      </c>
      <c r="CR72" s="14" t="s">
        <v>667</v>
      </c>
      <c r="CS72" s="14">
        <v>30</v>
      </c>
      <c r="CT72" s="14">
        <v>90</v>
      </c>
      <c r="CU72" s="14"/>
      <c r="CV72" s="14"/>
      <c r="CW72" s="14" t="s">
        <v>395</v>
      </c>
      <c r="CX72" s="14" t="s">
        <v>396</v>
      </c>
      <c r="CY72" s="14" t="s">
        <v>396</v>
      </c>
      <c r="CZ72" s="14" t="s">
        <v>365</v>
      </c>
      <c r="DA72" s="14" t="s">
        <v>397</v>
      </c>
      <c r="DB72" s="14" t="s">
        <v>397</v>
      </c>
      <c r="DC72" s="14" t="s">
        <v>397</v>
      </c>
      <c r="DD72" s="14" t="s">
        <v>365</v>
      </c>
      <c r="DE72" s="14"/>
      <c r="DF72" s="14"/>
      <c r="DG72" s="14"/>
      <c r="DH72" s="14"/>
      <c r="DI72" s="14"/>
      <c r="DJ72" s="14" t="s">
        <v>391</v>
      </c>
      <c r="DK72" s="14" t="s">
        <v>367</v>
      </c>
      <c r="DL72" s="14" t="s">
        <v>368</v>
      </c>
      <c r="DM72" s="14" t="s">
        <v>368</v>
      </c>
      <c r="DN72" s="14" t="s">
        <v>368</v>
      </c>
      <c r="DO72" s="14" t="s">
        <v>368</v>
      </c>
      <c r="DP72" s="14" t="s">
        <v>368</v>
      </c>
      <c r="DQ72" s="14" t="s">
        <v>368</v>
      </c>
      <c r="DR72" s="14" t="s">
        <v>368</v>
      </c>
      <c r="DS72" s="14" t="s">
        <v>345</v>
      </c>
      <c r="DT72" s="14" t="s">
        <v>345</v>
      </c>
      <c r="DU72" s="14" t="s">
        <v>345</v>
      </c>
      <c r="DV72" s="14" t="s">
        <v>345</v>
      </c>
      <c r="DW72" s="14" t="s">
        <v>344</v>
      </c>
      <c r="DX72" s="14" t="s">
        <v>370</v>
      </c>
      <c r="DY72" s="14" t="s">
        <v>370</v>
      </c>
      <c r="DZ72" s="14" t="s">
        <v>370</v>
      </c>
      <c r="EA72" s="14" t="s">
        <v>370</v>
      </c>
      <c r="EB72" s="14" t="s">
        <v>370</v>
      </c>
      <c r="EC72" s="14" t="s">
        <v>370</v>
      </c>
      <c r="ED72" s="14" t="s">
        <v>370</v>
      </c>
      <c r="EE72" s="14" t="s">
        <v>369</v>
      </c>
      <c r="EF72" s="14" t="s">
        <v>369</v>
      </c>
      <c r="EG72" s="14" t="s">
        <v>369</v>
      </c>
      <c r="EH72" s="14" t="s">
        <v>369</v>
      </c>
      <c r="EI72" s="14" t="s">
        <v>369</v>
      </c>
      <c r="EJ72" s="14" t="s">
        <v>369</v>
      </c>
      <c r="EK72" s="14" t="s">
        <v>369</v>
      </c>
      <c r="EL72" s="14" t="s">
        <v>373</v>
      </c>
      <c r="EM72" s="14" t="s">
        <v>440</v>
      </c>
      <c r="EN72" s="14" t="s">
        <v>424</v>
      </c>
      <c r="EO72" s="14"/>
      <c r="EP72" s="14"/>
      <c r="EQ72" s="14" t="s">
        <v>376</v>
      </c>
      <c r="ER72" s="14" t="s">
        <v>391</v>
      </c>
      <c r="ES72" s="14" t="s">
        <v>375</v>
      </c>
      <c r="ET72" s="14" t="s">
        <v>375</v>
      </c>
      <c r="EU72" s="14" t="s">
        <v>375</v>
      </c>
      <c r="EV72" s="14" t="s">
        <v>379</v>
      </c>
      <c r="EW72" s="14"/>
      <c r="EX72" s="14" t="s">
        <v>368</v>
      </c>
      <c r="EY72" s="14" t="s">
        <v>368</v>
      </c>
      <c r="EZ72" s="14" t="s">
        <v>368</v>
      </c>
      <c r="FA72" s="14" t="s">
        <v>345</v>
      </c>
      <c r="FB72" s="14" t="s">
        <v>401</v>
      </c>
      <c r="FC72" s="14"/>
      <c r="FD72" s="14" t="s">
        <v>401</v>
      </c>
      <c r="FE72" s="14"/>
      <c r="FF72" s="14" t="s">
        <v>477</v>
      </c>
      <c r="FG72" s="14" t="s">
        <v>441</v>
      </c>
      <c r="FH72" s="14" t="s">
        <v>432</v>
      </c>
      <c r="FI72" s="14" t="s">
        <v>433</v>
      </c>
      <c r="FJ72" s="14"/>
      <c r="FK72" s="14"/>
      <c r="FL72" s="14"/>
      <c r="FM72" s="14"/>
      <c r="FN72" s="14"/>
      <c r="FO72" s="14"/>
      <c r="FP72" s="14"/>
      <c r="FQ72" s="14"/>
      <c r="FR72" s="14"/>
      <c r="FS72" s="14"/>
      <c r="FT72" s="14"/>
      <c r="FU72" s="14"/>
      <c r="FV72" s="14"/>
      <c r="FW72" s="14"/>
      <c r="FX72" s="14"/>
      <c r="FY72" s="14"/>
      <c r="FZ72" s="14"/>
      <c r="GA72" s="14" t="s">
        <v>368</v>
      </c>
      <c r="GB72" s="14" t="s">
        <v>368</v>
      </c>
      <c r="GC72" s="14" t="s">
        <v>368</v>
      </c>
      <c r="GD72" s="14" t="s">
        <v>368</v>
      </c>
      <c r="GE72" s="14" t="s">
        <v>368</v>
      </c>
      <c r="GF72" s="14" t="s">
        <v>368</v>
      </c>
      <c r="GG72" s="14"/>
      <c r="GH72" s="14"/>
      <c r="GI72" s="14"/>
      <c r="GJ72" s="14"/>
      <c r="GK72" s="14"/>
      <c r="GL72" s="14" t="s">
        <v>344</v>
      </c>
      <c r="GM72" s="14" t="s">
        <v>344</v>
      </c>
      <c r="GN72" s="14" t="s">
        <v>345</v>
      </c>
      <c r="GO72" s="14" t="s">
        <v>344</v>
      </c>
      <c r="GP72" s="14" t="s">
        <v>344</v>
      </c>
      <c r="GQ72" s="14" t="s">
        <v>344</v>
      </c>
      <c r="GR72" s="14" t="s">
        <v>344</v>
      </c>
      <c r="GS72" s="14" t="s">
        <v>344</v>
      </c>
      <c r="GT72" s="14" t="s">
        <v>344</v>
      </c>
      <c r="GU72" s="14" t="s">
        <v>344</v>
      </c>
      <c r="GV72" s="14" t="s">
        <v>345</v>
      </c>
      <c r="GW72" s="14" t="s">
        <v>345</v>
      </c>
      <c r="GX72" s="14" t="s">
        <v>344</v>
      </c>
      <c r="GY72" s="14" t="s">
        <v>344</v>
      </c>
      <c r="GZ72" s="14" t="s">
        <v>344</v>
      </c>
      <c r="HA72" s="14"/>
      <c r="HB72" s="14" t="s">
        <v>344</v>
      </c>
      <c r="HC72" s="14"/>
      <c r="HD72" s="14" t="s">
        <v>344</v>
      </c>
      <c r="HE72" s="14"/>
      <c r="HF72" s="14" t="s">
        <v>344</v>
      </c>
      <c r="HG72" s="14"/>
      <c r="HH72" s="14" t="s">
        <v>344</v>
      </c>
      <c r="HI72" s="14"/>
      <c r="HJ72" s="14" t="s">
        <v>344</v>
      </c>
      <c r="HK72" s="14" t="s">
        <v>344</v>
      </c>
      <c r="HL72" s="14" t="s">
        <v>344</v>
      </c>
      <c r="HM72" s="14" t="s">
        <v>345</v>
      </c>
      <c r="HN72" s="14" t="s">
        <v>344</v>
      </c>
      <c r="HO72" s="14" t="s">
        <v>344</v>
      </c>
      <c r="HP72" s="14" t="s">
        <v>344</v>
      </c>
      <c r="HQ72" s="14" t="s">
        <v>344</v>
      </c>
      <c r="HR72" s="14" t="s">
        <v>344</v>
      </c>
      <c r="HS72" s="14" t="s">
        <v>344</v>
      </c>
      <c r="HT72" s="14" t="s">
        <v>344</v>
      </c>
      <c r="HU72" s="14" t="s">
        <v>345</v>
      </c>
      <c r="HV72" s="14" t="s">
        <v>344</v>
      </c>
      <c r="HW72" s="14" t="s">
        <v>344</v>
      </c>
      <c r="HX72" s="14" t="s">
        <v>344</v>
      </c>
      <c r="HY72" s="14"/>
      <c r="HZ72" s="14" t="s">
        <v>345</v>
      </c>
      <c r="IA72" s="14" t="s">
        <v>742</v>
      </c>
      <c r="IB72" s="14" t="s">
        <v>344</v>
      </c>
      <c r="IC72" s="14"/>
      <c r="ID72" s="14" t="s">
        <v>344</v>
      </c>
      <c r="IE72" s="14"/>
      <c r="IF72" s="14" t="s">
        <v>344</v>
      </c>
      <c r="IG72" s="14"/>
      <c r="IH72" s="14" t="s">
        <v>345</v>
      </c>
      <c r="II72" s="14" t="s">
        <v>345</v>
      </c>
      <c r="IJ72" s="14" t="s">
        <v>345</v>
      </c>
      <c r="IK72" s="14" t="s">
        <v>344</v>
      </c>
      <c r="IL72" s="14" t="s">
        <v>345</v>
      </c>
      <c r="IM72" s="14" t="s">
        <v>344</v>
      </c>
      <c r="IN72" s="14" t="s">
        <v>344</v>
      </c>
      <c r="IO72" s="14" t="s">
        <v>345</v>
      </c>
      <c r="IP72" s="14" t="s">
        <v>344</v>
      </c>
      <c r="IQ72" s="14" t="s">
        <v>344</v>
      </c>
      <c r="IR72" s="14" t="s">
        <v>345</v>
      </c>
      <c r="IS72" s="14" t="s">
        <v>344</v>
      </c>
      <c r="IT72" s="14"/>
      <c r="IU72" s="14"/>
      <c r="IV72" s="14"/>
      <c r="IW72" s="14"/>
      <c r="IX72" s="14"/>
      <c r="IY72" s="14"/>
      <c r="IZ72" s="14"/>
      <c r="JA72" s="14"/>
      <c r="JB72" s="14"/>
      <c r="JC72" s="14"/>
      <c r="JD72" s="14"/>
      <c r="JE72" s="14"/>
      <c r="JF72" s="14"/>
      <c r="JG72" s="14"/>
      <c r="JH72" s="14"/>
    </row>
    <row r="73" spans="1:268" x14ac:dyDescent="0.3">
      <c r="A73" s="13" t="s">
        <v>727</v>
      </c>
      <c r="B73" s="14">
        <v>153</v>
      </c>
      <c r="C73" s="14" t="s">
        <v>743</v>
      </c>
      <c r="D73" s="14">
        <v>14</v>
      </c>
      <c r="E73" s="14" t="s">
        <v>387</v>
      </c>
      <c r="F73" s="14">
        <v>747849879</v>
      </c>
      <c r="G73" s="14" t="s">
        <v>744</v>
      </c>
      <c r="H73" s="14" t="s">
        <v>743</v>
      </c>
      <c r="I73" s="14" t="s">
        <v>730</v>
      </c>
      <c r="J73" s="14">
        <v>22</v>
      </c>
      <c r="K73" s="14" t="s">
        <v>406</v>
      </c>
      <c r="L73" s="14"/>
      <c r="M73" s="14" t="s">
        <v>345</v>
      </c>
      <c r="N73" s="14" t="s">
        <v>344</v>
      </c>
      <c r="O73" s="14" t="s">
        <v>344</v>
      </c>
      <c r="P73" s="14" t="s">
        <v>344</v>
      </c>
      <c r="Q73" s="14" t="s">
        <v>344</v>
      </c>
      <c r="R73" s="14"/>
      <c r="S73" s="14" t="s">
        <v>475</v>
      </c>
      <c r="T73" s="14"/>
      <c r="U73" s="14" t="s">
        <v>343</v>
      </c>
      <c r="V73" s="14" t="s">
        <v>745</v>
      </c>
      <c r="W73" s="14" t="s">
        <v>344</v>
      </c>
      <c r="X73" s="14" t="s">
        <v>345</v>
      </c>
      <c r="Y73" s="14" t="s">
        <v>345</v>
      </c>
      <c r="Z73" s="14" t="s">
        <v>344</v>
      </c>
      <c r="AA73" s="14" t="s">
        <v>345</v>
      </c>
      <c r="AB73" s="14" t="s">
        <v>344</v>
      </c>
      <c r="AC73" s="14" t="s">
        <v>344</v>
      </c>
      <c r="AD73" s="14" t="s">
        <v>345</v>
      </c>
      <c r="AE73" s="14" t="s">
        <v>345</v>
      </c>
      <c r="AF73" s="14" t="s">
        <v>345</v>
      </c>
      <c r="AG73" s="14" t="s">
        <v>344</v>
      </c>
      <c r="AH73" s="14" t="s">
        <v>344</v>
      </c>
      <c r="AI73" s="14" t="s">
        <v>344</v>
      </c>
      <c r="AJ73" s="14" t="s">
        <v>344</v>
      </c>
      <c r="AK73" s="14" t="s">
        <v>345</v>
      </c>
      <c r="AL73" s="14" t="s">
        <v>345</v>
      </c>
      <c r="AM73" s="14" t="s">
        <v>345</v>
      </c>
      <c r="AN73" s="14" t="s">
        <v>344</v>
      </c>
      <c r="AO73" s="14" t="s">
        <v>344</v>
      </c>
      <c r="AP73" s="14" t="s">
        <v>344</v>
      </c>
      <c r="AQ73" s="14" t="s">
        <v>344</v>
      </c>
      <c r="AR73" s="14" t="s">
        <v>344</v>
      </c>
      <c r="AS73" s="14" t="s">
        <v>345</v>
      </c>
      <c r="AT73" s="14" t="s">
        <v>345</v>
      </c>
      <c r="AU73" s="14" t="s">
        <v>344</v>
      </c>
      <c r="AV73" s="14" t="s">
        <v>344</v>
      </c>
      <c r="AW73" s="14" t="s">
        <v>344</v>
      </c>
      <c r="AX73" s="14" t="s">
        <v>344</v>
      </c>
      <c r="AY73" s="14" t="s">
        <v>731</v>
      </c>
      <c r="AZ73" s="14" t="s">
        <v>732</v>
      </c>
      <c r="BA73" s="14" t="s">
        <v>737</v>
      </c>
      <c r="BB73" s="14" t="s">
        <v>733</v>
      </c>
      <c r="BC73" s="14" t="s">
        <v>731</v>
      </c>
      <c r="BD73" s="14" t="s">
        <v>731</v>
      </c>
      <c r="BE73" s="14" t="s">
        <v>349</v>
      </c>
      <c r="BF73" s="14" t="s">
        <v>348</v>
      </c>
      <c r="BG73" s="14" t="s">
        <v>390</v>
      </c>
      <c r="BH73" s="14" t="s">
        <v>349</v>
      </c>
      <c r="BI73" s="14" t="s">
        <v>349</v>
      </c>
      <c r="BJ73" s="14" t="s">
        <v>354</v>
      </c>
      <c r="BK73" s="14" t="s">
        <v>357</v>
      </c>
      <c r="BL73" s="14" t="s">
        <v>356</v>
      </c>
      <c r="BM73" s="14" t="s">
        <v>354</v>
      </c>
      <c r="BN73" s="14" t="s">
        <v>353</v>
      </c>
      <c r="BO73" s="14" t="s">
        <v>355</v>
      </c>
      <c r="BP73" s="14" t="s">
        <v>352</v>
      </c>
      <c r="BQ73" s="14" t="s">
        <v>455</v>
      </c>
      <c r="BR73" s="14" t="s">
        <v>429</v>
      </c>
      <c r="BS73" s="14" t="s">
        <v>355</v>
      </c>
      <c r="BT73" s="14" t="s">
        <v>353</v>
      </c>
      <c r="BU73" s="14" t="s">
        <v>354</v>
      </c>
      <c r="BV73" s="14" t="s">
        <v>357</v>
      </c>
      <c r="BW73" s="14" t="s">
        <v>356</v>
      </c>
      <c r="BX73" s="14" t="s">
        <v>352</v>
      </c>
      <c r="BY73" s="14" t="s">
        <v>351</v>
      </c>
      <c r="BZ73" s="14" t="s">
        <v>352</v>
      </c>
      <c r="CA73" s="14" t="s">
        <v>356</v>
      </c>
      <c r="CB73" s="14" t="s">
        <v>355</v>
      </c>
      <c r="CC73" s="14" t="s">
        <v>354</v>
      </c>
      <c r="CD73" s="14" t="s">
        <v>357</v>
      </c>
      <c r="CE73" s="14" t="s">
        <v>353</v>
      </c>
      <c r="CF73" s="14" t="s">
        <v>351</v>
      </c>
      <c r="CG73" s="14" t="s">
        <v>392</v>
      </c>
      <c r="CH73" s="14" t="s">
        <v>393</v>
      </c>
      <c r="CI73" s="14" t="s">
        <v>420</v>
      </c>
      <c r="CJ73" s="14" t="s">
        <v>392</v>
      </c>
      <c r="CK73" s="14" t="s">
        <v>746</v>
      </c>
      <c r="CL73" s="14" t="s">
        <v>344</v>
      </c>
      <c r="CM73" s="14" t="s">
        <v>344</v>
      </c>
      <c r="CN73" s="14" t="s">
        <v>344</v>
      </c>
      <c r="CO73" s="14" t="s">
        <v>345</v>
      </c>
      <c r="CP73" s="14" t="s">
        <v>344</v>
      </c>
      <c r="CQ73" s="14" t="s">
        <v>344</v>
      </c>
      <c r="CR73" s="14" t="s">
        <v>655</v>
      </c>
      <c r="CS73" s="14">
        <v>70</v>
      </c>
      <c r="CT73" s="14">
        <v>80</v>
      </c>
      <c r="CU73" s="14"/>
      <c r="CV73" s="14"/>
      <c r="CW73" s="14" t="s">
        <v>364</v>
      </c>
      <c r="CX73" s="14" t="s">
        <v>396</v>
      </c>
      <c r="CY73" s="14" t="s">
        <v>396</v>
      </c>
      <c r="CZ73" s="14" t="s">
        <v>397</v>
      </c>
      <c r="DA73" s="14" t="s">
        <v>397</v>
      </c>
      <c r="DB73" s="14" t="s">
        <v>397</v>
      </c>
      <c r="DC73" s="14" t="s">
        <v>366</v>
      </c>
      <c r="DD73" s="14" t="s">
        <v>366</v>
      </c>
      <c r="DE73" s="14"/>
      <c r="DF73" s="14"/>
      <c r="DG73" s="14"/>
      <c r="DH73" s="14"/>
      <c r="DI73" s="14"/>
      <c r="DJ73" s="14"/>
      <c r="DK73" s="14" t="s">
        <v>367</v>
      </c>
      <c r="DL73" s="14" t="s">
        <v>368</v>
      </c>
      <c r="DM73" s="14" t="s">
        <v>368</v>
      </c>
      <c r="DN73" s="14" t="s">
        <v>368</v>
      </c>
      <c r="DO73" s="14" t="s">
        <v>368</v>
      </c>
      <c r="DP73" s="14" t="s">
        <v>345</v>
      </c>
      <c r="DQ73" s="14" t="s">
        <v>344</v>
      </c>
      <c r="DR73" s="14" t="s">
        <v>344</v>
      </c>
      <c r="DS73" s="14" t="s">
        <v>344</v>
      </c>
      <c r="DT73" s="14" t="s">
        <v>344</v>
      </c>
      <c r="DU73" s="14" t="s">
        <v>344</v>
      </c>
      <c r="DV73" s="14" t="s">
        <v>345</v>
      </c>
      <c r="DW73" s="14" t="s">
        <v>344</v>
      </c>
      <c r="DX73" s="14" t="s">
        <v>370</v>
      </c>
      <c r="DY73" s="14" t="s">
        <v>370</v>
      </c>
      <c r="DZ73" s="14" t="s">
        <v>369</v>
      </c>
      <c r="EA73" s="14" t="s">
        <v>370</v>
      </c>
      <c r="EB73" s="14" t="s">
        <v>370</v>
      </c>
      <c r="EC73" s="14" t="s">
        <v>370</v>
      </c>
      <c r="ED73" s="14" t="s">
        <v>370</v>
      </c>
      <c r="EE73" s="14" t="s">
        <v>399</v>
      </c>
      <c r="EF73" s="14" t="s">
        <v>399</v>
      </c>
      <c r="EG73" s="14" t="s">
        <v>369</v>
      </c>
      <c r="EH73" s="14" t="s">
        <v>369</v>
      </c>
      <c r="EI73" s="14" t="s">
        <v>399</v>
      </c>
      <c r="EJ73" s="14" t="s">
        <v>399</v>
      </c>
      <c r="EK73" s="14" t="s">
        <v>399</v>
      </c>
      <c r="EL73" s="14" t="s">
        <v>373</v>
      </c>
      <c r="EM73" s="14" t="s">
        <v>374</v>
      </c>
      <c r="EN73" s="14" t="s">
        <v>372</v>
      </c>
      <c r="EO73" s="14"/>
      <c r="EP73" s="14"/>
      <c r="EQ73" s="14" t="s">
        <v>375</v>
      </c>
      <c r="ER73" s="14" t="s">
        <v>378</v>
      </c>
      <c r="ES73" s="14" t="s">
        <v>375</v>
      </c>
      <c r="ET73" s="14" t="s">
        <v>376</v>
      </c>
      <c r="EU73" s="14" t="s">
        <v>391</v>
      </c>
      <c r="EV73" s="14" t="s">
        <v>484</v>
      </c>
      <c r="EW73" s="14"/>
      <c r="EX73" s="14" t="s">
        <v>368</v>
      </c>
      <c r="EY73" s="14" t="s">
        <v>368</v>
      </c>
      <c r="EZ73" s="14" t="s">
        <v>368</v>
      </c>
      <c r="FA73" s="14" t="s">
        <v>345</v>
      </c>
      <c r="FB73" s="14" t="s">
        <v>401</v>
      </c>
      <c r="FC73" s="14"/>
      <c r="FD73" s="14" t="s">
        <v>401</v>
      </c>
      <c r="FE73" s="14"/>
      <c r="FF73" s="14" t="s">
        <v>382</v>
      </c>
      <c r="FG73" s="14" t="s">
        <v>402</v>
      </c>
      <c r="FH73" s="14" t="s">
        <v>451</v>
      </c>
      <c r="FI73" s="14" t="s">
        <v>403</v>
      </c>
      <c r="FJ73" s="14"/>
      <c r="FK73" s="14"/>
      <c r="FL73" s="14"/>
      <c r="FM73" s="14"/>
      <c r="FN73" s="14"/>
      <c r="FO73" s="14"/>
      <c r="FP73" s="14"/>
      <c r="FQ73" s="14"/>
      <c r="FR73" s="14"/>
      <c r="FS73" s="14"/>
      <c r="FT73" s="14"/>
      <c r="FU73" s="14"/>
      <c r="FV73" s="14"/>
      <c r="FW73" s="14"/>
      <c r="FX73" s="14"/>
      <c r="FY73" s="14"/>
      <c r="FZ73" s="14"/>
      <c r="GA73" s="14" t="s">
        <v>368</v>
      </c>
      <c r="GB73" s="14" t="s">
        <v>368</v>
      </c>
      <c r="GC73" s="14" t="s">
        <v>368</v>
      </c>
      <c r="GD73" s="14" t="s">
        <v>368</v>
      </c>
      <c r="GE73" s="14" t="s">
        <v>368</v>
      </c>
      <c r="GF73" s="14" t="s">
        <v>368</v>
      </c>
      <c r="GG73" s="14"/>
      <c r="GH73" s="14"/>
      <c r="GI73" s="14"/>
      <c r="GJ73" s="14"/>
      <c r="GK73" s="14"/>
      <c r="GL73" s="14" t="s">
        <v>344</v>
      </c>
      <c r="GM73" s="14" t="s">
        <v>344</v>
      </c>
      <c r="GN73" s="14" t="s">
        <v>345</v>
      </c>
      <c r="GO73" s="14" t="s">
        <v>345</v>
      </c>
      <c r="GP73" s="14" t="s">
        <v>344</v>
      </c>
      <c r="GQ73" s="14" t="s">
        <v>344</v>
      </c>
      <c r="GR73" s="14" t="s">
        <v>344</v>
      </c>
      <c r="GS73" s="14" t="s">
        <v>344</v>
      </c>
      <c r="GT73" s="14" t="s">
        <v>345</v>
      </c>
      <c r="GU73" s="14" t="s">
        <v>345</v>
      </c>
      <c r="GV73" s="14" t="s">
        <v>345</v>
      </c>
      <c r="GW73" s="14" t="s">
        <v>345</v>
      </c>
      <c r="GX73" s="14" t="s">
        <v>344</v>
      </c>
      <c r="GY73" s="14" t="s">
        <v>344</v>
      </c>
      <c r="GZ73" s="14" t="s">
        <v>344</v>
      </c>
      <c r="HA73" s="14"/>
      <c r="HB73" s="14" t="s">
        <v>344</v>
      </c>
      <c r="HC73" s="14"/>
      <c r="HD73" s="14" t="s">
        <v>345</v>
      </c>
      <c r="HE73" s="14" t="s">
        <v>747</v>
      </c>
      <c r="HF73" s="14" t="s">
        <v>344</v>
      </c>
      <c r="HG73" s="14"/>
      <c r="HH73" s="14" t="s">
        <v>344</v>
      </c>
      <c r="HI73" s="14"/>
      <c r="HJ73" s="14" t="s">
        <v>344</v>
      </c>
      <c r="HK73" s="14" t="s">
        <v>345</v>
      </c>
      <c r="HL73" s="14" t="s">
        <v>344</v>
      </c>
      <c r="HM73" s="14" t="s">
        <v>345</v>
      </c>
      <c r="HN73" s="14" t="s">
        <v>344</v>
      </c>
      <c r="HO73" s="14" t="s">
        <v>344</v>
      </c>
      <c r="HP73" s="14" t="s">
        <v>344</v>
      </c>
      <c r="HQ73" s="14" t="s">
        <v>344</v>
      </c>
      <c r="HR73" s="14" t="s">
        <v>344</v>
      </c>
      <c r="HS73" s="14" t="s">
        <v>344</v>
      </c>
      <c r="HT73" s="14" t="s">
        <v>344</v>
      </c>
      <c r="HU73" s="14" t="s">
        <v>345</v>
      </c>
      <c r="HV73" s="14" t="s">
        <v>344</v>
      </c>
      <c r="HW73" s="14" t="s">
        <v>344</v>
      </c>
      <c r="HX73" s="14" t="s">
        <v>344</v>
      </c>
      <c r="HY73" s="14"/>
      <c r="HZ73" s="14" t="s">
        <v>344</v>
      </c>
      <c r="IA73" s="14"/>
      <c r="IB73" s="14" t="s">
        <v>344</v>
      </c>
      <c r="IC73" s="14"/>
      <c r="ID73" s="14" t="s">
        <v>344</v>
      </c>
      <c r="IE73" s="14"/>
      <c r="IF73" s="14" t="s">
        <v>344</v>
      </c>
      <c r="IG73" s="14"/>
      <c r="IH73" s="14" t="s">
        <v>344</v>
      </c>
      <c r="II73" s="14" t="s">
        <v>345</v>
      </c>
      <c r="IJ73" s="14" t="s">
        <v>345</v>
      </c>
      <c r="IK73" s="14" t="s">
        <v>344</v>
      </c>
      <c r="IL73" s="14" t="s">
        <v>345</v>
      </c>
      <c r="IM73" s="14" t="s">
        <v>344</v>
      </c>
      <c r="IN73" s="14" t="s">
        <v>344</v>
      </c>
      <c r="IO73" s="14" t="s">
        <v>345</v>
      </c>
      <c r="IP73" s="14" t="s">
        <v>345</v>
      </c>
      <c r="IQ73" s="14" t="s">
        <v>344</v>
      </c>
      <c r="IR73" s="14" t="s">
        <v>345</v>
      </c>
      <c r="IS73" s="14" t="s">
        <v>344</v>
      </c>
      <c r="IT73" s="14" t="s">
        <v>748</v>
      </c>
      <c r="IU73" s="14"/>
      <c r="IV73" s="14"/>
      <c r="IW73" s="14"/>
      <c r="IX73" s="14"/>
      <c r="IY73" s="14"/>
      <c r="IZ73" s="14"/>
      <c r="JA73" s="14"/>
      <c r="JB73" s="14"/>
      <c r="JC73" s="14"/>
      <c r="JD73" s="14"/>
      <c r="JE73" s="14"/>
      <c r="JF73" s="14"/>
      <c r="JG73" s="14"/>
      <c r="JH73" s="14"/>
    </row>
    <row r="74" spans="1:268" x14ac:dyDescent="0.3">
      <c r="A74" s="13" t="s">
        <v>727</v>
      </c>
      <c r="B74" s="14">
        <v>154</v>
      </c>
      <c r="C74" s="14" t="s">
        <v>749</v>
      </c>
      <c r="D74" s="14">
        <v>14</v>
      </c>
      <c r="E74" s="14" t="s">
        <v>387</v>
      </c>
      <c r="F74" s="14">
        <v>1082874631</v>
      </c>
      <c r="G74" s="14" t="s">
        <v>750</v>
      </c>
      <c r="H74" s="14" t="s">
        <v>749</v>
      </c>
      <c r="I74" s="14" t="s">
        <v>730</v>
      </c>
      <c r="J74" s="14">
        <v>21</v>
      </c>
      <c r="K74" s="14" t="s">
        <v>389</v>
      </c>
      <c r="L74" s="14"/>
      <c r="M74" s="14" t="s">
        <v>345</v>
      </c>
      <c r="N74" s="14" t="s">
        <v>344</v>
      </c>
      <c r="O74" s="14" t="s">
        <v>344</v>
      </c>
      <c r="P74" s="14" t="s">
        <v>344</v>
      </c>
      <c r="Q74" s="14" t="s">
        <v>344</v>
      </c>
      <c r="R74" s="14"/>
      <c r="S74" s="14" t="s">
        <v>475</v>
      </c>
      <c r="T74" s="14"/>
      <c r="U74" s="14" t="s">
        <v>347</v>
      </c>
      <c r="V74" s="14"/>
      <c r="W74" s="14" t="s">
        <v>344</v>
      </c>
      <c r="X74" s="14" t="s">
        <v>345</v>
      </c>
      <c r="Y74" s="14" t="s">
        <v>344</v>
      </c>
      <c r="Z74" s="14" t="s">
        <v>344</v>
      </c>
      <c r="AA74" s="14" t="s">
        <v>344</v>
      </c>
      <c r="AB74" s="14" t="s">
        <v>344</v>
      </c>
      <c r="AC74" s="14" t="s">
        <v>344</v>
      </c>
      <c r="AD74" s="14" t="s">
        <v>345</v>
      </c>
      <c r="AE74" s="14" t="s">
        <v>345</v>
      </c>
      <c r="AF74" s="14" t="s">
        <v>344</v>
      </c>
      <c r="AG74" s="14" t="s">
        <v>344</v>
      </c>
      <c r="AH74" s="14" t="s">
        <v>344</v>
      </c>
      <c r="AI74" s="14" t="s">
        <v>344</v>
      </c>
      <c r="AJ74" s="14" t="s">
        <v>344</v>
      </c>
      <c r="AK74" s="14" t="s">
        <v>345</v>
      </c>
      <c r="AL74" s="14" t="s">
        <v>344</v>
      </c>
      <c r="AM74" s="14" t="s">
        <v>345</v>
      </c>
      <c r="AN74" s="14" t="s">
        <v>344</v>
      </c>
      <c r="AO74" s="14" t="s">
        <v>344</v>
      </c>
      <c r="AP74" s="14" t="s">
        <v>344</v>
      </c>
      <c r="AQ74" s="14" t="s">
        <v>344</v>
      </c>
      <c r="AR74" s="14" t="s">
        <v>345</v>
      </c>
      <c r="AS74" s="14" t="s">
        <v>344</v>
      </c>
      <c r="AT74" s="14" t="s">
        <v>344</v>
      </c>
      <c r="AU74" s="14" t="s">
        <v>344</v>
      </c>
      <c r="AV74" s="14" t="s">
        <v>345</v>
      </c>
      <c r="AW74" s="14" t="s">
        <v>344</v>
      </c>
      <c r="AX74" s="14" t="s">
        <v>344</v>
      </c>
      <c r="AY74" s="14" t="s">
        <v>733</v>
      </c>
      <c r="AZ74" s="14" t="s">
        <v>732</v>
      </c>
      <c r="BA74" s="14" t="s">
        <v>733</v>
      </c>
      <c r="BB74" s="14" t="s">
        <v>731</v>
      </c>
      <c r="BC74" s="14" t="s">
        <v>732</v>
      </c>
      <c r="BD74" s="14" t="s">
        <v>731</v>
      </c>
      <c r="BE74" s="14" t="s">
        <v>348</v>
      </c>
      <c r="BF74" s="14" t="s">
        <v>390</v>
      </c>
      <c r="BG74" s="14" t="s">
        <v>348</v>
      </c>
      <c r="BH74" s="14" t="s">
        <v>349</v>
      </c>
      <c r="BI74" s="14" t="s">
        <v>349</v>
      </c>
      <c r="BJ74" s="14" t="s">
        <v>391</v>
      </c>
      <c r="BK74" s="14" t="s">
        <v>391</v>
      </c>
      <c r="BL74" s="14" t="s">
        <v>391</v>
      </c>
      <c r="BM74" s="14" t="s">
        <v>391</v>
      </c>
      <c r="BN74" s="14" t="s">
        <v>391</v>
      </c>
      <c r="BO74" s="14" t="s">
        <v>391</v>
      </c>
      <c r="BP74" s="14" t="s">
        <v>391</v>
      </c>
      <c r="BQ74" s="14" t="s">
        <v>358</v>
      </c>
      <c r="BR74" s="14" t="s">
        <v>408</v>
      </c>
      <c r="BS74" s="14" t="s">
        <v>391</v>
      </c>
      <c r="BT74" s="14" t="s">
        <v>391</v>
      </c>
      <c r="BU74" s="14" t="s">
        <v>391</v>
      </c>
      <c r="BV74" s="14" t="s">
        <v>391</v>
      </c>
      <c r="BW74" s="14" t="s">
        <v>391</v>
      </c>
      <c r="BX74" s="14" t="s">
        <v>391</v>
      </c>
      <c r="BY74" s="14" t="s">
        <v>391</v>
      </c>
      <c r="BZ74" s="14" t="s">
        <v>391</v>
      </c>
      <c r="CA74" s="14" t="s">
        <v>391</v>
      </c>
      <c r="CB74" s="14" t="s">
        <v>391</v>
      </c>
      <c r="CC74" s="14" t="s">
        <v>391</v>
      </c>
      <c r="CD74" s="14" t="s">
        <v>391</v>
      </c>
      <c r="CE74" s="14" t="s">
        <v>391</v>
      </c>
      <c r="CF74" s="14" t="s">
        <v>391</v>
      </c>
      <c r="CG74" s="14" t="s">
        <v>392</v>
      </c>
      <c r="CH74" s="14" t="s">
        <v>392</v>
      </c>
      <c r="CI74" s="14" t="s">
        <v>360</v>
      </c>
      <c r="CJ74" s="14" t="s">
        <v>392</v>
      </c>
      <c r="CK74" s="14" t="s">
        <v>751</v>
      </c>
      <c r="CL74" s="14" t="s">
        <v>345</v>
      </c>
      <c r="CM74" s="14" t="s">
        <v>344</v>
      </c>
      <c r="CN74" s="14" t="s">
        <v>344</v>
      </c>
      <c r="CO74" s="14" t="s">
        <v>345</v>
      </c>
      <c r="CP74" s="14" t="s">
        <v>345</v>
      </c>
      <c r="CQ74" s="14" t="s">
        <v>344</v>
      </c>
      <c r="CR74" s="14" t="s">
        <v>655</v>
      </c>
      <c r="CS74" s="14">
        <v>80</v>
      </c>
      <c r="CT74" s="14">
        <v>90</v>
      </c>
      <c r="CU74" s="14"/>
      <c r="CV74" s="14"/>
      <c r="CW74" s="14" t="s">
        <v>363</v>
      </c>
      <c r="CX74" s="14" t="s">
        <v>395</v>
      </c>
      <c r="CY74" s="14" t="s">
        <v>396</v>
      </c>
      <c r="CZ74" s="14" t="s">
        <v>397</v>
      </c>
      <c r="DA74" s="14" t="s">
        <v>397</v>
      </c>
      <c r="DB74" s="14" t="s">
        <v>397</v>
      </c>
      <c r="DC74" s="14" t="s">
        <v>366</v>
      </c>
      <c r="DD74" s="14" t="s">
        <v>365</v>
      </c>
      <c r="DE74" s="14"/>
      <c r="DF74" s="14"/>
      <c r="DG74" s="14"/>
      <c r="DH74" s="14"/>
      <c r="DI74" s="14"/>
      <c r="DJ74" s="14" t="s">
        <v>752</v>
      </c>
      <c r="DK74" s="14" t="s">
        <v>367</v>
      </c>
      <c r="DL74" s="14" t="s">
        <v>368</v>
      </c>
      <c r="DM74" s="14" t="s">
        <v>368</v>
      </c>
      <c r="DN74" s="14" t="s">
        <v>368</v>
      </c>
      <c r="DO74" s="14" t="s">
        <v>368</v>
      </c>
      <c r="DP74" s="14" t="s">
        <v>345</v>
      </c>
      <c r="DQ74" s="14" t="s">
        <v>344</v>
      </c>
      <c r="DR74" s="14" t="s">
        <v>344</v>
      </c>
      <c r="DS74" s="14" t="s">
        <v>344</v>
      </c>
      <c r="DT74" s="14" t="s">
        <v>345</v>
      </c>
      <c r="DU74" s="14" t="s">
        <v>345</v>
      </c>
      <c r="DV74" s="14" t="s">
        <v>344</v>
      </c>
      <c r="DW74" s="14" t="s">
        <v>344</v>
      </c>
      <c r="DX74" s="14" t="s">
        <v>370</v>
      </c>
      <c r="DY74" s="14" t="s">
        <v>370</v>
      </c>
      <c r="DZ74" s="14" t="s">
        <v>370</v>
      </c>
      <c r="EA74" s="14" t="s">
        <v>370</v>
      </c>
      <c r="EB74" s="14" t="s">
        <v>370</v>
      </c>
      <c r="EC74" s="14" t="s">
        <v>371</v>
      </c>
      <c r="ED74" s="14" t="s">
        <v>370</v>
      </c>
      <c r="EE74" s="14" t="s">
        <v>399</v>
      </c>
      <c r="EF74" s="14" t="s">
        <v>369</v>
      </c>
      <c r="EG74" s="14" t="s">
        <v>369</v>
      </c>
      <c r="EH74" s="14" t="s">
        <v>369</v>
      </c>
      <c r="EI74" s="14" t="s">
        <v>369</v>
      </c>
      <c r="EJ74" s="14" t="s">
        <v>369</v>
      </c>
      <c r="EK74" s="14" t="s">
        <v>369</v>
      </c>
      <c r="EL74" s="14" t="s">
        <v>424</v>
      </c>
      <c r="EM74" s="14" t="s">
        <v>372</v>
      </c>
      <c r="EN74" s="14" t="s">
        <v>374</v>
      </c>
      <c r="EO74" s="14"/>
      <c r="EP74" s="14"/>
      <c r="EQ74" s="14" t="s">
        <v>376</v>
      </c>
      <c r="ER74" s="14" t="s">
        <v>376</v>
      </c>
      <c r="ES74" s="14" t="s">
        <v>376</v>
      </c>
      <c r="ET74" s="14" t="s">
        <v>376</v>
      </c>
      <c r="EU74" s="14" t="s">
        <v>378</v>
      </c>
      <c r="EV74" s="14" t="s">
        <v>379</v>
      </c>
      <c r="EW74" s="14"/>
      <c r="EX74" s="14" t="s">
        <v>368</v>
      </c>
      <c r="EY74" s="14" t="s">
        <v>368</v>
      </c>
      <c r="EZ74" s="14" t="s">
        <v>368</v>
      </c>
      <c r="FA74" s="14" t="s">
        <v>345</v>
      </c>
      <c r="FB74" s="14" t="s">
        <v>401</v>
      </c>
      <c r="FC74" s="14"/>
      <c r="FD74" s="14" t="s">
        <v>401</v>
      </c>
      <c r="FE74" s="14"/>
      <c r="FF74" s="14" t="s">
        <v>382</v>
      </c>
      <c r="FG74" s="14" t="s">
        <v>441</v>
      </c>
      <c r="FH74" s="14" t="s">
        <v>432</v>
      </c>
      <c r="FI74" s="14" t="s">
        <v>433</v>
      </c>
      <c r="FJ74" s="14"/>
      <c r="FK74" s="14"/>
      <c r="FL74" s="14"/>
      <c r="FM74" s="14"/>
      <c r="FN74" s="14"/>
      <c r="FO74" s="14"/>
      <c r="FP74" s="14"/>
      <c r="FQ74" s="14"/>
      <c r="FR74" s="14"/>
      <c r="FS74" s="14"/>
      <c r="FT74" s="14"/>
      <c r="FU74" s="14"/>
      <c r="FV74" s="14"/>
      <c r="FW74" s="14"/>
      <c r="FX74" s="14"/>
      <c r="FY74" s="14"/>
      <c r="FZ74" s="14"/>
      <c r="GA74" s="14" t="s">
        <v>368</v>
      </c>
      <c r="GB74" s="14" t="s">
        <v>368</v>
      </c>
      <c r="GC74" s="14" t="s">
        <v>368</v>
      </c>
      <c r="GD74" s="14" t="s">
        <v>368</v>
      </c>
      <c r="GE74" s="14" t="s">
        <v>368</v>
      </c>
      <c r="GF74" s="14" t="s">
        <v>368</v>
      </c>
      <c r="GG74" s="14"/>
      <c r="GH74" s="14"/>
      <c r="GI74" s="14"/>
      <c r="GJ74" s="14"/>
      <c r="GK74" s="14"/>
      <c r="GL74" s="14" t="s">
        <v>344</v>
      </c>
      <c r="GM74" s="14" t="s">
        <v>344</v>
      </c>
      <c r="GN74" s="14" t="s">
        <v>344</v>
      </c>
      <c r="GO74" s="14" t="s">
        <v>344</v>
      </c>
      <c r="GP74" s="14" t="s">
        <v>344</v>
      </c>
      <c r="GQ74" s="14" t="s">
        <v>344</v>
      </c>
      <c r="GR74" s="14" t="s">
        <v>344</v>
      </c>
      <c r="GS74" s="14" t="s">
        <v>344</v>
      </c>
      <c r="GT74" s="14" t="s">
        <v>344</v>
      </c>
      <c r="GU74" s="14" t="s">
        <v>344</v>
      </c>
      <c r="GV74" s="14" t="s">
        <v>344</v>
      </c>
      <c r="GW74" s="14" t="s">
        <v>344</v>
      </c>
      <c r="GX74" s="14" t="s">
        <v>344</v>
      </c>
      <c r="GY74" s="14" t="s">
        <v>344</v>
      </c>
      <c r="GZ74" s="14" t="s">
        <v>345</v>
      </c>
      <c r="HA74" s="14"/>
      <c r="HB74" s="14" t="s">
        <v>344</v>
      </c>
      <c r="HC74" s="14"/>
      <c r="HD74" s="14" t="s">
        <v>344</v>
      </c>
      <c r="HE74" s="14"/>
      <c r="HF74" s="14" t="s">
        <v>344</v>
      </c>
      <c r="HG74" s="14"/>
      <c r="HH74" s="14" t="s">
        <v>344</v>
      </c>
      <c r="HI74" s="14"/>
      <c r="HJ74" s="14" t="s">
        <v>345</v>
      </c>
      <c r="HK74" s="14" t="s">
        <v>345</v>
      </c>
      <c r="HL74" s="14" t="s">
        <v>344</v>
      </c>
      <c r="HM74" s="14" t="s">
        <v>344</v>
      </c>
      <c r="HN74" s="14" t="s">
        <v>344</v>
      </c>
      <c r="HO74" s="14" t="s">
        <v>344</v>
      </c>
      <c r="HP74" s="14" t="s">
        <v>344</v>
      </c>
      <c r="HQ74" s="14" t="s">
        <v>344</v>
      </c>
      <c r="HR74" s="14" t="s">
        <v>344</v>
      </c>
      <c r="HS74" s="14" t="s">
        <v>344</v>
      </c>
      <c r="HT74" s="14" t="s">
        <v>344</v>
      </c>
      <c r="HU74" s="14" t="s">
        <v>344</v>
      </c>
      <c r="HV74" s="14" t="s">
        <v>344</v>
      </c>
      <c r="HW74" s="14" t="s">
        <v>344</v>
      </c>
      <c r="HX74" s="14" t="s">
        <v>344</v>
      </c>
      <c r="HY74" s="14"/>
      <c r="HZ74" s="14" t="s">
        <v>344</v>
      </c>
      <c r="IA74" s="14"/>
      <c r="IB74" s="14" t="s">
        <v>344</v>
      </c>
      <c r="IC74" s="14"/>
      <c r="ID74" s="14" t="s">
        <v>344</v>
      </c>
      <c r="IE74" s="14"/>
      <c r="IF74" s="14" t="s">
        <v>344</v>
      </c>
      <c r="IG74" s="14"/>
      <c r="IH74" s="14" t="s">
        <v>344</v>
      </c>
      <c r="II74" s="14" t="s">
        <v>344</v>
      </c>
      <c r="IJ74" s="14" t="s">
        <v>344</v>
      </c>
      <c r="IK74" s="14" t="s">
        <v>344</v>
      </c>
      <c r="IL74" s="14" t="s">
        <v>345</v>
      </c>
      <c r="IM74" s="14" t="s">
        <v>344</v>
      </c>
      <c r="IN74" s="14" t="s">
        <v>344</v>
      </c>
      <c r="IO74" s="14" t="s">
        <v>345</v>
      </c>
      <c r="IP74" s="14" t="s">
        <v>345</v>
      </c>
      <c r="IQ74" s="14" t="s">
        <v>344</v>
      </c>
      <c r="IR74" s="14" t="s">
        <v>344</v>
      </c>
      <c r="IS74" s="14" t="s">
        <v>344</v>
      </c>
      <c r="IT74" s="14"/>
      <c r="IU74" s="14" t="s">
        <v>753</v>
      </c>
      <c r="IV74" s="14"/>
      <c r="IW74" s="14"/>
      <c r="IX74" s="14"/>
      <c r="IY74" s="14"/>
      <c r="IZ74" s="14"/>
      <c r="JA74" s="14"/>
      <c r="JB74" s="14"/>
      <c r="JC74" s="14"/>
      <c r="JD74" s="14"/>
      <c r="JE74" s="14"/>
      <c r="JF74" s="14"/>
      <c r="JG74" s="14"/>
      <c r="JH74" s="14"/>
    </row>
    <row r="75" spans="1:268" x14ac:dyDescent="0.3">
      <c r="A75" s="13" t="s">
        <v>727</v>
      </c>
      <c r="B75" s="14">
        <v>155</v>
      </c>
      <c r="C75" s="14" t="s">
        <v>754</v>
      </c>
      <c r="D75" s="14">
        <v>14</v>
      </c>
      <c r="E75" s="14" t="s">
        <v>387</v>
      </c>
      <c r="F75" s="14">
        <v>1806381837</v>
      </c>
      <c r="G75" s="14" t="s">
        <v>755</v>
      </c>
      <c r="H75" s="14" t="s">
        <v>754</v>
      </c>
      <c r="I75" s="14" t="s">
        <v>730</v>
      </c>
      <c r="J75" s="14">
        <v>21</v>
      </c>
      <c r="K75" s="14" t="s">
        <v>389</v>
      </c>
      <c r="L75" s="14"/>
      <c r="M75" s="14" t="s">
        <v>345</v>
      </c>
      <c r="N75" s="14" t="s">
        <v>344</v>
      </c>
      <c r="O75" s="14" t="s">
        <v>344</v>
      </c>
      <c r="P75" s="14" t="s">
        <v>344</v>
      </c>
      <c r="Q75" s="14" t="s">
        <v>344</v>
      </c>
      <c r="R75" s="14"/>
      <c r="S75" s="14" t="s">
        <v>475</v>
      </c>
      <c r="T75" s="14"/>
      <c r="U75" s="14" t="s">
        <v>343</v>
      </c>
      <c r="V75" s="14" t="s">
        <v>756</v>
      </c>
      <c r="W75" s="14" t="s">
        <v>344</v>
      </c>
      <c r="X75" s="14" t="s">
        <v>344</v>
      </c>
      <c r="Y75" s="14" t="s">
        <v>345</v>
      </c>
      <c r="Z75" s="14" t="s">
        <v>344</v>
      </c>
      <c r="AA75" s="14" t="s">
        <v>345</v>
      </c>
      <c r="AB75" s="14" t="s">
        <v>344</v>
      </c>
      <c r="AC75" s="14" t="s">
        <v>344</v>
      </c>
      <c r="AD75" s="14" t="s">
        <v>345</v>
      </c>
      <c r="AE75" s="14" t="s">
        <v>344</v>
      </c>
      <c r="AF75" s="14" t="s">
        <v>344</v>
      </c>
      <c r="AG75" s="14" t="s">
        <v>344</v>
      </c>
      <c r="AH75" s="14" t="s">
        <v>344</v>
      </c>
      <c r="AI75" s="14" t="s">
        <v>344</v>
      </c>
      <c r="AJ75" s="14" t="s">
        <v>344</v>
      </c>
      <c r="AK75" s="14" t="s">
        <v>368</v>
      </c>
      <c r="AL75" s="14" t="s">
        <v>368</v>
      </c>
      <c r="AM75" s="14" t="s">
        <v>368</v>
      </c>
      <c r="AN75" s="14" t="s">
        <v>368</v>
      </c>
      <c r="AO75" s="14" t="s">
        <v>368</v>
      </c>
      <c r="AP75" s="14" t="s">
        <v>368</v>
      </c>
      <c r="AQ75" s="14" t="s">
        <v>345</v>
      </c>
      <c r="AR75" s="14" t="s">
        <v>345</v>
      </c>
      <c r="AS75" s="14" t="s">
        <v>345</v>
      </c>
      <c r="AT75" s="14" t="s">
        <v>344</v>
      </c>
      <c r="AU75" s="14" t="s">
        <v>344</v>
      </c>
      <c r="AV75" s="14" t="s">
        <v>345</v>
      </c>
      <c r="AW75" s="14" t="s">
        <v>344</v>
      </c>
      <c r="AX75" s="14" t="s">
        <v>344</v>
      </c>
      <c r="AY75" s="14" t="s">
        <v>391</v>
      </c>
      <c r="AZ75" s="14" t="s">
        <v>391</v>
      </c>
      <c r="BA75" s="14" t="s">
        <v>731</v>
      </c>
      <c r="BB75" s="14" t="s">
        <v>391</v>
      </c>
      <c r="BC75" s="14" t="s">
        <v>737</v>
      </c>
      <c r="BD75" s="14" t="s">
        <v>737</v>
      </c>
      <c r="BE75" s="14" t="s">
        <v>349</v>
      </c>
      <c r="BF75" s="14" t="s">
        <v>349</v>
      </c>
      <c r="BG75" s="14" t="s">
        <v>390</v>
      </c>
      <c r="BH75" s="14" t="s">
        <v>390</v>
      </c>
      <c r="BI75" s="14" t="s">
        <v>390</v>
      </c>
      <c r="BJ75" s="14" t="s">
        <v>352</v>
      </c>
      <c r="BK75" s="14" t="s">
        <v>356</v>
      </c>
      <c r="BL75" s="14" t="s">
        <v>357</v>
      </c>
      <c r="BM75" s="14" t="s">
        <v>391</v>
      </c>
      <c r="BN75" s="14" t="s">
        <v>357</v>
      </c>
      <c r="BO75" s="14" t="s">
        <v>356</v>
      </c>
      <c r="BP75" s="14" t="s">
        <v>391</v>
      </c>
      <c r="BQ75" s="14" t="s">
        <v>419</v>
      </c>
      <c r="BR75" s="14" t="s">
        <v>408</v>
      </c>
      <c r="BS75" s="14" t="s">
        <v>354</v>
      </c>
      <c r="BT75" s="14" t="s">
        <v>391</v>
      </c>
      <c r="BU75" s="14" t="s">
        <v>356</v>
      </c>
      <c r="BV75" s="14" t="s">
        <v>351</v>
      </c>
      <c r="BW75" s="14" t="s">
        <v>355</v>
      </c>
      <c r="BX75" s="14" t="s">
        <v>351</v>
      </c>
      <c r="BY75" s="14" t="s">
        <v>391</v>
      </c>
      <c r="BZ75" s="14" t="s">
        <v>353</v>
      </c>
      <c r="CA75" s="14" t="s">
        <v>356</v>
      </c>
      <c r="CB75" s="14" t="s">
        <v>357</v>
      </c>
      <c r="CC75" s="14" t="s">
        <v>391</v>
      </c>
      <c r="CD75" s="14" t="s">
        <v>356</v>
      </c>
      <c r="CE75" s="14" t="s">
        <v>391</v>
      </c>
      <c r="CF75" s="14" t="s">
        <v>391</v>
      </c>
      <c r="CG75" s="14" t="s">
        <v>420</v>
      </c>
      <c r="CH75" s="14" t="s">
        <v>421</v>
      </c>
      <c r="CI75" s="14" t="s">
        <v>392</v>
      </c>
      <c r="CJ75" s="14" t="s">
        <v>421</v>
      </c>
      <c r="CK75" s="14" t="s">
        <v>757</v>
      </c>
      <c r="CL75" s="14" t="s">
        <v>344</v>
      </c>
      <c r="CM75" s="14" t="s">
        <v>344</v>
      </c>
      <c r="CN75" s="14" t="s">
        <v>344</v>
      </c>
      <c r="CO75" s="14" t="s">
        <v>344</v>
      </c>
      <c r="CP75" s="14" t="s">
        <v>345</v>
      </c>
      <c r="CQ75" s="14" t="s">
        <v>344</v>
      </c>
      <c r="CR75" s="14" t="s">
        <v>655</v>
      </c>
      <c r="CS75" s="14">
        <v>27</v>
      </c>
      <c r="CT75" s="14">
        <v>100</v>
      </c>
      <c r="CU75" s="14"/>
      <c r="CV75" s="14"/>
      <c r="CW75" s="14" t="s">
        <v>363</v>
      </c>
      <c r="CX75" s="14" t="s">
        <v>396</v>
      </c>
      <c r="CY75" s="14" t="s">
        <v>396</v>
      </c>
      <c r="CZ75" s="14" t="s">
        <v>397</v>
      </c>
      <c r="DA75" s="14" t="s">
        <v>397</v>
      </c>
      <c r="DB75" s="14" t="s">
        <v>397</v>
      </c>
      <c r="DC75" s="14" t="s">
        <v>397</v>
      </c>
      <c r="DD75" s="14" t="s">
        <v>397</v>
      </c>
      <c r="DE75" s="14"/>
      <c r="DF75" s="14"/>
      <c r="DG75" s="14"/>
      <c r="DH75" s="14"/>
      <c r="DI75" s="14"/>
      <c r="DJ75" s="14"/>
      <c r="DK75" s="14" t="s">
        <v>367</v>
      </c>
      <c r="DL75" s="14" t="s">
        <v>368</v>
      </c>
      <c r="DM75" s="14" t="s">
        <v>368</v>
      </c>
      <c r="DN75" s="14" t="s">
        <v>368</v>
      </c>
      <c r="DO75" s="14" t="s">
        <v>368</v>
      </c>
      <c r="DP75" s="14" t="s">
        <v>368</v>
      </c>
      <c r="DQ75" s="14" t="s">
        <v>368</v>
      </c>
      <c r="DR75" s="14" t="s">
        <v>368</v>
      </c>
      <c r="DS75" s="14" t="s">
        <v>345</v>
      </c>
      <c r="DT75" s="14" t="s">
        <v>345</v>
      </c>
      <c r="DU75" s="14" t="s">
        <v>344</v>
      </c>
      <c r="DV75" s="14" t="s">
        <v>345</v>
      </c>
      <c r="DW75" s="14" t="s">
        <v>344</v>
      </c>
      <c r="DX75" s="14" t="s">
        <v>370</v>
      </c>
      <c r="DY75" s="14" t="s">
        <v>370</v>
      </c>
      <c r="DZ75" s="14" t="s">
        <v>370</v>
      </c>
      <c r="EA75" s="14" t="s">
        <v>371</v>
      </c>
      <c r="EB75" s="14" t="s">
        <v>370</v>
      </c>
      <c r="EC75" s="14" t="s">
        <v>370</v>
      </c>
      <c r="ED75" s="14" t="s">
        <v>370</v>
      </c>
      <c r="EE75" s="14" t="s">
        <v>369</v>
      </c>
      <c r="EF75" s="14" t="s">
        <v>369</v>
      </c>
      <c r="EG75" s="14" t="s">
        <v>369</v>
      </c>
      <c r="EH75" s="14" t="s">
        <v>369</v>
      </c>
      <c r="EI75" s="14" t="s">
        <v>369</v>
      </c>
      <c r="EJ75" s="14" t="s">
        <v>369</v>
      </c>
      <c r="EK75" s="14" t="s">
        <v>399</v>
      </c>
      <c r="EL75" s="14" t="s">
        <v>373</v>
      </c>
      <c r="EM75" s="14" t="s">
        <v>372</v>
      </c>
      <c r="EN75" s="14" t="s">
        <v>424</v>
      </c>
      <c r="EO75" s="14"/>
      <c r="EP75" s="14"/>
      <c r="EQ75" s="14" t="s">
        <v>376</v>
      </c>
      <c r="ER75" s="14" t="s">
        <v>411</v>
      </c>
      <c r="ES75" s="14" t="s">
        <v>376</v>
      </c>
      <c r="ET75" s="14" t="s">
        <v>391</v>
      </c>
      <c r="EU75" s="14" t="s">
        <v>376</v>
      </c>
      <c r="EV75" s="14" t="s">
        <v>379</v>
      </c>
      <c r="EW75" s="14"/>
      <c r="EX75" s="14" t="s">
        <v>368</v>
      </c>
      <c r="EY75" s="14" t="s">
        <v>368</v>
      </c>
      <c r="EZ75" s="14" t="s">
        <v>368</v>
      </c>
      <c r="FA75" s="14" t="s">
        <v>345</v>
      </c>
      <c r="FB75" s="14" t="s">
        <v>401</v>
      </c>
      <c r="FC75" s="14"/>
      <c r="FD75" s="14" t="s">
        <v>401</v>
      </c>
      <c r="FE75" s="14"/>
      <c r="FF75" s="14" t="s">
        <v>382</v>
      </c>
      <c r="FG75" s="14" t="s">
        <v>402</v>
      </c>
      <c r="FH75" s="14" t="s">
        <v>432</v>
      </c>
      <c r="FI75" s="14" t="s">
        <v>433</v>
      </c>
      <c r="FJ75" s="14"/>
      <c r="FK75" s="14"/>
      <c r="FL75" s="14"/>
      <c r="FM75" s="14"/>
      <c r="FN75" s="14"/>
      <c r="FO75" s="14"/>
      <c r="FP75" s="14"/>
      <c r="FQ75" s="14"/>
      <c r="FR75" s="14"/>
      <c r="FS75" s="14"/>
      <c r="FT75" s="14"/>
      <c r="FU75" s="14"/>
      <c r="FV75" s="14"/>
      <c r="FW75" s="14"/>
      <c r="FX75" s="14"/>
      <c r="FY75" s="14"/>
      <c r="FZ75" s="14"/>
      <c r="GA75" s="14" t="s">
        <v>368</v>
      </c>
      <c r="GB75" s="14" t="s">
        <v>368</v>
      </c>
      <c r="GC75" s="14" t="s">
        <v>368</v>
      </c>
      <c r="GD75" s="14" t="s">
        <v>368</v>
      </c>
      <c r="GE75" s="14" t="s">
        <v>368</v>
      </c>
      <c r="GF75" s="14" t="s">
        <v>368</v>
      </c>
      <c r="GG75" s="14"/>
      <c r="GH75" s="14"/>
      <c r="GI75" s="14"/>
      <c r="GJ75" s="14"/>
      <c r="GK75" s="14"/>
      <c r="GL75" s="14" t="s">
        <v>344</v>
      </c>
      <c r="GM75" s="14" t="s">
        <v>344</v>
      </c>
      <c r="GN75" s="14" t="s">
        <v>345</v>
      </c>
      <c r="GO75" s="14" t="s">
        <v>344</v>
      </c>
      <c r="GP75" s="14" t="s">
        <v>344</v>
      </c>
      <c r="GQ75" s="14" t="s">
        <v>344</v>
      </c>
      <c r="GR75" s="14" t="s">
        <v>344</v>
      </c>
      <c r="GS75" s="14" t="s">
        <v>344</v>
      </c>
      <c r="GT75" s="14" t="s">
        <v>345</v>
      </c>
      <c r="GU75" s="14" t="s">
        <v>344</v>
      </c>
      <c r="GV75" s="14" t="s">
        <v>344</v>
      </c>
      <c r="GW75" s="14" t="s">
        <v>345</v>
      </c>
      <c r="GX75" s="14" t="s">
        <v>344</v>
      </c>
      <c r="GY75" s="14" t="s">
        <v>344</v>
      </c>
      <c r="GZ75" s="14" t="s">
        <v>344</v>
      </c>
      <c r="HA75" s="14"/>
      <c r="HB75" s="14" t="s">
        <v>344</v>
      </c>
      <c r="HC75" s="14"/>
      <c r="HD75" s="14" t="s">
        <v>344</v>
      </c>
      <c r="HE75" s="14"/>
      <c r="HF75" s="14" t="s">
        <v>344</v>
      </c>
      <c r="HG75" s="14"/>
      <c r="HH75" s="14" t="s">
        <v>344</v>
      </c>
      <c r="HI75" s="14"/>
      <c r="HJ75" s="14" t="s">
        <v>344</v>
      </c>
      <c r="HK75" s="14" t="s">
        <v>344</v>
      </c>
      <c r="HL75" s="14" t="s">
        <v>344</v>
      </c>
      <c r="HM75" s="14" t="s">
        <v>344</v>
      </c>
      <c r="HN75" s="14" t="s">
        <v>344</v>
      </c>
      <c r="HO75" s="14" t="s">
        <v>344</v>
      </c>
      <c r="HP75" s="14" t="s">
        <v>344</v>
      </c>
      <c r="HQ75" s="14" t="s">
        <v>344</v>
      </c>
      <c r="HR75" s="14" t="s">
        <v>345</v>
      </c>
      <c r="HS75" s="14" t="s">
        <v>344</v>
      </c>
      <c r="HT75" s="14" t="s">
        <v>344</v>
      </c>
      <c r="HU75" s="14" t="s">
        <v>345</v>
      </c>
      <c r="HV75" s="14" t="s">
        <v>344</v>
      </c>
      <c r="HW75" s="14" t="s">
        <v>344</v>
      </c>
      <c r="HX75" s="14" t="s">
        <v>344</v>
      </c>
      <c r="HY75" s="14"/>
      <c r="HZ75" s="14" t="s">
        <v>344</v>
      </c>
      <c r="IA75" s="14"/>
      <c r="IB75" s="14" t="s">
        <v>344</v>
      </c>
      <c r="IC75" s="14"/>
      <c r="ID75" s="14" t="s">
        <v>344</v>
      </c>
      <c r="IE75" s="14"/>
      <c r="IF75" s="14" t="s">
        <v>344</v>
      </c>
      <c r="IG75" s="14"/>
      <c r="IH75" s="14" t="s">
        <v>344</v>
      </c>
      <c r="II75" s="14" t="s">
        <v>344</v>
      </c>
      <c r="IJ75" s="14" t="s">
        <v>344</v>
      </c>
      <c r="IK75" s="14" t="s">
        <v>344</v>
      </c>
      <c r="IL75" s="14" t="s">
        <v>345</v>
      </c>
      <c r="IM75" s="14" t="s">
        <v>344</v>
      </c>
      <c r="IN75" s="14" t="s">
        <v>344</v>
      </c>
      <c r="IO75" s="14" t="s">
        <v>345</v>
      </c>
      <c r="IP75" s="14" t="s">
        <v>344</v>
      </c>
      <c r="IQ75" s="14" t="s">
        <v>344</v>
      </c>
      <c r="IR75" s="14" t="s">
        <v>344</v>
      </c>
      <c r="IS75" s="14" t="s">
        <v>344</v>
      </c>
      <c r="IT75" s="14"/>
      <c r="IU75" s="14"/>
      <c r="IV75" s="14"/>
      <c r="IW75" s="14"/>
      <c r="IX75" s="14"/>
      <c r="IY75" s="14"/>
      <c r="IZ75" s="14"/>
      <c r="JA75" s="14"/>
      <c r="JB75" s="14"/>
      <c r="JC75" s="14"/>
      <c r="JD75" s="14"/>
      <c r="JE75" s="14"/>
      <c r="JF75" s="14"/>
      <c r="JG75" s="14"/>
      <c r="JH75" s="14"/>
    </row>
    <row r="76" spans="1:268" x14ac:dyDescent="0.3">
      <c r="A76" s="13" t="s">
        <v>727</v>
      </c>
      <c r="B76" s="14">
        <v>156</v>
      </c>
      <c r="C76" s="14" t="s">
        <v>758</v>
      </c>
      <c r="D76" s="14">
        <v>14</v>
      </c>
      <c r="E76" s="14" t="s">
        <v>387</v>
      </c>
      <c r="F76" s="14">
        <v>1479633660</v>
      </c>
      <c r="G76" s="14" t="s">
        <v>759</v>
      </c>
      <c r="H76" s="14" t="s">
        <v>758</v>
      </c>
      <c r="I76" s="14" t="s">
        <v>730</v>
      </c>
      <c r="J76" s="14">
        <v>21</v>
      </c>
      <c r="K76" s="14" t="s">
        <v>389</v>
      </c>
      <c r="L76" s="14"/>
      <c r="M76" s="14" t="s">
        <v>345</v>
      </c>
      <c r="N76" s="14" t="s">
        <v>345</v>
      </c>
      <c r="O76" s="14" t="s">
        <v>344</v>
      </c>
      <c r="P76" s="14" t="s">
        <v>344</v>
      </c>
      <c r="Q76" s="14" t="s">
        <v>344</v>
      </c>
      <c r="R76" s="14"/>
      <c r="S76" s="14" t="s">
        <v>475</v>
      </c>
      <c r="T76" s="14"/>
      <c r="U76" s="14" t="s">
        <v>347</v>
      </c>
      <c r="V76" s="14"/>
      <c r="W76" s="14" t="s">
        <v>345</v>
      </c>
      <c r="X76" s="14" t="s">
        <v>345</v>
      </c>
      <c r="Y76" s="14" t="s">
        <v>344</v>
      </c>
      <c r="Z76" s="14" t="s">
        <v>345</v>
      </c>
      <c r="AA76" s="14" t="s">
        <v>344</v>
      </c>
      <c r="AB76" s="14" t="s">
        <v>344</v>
      </c>
      <c r="AC76" s="14" t="s">
        <v>344</v>
      </c>
      <c r="AD76" s="14" t="s">
        <v>344</v>
      </c>
      <c r="AE76" s="14" t="s">
        <v>345</v>
      </c>
      <c r="AF76" s="14" t="s">
        <v>345</v>
      </c>
      <c r="AG76" s="14" t="s">
        <v>344</v>
      </c>
      <c r="AH76" s="14" t="s">
        <v>345</v>
      </c>
      <c r="AI76" s="14" t="s">
        <v>344</v>
      </c>
      <c r="AJ76" s="14" t="s">
        <v>344</v>
      </c>
      <c r="AK76" s="14" t="s">
        <v>345</v>
      </c>
      <c r="AL76" s="14" t="s">
        <v>344</v>
      </c>
      <c r="AM76" s="14" t="s">
        <v>345</v>
      </c>
      <c r="AN76" s="14" t="s">
        <v>345</v>
      </c>
      <c r="AO76" s="14" t="s">
        <v>344</v>
      </c>
      <c r="AP76" s="14" t="s">
        <v>344</v>
      </c>
      <c r="AQ76" s="14" t="s">
        <v>344</v>
      </c>
      <c r="AR76" s="14" t="s">
        <v>345</v>
      </c>
      <c r="AS76" s="14" t="s">
        <v>345</v>
      </c>
      <c r="AT76" s="14" t="s">
        <v>345</v>
      </c>
      <c r="AU76" s="14" t="s">
        <v>345</v>
      </c>
      <c r="AV76" s="14" t="s">
        <v>344</v>
      </c>
      <c r="AW76" s="14" t="s">
        <v>344</v>
      </c>
      <c r="AX76" s="14" t="s">
        <v>344</v>
      </c>
      <c r="AY76" s="14" t="s">
        <v>732</v>
      </c>
      <c r="AZ76" s="14" t="s">
        <v>732</v>
      </c>
      <c r="BA76" s="14" t="s">
        <v>732</v>
      </c>
      <c r="BB76" s="14" t="s">
        <v>733</v>
      </c>
      <c r="BC76" s="14" t="s">
        <v>731</v>
      </c>
      <c r="BD76" s="14" t="s">
        <v>732</v>
      </c>
      <c r="BE76" s="14" t="s">
        <v>350</v>
      </c>
      <c r="BF76" s="14" t="s">
        <v>350</v>
      </c>
      <c r="BG76" s="14" t="s">
        <v>350</v>
      </c>
      <c r="BH76" s="14" t="s">
        <v>349</v>
      </c>
      <c r="BI76" s="14" t="s">
        <v>350</v>
      </c>
      <c r="BJ76" s="14" t="s">
        <v>353</v>
      </c>
      <c r="BK76" s="14" t="s">
        <v>356</v>
      </c>
      <c r="BL76" s="14" t="s">
        <v>357</v>
      </c>
      <c r="BM76" s="14" t="s">
        <v>352</v>
      </c>
      <c r="BN76" s="14" t="s">
        <v>351</v>
      </c>
      <c r="BO76" s="14" t="s">
        <v>354</v>
      </c>
      <c r="BP76" s="14" t="s">
        <v>355</v>
      </c>
      <c r="BQ76" s="14" t="s">
        <v>407</v>
      </c>
      <c r="BR76" s="14" t="s">
        <v>429</v>
      </c>
      <c r="BS76" s="14" t="s">
        <v>353</v>
      </c>
      <c r="BT76" s="14" t="s">
        <v>357</v>
      </c>
      <c r="BU76" s="14" t="s">
        <v>356</v>
      </c>
      <c r="BV76" s="14" t="s">
        <v>354</v>
      </c>
      <c r="BW76" s="14" t="s">
        <v>352</v>
      </c>
      <c r="BX76" s="14" t="s">
        <v>351</v>
      </c>
      <c r="BY76" s="14" t="s">
        <v>355</v>
      </c>
      <c r="BZ76" s="14" t="s">
        <v>353</v>
      </c>
      <c r="CA76" s="14" t="s">
        <v>356</v>
      </c>
      <c r="CB76" s="14" t="s">
        <v>352</v>
      </c>
      <c r="CC76" s="14" t="s">
        <v>357</v>
      </c>
      <c r="CD76" s="14" t="s">
        <v>351</v>
      </c>
      <c r="CE76" s="14" t="s">
        <v>355</v>
      </c>
      <c r="CF76" s="14" t="s">
        <v>354</v>
      </c>
      <c r="CG76" s="14" t="s">
        <v>420</v>
      </c>
      <c r="CH76" s="14" t="s">
        <v>392</v>
      </c>
      <c r="CI76" s="14" t="s">
        <v>392</v>
      </c>
      <c r="CJ76" s="14" t="s">
        <v>420</v>
      </c>
      <c r="CK76" s="14" t="s">
        <v>760</v>
      </c>
      <c r="CL76" s="14" t="s">
        <v>344</v>
      </c>
      <c r="CM76" s="14" t="s">
        <v>344</v>
      </c>
      <c r="CN76" s="14" t="s">
        <v>345</v>
      </c>
      <c r="CO76" s="14" t="s">
        <v>344</v>
      </c>
      <c r="CP76" s="14" t="s">
        <v>345</v>
      </c>
      <c r="CQ76" s="14" t="s">
        <v>345</v>
      </c>
      <c r="CR76" s="14" t="s">
        <v>667</v>
      </c>
      <c r="CS76" s="14">
        <v>85</v>
      </c>
      <c r="CT76" s="14">
        <v>20</v>
      </c>
      <c r="CU76" s="14">
        <v>20</v>
      </c>
      <c r="CV76" s="14">
        <v>1</v>
      </c>
      <c r="CW76" s="14" t="s">
        <v>363</v>
      </c>
      <c r="CX76" s="14" t="s">
        <v>395</v>
      </c>
      <c r="CY76" s="14" t="s">
        <v>396</v>
      </c>
      <c r="CZ76" s="14" t="s">
        <v>397</v>
      </c>
      <c r="DA76" s="14" t="s">
        <v>397</v>
      </c>
      <c r="DB76" s="14" t="s">
        <v>397</v>
      </c>
      <c r="DC76" s="14" t="s">
        <v>366</v>
      </c>
      <c r="DD76" s="14" t="s">
        <v>397</v>
      </c>
      <c r="DE76" s="14" t="s">
        <v>365</v>
      </c>
      <c r="DF76" s="14" t="s">
        <v>423</v>
      </c>
      <c r="DG76" s="14" t="s">
        <v>365</v>
      </c>
      <c r="DH76" s="14" t="s">
        <v>365</v>
      </c>
      <c r="DI76" s="14" t="s">
        <v>366</v>
      </c>
      <c r="DJ76" s="14" t="s">
        <v>761</v>
      </c>
      <c r="DK76" s="14" t="s">
        <v>367</v>
      </c>
      <c r="DL76" s="14" t="s">
        <v>368</v>
      </c>
      <c r="DM76" s="14" t="s">
        <v>368</v>
      </c>
      <c r="DN76" s="14" t="s">
        <v>368</v>
      </c>
      <c r="DO76" s="14" t="s">
        <v>368</v>
      </c>
      <c r="DP76" s="14" t="s">
        <v>345</v>
      </c>
      <c r="DQ76" s="14" t="s">
        <v>345</v>
      </c>
      <c r="DR76" s="14" t="s">
        <v>345</v>
      </c>
      <c r="DS76" s="14" t="s">
        <v>344</v>
      </c>
      <c r="DT76" s="14" t="s">
        <v>345</v>
      </c>
      <c r="DU76" s="14" t="s">
        <v>345</v>
      </c>
      <c r="DV76" s="14" t="s">
        <v>345</v>
      </c>
      <c r="DW76" s="14" t="s">
        <v>344</v>
      </c>
      <c r="DX76" s="14" t="s">
        <v>370</v>
      </c>
      <c r="DY76" s="14" t="s">
        <v>370</v>
      </c>
      <c r="DZ76" s="14" t="s">
        <v>370</v>
      </c>
      <c r="EA76" s="14" t="s">
        <v>370</v>
      </c>
      <c r="EB76" s="14" t="s">
        <v>399</v>
      </c>
      <c r="EC76" s="14" t="s">
        <v>399</v>
      </c>
      <c r="ED76" s="14" t="s">
        <v>371</v>
      </c>
      <c r="EE76" s="14" t="s">
        <v>370</v>
      </c>
      <c r="EF76" s="14" t="s">
        <v>370</v>
      </c>
      <c r="EG76" s="14" t="s">
        <v>398</v>
      </c>
      <c r="EH76" s="14" t="s">
        <v>370</v>
      </c>
      <c r="EI76" s="14" t="s">
        <v>399</v>
      </c>
      <c r="EJ76" s="14" t="s">
        <v>399</v>
      </c>
      <c r="EK76" s="14" t="s">
        <v>399</v>
      </c>
      <c r="EL76" s="14" t="s">
        <v>424</v>
      </c>
      <c r="EM76" s="14" t="s">
        <v>373</v>
      </c>
      <c r="EN76" s="14" t="s">
        <v>440</v>
      </c>
      <c r="EO76" s="14"/>
      <c r="EP76" s="14"/>
      <c r="EQ76" s="14" t="s">
        <v>375</v>
      </c>
      <c r="ER76" s="14" t="s">
        <v>378</v>
      </c>
      <c r="ES76" s="14" t="s">
        <v>377</v>
      </c>
      <c r="ET76" s="14" t="s">
        <v>377</v>
      </c>
      <c r="EU76" s="14" t="s">
        <v>378</v>
      </c>
      <c r="EV76" s="14" t="s">
        <v>762</v>
      </c>
      <c r="EW76" s="14"/>
      <c r="EX76" s="14" t="s">
        <v>368</v>
      </c>
      <c r="EY76" s="14" t="s">
        <v>368</v>
      </c>
      <c r="EZ76" s="14" t="s">
        <v>368</v>
      </c>
      <c r="FA76" s="14" t="s">
        <v>345</v>
      </c>
      <c r="FB76" s="14" t="s">
        <v>381</v>
      </c>
      <c r="FC76" s="14"/>
      <c r="FD76" s="14" t="s">
        <v>401</v>
      </c>
      <c r="FE76" s="14"/>
      <c r="FF76" s="14"/>
      <c r="FG76" s="14"/>
      <c r="FH76" s="14"/>
      <c r="FI76" s="14"/>
      <c r="FJ76" s="14"/>
      <c r="FK76" s="14"/>
      <c r="FL76" s="14"/>
      <c r="FM76" s="14"/>
      <c r="FN76" s="14"/>
      <c r="FO76" s="14"/>
      <c r="FP76" s="14"/>
      <c r="FQ76" s="14"/>
      <c r="FR76" s="14"/>
      <c r="FS76" s="14"/>
      <c r="FT76" s="14"/>
      <c r="FU76" s="14"/>
      <c r="FV76" s="14"/>
      <c r="FW76" s="14"/>
      <c r="FX76" s="14"/>
      <c r="FY76" s="14"/>
      <c r="FZ76" s="14"/>
      <c r="GA76" s="14" t="s">
        <v>368</v>
      </c>
      <c r="GB76" s="14" t="s">
        <v>368</v>
      </c>
      <c r="GC76" s="14" t="s">
        <v>368</v>
      </c>
      <c r="GD76" s="14" t="s">
        <v>368</v>
      </c>
      <c r="GE76" s="14" t="s">
        <v>368</v>
      </c>
      <c r="GF76" s="14" t="s">
        <v>368</v>
      </c>
      <c r="GG76" s="14"/>
      <c r="GH76" s="14"/>
      <c r="GI76" s="14"/>
      <c r="GJ76" s="14"/>
      <c r="GK76" s="14"/>
      <c r="GL76" s="14" t="s">
        <v>344</v>
      </c>
      <c r="GM76" s="14" t="s">
        <v>344</v>
      </c>
      <c r="GN76" s="14" t="s">
        <v>344</v>
      </c>
      <c r="GO76" s="14" t="s">
        <v>344</v>
      </c>
      <c r="GP76" s="14" t="s">
        <v>344</v>
      </c>
      <c r="GQ76" s="14" t="s">
        <v>344</v>
      </c>
      <c r="GR76" s="14" t="s">
        <v>344</v>
      </c>
      <c r="GS76" s="14" t="s">
        <v>344</v>
      </c>
      <c r="GT76" s="14" t="s">
        <v>344</v>
      </c>
      <c r="GU76" s="14" t="s">
        <v>344</v>
      </c>
      <c r="GV76" s="14" t="s">
        <v>344</v>
      </c>
      <c r="GW76" s="14" t="s">
        <v>344</v>
      </c>
      <c r="GX76" s="14" t="s">
        <v>344</v>
      </c>
      <c r="GY76" s="14" t="s">
        <v>344</v>
      </c>
      <c r="GZ76" s="14" t="s">
        <v>345</v>
      </c>
      <c r="HA76" s="14"/>
      <c r="HB76" s="14" t="s">
        <v>344</v>
      </c>
      <c r="HC76" s="14"/>
      <c r="HD76" s="14" t="s">
        <v>344</v>
      </c>
      <c r="HE76" s="14"/>
      <c r="HF76" s="14" t="s">
        <v>344</v>
      </c>
      <c r="HG76" s="14"/>
      <c r="HH76" s="14" t="s">
        <v>344</v>
      </c>
      <c r="HI76" s="14"/>
      <c r="HJ76" s="14" t="s">
        <v>344</v>
      </c>
      <c r="HK76" s="14" t="s">
        <v>344</v>
      </c>
      <c r="HL76" s="14" t="s">
        <v>344</v>
      </c>
      <c r="HM76" s="14" t="s">
        <v>344</v>
      </c>
      <c r="HN76" s="14" t="s">
        <v>344</v>
      </c>
      <c r="HO76" s="14" t="s">
        <v>344</v>
      </c>
      <c r="HP76" s="14" t="s">
        <v>344</v>
      </c>
      <c r="HQ76" s="14" t="s">
        <v>344</v>
      </c>
      <c r="HR76" s="14" t="s">
        <v>344</v>
      </c>
      <c r="HS76" s="14" t="s">
        <v>344</v>
      </c>
      <c r="HT76" s="14" t="s">
        <v>344</v>
      </c>
      <c r="HU76" s="14" t="s">
        <v>344</v>
      </c>
      <c r="HV76" s="14" t="s">
        <v>344</v>
      </c>
      <c r="HW76" s="14" t="s">
        <v>344</v>
      </c>
      <c r="HX76" s="14" t="s">
        <v>345</v>
      </c>
      <c r="HY76" s="14"/>
      <c r="HZ76" s="14" t="s">
        <v>344</v>
      </c>
      <c r="IA76" s="14"/>
      <c r="IB76" s="14" t="s">
        <v>344</v>
      </c>
      <c r="IC76" s="14"/>
      <c r="ID76" s="14" t="s">
        <v>344</v>
      </c>
      <c r="IE76" s="14"/>
      <c r="IF76" s="14" t="s">
        <v>344</v>
      </c>
      <c r="IG76" s="14"/>
      <c r="IH76" s="14" t="s">
        <v>344</v>
      </c>
      <c r="II76" s="14" t="s">
        <v>344</v>
      </c>
      <c r="IJ76" s="14" t="s">
        <v>344</v>
      </c>
      <c r="IK76" s="14" t="s">
        <v>344</v>
      </c>
      <c r="IL76" s="14" t="s">
        <v>345</v>
      </c>
      <c r="IM76" s="14" t="s">
        <v>344</v>
      </c>
      <c r="IN76" s="14" t="s">
        <v>344</v>
      </c>
      <c r="IO76" s="14" t="s">
        <v>345</v>
      </c>
      <c r="IP76" s="14" t="s">
        <v>345</v>
      </c>
      <c r="IQ76" s="14" t="s">
        <v>344</v>
      </c>
      <c r="IR76" s="14" t="s">
        <v>344</v>
      </c>
      <c r="IS76" s="14" t="s">
        <v>344</v>
      </c>
      <c r="IT76" s="14"/>
      <c r="IU76" s="14"/>
      <c r="IV76" s="14"/>
      <c r="IW76" s="14"/>
      <c r="IX76" s="14"/>
      <c r="IY76" s="14"/>
      <c r="IZ76" s="14"/>
      <c r="JA76" s="14"/>
      <c r="JB76" s="14"/>
      <c r="JC76" s="14"/>
      <c r="JD76" s="14"/>
      <c r="JE76" s="14"/>
      <c r="JF76" s="14"/>
      <c r="JG76" s="14"/>
      <c r="JH76" s="14"/>
    </row>
    <row r="77" spans="1:268" x14ac:dyDescent="0.3">
      <c r="A77" s="13" t="s">
        <v>727</v>
      </c>
      <c r="B77" s="14">
        <v>157</v>
      </c>
      <c r="C77" s="14" t="s">
        <v>763</v>
      </c>
      <c r="D77" s="14">
        <v>14</v>
      </c>
      <c r="E77" s="14" t="s">
        <v>340</v>
      </c>
      <c r="F77" s="14">
        <v>693101830</v>
      </c>
      <c r="G77" s="14" t="s">
        <v>764</v>
      </c>
      <c r="H77" s="14" t="s">
        <v>763</v>
      </c>
      <c r="I77" s="14" t="s">
        <v>765</v>
      </c>
      <c r="J77" s="14">
        <v>20</v>
      </c>
      <c r="K77" s="14" t="s">
        <v>406</v>
      </c>
      <c r="L77" s="14"/>
      <c r="M77" s="14" t="s">
        <v>344</v>
      </c>
      <c r="N77" s="14" t="s">
        <v>345</v>
      </c>
      <c r="O77" s="14" t="s">
        <v>344</v>
      </c>
      <c r="P77" s="14" t="s">
        <v>344</v>
      </c>
      <c r="Q77" s="14" t="s">
        <v>344</v>
      </c>
      <c r="R77" s="14"/>
      <c r="S77" s="14" t="s">
        <v>475</v>
      </c>
      <c r="T77" s="14"/>
      <c r="U77" s="14" t="s">
        <v>418</v>
      </c>
      <c r="V77" s="14"/>
      <c r="W77" s="14" t="s">
        <v>368</v>
      </c>
      <c r="X77" s="14" t="s">
        <v>368</v>
      </c>
      <c r="Y77" s="14" t="s">
        <v>368</v>
      </c>
      <c r="Z77" s="14" t="s">
        <v>368</v>
      </c>
      <c r="AA77" s="14" t="s">
        <v>368</v>
      </c>
      <c r="AB77" s="14" t="s">
        <v>368</v>
      </c>
      <c r="AC77" s="14" t="s">
        <v>345</v>
      </c>
      <c r="AD77" s="14" t="s">
        <v>368</v>
      </c>
      <c r="AE77" s="14" t="s">
        <v>368</v>
      </c>
      <c r="AF77" s="14" t="s">
        <v>368</v>
      </c>
      <c r="AG77" s="14" t="s">
        <v>368</v>
      </c>
      <c r="AH77" s="14" t="s">
        <v>368</v>
      </c>
      <c r="AI77" s="14" t="s">
        <v>368</v>
      </c>
      <c r="AJ77" s="14" t="s">
        <v>345</v>
      </c>
      <c r="AK77" s="14" t="s">
        <v>368</v>
      </c>
      <c r="AL77" s="14" t="s">
        <v>368</v>
      </c>
      <c r="AM77" s="14" t="s">
        <v>368</v>
      </c>
      <c r="AN77" s="14" t="s">
        <v>368</v>
      </c>
      <c r="AO77" s="14" t="s">
        <v>368</v>
      </c>
      <c r="AP77" s="14" t="s">
        <v>368</v>
      </c>
      <c r="AQ77" s="14" t="s">
        <v>345</v>
      </c>
      <c r="AR77" s="14" t="s">
        <v>368</v>
      </c>
      <c r="AS77" s="14" t="s">
        <v>368</v>
      </c>
      <c r="AT77" s="14" t="s">
        <v>368</v>
      </c>
      <c r="AU77" s="14" t="s">
        <v>368</v>
      </c>
      <c r="AV77" s="14" t="s">
        <v>368</v>
      </c>
      <c r="AW77" s="14" t="s">
        <v>368</v>
      </c>
      <c r="AX77" s="14" t="s">
        <v>345</v>
      </c>
      <c r="AY77" s="14" t="s">
        <v>391</v>
      </c>
      <c r="AZ77" s="14" t="s">
        <v>391</v>
      </c>
      <c r="BA77" s="14" t="s">
        <v>391</v>
      </c>
      <c r="BB77" s="14" t="s">
        <v>391</v>
      </c>
      <c r="BC77" s="14" t="s">
        <v>391</v>
      </c>
      <c r="BD77" s="14" t="s">
        <v>391</v>
      </c>
      <c r="BE77" s="14" t="s">
        <v>390</v>
      </c>
      <c r="BF77" s="14" t="s">
        <v>349</v>
      </c>
      <c r="BG77" s="14" t="s">
        <v>390</v>
      </c>
      <c r="BH77" s="14" t="s">
        <v>390</v>
      </c>
      <c r="BI77" s="14" t="s">
        <v>349</v>
      </c>
      <c r="BJ77" s="14" t="s">
        <v>391</v>
      </c>
      <c r="BK77" s="14" t="s">
        <v>391</v>
      </c>
      <c r="BL77" s="14" t="s">
        <v>391</v>
      </c>
      <c r="BM77" s="14" t="s">
        <v>391</v>
      </c>
      <c r="BN77" s="14" t="s">
        <v>391</v>
      </c>
      <c r="BO77" s="14" t="s">
        <v>391</v>
      </c>
      <c r="BP77" s="14" t="s">
        <v>391</v>
      </c>
      <c r="BQ77" s="14" t="s">
        <v>689</v>
      </c>
      <c r="BR77" s="14" t="s">
        <v>429</v>
      </c>
      <c r="BS77" s="14" t="s">
        <v>391</v>
      </c>
      <c r="BT77" s="14" t="s">
        <v>391</v>
      </c>
      <c r="BU77" s="14" t="s">
        <v>391</v>
      </c>
      <c r="BV77" s="14" t="s">
        <v>391</v>
      </c>
      <c r="BW77" s="14" t="s">
        <v>391</v>
      </c>
      <c r="BX77" s="14" t="s">
        <v>391</v>
      </c>
      <c r="BY77" s="14" t="s">
        <v>391</v>
      </c>
      <c r="BZ77" s="14" t="s">
        <v>391</v>
      </c>
      <c r="CA77" s="14" t="s">
        <v>391</v>
      </c>
      <c r="CB77" s="14" t="s">
        <v>391</v>
      </c>
      <c r="CC77" s="14" t="s">
        <v>391</v>
      </c>
      <c r="CD77" s="14" t="s">
        <v>391</v>
      </c>
      <c r="CE77" s="14" t="s">
        <v>391</v>
      </c>
      <c r="CF77" s="14" t="s">
        <v>391</v>
      </c>
      <c r="CG77" s="14" t="s">
        <v>421</v>
      </c>
      <c r="CH77" s="14" t="s">
        <v>421</v>
      </c>
      <c r="CI77" s="14" t="s">
        <v>421</v>
      </c>
      <c r="CJ77" s="14" t="s">
        <v>421</v>
      </c>
      <c r="CK77" s="14" t="s">
        <v>766</v>
      </c>
      <c r="CL77" s="14" t="s">
        <v>344</v>
      </c>
      <c r="CM77" s="14" t="s">
        <v>344</v>
      </c>
      <c r="CN77" s="14" t="s">
        <v>344</v>
      </c>
      <c r="CO77" s="14" t="s">
        <v>344</v>
      </c>
      <c r="CP77" s="14" t="s">
        <v>345</v>
      </c>
      <c r="CQ77" s="14" t="s">
        <v>344</v>
      </c>
      <c r="CR77" s="14" t="s">
        <v>655</v>
      </c>
      <c r="CS77" s="14">
        <v>87</v>
      </c>
      <c r="CT77" s="14">
        <v>49</v>
      </c>
      <c r="CU77" s="14">
        <v>100</v>
      </c>
      <c r="CV77" s="14">
        <v>64</v>
      </c>
      <c r="CW77" s="14" t="s">
        <v>471</v>
      </c>
      <c r="CX77" s="14" t="s">
        <v>396</v>
      </c>
      <c r="CY77" s="14" t="s">
        <v>395</v>
      </c>
      <c r="CZ77" s="14" t="s">
        <v>397</v>
      </c>
      <c r="DA77" s="14" t="s">
        <v>397</v>
      </c>
      <c r="DB77" s="14" t="s">
        <v>397</v>
      </c>
      <c r="DC77" s="14" t="s">
        <v>397</v>
      </c>
      <c r="DD77" s="14" t="s">
        <v>365</v>
      </c>
      <c r="DE77" s="14" t="s">
        <v>366</v>
      </c>
      <c r="DF77" s="14" t="s">
        <v>397</v>
      </c>
      <c r="DG77" s="14" t="s">
        <v>397</v>
      </c>
      <c r="DH77" s="14" t="s">
        <v>397</v>
      </c>
      <c r="DI77" s="14" t="s">
        <v>366</v>
      </c>
      <c r="DJ77" s="14" t="s">
        <v>767</v>
      </c>
      <c r="DK77" s="14" t="s">
        <v>367</v>
      </c>
      <c r="DL77" s="14" t="s">
        <v>368</v>
      </c>
      <c r="DM77" s="14" t="s">
        <v>368</v>
      </c>
      <c r="DN77" s="14" t="s">
        <v>368</v>
      </c>
      <c r="DO77" s="14" t="s">
        <v>368</v>
      </c>
      <c r="DP77" s="14" t="s">
        <v>368</v>
      </c>
      <c r="DQ77" s="14" t="s">
        <v>368</v>
      </c>
      <c r="DR77" s="14" t="s">
        <v>368</v>
      </c>
      <c r="DS77" s="14" t="s">
        <v>345</v>
      </c>
      <c r="DT77" s="14" t="s">
        <v>368</v>
      </c>
      <c r="DU77" s="14" t="s">
        <v>368</v>
      </c>
      <c r="DV77" s="14" t="s">
        <v>368</v>
      </c>
      <c r="DW77" s="14" t="s">
        <v>345</v>
      </c>
      <c r="DX77" s="14" t="s">
        <v>370</v>
      </c>
      <c r="DY77" s="14" t="s">
        <v>370</v>
      </c>
      <c r="DZ77" s="14" t="s">
        <v>369</v>
      </c>
      <c r="EA77" s="14" t="s">
        <v>370</v>
      </c>
      <c r="EB77" s="14" t="s">
        <v>369</v>
      </c>
      <c r="EC77" s="14" t="s">
        <v>369</v>
      </c>
      <c r="ED77" s="14" t="s">
        <v>399</v>
      </c>
      <c r="EE77" s="14" t="s">
        <v>370</v>
      </c>
      <c r="EF77" s="14" t="s">
        <v>370</v>
      </c>
      <c r="EG77" s="14" t="s">
        <v>369</v>
      </c>
      <c r="EH77" s="14" t="s">
        <v>370</v>
      </c>
      <c r="EI77" s="14" t="s">
        <v>370</v>
      </c>
      <c r="EJ77" s="14" t="s">
        <v>370</v>
      </c>
      <c r="EK77" s="14" t="s">
        <v>370</v>
      </c>
      <c r="EL77" s="14" t="s">
        <v>373</v>
      </c>
      <c r="EM77" s="14" t="s">
        <v>374</v>
      </c>
      <c r="EN77" s="14" t="s">
        <v>424</v>
      </c>
      <c r="EO77" s="14"/>
      <c r="EP77" s="14"/>
      <c r="EQ77" s="14" t="s">
        <v>391</v>
      </c>
      <c r="ER77" s="14" t="s">
        <v>391</v>
      </c>
      <c r="ES77" s="14" t="s">
        <v>391</v>
      </c>
      <c r="ET77" s="14" t="s">
        <v>391</v>
      </c>
      <c r="EU77" s="14" t="s">
        <v>391</v>
      </c>
      <c r="EV77" s="14" t="s">
        <v>379</v>
      </c>
      <c r="EW77" s="14"/>
      <c r="EX77" s="14" t="s">
        <v>368</v>
      </c>
      <c r="EY77" s="14" t="s">
        <v>368</v>
      </c>
      <c r="EZ77" s="14" t="s">
        <v>368</v>
      </c>
      <c r="FA77" s="14" t="s">
        <v>345</v>
      </c>
      <c r="FB77" s="14" t="s">
        <v>381</v>
      </c>
      <c r="FC77" s="14"/>
      <c r="FD77" s="14" t="s">
        <v>381</v>
      </c>
      <c r="FE77" s="14"/>
      <c r="FF77" s="14" t="s">
        <v>412</v>
      </c>
      <c r="FG77" s="14" t="s">
        <v>413</v>
      </c>
      <c r="FH77" s="14" t="s">
        <v>384</v>
      </c>
      <c r="FI77" s="14" t="s">
        <v>403</v>
      </c>
      <c r="FJ77" s="14"/>
      <c r="FK77" s="14"/>
      <c r="FL77" s="14"/>
      <c r="FM77" s="14"/>
      <c r="FN77" s="14"/>
      <c r="FO77" s="14"/>
      <c r="FP77" s="14"/>
      <c r="FQ77" s="14"/>
      <c r="FR77" s="14"/>
      <c r="FS77" s="14"/>
      <c r="FT77" s="14"/>
      <c r="FU77" s="14"/>
      <c r="FV77" s="14"/>
      <c r="FW77" s="14"/>
      <c r="FX77" s="14"/>
      <c r="FY77" s="14"/>
      <c r="FZ77" s="14"/>
      <c r="GA77" s="14" t="s">
        <v>368</v>
      </c>
      <c r="GB77" s="14" t="s">
        <v>368</v>
      </c>
      <c r="GC77" s="14" t="s">
        <v>368</v>
      </c>
      <c r="GD77" s="14" t="s">
        <v>368</v>
      </c>
      <c r="GE77" s="14" t="s">
        <v>368</v>
      </c>
      <c r="GF77" s="14" t="s">
        <v>368</v>
      </c>
      <c r="GG77" s="14"/>
      <c r="GH77" s="14"/>
      <c r="GI77" s="14"/>
      <c r="GJ77" s="14"/>
      <c r="GK77" s="14"/>
      <c r="GL77" s="14" t="s">
        <v>344</v>
      </c>
      <c r="GM77" s="14" t="s">
        <v>344</v>
      </c>
      <c r="GN77" s="14" t="s">
        <v>344</v>
      </c>
      <c r="GO77" s="14" t="s">
        <v>344</v>
      </c>
      <c r="GP77" s="14" t="s">
        <v>344</v>
      </c>
      <c r="GQ77" s="14" t="s">
        <v>344</v>
      </c>
      <c r="GR77" s="14" t="s">
        <v>344</v>
      </c>
      <c r="GS77" s="14" t="s">
        <v>344</v>
      </c>
      <c r="GT77" s="14" t="s">
        <v>344</v>
      </c>
      <c r="GU77" s="14" t="s">
        <v>344</v>
      </c>
      <c r="GV77" s="14" t="s">
        <v>344</v>
      </c>
      <c r="GW77" s="14" t="s">
        <v>344</v>
      </c>
      <c r="GX77" s="14" t="s">
        <v>344</v>
      </c>
      <c r="GY77" s="14" t="s">
        <v>344</v>
      </c>
      <c r="GZ77" s="14" t="s">
        <v>345</v>
      </c>
      <c r="HA77" s="14"/>
      <c r="HB77" s="14" t="s">
        <v>344</v>
      </c>
      <c r="HC77" s="14"/>
      <c r="HD77" s="14" t="s">
        <v>344</v>
      </c>
      <c r="HE77" s="14"/>
      <c r="HF77" s="14" t="s">
        <v>344</v>
      </c>
      <c r="HG77" s="14"/>
      <c r="HH77" s="14" t="s">
        <v>344</v>
      </c>
      <c r="HI77" s="14"/>
      <c r="HJ77" s="14" t="s">
        <v>344</v>
      </c>
      <c r="HK77" s="14" t="s">
        <v>344</v>
      </c>
      <c r="HL77" s="14" t="s">
        <v>344</v>
      </c>
      <c r="HM77" s="14" t="s">
        <v>344</v>
      </c>
      <c r="HN77" s="14" t="s">
        <v>344</v>
      </c>
      <c r="HO77" s="14" t="s">
        <v>344</v>
      </c>
      <c r="HP77" s="14" t="s">
        <v>344</v>
      </c>
      <c r="HQ77" s="14" t="s">
        <v>344</v>
      </c>
      <c r="HR77" s="14" t="s">
        <v>344</v>
      </c>
      <c r="HS77" s="14" t="s">
        <v>344</v>
      </c>
      <c r="HT77" s="14" t="s">
        <v>344</v>
      </c>
      <c r="HU77" s="14" t="s">
        <v>344</v>
      </c>
      <c r="HV77" s="14" t="s">
        <v>344</v>
      </c>
      <c r="HW77" s="14" t="s">
        <v>344</v>
      </c>
      <c r="HX77" s="14" t="s">
        <v>345</v>
      </c>
      <c r="HY77" s="14"/>
      <c r="HZ77" s="14" t="s">
        <v>344</v>
      </c>
      <c r="IA77" s="14"/>
      <c r="IB77" s="14" t="s">
        <v>344</v>
      </c>
      <c r="IC77" s="14"/>
      <c r="ID77" s="14" t="s">
        <v>344</v>
      </c>
      <c r="IE77" s="14"/>
      <c r="IF77" s="14" t="s">
        <v>344</v>
      </c>
      <c r="IG77" s="14"/>
      <c r="IH77" s="14" t="s">
        <v>344</v>
      </c>
      <c r="II77" s="14" t="s">
        <v>344</v>
      </c>
      <c r="IJ77" s="14" t="s">
        <v>344</v>
      </c>
      <c r="IK77" s="14" t="s">
        <v>345</v>
      </c>
      <c r="IL77" s="14" t="s">
        <v>345</v>
      </c>
      <c r="IM77" s="14" t="s">
        <v>344</v>
      </c>
      <c r="IN77" s="14" t="s">
        <v>344</v>
      </c>
      <c r="IO77" s="14" t="s">
        <v>345</v>
      </c>
      <c r="IP77" s="14" t="s">
        <v>344</v>
      </c>
      <c r="IQ77" s="14" t="s">
        <v>344</v>
      </c>
      <c r="IR77" s="14" t="s">
        <v>344</v>
      </c>
      <c r="IS77" s="14" t="s">
        <v>344</v>
      </c>
      <c r="IT77" s="14"/>
      <c r="IU77" s="14"/>
      <c r="IV77" s="14"/>
      <c r="IW77" s="14"/>
      <c r="IX77" s="14"/>
      <c r="IY77" s="14"/>
      <c r="IZ77" s="14"/>
      <c r="JA77" s="14"/>
      <c r="JB77" s="14"/>
      <c r="JC77" s="14"/>
      <c r="JD77" s="14"/>
      <c r="JE77" s="14"/>
      <c r="JF77" s="14"/>
      <c r="JG77" s="14"/>
      <c r="JH77" s="14"/>
    </row>
    <row r="78" spans="1:268" ht="15" customHeight="1" x14ac:dyDescent="0.3">
      <c r="A78" s="13" t="s">
        <v>727</v>
      </c>
      <c r="B78" s="14">
        <v>158</v>
      </c>
      <c r="C78" s="14" t="s">
        <v>768</v>
      </c>
      <c r="D78" s="14">
        <v>14</v>
      </c>
      <c r="E78" s="14" t="s">
        <v>387</v>
      </c>
      <c r="F78" s="14">
        <v>888617808</v>
      </c>
      <c r="G78" s="14" t="s">
        <v>769</v>
      </c>
      <c r="H78" s="14" t="s">
        <v>768</v>
      </c>
      <c r="I78" s="14" t="s">
        <v>730</v>
      </c>
      <c r="J78" s="14">
        <v>20</v>
      </c>
      <c r="K78" s="14" t="s">
        <v>389</v>
      </c>
      <c r="L78" s="14"/>
      <c r="M78" s="14" t="s">
        <v>345</v>
      </c>
      <c r="N78" s="14" t="s">
        <v>344</v>
      </c>
      <c r="O78" s="14" t="s">
        <v>344</v>
      </c>
      <c r="P78" s="14" t="s">
        <v>344</v>
      </c>
      <c r="Q78" s="14" t="s">
        <v>344</v>
      </c>
      <c r="R78" s="14"/>
      <c r="S78" s="14" t="s">
        <v>482</v>
      </c>
      <c r="T78" s="14"/>
      <c r="U78" s="14" t="s">
        <v>347</v>
      </c>
      <c r="V78" s="14"/>
      <c r="W78" s="14" t="s">
        <v>344</v>
      </c>
      <c r="X78" s="14" t="s">
        <v>345</v>
      </c>
      <c r="Y78" s="14" t="s">
        <v>344</v>
      </c>
      <c r="Z78" s="14" t="s">
        <v>344</v>
      </c>
      <c r="AA78" s="14" t="s">
        <v>344</v>
      </c>
      <c r="AB78" s="14" t="s">
        <v>344</v>
      </c>
      <c r="AC78" s="14" t="s">
        <v>344</v>
      </c>
      <c r="AD78" s="14" t="s">
        <v>344</v>
      </c>
      <c r="AE78" s="14" t="s">
        <v>345</v>
      </c>
      <c r="AF78" s="14" t="s">
        <v>344</v>
      </c>
      <c r="AG78" s="14" t="s">
        <v>345</v>
      </c>
      <c r="AH78" s="14" t="s">
        <v>344</v>
      </c>
      <c r="AI78" s="14" t="s">
        <v>345</v>
      </c>
      <c r="AJ78" s="14" t="s">
        <v>344</v>
      </c>
      <c r="AK78" s="14" t="s">
        <v>344</v>
      </c>
      <c r="AL78" s="14" t="s">
        <v>345</v>
      </c>
      <c r="AM78" s="14" t="s">
        <v>344</v>
      </c>
      <c r="AN78" s="14" t="s">
        <v>344</v>
      </c>
      <c r="AO78" s="14" t="s">
        <v>344</v>
      </c>
      <c r="AP78" s="14" t="s">
        <v>344</v>
      </c>
      <c r="AQ78" s="14" t="s">
        <v>344</v>
      </c>
      <c r="AR78" s="14" t="s">
        <v>345</v>
      </c>
      <c r="AS78" s="14" t="s">
        <v>345</v>
      </c>
      <c r="AT78" s="14" t="s">
        <v>344</v>
      </c>
      <c r="AU78" s="14" t="s">
        <v>344</v>
      </c>
      <c r="AV78" s="14" t="s">
        <v>344</v>
      </c>
      <c r="AW78" s="14" t="s">
        <v>344</v>
      </c>
      <c r="AX78" s="14" t="s">
        <v>344</v>
      </c>
      <c r="AY78" s="14" t="s">
        <v>391</v>
      </c>
      <c r="AZ78" s="14" t="s">
        <v>391</v>
      </c>
      <c r="BA78" s="14" t="s">
        <v>391</v>
      </c>
      <c r="BB78" s="14" t="s">
        <v>391</v>
      </c>
      <c r="BC78" s="14" t="s">
        <v>391</v>
      </c>
      <c r="BD78" s="14" t="s">
        <v>391</v>
      </c>
      <c r="BE78" s="14" t="s">
        <v>390</v>
      </c>
      <c r="BF78" s="14" t="s">
        <v>349</v>
      </c>
      <c r="BG78" s="14" t="s">
        <v>349</v>
      </c>
      <c r="BH78" s="14" t="s">
        <v>349</v>
      </c>
      <c r="BI78" s="14" t="s">
        <v>349</v>
      </c>
      <c r="BJ78" s="14" t="s">
        <v>355</v>
      </c>
      <c r="BK78" s="14" t="s">
        <v>352</v>
      </c>
      <c r="BL78" s="14" t="s">
        <v>353</v>
      </c>
      <c r="BM78" s="14" t="s">
        <v>357</v>
      </c>
      <c r="BN78" s="14" t="s">
        <v>354</v>
      </c>
      <c r="BO78" s="14" t="s">
        <v>356</v>
      </c>
      <c r="BP78" s="14" t="s">
        <v>351</v>
      </c>
      <c r="BQ78" s="14" t="s">
        <v>455</v>
      </c>
      <c r="BR78" s="14" t="s">
        <v>408</v>
      </c>
      <c r="BS78" s="14" t="s">
        <v>391</v>
      </c>
      <c r="BT78" s="14" t="s">
        <v>391</v>
      </c>
      <c r="BU78" s="14" t="s">
        <v>391</v>
      </c>
      <c r="BV78" s="14" t="s">
        <v>391</v>
      </c>
      <c r="BW78" s="14" t="s">
        <v>391</v>
      </c>
      <c r="BX78" s="14" t="s">
        <v>391</v>
      </c>
      <c r="BY78" s="14" t="s">
        <v>391</v>
      </c>
      <c r="BZ78" s="14" t="s">
        <v>391</v>
      </c>
      <c r="CA78" s="14" t="s">
        <v>391</v>
      </c>
      <c r="CB78" s="14" t="s">
        <v>391</v>
      </c>
      <c r="CC78" s="14" t="s">
        <v>391</v>
      </c>
      <c r="CD78" s="14" t="s">
        <v>391</v>
      </c>
      <c r="CE78" s="14" t="s">
        <v>391</v>
      </c>
      <c r="CF78" s="14" t="s">
        <v>391</v>
      </c>
      <c r="CG78" s="14" t="s">
        <v>420</v>
      </c>
      <c r="CH78" s="14" t="s">
        <v>392</v>
      </c>
      <c r="CI78" s="14" t="s">
        <v>392</v>
      </c>
      <c r="CJ78" s="14" t="s">
        <v>392</v>
      </c>
      <c r="CK78" s="14" t="s">
        <v>770</v>
      </c>
      <c r="CL78" s="14" t="s">
        <v>344</v>
      </c>
      <c r="CM78" s="14" t="s">
        <v>345</v>
      </c>
      <c r="CN78" s="14" t="s">
        <v>345</v>
      </c>
      <c r="CO78" s="14" t="s">
        <v>344</v>
      </c>
      <c r="CP78" s="14" t="s">
        <v>344</v>
      </c>
      <c r="CQ78" s="14" t="s">
        <v>344</v>
      </c>
      <c r="CR78" s="14" t="s">
        <v>655</v>
      </c>
      <c r="CS78" s="14">
        <v>94</v>
      </c>
      <c r="CT78" s="14">
        <v>95</v>
      </c>
      <c r="CU78" s="14"/>
      <c r="CV78" s="14"/>
      <c r="CW78" s="14" t="s">
        <v>363</v>
      </c>
      <c r="CX78" s="14" t="s">
        <v>363</v>
      </c>
      <c r="CY78" s="14" t="s">
        <v>471</v>
      </c>
      <c r="CZ78" s="14" t="s">
        <v>365</v>
      </c>
      <c r="DA78" s="14" t="s">
        <v>397</v>
      </c>
      <c r="DB78" s="14" t="s">
        <v>397</v>
      </c>
      <c r="DC78" s="14" t="s">
        <v>397</v>
      </c>
      <c r="DD78" s="14" t="s">
        <v>365</v>
      </c>
      <c r="DE78" s="14"/>
      <c r="DF78" s="14"/>
      <c r="DG78" s="14"/>
      <c r="DH78" s="14"/>
      <c r="DI78" s="14"/>
      <c r="DJ78" s="14" t="s">
        <v>771</v>
      </c>
      <c r="DK78" s="14" t="s">
        <v>449</v>
      </c>
      <c r="DL78" s="14" t="s">
        <v>368</v>
      </c>
      <c r="DM78" s="14" t="s">
        <v>368</v>
      </c>
      <c r="DN78" s="14" t="s">
        <v>368</v>
      </c>
      <c r="DO78" s="14" t="s">
        <v>345</v>
      </c>
      <c r="DP78" s="14" t="s">
        <v>368</v>
      </c>
      <c r="DQ78" s="14" t="s">
        <v>368</v>
      </c>
      <c r="DR78" s="14" t="s">
        <v>368</v>
      </c>
      <c r="DS78" s="14" t="s">
        <v>345</v>
      </c>
      <c r="DT78" s="14" t="s">
        <v>368</v>
      </c>
      <c r="DU78" s="14" t="s">
        <v>368</v>
      </c>
      <c r="DV78" s="14" t="s">
        <v>368</v>
      </c>
      <c r="DW78" s="14" t="s">
        <v>345</v>
      </c>
      <c r="DX78" s="14" t="s">
        <v>370</v>
      </c>
      <c r="DY78" s="14" t="s">
        <v>370</v>
      </c>
      <c r="DZ78" s="14" t="s">
        <v>370</v>
      </c>
      <c r="EA78" s="14" t="s">
        <v>370</v>
      </c>
      <c r="EB78" s="14" t="s">
        <v>370</v>
      </c>
      <c r="EC78" s="14" t="s">
        <v>370</v>
      </c>
      <c r="ED78" s="14" t="s">
        <v>370</v>
      </c>
      <c r="EE78" s="14" t="s">
        <v>369</v>
      </c>
      <c r="EF78" s="14" t="s">
        <v>369</v>
      </c>
      <c r="EG78" s="14" t="s">
        <v>369</v>
      </c>
      <c r="EH78" s="14" t="s">
        <v>369</v>
      </c>
      <c r="EI78" s="14" t="s">
        <v>369</v>
      </c>
      <c r="EJ78" s="14" t="s">
        <v>369</v>
      </c>
      <c r="EK78" s="14" t="s">
        <v>369</v>
      </c>
      <c r="EL78" s="14" t="s">
        <v>372</v>
      </c>
      <c r="EM78" s="14" t="s">
        <v>373</v>
      </c>
      <c r="EN78" s="14" t="s">
        <v>374</v>
      </c>
      <c r="EO78" s="14"/>
      <c r="EP78" s="14"/>
      <c r="EQ78" s="14" t="s">
        <v>376</v>
      </c>
      <c r="ER78" s="14" t="s">
        <v>375</v>
      </c>
      <c r="ES78" s="14" t="s">
        <v>375</v>
      </c>
      <c r="ET78" s="14" t="s">
        <v>375</v>
      </c>
      <c r="EU78" s="14" t="s">
        <v>375</v>
      </c>
      <c r="EV78" s="14" t="s">
        <v>379</v>
      </c>
      <c r="EW78" s="14"/>
      <c r="EX78" s="14" t="s">
        <v>368</v>
      </c>
      <c r="EY78" s="14" t="s">
        <v>368</v>
      </c>
      <c r="EZ78" s="14" t="s">
        <v>368</v>
      </c>
      <c r="FA78" s="14" t="s">
        <v>345</v>
      </c>
      <c r="FB78" s="14" t="s">
        <v>401</v>
      </c>
      <c r="FC78" s="14"/>
      <c r="FD78" s="14" t="s">
        <v>401</v>
      </c>
      <c r="FE78" s="14"/>
      <c r="FF78" s="14" t="s">
        <v>431</v>
      </c>
      <c r="FG78" s="14" t="s">
        <v>441</v>
      </c>
      <c r="FH78" s="14" t="s">
        <v>432</v>
      </c>
      <c r="FI78" s="14" t="s">
        <v>442</v>
      </c>
      <c r="FJ78" s="14"/>
      <c r="FK78" s="14"/>
      <c r="FL78" s="14"/>
      <c r="FM78" s="14"/>
      <c r="FN78" s="14"/>
      <c r="FO78" s="14"/>
      <c r="FP78" s="14"/>
      <c r="FQ78" s="14"/>
      <c r="FR78" s="14"/>
      <c r="FS78" s="14"/>
      <c r="FT78" s="14"/>
      <c r="FU78" s="14"/>
      <c r="FV78" s="14"/>
      <c r="FW78" s="14"/>
      <c r="FX78" s="14"/>
      <c r="FY78" s="14"/>
      <c r="FZ78" s="14"/>
      <c r="GA78" s="14" t="s">
        <v>368</v>
      </c>
      <c r="GB78" s="14" t="s">
        <v>368</v>
      </c>
      <c r="GC78" s="14" t="s">
        <v>368</v>
      </c>
      <c r="GD78" s="14" t="s">
        <v>368</v>
      </c>
      <c r="GE78" s="14" t="s">
        <v>368</v>
      </c>
      <c r="GF78" s="14" t="s">
        <v>368</v>
      </c>
      <c r="GG78" s="14"/>
      <c r="GH78" s="14"/>
      <c r="GI78" s="14"/>
      <c r="GJ78" s="14"/>
      <c r="GK78" s="14"/>
      <c r="GL78" s="14" t="s">
        <v>344</v>
      </c>
      <c r="GM78" s="14" t="s">
        <v>344</v>
      </c>
      <c r="GN78" s="14" t="s">
        <v>345</v>
      </c>
      <c r="GO78" s="14" t="s">
        <v>345</v>
      </c>
      <c r="GP78" s="14" t="s">
        <v>344</v>
      </c>
      <c r="GQ78" s="14" t="s">
        <v>344</v>
      </c>
      <c r="GR78" s="14" t="s">
        <v>344</v>
      </c>
      <c r="GS78" s="14" t="s">
        <v>344</v>
      </c>
      <c r="GT78" s="14" t="s">
        <v>344</v>
      </c>
      <c r="GU78" s="14" t="s">
        <v>344</v>
      </c>
      <c r="GV78" s="14" t="s">
        <v>345</v>
      </c>
      <c r="GW78" s="14" t="s">
        <v>345</v>
      </c>
      <c r="GX78" s="14" t="s">
        <v>344</v>
      </c>
      <c r="GY78" s="14" t="s">
        <v>344</v>
      </c>
      <c r="GZ78" s="14" t="s">
        <v>344</v>
      </c>
      <c r="HA78" s="14"/>
      <c r="HB78" s="14" t="s">
        <v>345</v>
      </c>
      <c r="HC78" s="14" t="s">
        <v>443</v>
      </c>
      <c r="HD78" s="14" t="s">
        <v>345</v>
      </c>
      <c r="HE78" s="14" t="s">
        <v>772</v>
      </c>
      <c r="HF78" s="14" t="s">
        <v>344</v>
      </c>
      <c r="HG78" s="14"/>
      <c r="HH78" s="14" t="s">
        <v>344</v>
      </c>
      <c r="HI78" s="14"/>
      <c r="HJ78" s="14" t="s">
        <v>344</v>
      </c>
      <c r="HK78" s="14" t="s">
        <v>344</v>
      </c>
      <c r="HL78" s="14" t="s">
        <v>344</v>
      </c>
      <c r="HM78" s="14" t="s">
        <v>345</v>
      </c>
      <c r="HN78" s="14" t="s">
        <v>344</v>
      </c>
      <c r="HO78" s="14" t="s">
        <v>344</v>
      </c>
      <c r="HP78" s="14" t="s">
        <v>344</v>
      </c>
      <c r="HQ78" s="14" t="s">
        <v>344</v>
      </c>
      <c r="HR78" s="14" t="s">
        <v>344</v>
      </c>
      <c r="HS78" s="14" t="s">
        <v>344</v>
      </c>
      <c r="HT78" s="14" t="s">
        <v>344</v>
      </c>
      <c r="HU78" s="14" t="s">
        <v>344</v>
      </c>
      <c r="HV78" s="14" t="s">
        <v>344</v>
      </c>
      <c r="HW78" s="14" t="s">
        <v>344</v>
      </c>
      <c r="HX78" s="14" t="s">
        <v>344</v>
      </c>
      <c r="HY78" s="14"/>
      <c r="HZ78" s="14" t="s">
        <v>344</v>
      </c>
      <c r="IA78" s="14"/>
      <c r="IB78" s="14" t="s">
        <v>344</v>
      </c>
      <c r="IC78" s="14"/>
      <c r="ID78" s="14" t="s">
        <v>344</v>
      </c>
      <c r="IE78" s="14"/>
      <c r="IF78" s="14" t="s">
        <v>344</v>
      </c>
      <c r="IG78" s="14"/>
      <c r="IH78" s="14" t="s">
        <v>345</v>
      </c>
      <c r="II78" s="14" t="s">
        <v>345</v>
      </c>
      <c r="IJ78" s="14" t="s">
        <v>345</v>
      </c>
      <c r="IK78" s="14" t="s">
        <v>344</v>
      </c>
      <c r="IL78" s="14" t="s">
        <v>345</v>
      </c>
      <c r="IM78" s="14" t="s">
        <v>344</v>
      </c>
      <c r="IN78" s="14" t="s">
        <v>344</v>
      </c>
      <c r="IO78" s="14" t="s">
        <v>345</v>
      </c>
      <c r="IP78" s="14" t="s">
        <v>344</v>
      </c>
      <c r="IQ78" s="14" t="s">
        <v>344</v>
      </c>
      <c r="IR78" s="14" t="s">
        <v>345</v>
      </c>
      <c r="IS78" s="14" t="s">
        <v>344</v>
      </c>
      <c r="IT78" s="14" t="s">
        <v>748</v>
      </c>
      <c r="IU78" s="14"/>
      <c r="IV78" s="14"/>
      <c r="IW78" s="14"/>
      <c r="IX78" s="14"/>
      <c r="IY78" s="14"/>
      <c r="IZ78" s="14"/>
      <c r="JA78" s="14"/>
      <c r="JB78" s="14"/>
      <c r="JC78" s="14"/>
      <c r="JD78" s="14"/>
      <c r="JE78" s="14"/>
      <c r="JF78" s="14"/>
      <c r="JG78" s="14"/>
      <c r="JH78" s="14"/>
    </row>
    <row r="79" spans="1:268" x14ac:dyDescent="0.3">
      <c r="A79" s="13" t="s">
        <v>727</v>
      </c>
      <c r="B79" s="14">
        <v>159</v>
      </c>
      <c r="C79" s="14" t="s">
        <v>773</v>
      </c>
      <c r="D79" s="14">
        <v>14</v>
      </c>
      <c r="E79" s="14" t="s">
        <v>387</v>
      </c>
      <c r="F79" s="14">
        <v>1027704019</v>
      </c>
      <c r="G79" s="14" t="s">
        <v>774</v>
      </c>
      <c r="H79" s="14" t="s">
        <v>773</v>
      </c>
      <c r="I79" s="14" t="s">
        <v>730</v>
      </c>
      <c r="J79" s="14">
        <v>21</v>
      </c>
      <c r="K79" s="14" t="s">
        <v>389</v>
      </c>
      <c r="L79" s="14"/>
      <c r="M79" s="14" t="s">
        <v>345</v>
      </c>
      <c r="N79" s="14" t="s">
        <v>344</v>
      </c>
      <c r="O79" s="14" t="s">
        <v>344</v>
      </c>
      <c r="P79" s="14" t="s">
        <v>344</v>
      </c>
      <c r="Q79" s="14" t="s">
        <v>344</v>
      </c>
      <c r="R79" s="14"/>
      <c r="S79" s="14" t="s">
        <v>438</v>
      </c>
      <c r="T79" s="14"/>
      <c r="U79" s="14" t="s">
        <v>347</v>
      </c>
      <c r="V79" s="14"/>
      <c r="W79" s="14" t="s">
        <v>344</v>
      </c>
      <c r="X79" s="14" t="s">
        <v>345</v>
      </c>
      <c r="Y79" s="14" t="s">
        <v>344</v>
      </c>
      <c r="Z79" s="14" t="s">
        <v>344</v>
      </c>
      <c r="AA79" s="14" t="s">
        <v>344</v>
      </c>
      <c r="AB79" s="14" t="s">
        <v>344</v>
      </c>
      <c r="AC79" s="14" t="s">
        <v>344</v>
      </c>
      <c r="AD79" s="14" t="s">
        <v>345</v>
      </c>
      <c r="AE79" s="14" t="s">
        <v>345</v>
      </c>
      <c r="AF79" s="14" t="s">
        <v>344</v>
      </c>
      <c r="AG79" s="14" t="s">
        <v>344</v>
      </c>
      <c r="AH79" s="14" t="s">
        <v>344</v>
      </c>
      <c r="AI79" s="14" t="s">
        <v>344</v>
      </c>
      <c r="AJ79" s="14" t="s">
        <v>344</v>
      </c>
      <c r="AK79" s="14" t="s">
        <v>345</v>
      </c>
      <c r="AL79" s="14" t="s">
        <v>345</v>
      </c>
      <c r="AM79" s="14" t="s">
        <v>344</v>
      </c>
      <c r="AN79" s="14" t="s">
        <v>344</v>
      </c>
      <c r="AO79" s="14" t="s">
        <v>344</v>
      </c>
      <c r="AP79" s="14" t="s">
        <v>344</v>
      </c>
      <c r="AQ79" s="14" t="s">
        <v>344</v>
      </c>
      <c r="AR79" s="14" t="s">
        <v>368</v>
      </c>
      <c r="AS79" s="14" t="s">
        <v>368</v>
      </c>
      <c r="AT79" s="14" t="s">
        <v>368</v>
      </c>
      <c r="AU79" s="14" t="s">
        <v>368</v>
      </c>
      <c r="AV79" s="14" t="s">
        <v>368</v>
      </c>
      <c r="AW79" s="14" t="s">
        <v>368</v>
      </c>
      <c r="AX79" s="14" t="s">
        <v>345</v>
      </c>
      <c r="AY79" s="14" t="s">
        <v>733</v>
      </c>
      <c r="AZ79" s="14" t="s">
        <v>732</v>
      </c>
      <c r="BA79" s="14" t="s">
        <v>737</v>
      </c>
      <c r="BB79" s="14" t="s">
        <v>732</v>
      </c>
      <c r="BC79" s="14" t="s">
        <v>733</v>
      </c>
      <c r="BD79" s="14" t="s">
        <v>732</v>
      </c>
      <c r="BE79" s="14" t="s">
        <v>348</v>
      </c>
      <c r="BF79" s="14" t="s">
        <v>349</v>
      </c>
      <c r="BG79" s="14" t="s">
        <v>349</v>
      </c>
      <c r="BH79" s="14" t="s">
        <v>349</v>
      </c>
      <c r="BI79" s="14" t="s">
        <v>348</v>
      </c>
      <c r="BJ79" s="14" t="s">
        <v>391</v>
      </c>
      <c r="BK79" s="14" t="s">
        <v>391</v>
      </c>
      <c r="BL79" s="14" t="s">
        <v>391</v>
      </c>
      <c r="BM79" s="14" t="s">
        <v>391</v>
      </c>
      <c r="BN79" s="14" t="s">
        <v>391</v>
      </c>
      <c r="BO79" s="14" t="s">
        <v>391</v>
      </c>
      <c r="BP79" s="14" t="s">
        <v>391</v>
      </c>
      <c r="BQ79" s="14" t="s">
        <v>419</v>
      </c>
      <c r="BR79" s="14" t="s">
        <v>408</v>
      </c>
      <c r="BS79" s="14" t="s">
        <v>391</v>
      </c>
      <c r="BT79" s="14" t="s">
        <v>391</v>
      </c>
      <c r="BU79" s="14" t="s">
        <v>391</v>
      </c>
      <c r="BV79" s="14" t="s">
        <v>391</v>
      </c>
      <c r="BW79" s="14" t="s">
        <v>391</v>
      </c>
      <c r="BX79" s="14" t="s">
        <v>391</v>
      </c>
      <c r="BY79" s="14" t="s">
        <v>391</v>
      </c>
      <c r="BZ79" s="14" t="s">
        <v>391</v>
      </c>
      <c r="CA79" s="14" t="s">
        <v>391</v>
      </c>
      <c r="CB79" s="14" t="s">
        <v>391</v>
      </c>
      <c r="CC79" s="14" t="s">
        <v>391</v>
      </c>
      <c r="CD79" s="14" t="s">
        <v>391</v>
      </c>
      <c r="CE79" s="14" t="s">
        <v>391</v>
      </c>
      <c r="CF79" s="14" t="s">
        <v>391</v>
      </c>
      <c r="CG79" s="14" t="s">
        <v>393</v>
      </c>
      <c r="CH79" s="14" t="s">
        <v>421</v>
      </c>
      <c r="CI79" s="14" t="s">
        <v>392</v>
      </c>
      <c r="CJ79" s="14" t="s">
        <v>420</v>
      </c>
      <c r="CK79" s="14" t="s">
        <v>775</v>
      </c>
      <c r="CL79" s="14" t="s">
        <v>344</v>
      </c>
      <c r="CM79" s="14" t="s">
        <v>344</v>
      </c>
      <c r="CN79" s="14" t="s">
        <v>344</v>
      </c>
      <c r="CO79" s="14" t="s">
        <v>344</v>
      </c>
      <c r="CP79" s="14" t="s">
        <v>345</v>
      </c>
      <c r="CQ79" s="14" t="s">
        <v>344</v>
      </c>
      <c r="CR79" s="14" t="s">
        <v>667</v>
      </c>
      <c r="CS79" s="14">
        <v>81</v>
      </c>
      <c r="CT79" s="14">
        <v>59</v>
      </c>
      <c r="CU79" s="14"/>
      <c r="CV79" s="14"/>
      <c r="CW79" s="14" t="s">
        <v>395</v>
      </c>
      <c r="CX79" s="14" t="s">
        <v>395</v>
      </c>
      <c r="CY79" s="14" t="s">
        <v>364</v>
      </c>
      <c r="CZ79" s="14" t="s">
        <v>397</v>
      </c>
      <c r="DA79" s="14" t="s">
        <v>397</v>
      </c>
      <c r="DB79" s="14" t="s">
        <v>397</v>
      </c>
      <c r="DC79" s="14" t="s">
        <v>397</v>
      </c>
      <c r="DD79" s="14" t="s">
        <v>397</v>
      </c>
      <c r="DE79" s="14"/>
      <c r="DF79" s="14"/>
      <c r="DG79" s="14"/>
      <c r="DH79" s="14"/>
      <c r="DI79" s="14"/>
      <c r="DJ79" s="14"/>
      <c r="DK79" s="14" t="s">
        <v>367</v>
      </c>
      <c r="DL79" s="14" t="s">
        <v>368</v>
      </c>
      <c r="DM79" s="14" t="s">
        <v>368</v>
      </c>
      <c r="DN79" s="14" t="s">
        <v>368</v>
      </c>
      <c r="DO79" s="14" t="s">
        <v>368</v>
      </c>
      <c r="DP79" s="14" t="s">
        <v>368</v>
      </c>
      <c r="DQ79" s="14" t="s">
        <v>368</v>
      </c>
      <c r="DR79" s="14" t="s">
        <v>368</v>
      </c>
      <c r="DS79" s="14" t="s">
        <v>345</v>
      </c>
      <c r="DT79" s="14" t="s">
        <v>345</v>
      </c>
      <c r="DU79" s="14" t="s">
        <v>344</v>
      </c>
      <c r="DV79" s="14" t="s">
        <v>345</v>
      </c>
      <c r="DW79" s="14" t="s">
        <v>344</v>
      </c>
      <c r="DX79" s="14" t="s">
        <v>371</v>
      </c>
      <c r="DY79" s="14" t="s">
        <v>371</v>
      </c>
      <c r="DZ79" s="14" t="s">
        <v>369</v>
      </c>
      <c r="EA79" s="14" t="s">
        <v>370</v>
      </c>
      <c r="EB79" s="14" t="s">
        <v>369</v>
      </c>
      <c r="EC79" s="14" t="s">
        <v>399</v>
      </c>
      <c r="ED79" s="14" t="s">
        <v>369</v>
      </c>
      <c r="EE79" s="14" t="s">
        <v>371</v>
      </c>
      <c r="EF79" s="14" t="s">
        <v>371</v>
      </c>
      <c r="EG79" s="14" t="s">
        <v>369</v>
      </c>
      <c r="EH79" s="14" t="s">
        <v>371</v>
      </c>
      <c r="EI79" s="14" t="s">
        <v>369</v>
      </c>
      <c r="EJ79" s="14" t="s">
        <v>369</v>
      </c>
      <c r="EK79" s="14" t="s">
        <v>369</v>
      </c>
      <c r="EL79" s="14" t="s">
        <v>373</v>
      </c>
      <c r="EM79" s="14" t="s">
        <v>372</v>
      </c>
      <c r="EN79" s="14" t="s">
        <v>424</v>
      </c>
      <c r="EO79" s="14"/>
      <c r="EP79" s="14"/>
      <c r="EQ79" s="14" t="s">
        <v>375</v>
      </c>
      <c r="ER79" s="14" t="s">
        <v>375</v>
      </c>
      <c r="ES79" s="14" t="s">
        <v>375</v>
      </c>
      <c r="ET79" s="14" t="s">
        <v>375</v>
      </c>
      <c r="EU79" s="14" t="s">
        <v>375</v>
      </c>
      <c r="EV79" s="14" t="s">
        <v>379</v>
      </c>
      <c r="EW79" s="14"/>
      <c r="EX79" s="14" t="s">
        <v>368</v>
      </c>
      <c r="EY79" s="14" t="s">
        <v>368</v>
      </c>
      <c r="EZ79" s="14" t="s">
        <v>368</v>
      </c>
      <c r="FA79" s="14" t="s">
        <v>345</v>
      </c>
      <c r="FB79" s="14" t="s">
        <v>401</v>
      </c>
      <c r="FC79" s="14"/>
      <c r="FD79" s="14" t="s">
        <v>401</v>
      </c>
      <c r="FE79" s="14"/>
      <c r="FF79" s="14" t="s">
        <v>477</v>
      </c>
      <c r="FG79" s="14" t="s">
        <v>441</v>
      </c>
      <c r="FH79" s="14" t="s">
        <v>451</v>
      </c>
      <c r="FI79" s="14" t="s">
        <v>433</v>
      </c>
      <c r="FJ79" s="14"/>
      <c r="FK79" s="14"/>
      <c r="FL79" s="14"/>
      <c r="FM79" s="14"/>
      <c r="FN79" s="14"/>
      <c r="FO79" s="14"/>
      <c r="FP79" s="14"/>
      <c r="FQ79" s="14"/>
      <c r="FR79" s="14"/>
      <c r="FS79" s="14"/>
      <c r="FT79" s="14"/>
      <c r="FU79" s="14"/>
      <c r="FV79" s="14"/>
      <c r="FW79" s="14"/>
      <c r="FX79" s="14"/>
      <c r="FY79" s="14"/>
      <c r="FZ79" s="14"/>
      <c r="GA79" s="14" t="s">
        <v>368</v>
      </c>
      <c r="GB79" s="14" t="s">
        <v>368</v>
      </c>
      <c r="GC79" s="14" t="s">
        <v>368</v>
      </c>
      <c r="GD79" s="14" t="s">
        <v>368</v>
      </c>
      <c r="GE79" s="14" t="s">
        <v>368</v>
      </c>
      <c r="GF79" s="14" t="s">
        <v>368</v>
      </c>
      <c r="GG79" s="14"/>
      <c r="GH79" s="14"/>
      <c r="GI79" s="14"/>
      <c r="GJ79" s="14"/>
      <c r="GK79" s="14"/>
      <c r="GL79" s="14" t="s">
        <v>344</v>
      </c>
      <c r="GM79" s="14" t="s">
        <v>344</v>
      </c>
      <c r="GN79" s="14" t="s">
        <v>344</v>
      </c>
      <c r="GO79" s="14" t="s">
        <v>344</v>
      </c>
      <c r="GP79" s="14" t="s">
        <v>344</v>
      </c>
      <c r="GQ79" s="14" t="s">
        <v>344</v>
      </c>
      <c r="GR79" s="14" t="s">
        <v>344</v>
      </c>
      <c r="GS79" s="14" t="s">
        <v>344</v>
      </c>
      <c r="GT79" s="14" t="s">
        <v>345</v>
      </c>
      <c r="GU79" s="14" t="s">
        <v>344</v>
      </c>
      <c r="GV79" s="14" t="s">
        <v>344</v>
      </c>
      <c r="GW79" s="14" t="s">
        <v>344</v>
      </c>
      <c r="GX79" s="14" t="s">
        <v>344</v>
      </c>
      <c r="GY79" s="14" t="s">
        <v>344</v>
      </c>
      <c r="GZ79" s="14" t="s">
        <v>344</v>
      </c>
      <c r="HA79" s="14"/>
      <c r="HB79" s="14" t="s">
        <v>344</v>
      </c>
      <c r="HC79" s="14"/>
      <c r="HD79" s="14" t="s">
        <v>344</v>
      </c>
      <c r="HE79" s="14"/>
      <c r="HF79" s="14" t="s">
        <v>344</v>
      </c>
      <c r="HG79" s="14"/>
      <c r="HH79" s="14" t="s">
        <v>344</v>
      </c>
      <c r="HI79" s="14"/>
      <c r="HJ79" s="14" t="s">
        <v>344</v>
      </c>
      <c r="HK79" s="14" t="s">
        <v>344</v>
      </c>
      <c r="HL79" s="14" t="s">
        <v>344</v>
      </c>
      <c r="HM79" s="14" t="s">
        <v>344</v>
      </c>
      <c r="HN79" s="14" t="s">
        <v>344</v>
      </c>
      <c r="HO79" s="14" t="s">
        <v>344</v>
      </c>
      <c r="HP79" s="14" t="s">
        <v>344</v>
      </c>
      <c r="HQ79" s="14" t="s">
        <v>344</v>
      </c>
      <c r="HR79" s="14" t="s">
        <v>344</v>
      </c>
      <c r="HS79" s="14" t="s">
        <v>344</v>
      </c>
      <c r="HT79" s="14" t="s">
        <v>344</v>
      </c>
      <c r="HU79" s="14" t="s">
        <v>344</v>
      </c>
      <c r="HV79" s="14" t="s">
        <v>344</v>
      </c>
      <c r="HW79" s="14" t="s">
        <v>344</v>
      </c>
      <c r="HX79" s="14" t="s">
        <v>345</v>
      </c>
      <c r="HY79" s="14"/>
      <c r="HZ79" s="14" t="s">
        <v>344</v>
      </c>
      <c r="IA79" s="14"/>
      <c r="IB79" s="14" t="s">
        <v>344</v>
      </c>
      <c r="IC79" s="14"/>
      <c r="ID79" s="14" t="s">
        <v>344</v>
      </c>
      <c r="IE79" s="14"/>
      <c r="IF79" s="14" t="s">
        <v>344</v>
      </c>
      <c r="IG79" s="14"/>
      <c r="IH79" s="14" t="s">
        <v>344</v>
      </c>
      <c r="II79" s="14" t="s">
        <v>344</v>
      </c>
      <c r="IJ79" s="14" t="s">
        <v>344</v>
      </c>
      <c r="IK79" s="14" t="s">
        <v>344</v>
      </c>
      <c r="IL79" s="14" t="s">
        <v>345</v>
      </c>
      <c r="IM79" s="14" t="s">
        <v>344</v>
      </c>
      <c r="IN79" s="14" t="s">
        <v>344</v>
      </c>
      <c r="IO79" s="14" t="s">
        <v>345</v>
      </c>
      <c r="IP79" s="14" t="s">
        <v>345</v>
      </c>
      <c r="IQ79" s="14" t="s">
        <v>344</v>
      </c>
      <c r="IR79" s="14" t="s">
        <v>345</v>
      </c>
      <c r="IS79" s="14" t="s">
        <v>344</v>
      </c>
      <c r="IT79" s="14"/>
      <c r="IU79" s="14"/>
      <c r="IV79" s="14"/>
      <c r="IW79" s="14"/>
      <c r="IX79" s="14"/>
      <c r="IY79" s="14"/>
      <c r="IZ79" s="14"/>
      <c r="JA79" s="14"/>
      <c r="JB79" s="14"/>
      <c r="JC79" s="14"/>
      <c r="JD79" s="14"/>
      <c r="JE79" s="14"/>
      <c r="JF79" s="14"/>
      <c r="JG79" s="14"/>
      <c r="JH79" s="14"/>
    </row>
    <row r="80" spans="1:268" x14ac:dyDescent="0.3">
      <c r="A80" s="13" t="s">
        <v>727</v>
      </c>
      <c r="B80" s="14">
        <v>160</v>
      </c>
      <c r="C80" s="14" t="s">
        <v>776</v>
      </c>
      <c r="D80" s="14">
        <v>14</v>
      </c>
      <c r="E80" s="14" t="s">
        <v>387</v>
      </c>
      <c r="F80" s="14">
        <v>1705018153</v>
      </c>
      <c r="G80" s="14" t="s">
        <v>777</v>
      </c>
      <c r="H80" s="14" t="s">
        <v>776</v>
      </c>
      <c r="I80" s="14" t="s">
        <v>730</v>
      </c>
      <c r="J80" s="14">
        <v>20</v>
      </c>
      <c r="K80" s="14" t="s">
        <v>389</v>
      </c>
      <c r="L80" s="14"/>
      <c r="M80" s="14" t="s">
        <v>345</v>
      </c>
      <c r="N80" s="14" t="s">
        <v>345</v>
      </c>
      <c r="O80" s="14" t="s">
        <v>344</v>
      </c>
      <c r="P80" s="14" t="s">
        <v>344</v>
      </c>
      <c r="Q80" s="14" t="s">
        <v>344</v>
      </c>
      <c r="R80" s="14"/>
      <c r="S80" s="14" t="s">
        <v>475</v>
      </c>
      <c r="T80" s="14"/>
      <c r="U80" s="14" t="s">
        <v>347</v>
      </c>
      <c r="V80" s="14"/>
      <c r="W80" s="14" t="s">
        <v>344</v>
      </c>
      <c r="X80" s="14" t="s">
        <v>344</v>
      </c>
      <c r="Y80" s="14" t="s">
        <v>344</v>
      </c>
      <c r="Z80" s="14" t="s">
        <v>344</v>
      </c>
      <c r="AA80" s="14" t="s">
        <v>345</v>
      </c>
      <c r="AB80" s="14" t="s">
        <v>345</v>
      </c>
      <c r="AC80" s="14" t="s">
        <v>344</v>
      </c>
      <c r="AD80" s="14" t="s">
        <v>345</v>
      </c>
      <c r="AE80" s="14" t="s">
        <v>345</v>
      </c>
      <c r="AF80" s="14" t="s">
        <v>345</v>
      </c>
      <c r="AG80" s="14" t="s">
        <v>344</v>
      </c>
      <c r="AH80" s="14" t="s">
        <v>345</v>
      </c>
      <c r="AI80" s="14" t="s">
        <v>344</v>
      </c>
      <c r="AJ80" s="14" t="s">
        <v>344</v>
      </c>
      <c r="AK80" s="14" t="s">
        <v>344</v>
      </c>
      <c r="AL80" s="14" t="s">
        <v>344</v>
      </c>
      <c r="AM80" s="14" t="s">
        <v>344</v>
      </c>
      <c r="AN80" s="14" t="s">
        <v>344</v>
      </c>
      <c r="AO80" s="14" t="s">
        <v>345</v>
      </c>
      <c r="AP80" s="14" t="s">
        <v>345</v>
      </c>
      <c r="AQ80" s="14" t="s">
        <v>344</v>
      </c>
      <c r="AR80" s="14" t="s">
        <v>345</v>
      </c>
      <c r="AS80" s="14" t="s">
        <v>345</v>
      </c>
      <c r="AT80" s="14" t="s">
        <v>345</v>
      </c>
      <c r="AU80" s="14" t="s">
        <v>344</v>
      </c>
      <c r="AV80" s="14" t="s">
        <v>345</v>
      </c>
      <c r="AW80" s="14" t="s">
        <v>344</v>
      </c>
      <c r="AX80" s="14" t="s">
        <v>344</v>
      </c>
      <c r="AY80" s="14" t="s">
        <v>731</v>
      </c>
      <c r="AZ80" s="14" t="s">
        <v>732</v>
      </c>
      <c r="BA80" s="14" t="s">
        <v>732</v>
      </c>
      <c r="BB80" s="14" t="s">
        <v>732</v>
      </c>
      <c r="BC80" s="14" t="s">
        <v>732</v>
      </c>
      <c r="BD80" s="14" t="s">
        <v>732</v>
      </c>
      <c r="BE80" s="14" t="s">
        <v>349</v>
      </c>
      <c r="BF80" s="14" t="s">
        <v>349</v>
      </c>
      <c r="BG80" s="14" t="s">
        <v>348</v>
      </c>
      <c r="BH80" s="14" t="s">
        <v>349</v>
      </c>
      <c r="BI80" s="14" t="s">
        <v>348</v>
      </c>
      <c r="BJ80" s="14" t="s">
        <v>351</v>
      </c>
      <c r="BK80" s="14" t="s">
        <v>354</v>
      </c>
      <c r="BL80" s="14" t="s">
        <v>352</v>
      </c>
      <c r="BM80" s="14" t="s">
        <v>357</v>
      </c>
      <c r="BN80" s="14" t="s">
        <v>353</v>
      </c>
      <c r="BO80" s="14" t="s">
        <v>356</v>
      </c>
      <c r="BP80" s="14" t="s">
        <v>355</v>
      </c>
      <c r="BQ80" s="14" t="s">
        <v>419</v>
      </c>
      <c r="BR80" s="14" t="s">
        <v>429</v>
      </c>
      <c r="BS80" s="14" t="s">
        <v>356</v>
      </c>
      <c r="BT80" s="14" t="s">
        <v>351</v>
      </c>
      <c r="BU80" s="14" t="s">
        <v>353</v>
      </c>
      <c r="BV80" s="14" t="s">
        <v>352</v>
      </c>
      <c r="BW80" s="14" t="s">
        <v>357</v>
      </c>
      <c r="BX80" s="14" t="s">
        <v>354</v>
      </c>
      <c r="BY80" s="14" t="s">
        <v>355</v>
      </c>
      <c r="BZ80" s="14" t="s">
        <v>353</v>
      </c>
      <c r="CA80" s="14" t="s">
        <v>356</v>
      </c>
      <c r="CB80" s="14" t="s">
        <v>352</v>
      </c>
      <c r="CC80" s="14" t="s">
        <v>357</v>
      </c>
      <c r="CD80" s="14" t="s">
        <v>351</v>
      </c>
      <c r="CE80" s="14" t="s">
        <v>355</v>
      </c>
      <c r="CF80" s="14" t="s">
        <v>354</v>
      </c>
      <c r="CG80" s="14" t="s">
        <v>420</v>
      </c>
      <c r="CH80" s="14" t="s">
        <v>421</v>
      </c>
      <c r="CI80" s="14" t="s">
        <v>420</v>
      </c>
      <c r="CJ80" s="14" t="s">
        <v>393</v>
      </c>
      <c r="CK80" s="14" t="s">
        <v>778</v>
      </c>
      <c r="CL80" s="14" t="s">
        <v>344</v>
      </c>
      <c r="CM80" s="14" t="s">
        <v>344</v>
      </c>
      <c r="CN80" s="14" t="s">
        <v>345</v>
      </c>
      <c r="CO80" s="14" t="s">
        <v>344</v>
      </c>
      <c r="CP80" s="14" t="s">
        <v>345</v>
      </c>
      <c r="CQ80" s="14" t="s">
        <v>345</v>
      </c>
      <c r="CR80" s="14" t="s">
        <v>667</v>
      </c>
      <c r="CS80" s="14">
        <v>1</v>
      </c>
      <c r="CT80" s="14">
        <v>100</v>
      </c>
      <c r="CU80" s="14">
        <v>100</v>
      </c>
      <c r="CV80" s="14">
        <v>30</v>
      </c>
      <c r="CW80" s="14" t="s">
        <v>363</v>
      </c>
      <c r="CX80" s="14" t="s">
        <v>395</v>
      </c>
      <c r="CY80" s="14" t="s">
        <v>396</v>
      </c>
      <c r="CZ80" s="14" t="s">
        <v>397</v>
      </c>
      <c r="DA80" s="14" t="s">
        <v>397</v>
      </c>
      <c r="DB80" s="14" t="s">
        <v>397</v>
      </c>
      <c r="DC80" s="14" t="s">
        <v>397</v>
      </c>
      <c r="DD80" s="14" t="s">
        <v>397</v>
      </c>
      <c r="DE80" s="14" t="s">
        <v>397</v>
      </c>
      <c r="DF80" s="14" t="s">
        <v>397</v>
      </c>
      <c r="DG80" s="14" t="s">
        <v>397</v>
      </c>
      <c r="DH80" s="14" t="s">
        <v>397</v>
      </c>
      <c r="DI80" s="14" t="s">
        <v>397</v>
      </c>
      <c r="DJ80" s="14"/>
      <c r="DK80" s="14" t="s">
        <v>367</v>
      </c>
      <c r="DL80" s="14" t="s">
        <v>368</v>
      </c>
      <c r="DM80" s="14" t="s">
        <v>368</v>
      </c>
      <c r="DN80" s="14" t="s">
        <v>368</v>
      </c>
      <c r="DO80" s="14" t="s">
        <v>368</v>
      </c>
      <c r="DP80" s="14" t="s">
        <v>345</v>
      </c>
      <c r="DQ80" s="14" t="s">
        <v>345</v>
      </c>
      <c r="DR80" s="14" t="s">
        <v>345</v>
      </c>
      <c r="DS80" s="14" t="s">
        <v>344</v>
      </c>
      <c r="DT80" s="14" t="s">
        <v>345</v>
      </c>
      <c r="DU80" s="14" t="s">
        <v>345</v>
      </c>
      <c r="DV80" s="14" t="s">
        <v>345</v>
      </c>
      <c r="DW80" s="14" t="s">
        <v>344</v>
      </c>
      <c r="DX80" s="14" t="s">
        <v>370</v>
      </c>
      <c r="DY80" s="14" t="s">
        <v>370</v>
      </c>
      <c r="DZ80" s="14" t="s">
        <v>370</v>
      </c>
      <c r="EA80" s="14" t="s">
        <v>370</v>
      </c>
      <c r="EB80" s="14" t="s">
        <v>370</v>
      </c>
      <c r="EC80" s="14" t="s">
        <v>370</v>
      </c>
      <c r="ED80" s="14" t="s">
        <v>370</v>
      </c>
      <c r="EE80" s="14" t="s">
        <v>371</v>
      </c>
      <c r="EF80" s="14" t="s">
        <v>371</v>
      </c>
      <c r="EG80" s="14" t="s">
        <v>371</v>
      </c>
      <c r="EH80" s="14" t="s">
        <v>371</v>
      </c>
      <c r="EI80" s="14" t="s">
        <v>371</v>
      </c>
      <c r="EJ80" s="14" t="s">
        <v>371</v>
      </c>
      <c r="EK80" s="14" t="s">
        <v>371</v>
      </c>
      <c r="EL80" s="14" t="s">
        <v>373</v>
      </c>
      <c r="EM80" s="14" t="s">
        <v>424</v>
      </c>
      <c r="EN80" s="14" t="s">
        <v>374</v>
      </c>
      <c r="EO80" s="14"/>
      <c r="EP80" s="14"/>
      <c r="EQ80" s="14" t="s">
        <v>378</v>
      </c>
      <c r="ER80" s="14" t="s">
        <v>375</v>
      </c>
      <c r="ES80" s="14" t="s">
        <v>378</v>
      </c>
      <c r="ET80" s="14" t="s">
        <v>378</v>
      </c>
      <c r="EU80" s="14" t="s">
        <v>375</v>
      </c>
      <c r="EV80" s="14" t="s">
        <v>379</v>
      </c>
      <c r="EW80" s="14"/>
      <c r="EX80" s="14" t="s">
        <v>368</v>
      </c>
      <c r="EY80" s="14" t="s">
        <v>368</v>
      </c>
      <c r="EZ80" s="14" t="s">
        <v>368</v>
      </c>
      <c r="FA80" s="14" t="s">
        <v>345</v>
      </c>
      <c r="FB80" s="14" t="s">
        <v>401</v>
      </c>
      <c r="FC80" s="14"/>
      <c r="FD80" s="14" t="s">
        <v>401</v>
      </c>
      <c r="FE80" s="14"/>
      <c r="FF80" s="14"/>
      <c r="FG80" s="14"/>
      <c r="FH80" s="14"/>
      <c r="FI80" s="14"/>
      <c r="FJ80" s="14"/>
      <c r="FK80" s="14"/>
      <c r="FL80" s="14"/>
      <c r="FM80" s="14"/>
      <c r="FN80" s="14"/>
      <c r="FO80" s="14"/>
      <c r="FP80" s="14"/>
      <c r="FQ80" s="14"/>
      <c r="FR80" s="14"/>
      <c r="FS80" s="14"/>
      <c r="FT80" s="14"/>
      <c r="FU80" s="14"/>
      <c r="FV80" s="14"/>
      <c r="FW80" s="14"/>
      <c r="FX80" s="14"/>
      <c r="FY80" s="14"/>
      <c r="FZ80" s="14"/>
      <c r="GA80" s="14" t="s">
        <v>368</v>
      </c>
      <c r="GB80" s="14" t="s">
        <v>368</v>
      </c>
      <c r="GC80" s="14" t="s">
        <v>368</v>
      </c>
      <c r="GD80" s="14" t="s">
        <v>368</v>
      </c>
      <c r="GE80" s="14" t="s">
        <v>368</v>
      </c>
      <c r="GF80" s="14" t="s">
        <v>368</v>
      </c>
      <c r="GG80" s="14"/>
      <c r="GH80" s="14"/>
      <c r="GI80" s="14"/>
      <c r="GJ80" s="14"/>
      <c r="GK80" s="14"/>
      <c r="GL80" s="14" t="s">
        <v>344</v>
      </c>
      <c r="GM80" s="14" t="s">
        <v>344</v>
      </c>
      <c r="GN80" s="14" t="s">
        <v>344</v>
      </c>
      <c r="GO80" s="14" t="s">
        <v>344</v>
      </c>
      <c r="GP80" s="14" t="s">
        <v>344</v>
      </c>
      <c r="GQ80" s="14" t="s">
        <v>344</v>
      </c>
      <c r="GR80" s="14" t="s">
        <v>344</v>
      </c>
      <c r="GS80" s="14" t="s">
        <v>344</v>
      </c>
      <c r="GT80" s="14" t="s">
        <v>344</v>
      </c>
      <c r="GU80" s="14" t="s">
        <v>344</v>
      </c>
      <c r="GV80" s="14" t="s">
        <v>344</v>
      </c>
      <c r="GW80" s="14" t="s">
        <v>344</v>
      </c>
      <c r="GX80" s="14" t="s">
        <v>344</v>
      </c>
      <c r="GY80" s="14" t="s">
        <v>344</v>
      </c>
      <c r="GZ80" s="14" t="s">
        <v>345</v>
      </c>
      <c r="HA80" s="14" t="s">
        <v>779</v>
      </c>
      <c r="HB80" s="14" t="s">
        <v>344</v>
      </c>
      <c r="HC80" s="14"/>
      <c r="HD80" s="14" t="s">
        <v>344</v>
      </c>
      <c r="HE80" s="14"/>
      <c r="HF80" s="14" t="s">
        <v>345</v>
      </c>
      <c r="HG80" s="14" t="s">
        <v>779</v>
      </c>
      <c r="HH80" s="14" t="s">
        <v>344</v>
      </c>
      <c r="HI80" s="14"/>
      <c r="HJ80" s="14" t="s">
        <v>344</v>
      </c>
      <c r="HK80" s="14" t="s">
        <v>344</v>
      </c>
      <c r="HL80" s="14" t="s">
        <v>344</v>
      </c>
      <c r="HM80" s="14" t="s">
        <v>344</v>
      </c>
      <c r="HN80" s="14" t="s">
        <v>344</v>
      </c>
      <c r="HO80" s="14" t="s">
        <v>344</v>
      </c>
      <c r="HP80" s="14" t="s">
        <v>344</v>
      </c>
      <c r="HQ80" s="14" t="s">
        <v>344</v>
      </c>
      <c r="HR80" s="14" t="s">
        <v>344</v>
      </c>
      <c r="HS80" s="14" t="s">
        <v>344</v>
      </c>
      <c r="HT80" s="14" t="s">
        <v>344</v>
      </c>
      <c r="HU80" s="14" t="s">
        <v>344</v>
      </c>
      <c r="HV80" s="14" t="s">
        <v>344</v>
      </c>
      <c r="HW80" s="14" t="s">
        <v>344</v>
      </c>
      <c r="HX80" s="14" t="s">
        <v>345</v>
      </c>
      <c r="HY80" s="14" t="s">
        <v>780</v>
      </c>
      <c r="HZ80" s="14" t="s">
        <v>345</v>
      </c>
      <c r="IA80" s="14" t="s">
        <v>780</v>
      </c>
      <c r="IB80" s="14" t="s">
        <v>344</v>
      </c>
      <c r="IC80" s="14"/>
      <c r="ID80" s="14" t="s">
        <v>344</v>
      </c>
      <c r="IE80" s="14"/>
      <c r="IF80" s="14" t="s">
        <v>344</v>
      </c>
      <c r="IG80" s="14"/>
      <c r="IH80" s="14" t="s">
        <v>344</v>
      </c>
      <c r="II80" s="14" t="s">
        <v>344</v>
      </c>
      <c r="IJ80" s="14" t="s">
        <v>345</v>
      </c>
      <c r="IK80" s="14" t="s">
        <v>344</v>
      </c>
      <c r="IL80" s="14" t="s">
        <v>345</v>
      </c>
      <c r="IM80" s="14" t="s">
        <v>344</v>
      </c>
      <c r="IN80" s="14" t="s">
        <v>344</v>
      </c>
      <c r="IO80" s="14" t="s">
        <v>345</v>
      </c>
      <c r="IP80" s="14" t="s">
        <v>345</v>
      </c>
      <c r="IQ80" s="14" t="s">
        <v>344</v>
      </c>
      <c r="IR80" s="14" t="s">
        <v>344</v>
      </c>
      <c r="IS80" s="14" t="s">
        <v>344</v>
      </c>
      <c r="IT80" s="14" t="s">
        <v>781</v>
      </c>
      <c r="IU80" s="14" t="s">
        <v>782</v>
      </c>
      <c r="IV80" s="14"/>
      <c r="IW80" s="14"/>
      <c r="IX80" s="14"/>
      <c r="IY80" s="14"/>
      <c r="IZ80" s="14"/>
      <c r="JA80" s="14"/>
      <c r="JB80" s="14"/>
      <c r="JC80" s="14"/>
      <c r="JD80" s="14"/>
      <c r="JE80" s="14"/>
      <c r="JF80" s="14"/>
      <c r="JG80" s="14"/>
      <c r="JH80" s="14"/>
    </row>
    <row r="81" spans="1:268" x14ac:dyDescent="0.3">
      <c r="A81" s="13" t="s">
        <v>727</v>
      </c>
      <c r="B81" s="14">
        <v>161</v>
      </c>
      <c r="C81" s="14" t="s">
        <v>783</v>
      </c>
      <c r="D81" s="14">
        <v>14</v>
      </c>
      <c r="E81" s="14" t="s">
        <v>387</v>
      </c>
      <c r="F81" s="14">
        <v>42370624</v>
      </c>
      <c r="G81" s="14" t="s">
        <v>784</v>
      </c>
      <c r="H81" s="14" t="s">
        <v>783</v>
      </c>
      <c r="I81" s="14" t="s">
        <v>730</v>
      </c>
      <c r="J81" s="14">
        <v>21</v>
      </c>
      <c r="K81" s="14" t="s">
        <v>406</v>
      </c>
      <c r="L81" s="14"/>
      <c r="M81" s="14" t="s">
        <v>345</v>
      </c>
      <c r="N81" s="14" t="s">
        <v>344</v>
      </c>
      <c r="O81" s="14" t="s">
        <v>344</v>
      </c>
      <c r="P81" s="14" t="s">
        <v>344</v>
      </c>
      <c r="Q81" s="14" t="s">
        <v>344</v>
      </c>
      <c r="R81" s="14"/>
      <c r="S81" s="14" t="s">
        <v>475</v>
      </c>
      <c r="T81" s="14"/>
      <c r="U81" s="14" t="s">
        <v>347</v>
      </c>
      <c r="V81" s="14"/>
      <c r="W81" s="14" t="s">
        <v>368</v>
      </c>
      <c r="X81" s="14" t="s">
        <v>368</v>
      </c>
      <c r="Y81" s="14" t="s">
        <v>368</v>
      </c>
      <c r="Z81" s="14" t="s">
        <v>368</v>
      </c>
      <c r="AA81" s="14" t="s">
        <v>368</v>
      </c>
      <c r="AB81" s="14" t="s">
        <v>368</v>
      </c>
      <c r="AC81" s="14" t="s">
        <v>345</v>
      </c>
      <c r="AD81" s="14" t="s">
        <v>368</v>
      </c>
      <c r="AE81" s="14" t="s">
        <v>368</v>
      </c>
      <c r="AF81" s="14" t="s">
        <v>368</v>
      </c>
      <c r="AG81" s="14" t="s">
        <v>368</v>
      </c>
      <c r="AH81" s="14" t="s">
        <v>368</v>
      </c>
      <c r="AI81" s="14" t="s">
        <v>368</v>
      </c>
      <c r="AJ81" s="14" t="s">
        <v>345</v>
      </c>
      <c r="AK81" s="14" t="s">
        <v>368</v>
      </c>
      <c r="AL81" s="14" t="s">
        <v>368</v>
      </c>
      <c r="AM81" s="14" t="s">
        <v>368</v>
      </c>
      <c r="AN81" s="14" t="s">
        <v>368</v>
      </c>
      <c r="AO81" s="14" t="s">
        <v>368</v>
      </c>
      <c r="AP81" s="14" t="s">
        <v>368</v>
      </c>
      <c r="AQ81" s="14" t="s">
        <v>345</v>
      </c>
      <c r="AR81" s="14" t="s">
        <v>368</v>
      </c>
      <c r="AS81" s="14" t="s">
        <v>368</v>
      </c>
      <c r="AT81" s="14" t="s">
        <v>368</v>
      </c>
      <c r="AU81" s="14" t="s">
        <v>368</v>
      </c>
      <c r="AV81" s="14" t="s">
        <v>368</v>
      </c>
      <c r="AW81" s="14" t="s">
        <v>368</v>
      </c>
      <c r="AX81" s="14" t="s">
        <v>345</v>
      </c>
      <c r="AY81" s="14"/>
      <c r="AZ81" s="14"/>
      <c r="BA81" s="14"/>
      <c r="BB81" s="14"/>
      <c r="BC81" s="14"/>
      <c r="BD81" s="14"/>
      <c r="BE81" s="14" t="s">
        <v>390</v>
      </c>
      <c r="BF81" s="14" t="s">
        <v>349</v>
      </c>
      <c r="BG81" s="14" t="s">
        <v>390</v>
      </c>
      <c r="BH81" s="14" t="s">
        <v>349</v>
      </c>
      <c r="BI81" s="14" t="s">
        <v>348</v>
      </c>
      <c r="BJ81" s="14" t="s">
        <v>391</v>
      </c>
      <c r="BK81" s="14" t="s">
        <v>356</v>
      </c>
      <c r="BL81" s="14" t="s">
        <v>357</v>
      </c>
      <c r="BM81" s="14" t="s">
        <v>353</v>
      </c>
      <c r="BN81" s="14" t="s">
        <v>352</v>
      </c>
      <c r="BO81" s="14" t="s">
        <v>356</v>
      </c>
      <c r="BP81" s="14" t="s">
        <v>351</v>
      </c>
      <c r="BQ81" s="14" t="s">
        <v>358</v>
      </c>
      <c r="BR81" s="14" t="s">
        <v>429</v>
      </c>
      <c r="BS81" s="14" t="s">
        <v>356</v>
      </c>
      <c r="BT81" s="14" t="s">
        <v>354</v>
      </c>
      <c r="BU81" s="14" t="s">
        <v>391</v>
      </c>
      <c r="BV81" s="14" t="s">
        <v>391</v>
      </c>
      <c r="BW81" s="14" t="s">
        <v>391</v>
      </c>
      <c r="BX81" s="14" t="s">
        <v>391</v>
      </c>
      <c r="BY81" s="14" t="s">
        <v>391</v>
      </c>
      <c r="BZ81" s="14" t="s">
        <v>354</v>
      </c>
      <c r="CA81" s="14" t="s">
        <v>357</v>
      </c>
      <c r="CB81" s="14" t="s">
        <v>352</v>
      </c>
      <c r="CC81" s="14" t="s">
        <v>391</v>
      </c>
      <c r="CD81" s="14" t="s">
        <v>356</v>
      </c>
      <c r="CE81" s="14" t="s">
        <v>351</v>
      </c>
      <c r="CF81" s="14" t="s">
        <v>391</v>
      </c>
      <c r="CG81" s="14" t="s">
        <v>360</v>
      </c>
      <c r="CH81" s="14" t="s">
        <v>392</v>
      </c>
      <c r="CI81" s="14" t="s">
        <v>392</v>
      </c>
      <c r="CJ81" s="14" t="s">
        <v>360</v>
      </c>
      <c r="CK81" s="14" t="s">
        <v>391</v>
      </c>
      <c r="CL81" s="14" t="s">
        <v>344</v>
      </c>
      <c r="CM81" s="14" t="s">
        <v>344</v>
      </c>
      <c r="CN81" s="14" t="s">
        <v>344</v>
      </c>
      <c r="CO81" s="14" t="s">
        <v>345</v>
      </c>
      <c r="CP81" s="14" t="s">
        <v>345</v>
      </c>
      <c r="CQ81" s="14" t="s">
        <v>344</v>
      </c>
      <c r="CR81" s="14" t="s">
        <v>655</v>
      </c>
      <c r="CS81" s="14">
        <v>10</v>
      </c>
      <c r="CT81" s="14">
        <v>80</v>
      </c>
      <c r="CU81" s="14"/>
      <c r="CV81" s="14"/>
      <c r="CW81" s="14" t="s">
        <v>395</v>
      </c>
      <c r="CX81" s="14" t="s">
        <v>396</v>
      </c>
      <c r="CY81" s="14" t="s">
        <v>396</v>
      </c>
      <c r="CZ81" s="14" t="s">
        <v>423</v>
      </c>
      <c r="DA81" s="14" t="s">
        <v>397</v>
      </c>
      <c r="DB81" s="14" t="s">
        <v>397</v>
      </c>
      <c r="DC81" s="14" t="s">
        <v>397</v>
      </c>
      <c r="DD81" s="14" t="s">
        <v>365</v>
      </c>
      <c r="DE81" s="14"/>
      <c r="DF81" s="14"/>
      <c r="DG81" s="14"/>
      <c r="DH81" s="14"/>
      <c r="DI81" s="14"/>
      <c r="DJ81" s="14" t="s">
        <v>785</v>
      </c>
      <c r="DK81" s="14" t="s">
        <v>367</v>
      </c>
      <c r="DL81" s="14" t="s">
        <v>368</v>
      </c>
      <c r="DM81" s="14" t="s">
        <v>368</v>
      </c>
      <c r="DN81" s="14" t="s">
        <v>368</v>
      </c>
      <c r="DO81" s="14" t="s">
        <v>368</v>
      </c>
      <c r="DP81" s="14" t="s">
        <v>345</v>
      </c>
      <c r="DQ81" s="14" t="s">
        <v>344</v>
      </c>
      <c r="DR81" s="14" t="s">
        <v>344</v>
      </c>
      <c r="DS81" s="14" t="s">
        <v>344</v>
      </c>
      <c r="DT81" s="14" t="s">
        <v>368</v>
      </c>
      <c r="DU81" s="14" t="s">
        <v>368</v>
      </c>
      <c r="DV81" s="14" t="s">
        <v>368</v>
      </c>
      <c r="DW81" s="14" t="s">
        <v>345</v>
      </c>
      <c r="DX81" s="14" t="s">
        <v>370</v>
      </c>
      <c r="DY81" s="14" t="s">
        <v>370</v>
      </c>
      <c r="DZ81" s="14" t="s">
        <v>370</v>
      </c>
      <c r="EA81" s="14" t="s">
        <v>370</v>
      </c>
      <c r="EB81" s="14" t="s">
        <v>370</v>
      </c>
      <c r="EC81" s="14" t="s">
        <v>370</v>
      </c>
      <c r="ED81" s="14" t="s">
        <v>370</v>
      </c>
      <c r="EE81" s="14" t="s">
        <v>369</v>
      </c>
      <c r="EF81" s="14" t="s">
        <v>369</v>
      </c>
      <c r="EG81" s="14" t="s">
        <v>369</v>
      </c>
      <c r="EH81" s="14" t="s">
        <v>369</v>
      </c>
      <c r="EI81" s="14" t="s">
        <v>369</v>
      </c>
      <c r="EJ81" s="14" t="s">
        <v>369</v>
      </c>
      <c r="EK81" s="14" t="s">
        <v>369</v>
      </c>
      <c r="EL81" s="14" t="s">
        <v>374</v>
      </c>
      <c r="EM81" s="14" t="s">
        <v>373</v>
      </c>
      <c r="EN81" s="14" t="s">
        <v>424</v>
      </c>
      <c r="EO81" s="14"/>
      <c r="EP81" s="14"/>
      <c r="EQ81" s="14" t="s">
        <v>391</v>
      </c>
      <c r="ER81" s="14" t="s">
        <v>376</v>
      </c>
      <c r="ES81" s="14" t="s">
        <v>411</v>
      </c>
      <c r="ET81" s="14" t="s">
        <v>391</v>
      </c>
      <c r="EU81" s="14" t="s">
        <v>377</v>
      </c>
      <c r="EV81" s="14" t="s">
        <v>379</v>
      </c>
      <c r="EW81" s="14"/>
      <c r="EX81" s="14" t="s">
        <v>368</v>
      </c>
      <c r="EY81" s="14" t="s">
        <v>368</v>
      </c>
      <c r="EZ81" s="14" t="s">
        <v>368</v>
      </c>
      <c r="FA81" s="14" t="s">
        <v>345</v>
      </c>
      <c r="FB81" s="14" t="s">
        <v>401</v>
      </c>
      <c r="FC81" s="14"/>
      <c r="FD81" s="14" t="s">
        <v>401</v>
      </c>
      <c r="FE81" s="14"/>
      <c r="FF81" s="14" t="s">
        <v>431</v>
      </c>
      <c r="FG81" s="14" t="s">
        <v>441</v>
      </c>
      <c r="FH81" s="14" t="s">
        <v>432</v>
      </c>
      <c r="FI81" s="14" t="s">
        <v>403</v>
      </c>
      <c r="FJ81" s="14"/>
      <c r="FK81" s="14"/>
      <c r="FL81" s="14"/>
      <c r="FM81" s="14"/>
      <c r="FN81" s="14"/>
      <c r="FO81" s="14"/>
      <c r="FP81" s="14"/>
      <c r="FQ81" s="14"/>
      <c r="FR81" s="14"/>
      <c r="FS81" s="14"/>
      <c r="FT81" s="14"/>
      <c r="FU81" s="14"/>
      <c r="FV81" s="14"/>
      <c r="FW81" s="14"/>
      <c r="FX81" s="14"/>
      <c r="FY81" s="14"/>
      <c r="FZ81" s="14"/>
      <c r="GA81" s="14" t="s">
        <v>368</v>
      </c>
      <c r="GB81" s="14" t="s">
        <v>368</v>
      </c>
      <c r="GC81" s="14" t="s">
        <v>368</v>
      </c>
      <c r="GD81" s="14" t="s">
        <v>368</v>
      </c>
      <c r="GE81" s="14" t="s">
        <v>368</v>
      </c>
      <c r="GF81" s="14" t="s">
        <v>368</v>
      </c>
      <c r="GG81" s="14"/>
      <c r="GH81" s="14"/>
      <c r="GI81" s="14"/>
      <c r="GJ81" s="14"/>
      <c r="GK81" s="14"/>
      <c r="GL81" s="14" t="s">
        <v>344</v>
      </c>
      <c r="GM81" s="14" t="s">
        <v>344</v>
      </c>
      <c r="GN81" s="14" t="s">
        <v>344</v>
      </c>
      <c r="GO81" s="14" t="s">
        <v>345</v>
      </c>
      <c r="GP81" s="14" t="s">
        <v>344</v>
      </c>
      <c r="GQ81" s="14" t="s">
        <v>344</v>
      </c>
      <c r="GR81" s="14" t="s">
        <v>344</v>
      </c>
      <c r="GS81" s="14" t="s">
        <v>344</v>
      </c>
      <c r="GT81" s="14" t="s">
        <v>344</v>
      </c>
      <c r="GU81" s="14" t="s">
        <v>344</v>
      </c>
      <c r="GV81" s="14" t="s">
        <v>345</v>
      </c>
      <c r="GW81" s="14" t="s">
        <v>345</v>
      </c>
      <c r="GX81" s="14" t="s">
        <v>344</v>
      </c>
      <c r="GY81" s="14" t="s">
        <v>344</v>
      </c>
      <c r="GZ81" s="14" t="s">
        <v>344</v>
      </c>
      <c r="HA81" s="14"/>
      <c r="HB81" s="14" t="s">
        <v>344</v>
      </c>
      <c r="HC81" s="14"/>
      <c r="HD81" s="14" t="s">
        <v>344</v>
      </c>
      <c r="HE81" s="14"/>
      <c r="HF81" s="14" t="s">
        <v>344</v>
      </c>
      <c r="HG81" s="14"/>
      <c r="HH81" s="14" t="s">
        <v>344</v>
      </c>
      <c r="HI81" s="14"/>
      <c r="HJ81" s="14" t="s">
        <v>344</v>
      </c>
      <c r="HK81" s="14" t="s">
        <v>344</v>
      </c>
      <c r="HL81" s="14" t="s">
        <v>344</v>
      </c>
      <c r="HM81" s="14" t="s">
        <v>344</v>
      </c>
      <c r="HN81" s="14" t="s">
        <v>344</v>
      </c>
      <c r="HO81" s="14" t="s">
        <v>344</v>
      </c>
      <c r="HP81" s="14" t="s">
        <v>344</v>
      </c>
      <c r="HQ81" s="14" t="s">
        <v>344</v>
      </c>
      <c r="HR81" s="14" t="s">
        <v>344</v>
      </c>
      <c r="HS81" s="14" t="s">
        <v>344</v>
      </c>
      <c r="HT81" s="14" t="s">
        <v>344</v>
      </c>
      <c r="HU81" s="14" t="s">
        <v>344</v>
      </c>
      <c r="HV81" s="14" t="s">
        <v>344</v>
      </c>
      <c r="HW81" s="14" t="s">
        <v>344</v>
      </c>
      <c r="HX81" s="14" t="s">
        <v>345</v>
      </c>
      <c r="HY81" s="14"/>
      <c r="HZ81" s="14" t="s">
        <v>344</v>
      </c>
      <c r="IA81" s="14"/>
      <c r="IB81" s="14" t="s">
        <v>344</v>
      </c>
      <c r="IC81" s="14"/>
      <c r="ID81" s="14" t="s">
        <v>344</v>
      </c>
      <c r="IE81" s="14"/>
      <c r="IF81" s="14" t="s">
        <v>344</v>
      </c>
      <c r="IG81" s="14"/>
      <c r="IH81" s="14" t="s">
        <v>344</v>
      </c>
      <c r="II81" s="14" t="s">
        <v>345</v>
      </c>
      <c r="IJ81" s="14" t="s">
        <v>345</v>
      </c>
      <c r="IK81" s="14" t="s">
        <v>344</v>
      </c>
      <c r="IL81" s="14" t="s">
        <v>344</v>
      </c>
      <c r="IM81" s="14" t="s">
        <v>344</v>
      </c>
      <c r="IN81" s="14" t="s">
        <v>344</v>
      </c>
      <c r="IO81" s="14" t="s">
        <v>345</v>
      </c>
      <c r="IP81" s="14" t="s">
        <v>344</v>
      </c>
      <c r="IQ81" s="14" t="s">
        <v>344</v>
      </c>
      <c r="IR81" s="14" t="s">
        <v>344</v>
      </c>
      <c r="IS81" s="14" t="s">
        <v>344</v>
      </c>
      <c r="IT81" s="14"/>
      <c r="IU81" s="14" t="s">
        <v>786</v>
      </c>
      <c r="IV81" s="14"/>
      <c r="IW81" s="14"/>
      <c r="IX81" s="14"/>
      <c r="IY81" s="14"/>
      <c r="IZ81" s="14"/>
      <c r="JA81" s="14"/>
      <c r="JB81" s="14"/>
      <c r="JC81" s="14"/>
      <c r="JD81" s="14"/>
      <c r="JE81" s="14"/>
      <c r="JF81" s="14"/>
      <c r="JG81" s="14"/>
      <c r="JH81" s="14"/>
    </row>
    <row r="82" spans="1:268" x14ac:dyDescent="0.3">
      <c r="A82" s="13" t="s">
        <v>727</v>
      </c>
      <c r="B82" s="14">
        <v>162</v>
      </c>
      <c r="C82" s="14" t="s">
        <v>787</v>
      </c>
      <c r="D82" s="14">
        <v>14</v>
      </c>
      <c r="E82" s="14" t="s">
        <v>387</v>
      </c>
      <c r="F82" s="14">
        <v>563366848</v>
      </c>
      <c r="G82" s="14" t="s">
        <v>788</v>
      </c>
      <c r="H82" s="14" t="s">
        <v>787</v>
      </c>
      <c r="I82" s="14" t="s">
        <v>730</v>
      </c>
      <c r="J82" s="14">
        <v>34</v>
      </c>
      <c r="K82" s="14" t="s">
        <v>389</v>
      </c>
      <c r="L82" s="14"/>
      <c r="M82" s="14" t="s">
        <v>345</v>
      </c>
      <c r="N82" s="14" t="s">
        <v>344</v>
      </c>
      <c r="O82" s="14" t="s">
        <v>344</v>
      </c>
      <c r="P82" s="14" t="s">
        <v>344</v>
      </c>
      <c r="Q82" s="14" t="s">
        <v>344</v>
      </c>
      <c r="R82" s="14"/>
      <c r="S82" s="14" t="s">
        <v>475</v>
      </c>
      <c r="T82" s="14"/>
      <c r="U82" s="14" t="s">
        <v>571</v>
      </c>
      <c r="V82" s="14"/>
      <c r="W82" s="14" t="s">
        <v>344</v>
      </c>
      <c r="X82" s="14" t="s">
        <v>345</v>
      </c>
      <c r="Y82" s="14" t="s">
        <v>344</v>
      </c>
      <c r="Z82" s="14" t="s">
        <v>344</v>
      </c>
      <c r="AA82" s="14" t="s">
        <v>345</v>
      </c>
      <c r="AB82" s="14" t="s">
        <v>344</v>
      </c>
      <c r="AC82" s="14" t="s">
        <v>344</v>
      </c>
      <c r="AD82" s="14" t="s">
        <v>344</v>
      </c>
      <c r="AE82" s="14" t="s">
        <v>345</v>
      </c>
      <c r="AF82" s="14" t="s">
        <v>344</v>
      </c>
      <c r="AG82" s="14" t="s">
        <v>344</v>
      </c>
      <c r="AH82" s="14" t="s">
        <v>344</v>
      </c>
      <c r="AI82" s="14" t="s">
        <v>344</v>
      </c>
      <c r="AJ82" s="14" t="s">
        <v>344</v>
      </c>
      <c r="AK82" s="14" t="s">
        <v>344</v>
      </c>
      <c r="AL82" s="14" t="s">
        <v>344</v>
      </c>
      <c r="AM82" s="14" t="s">
        <v>345</v>
      </c>
      <c r="AN82" s="14" t="s">
        <v>344</v>
      </c>
      <c r="AO82" s="14" t="s">
        <v>344</v>
      </c>
      <c r="AP82" s="14" t="s">
        <v>344</v>
      </c>
      <c r="AQ82" s="14" t="s">
        <v>344</v>
      </c>
      <c r="AR82" s="14" t="s">
        <v>345</v>
      </c>
      <c r="AS82" s="14" t="s">
        <v>345</v>
      </c>
      <c r="AT82" s="14" t="s">
        <v>345</v>
      </c>
      <c r="AU82" s="14" t="s">
        <v>345</v>
      </c>
      <c r="AV82" s="14" t="s">
        <v>344</v>
      </c>
      <c r="AW82" s="14" t="s">
        <v>344</v>
      </c>
      <c r="AX82" s="14" t="s">
        <v>344</v>
      </c>
      <c r="AY82" s="14" t="s">
        <v>731</v>
      </c>
      <c r="AZ82" s="14" t="s">
        <v>733</v>
      </c>
      <c r="BA82" s="14" t="s">
        <v>732</v>
      </c>
      <c r="BB82" s="14" t="s">
        <v>733</v>
      </c>
      <c r="BC82" s="14" t="s">
        <v>731</v>
      </c>
      <c r="BD82" s="14" t="s">
        <v>731</v>
      </c>
      <c r="BE82" s="14" t="s">
        <v>390</v>
      </c>
      <c r="BF82" s="14" t="s">
        <v>390</v>
      </c>
      <c r="BG82" s="14" t="s">
        <v>390</v>
      </c>
      <c r="BH82" s="14" t="s">
        <v>390</v>
      </c>
      <c r="BI82" s="14" t="s">
        <v>390</v>
      </c>
      <c r="BJ82" s="14" t="s">
        <v>391</v>
      </c>
      <c r="BK82" s="14" t="s">
        <v>391</v>
      </c>
      <c r="BL82" s="14" t="s">
        <v>391</v>
      </c>
      <c r="BM82" s="14" t="s">
        <v>391</v>
      </c>
      <c r="BN82" s="14" t="s">
        <v>391</v>
      </c>
      <c r="BO82" s="14" t="s">
        <v>391</v>
      </c>
      <c r="BP82" s="14" t="s">
        <v>391</v>
      </c>
      <c r="BQ82" s="14" t="s">
        <v>358</v>
      </c>
      <c r="BR82" s="14" t="s">
        <v>429</v>
      </c>
      <c r="BS82" s="14" t="s">
        <v>391</v>
      </c>
      <c r="BT82" s="14" t="s">
        <v>391</v>
      </c>
      <c r="BU82" s="14" t="s">
        <v>391</v>
      </c>
      <c r="BV82" s="14" t="s">
        <v>391</v>
      </c>
      <c r="BW82" s="14" t="s">
        <v>391</v>
      </c>
      <c r="BX82" s="14" t="s">
        <v>391</v>
      </c>
      <c r="BY82" s="14" t="s">
        <v>391</v>
      </c>
      <c r="BZ82" s="14" t="s">
        <v>391</v>
      </c>
      <c r="CA82" s="14" t="s">
        <v>391</v>
      </c>
      <c r="CB82" s="14" t="s">
        <v>391</v>
      </c>
      <c r="CC82" s="14" t="s">
        <v>391</v>
      </c>
      <c r="CD82" s="14" t="s">
        <v>353</v>
      </c>
      <c r="CE82" s="14" t="s">
        <v>391</v>
      </c>
      <c r="CF82" s="14" t="s">
        <v>391</v>
      </c>
      <c r="CG82" s="14" t="s">
        <v>420</v>
      </c>
      <c r="CH82" s="14" t="s">
        <v>421</v>
      </c>
      <c r="CI82" s="14" t="s">
        <v>420</v>
      </c>
      <c r="CJ82" s="14" t="s">
        <v>420</v>
      </c>
      <c r="CK82" s="14" t="s">
        <v>789</v>
      </c>
      <c r="CL82" s="14" t="s">
        <v>344</v>
      </c>
      <c r="CM82" s="14" t="s">
        <v>344</v>
      </c>
      <c r="CN82" s="14" t="s">
        <v>345</v>
      </c>
      <c r="CO82" s="14" t="s">
        <v>344</v>
      </c>
      <c r="CP82" s="14" t="s">
        <v>344</v>
      </c>
      <c r="CQ82" s="14" t="s">
        <v>344</v>
      </c>
      <c r="CR82" s="14" t="s">
        <v>667</v>
      </c>
      <c r="CS82" s="14">
        <v>30</v>
      </c>
      <c r="CT82" s="14">
        <v>100</v>
      </c>
      <c r="CU82" s="14"/>
      <c r="CV82" s="14"/>
      <c r="CW82" s="14" t="s">
        <v>396</v>
      </c>
      <c r="CX82" s="14" t="s">
        <v>396</v>
      </c>
      <c r="CY82" s="14" t="s">
        <v>396</v>
      </c>
      <c r="CZ82" s="14" t="s">
        <v>397</v>
      </c>
      <c r="DA82" s="14" t="s">
        <v>397</v>
      </c>
      <c r="DB82" s="14" t="s">
        <v>397</v>
      </c>
      <c r="DC82" s="14" t="s">
        <v>397</v>
      </c>
      <c r="DD82" s="14" t="s">
        <v>397</v>
      </c>
      <c r="DE82" s="14"/>
      <c r="DF82" s="14"/>
      <c r="DG82" s="14"/>
      <c r="DH82" s="14"/>
      <c r="DI82" s="14"/>
      <c r="DJ82" s="14"/>
      <c r="DK82" s="14" t="s">
        <v>515</v>
      </c>
      <c r="DL82" s="14" t="s">
        <v>368</v>
      </c>
      <c r="DM82" s="14" t="s">
        <v>368</v>
      </c>
      <c r="DN82" s="14" t="s">
        <v>368</v>
      </c>
      <c r="DO82" s="14" t="s">
        <v>345</v>
      </c>
      <c r="DP82" s="14" t="s">
        <v>368</v>
      </c>
      <c r="DQ82" s="14" t="s">
        <v>368</v>
      </c>
      <c r="DR82" s="14" t="s">
        <v>368</v>
      </c>
      <c r="DS82" s="14" t="s">
        <v>345</v>
      </c>
      <c r="DT82" s="14" t="s">
        <v>344</v>
      </c>
      <c r="DU82" s="14" t="s">
        <v>345</v>
      </c>
      <c r="DV82" s="14" t="s">
        <v>344</v>
      </c>
      <c r="DW82" s="14" t="s">
        <v>344</v>
      </c>
      <c r="DX82" s="14" t="s">
        <v>370</v>
      </c>
      <c r="DY82" s="14" t="s">
        <v>370</v>
      </c>
      <c r="DZ82" s="14" t="s">
        <v>370</v>
      </c>
      <c r="EA82" s="14" t="s">
        <v>370</v>
      </c>
      <c r="EB82" s="14" t="s">
        <v>370</v>
      </c>
      <c r="EC82" s="14" t="s">
        <v>370</v>
      </c>
      <c r="ED82" s="14" t="s">
        <v>370</v>
      </c>
      <c r="EE82" s="14" t="s">
        <v>369</v>
      </c>
      <c r="EF82" s="14" t="s">
        <v>369</v>
      </c>
      <c r="EG82" s="14" t="s">
        <v>399</v>
      </c>
      <c r="EH82" s="14" t="s">
        <v>369</v>
      </c>
      <c r="EI82" s="14" t="s">
        <v>369</v>
      </c>
      <c r="EJ82" s="14" t="s">
        <v>399</v>
      </c>
      <c r="EK82" s="14" t="s">
        <v>399</v>
      </c>
      <c r="EL82" s="14" t="s">
        <v>373</v>
      </c>
      <c r="EM82" s="14" t="s">
        <v>374</v>
      </c>
      <c r="EN82" s="14" t="s">
        <v>372</v>
      </c>
      <c r="EO82" s="14"/>
      <c r="EP82" s="14"/>
      <c r="EQ82" s="14" t="s">
        <v>411</v>
      </c>
      <c r="ER82" s="14" t="s">
        <v>376</v>
      </c>
      <c r="ES82" s="14" t="s">
        <v>375</v>
      </c>
      <c r="ET82" s="14" t="s">
        <v>375</v>
      </c>
      <c r="EU82" s="14" t="s">
        <v>375</v>
      </c>
      <c r="EV82" s="14" t="s">
        <v>379</v>
      </c>
      <c r="EW82" s="14"/>
      <c r="EX82" s="14" t="s">
        <v>368</v>
      </c>
      <c r="EY82" s="14" t="s">
        <v>368</v>
      </c>
      <c r="EZ82" s="14" t="s">
        <v>368</v>
      </c>
      <c r="FA82" s="14" t="s">
        <v>345</v>
      </c>
      <c r="FB82" s="14" t="s">
        <v>401</v>
      </c>
      <c r="FC82" s="14"/>
      <c r="FD82" s="14" t="s">
        <v>401</v>
      </c>
      <c r="FE82" s="14"/>
      <c r="FF82" s="14" t="s">
        <v>412</v>
      </c>
      <c r="FG82" s="14" t="s">
        <v>413</v>
      </c>
      <c r="FH82" s="14" t="s">
        <v>451</v>
      </c>
      <c r="FI82" s="14" t="s">
        <v>385</v>
      </c>
      <c r="FJ82" s="14"/>
      <c r="FK82" s="14"/>
      <c r="FL82" s="14"/>
      <c r="FM82" s="14"/>
      <c r="FN82" s="14"/>
      <c r="FO82" s="14"/>
      <c r="FP82" s="14"/>
      <c r="FQ82" s="14"/>
      <c r="FR82" s="14"/>
      <c r="FS82" s="14"/>
      <c r="FT82" s="14"/>
      <c r="FU82" s="14"/>
      <c r="FV82" s="14"/>
      <c r="FW82" s="14"/>
      <c r="FX82" s="14"/>
      <c r="FY82" s="14"/>
      <c r="FZ82" s="14"/>
      <c r="GA82" s="14" t="s">
        <v>368</v>
      </c>
      <c r="GB82" s="14" t="s">
        <v>368</v>
      </c>
      <c r="GC82" s="14" t="s">
        <v>368</v>
      </c>
      <c r="GD82" s="14" t="s">
        <v>368</v>
      </c>
      <c r="GE82" s="14" t="s">
        <v>368</v>
      </c>
      <c r="GF82" s="14" t="s">
        <v>368</v>
      </c>
      <c r="GG82" s="14"/>
      <c r="GH82" s="14"/>
      <c r="GI82" s="14"/>
      <c r="GJ82" s="14"/>
      <c r="GK82" s="14"/>
      <c r="GL82" s="14" t="s">
        <v>344</v>
      </c>
      <c r="GM82" s="14" t="s">
        <v>344</v>
      </c>
      <c r="GN82" s="14" t="s">
        <v>344</v>
      </c>
      <c r="GO82" s="14" t="s">
        <v>344</v>
      </c>
      <c r="GP82" s="14" t="s">
        <v>344</v>
      </c>
      <c r="GQ82" s="14" t="s">
        <v>344</v>
      </c>
      <c r="GR82" s="14" t="s">
        <v>344</v>
      </c>
      <c r="GS82" s="14" t="s">
        <v>344</v>
      </c>
      <c r="GT82" s="14" t="s">
        <v>344</v>
      </c>
      <c r="GU82" s="14" t="s">
        <v>344</v>
      </c>
      <c r="GV82" s="14" t="s">
        <v>345</v>
      </c>
      <c r="GW82" s="14" t="s">
        <v>344</v>
      </c>
      <c r="GX82" s="14" t="s">
        <v>344</v>
      </c>
      <c r="GY82" s="14" t="s">
        <v>344</v>
      </c>
      <c r="GZ82" s="14" t="s">
        <v>344</v>
      </c>
      <c r="HA82" s="14"/>
      <c r="HB82" s="14" t="s">
        <v>344</v>
      </c>
      <c r="HC82" s="14"/>
      <c r="HD82" s="14" t="s">
        <v>344</v>
      </c>
      <c r="HE82" s="14"/>
      <c r="HF82" s="14" t="s">
        <v>344</v>
      </c>
      <c r="HG82" s="14"/>
      <c r="HH82" s="14" t="s">
        <v>344</v>
      </c>
      <c r="HI82" s="14"/>
      <c r="HJ82" s="14" t="s">
        <v>344</v>
      </c>
      <c r="HK82" s="14" t="s">
        <v>344</v>
      </c>
      <c r="HL82" s="14" t="s">
        <v>344</v>
      </c>
      <c r="HM82" s="14" t="s">
        <v>345</v>
      </c>
      <c r="HN82" s="14" t="s">
        <v>344</v>
      </c>
      <c r="HO82" s="14" t="s">
        <v>344</v>
      </c>
      <c r="HP82" s="14" t="s">
        <v>344</v>
      </c>
      <c r="HQ82" s="14" t="s">
        <v>344</v>
      </c>
      <c r="HR82" s="14" t="s">
        <v>344</v>
      </c>
      <c r="HS82" s="14" t="s">
        <v>344</v>
      </c>
      <c r="HT82" s="14" t="s">
        <v>344</v>
      </c>
      <c r="HU82" s="14" t="s">
        <v>345</v>
      </c>
      <c r="HV82" s="14" t="s">
        <v>344</v>
      </c>
      <c r="HW82" s="14" t="s">
        <v>344</v>
      </c>
      <c r="HX82" s="14" t="s">
        <v>344</v>
      </c>
      <c r="HY82" s="14"/>
      <c r="HZ82" s="14" t="s">
        <v>344</v>
      </c>
      <c r="IA82" s="14"/>
      <c r="IB82" s="14" t="s">
        <v>344</v>
      </c>
      <c r="IC82" s="14"/>
      <c r="ID82" s="14" t="s">
        <v>344</v>
      </c>
      <c r="IE82" s="14"/>
      <c r="IF82" s="14" t="s">
        <v>344</v>
      </c>
      <c r="IG82" s="14"/>
      <c r="IH82" s="14" t="s">
        <v>344</v>
      </c>
      <c r="II82" s="14" t="s">
        <v>345</v>
      </c>
      <c r="IJ82" s="14" t="s">
        <v>345</v>
      </c>
      <c r="IK82" s="14" t="s">
        <v>344</v>
      </c>
      <c r="IL82" s="14" t="s">
        <v>345</v>
      </c>
      <c r="IM82" s="14" t="s">
        <v>344</v>
      </c>
      <c r="IN82" s="14" t="s">
        <v>344</v>
      </c>
      <c r="IO82" s="14" t="s">
        <v>345</v>
      </c>
      <c r="IP82" s="14" t="s">
        <v>344</v>
      </c>
      <c r="IQ82" s="14" t="s">
        <v>344</v>
      </c>
      <c r="IR82" s="14" t="s">
        <v>344</v>
      </c>
      <c r="IS82" s="14" t="s">
        <v>344</v>
      </c>
      <c r="IT82" s="14"/>
      <c r="IU82" s="14"/>
      <c r="IV82" s="14"/>
      <c r="IW82" s="14"/>
      <c r="IX82" s="14"/>
      <c r="IY82" s="14"/>
      <c r="IZ82" s="14"/>
      <c r="JA82" s="14"/>
      <c r="JB82" s="14"/>
      <c r="JC82" s="14"/>
      <c r="JD82" s="14"/>
      <c r="JE82" s="14"/>
      <c r="JF82" s="14"/>
      <c r="JG82" s="14"/>
      <c r="JH82" s="14"/>
    </row>
    <row r="83" spans="1:268" x14ac:dyDescent="0.3">
      <c r="A83" s="13" t="s">
        <v>727</v>
      </c>
      <c r="B83" s="14">
        <v>163</v>
      </c>
      <c r="C83" s="14" t="s">
        <v>790</v>
      </c>
      <c r="D83" s="14">
        <v>14</v>
      </c>
      <c r="E83" s="14" t="s">
        <v>387</v>
      </c>
      <c r="F83" s="14">
        <v>798194546</v>
      </c>
      <c r="G83" s="14" t="s">
        <v>788</v>
      </c>
      <c r="H83" s="14" t="s">
        <v>790</v>
      </c>
      <c r="I83" s="14" t="s">
        <v>730</v>
      </c>
      <c r="J83" s="14">
        <v>19</v>
      </c>
      <c r="K83" s="14" t="s">
        <v>389</v>
      </c>
      <c r="L83" s="14"/>
      <c r="M83" s="14" t="s">
        <v>345</v>
      </c>
      <c r="N83" s="14" t="s">
        <v>344</v>
      </c>
      <c r="O83" s="14" t="s">
        <v>344</v>
      </c>
      <c r="P83" s="14" t="s">
        <v>344</v>
      </c>
      <c r="Q83" s="14" t="s">
        <v>344</v>
      </c>
      <c r="R83" s="14"/>
      <c r="S83" s="14" t="s">
        <v>475</v>
      </c>
      <c r="T83" s="14"/>
      <c r="U83" s="14" t="s">
        <v>343</v>
      </c>
      <c r="V83" s="14" t="s">
        <v>791</v>
      </c>
      <c r="W83" s="14" t="s">
        <v>344</v>
      </c>
      <c r="X83" s="14" t="s">
        <v>344</v>
      </c>
      <c r="Y83" s="14" t="s">
        <v>344</v>
      </c>
      <c r="Z83" s="14" t="s">
        <v>344</v>
      </c>
      <c r="AA83" s="14" t="s">
        <v>345</v>
      </c>
      <c r="AB83" s="14" t="s">
        <v>344</v>
      </c>
      <c r="AC83" s="14" t="s">
        <v>344</v>
      </c>
      <c r="AD83" s="14" t="s">
        <v>344</v>
      </c>
      <c r="AE83" s="14" t="s">
        <v>344</v>
      </c>
      <c r="AF83" s="14" t="s">
        <v>344</v>
      </c>
      <c r="AG83" s="14" t="s">
        <v>344</v>
      </c>
      <c r="AH83" s="14" t="s">
        <v>345</v>
      </c>
      <c r="AI83" s="14" t="s">
        <v>344</v>
      </c>
      <c r="AJ83" s="14" t="s">
        <v>344</v>
      </c>
      <c r="AK83" s="14" t="s">
        <v>344</v>
      </c>
      <c r="AL83" s="14" t="s">
        <v>345</v>
      </c>
      <c r="AM83" s="14" t="s">
        <v>344</v>
      </c>
      <c r="AN83" s="14" t="s">
        <v>344</v>
      </c>
      <c r="AO83" s="14" t="s">
        <v>344</v>
      </c>
      <c r="AP83" s="14" t="s">
        <v>344</v>
      </c>
      <c r="AQ83" s="14" t="s">
        <v>344</v>
      </c>
      <c r="AR83" s="14" t="s">
        <v>344</v>
      </c>
      <c r="AS83" s="14" t="s">
        <v>344</v>
      </c>
      <c r="AT83" s="14" t="s">
        <v>345</v>
      </c>
      <c r="AU83" s="14" t="s">
        <v>345</v>
      </c>
      <c r="AV83" s="14" t="s">
        <v>344</v>
      </c>
      <c r="AW83" s="14" t="s">
        <v>344</v>
      </c>
      <c r="AX83" s="14" t="s">
        <v>344</v>
      </c>
      <c r="AY83" s="14" t="s">
        <v>737</v>
      </c>
      <c r="AZ83" s="14" t="s">
        <v>737</v>
      </c>
      <c r="BA83" s="14" t="s">
        <v>737</v>
      </c>
      <c r="BB83" s="14" t="s">
        <v>737</v>
      </c>
      <c r="BC83" s="14" t="s">
        <v>737</v>
      </c>
      <c r="BD83" s="14" t="s">
        <v>737</v>
      </c>
      <c r="BE83" s="14" t="s">
        <v>349</v>
      </c>
      <c r="BF83" s="14" t="s">
        <v>349</v>
      </c>
      <c r="BG83" s="14" t="s">
        <v>349</v>
      </c>
      <c r="BH83" s="14" t="s">
        <v>349</v>
      </c>
      <c r="BI83" s="14" t="s">
        <v>349</v>
      </c>
      <c r="BJ83" s="14" t="s">
        <v>391</v>
      </c>
      <c r="BK83" s="14" t="s">
        <v>391</v>
      </c>
      <c r="BL83" s="14" t="s">
        <v>391</v>
      </c>
      <c r="BM83" s="14" t="s">
        <v>391</v>
      </c>
      <c r="BN83" s="14" t="s">
        <v>391</v>
      </c>
      <c r="BO83" s="14" t="s">
        <v>391</v>
      </c>
      <c r="BP83" s="14" t="s">
        <v>391</v>
      </c>
      <c r="BQ83" s="14" t="s">
        <v>358</v>
      </c>
      <c r="BR83" s="14" t="s">
        <v>408</v>
      </c>
      <c r="BS83" s="14" t="s">
        <v>391</v>
      </c>
      <c r="BT83" s="14" t="s">
        <v>391</v>
      </c>
      <c r="BU83" s="14" t="s">
        <v>391</v>
      </c>
      <c r="BV83" s="14" t="s">
        <v>391</v>
      </c>
      <c r="BW83" s="14" t="s">
        <v>391</v>
      </c>
      <c r="BX83" s="14" t="s">
        <v>391</v>
      </c>
      <c r="BY83" s="14" t="s">
        <v>391</v>
      </c>
      <c r="BZ83" s="14" t="s">
        <v>391</v>
      </c>
      <c r="CA83" s="14" t="s">
        <v>391</v>
      </c>
      <c r="CB83" s="14" t="s">
        <v>391</v>
      </c>
      <c r="CC83" s="14" t="s">
        <v>391</v>
      </c>
      <c r="CD83" s="14" t="s">
        <v>391</v>
      </c>
      <c r="CE83" s="14" t="s">
        <v>391</v>
      </c>
      <c r="CF83" s="14" t="s">
        <v>391</v>
      </c>
      <c r="CG83" s="14" t="s">
        <v>392</v>
      </c>
      <c r="CH83" s="14" t="s">
        <v>392</v>
      </c>
      <c r="CI83" s="14" t="s">
        <v>420</v>
      </c>
      <c r="CJ83" s="14" t="s">
        <v>392</v>
      </c>
      <c r="CK83" s="14"/>
      <c r="CL83" s="14" t="s">
        <v>344</v>
      </c>
      <c r="CM83" s="14" t="s">
        <v>344</v>
      </c>
      <c r="CN83" s="14" t="s">
        <v>344</v>
      </c>
      <c r="CO83" s="14" t="s">
        <v>345</v>
      </c>
      <c r="CP83" s="14" t="s">
        <v>344</v>
      </c>
      <c r="CQ83" s="14" t="s">
        <v>344</v>
      </c>
      <c r="CR83" s="14" t="s">
        <v>667</v>
      </c>
      <c r="CS83" s="14">
        <v>100</v>
      </c>
      <c r="CT83" s="14">
        <v>100</v>
      </c>
      <c r="CU83" s="14"/>
      <c r="CV83" s="14"/>
      <c r="CW83" s="14" t="s">
        <v>395</v>
      </c>
      <c r="CX83" s="14" t="s">
        <v>395</v>
      </c>
      <c r="CY83" s="14" t="s">
        <v>395</v>
      </c>
      <c r="CZ83" s="14" t="s">
        <v>397</v>
      </c>
      <c r="DA83" s="14" t="s">
        <v>397</v>
      </c>
      <c r="DB83" s="14" t="s">
        <v>397</v>
      </c>
      <c r="DC83" s="14" t="s">
        <v>397</v>
      </c>
      <c r="DD83" s="14" t="s">
        <v>397</v>
      </c>
      <c r="DE83" s="14"/>
      <c r="DF83" s="14"/>
      <c r="DG83" s="14"/>
      <c r="DH83" s="14"/>
      <c r="DI83" s="14"/>
      <c r="DJ83" s="14"/>
      <c r="DK83" s="14" t="s">
        <v>515</v>
      </c>
      <c r="DL83" s="14" t="s">
        <v>345</v>
      </c>
      <c r="DM83" s="14" t="s">
        <v>344</v>
      </c>
      <c r="DN83" s="14" t="s">
        <v>344</v>
      </c>
      <c r="DO83" s="14" t="s">
        <v>344</v>
      </c>
      <c r="DP83" s="14" t="s">
        <v>345</v>
      </c>
      <c r="DQ83" s="14" t="s">
        <v>345</v>
      </c>
      <c r="DR83" s="14" t="s">
        <v>345</v>
      </c>
      <c r="DS83" s="14" t="s">
        <v>344</v>
      </c>
      <c r="DT83" s="14" t="s">
        <v>345</v>
      </c>
      <c r="DU83" s="14" t="s">
        <v>345</v>
      </c>
      <c r="DV83" s="14" t="s">
        <v>345</v>
      </c>
      <c r="DW83" s="14" t="s">
        <v>344</v>
      </c>
      <c r="DX83" s="14" t="s">
        <v>370</v>
      </c>
      <c r="DY83" s="14" t="s">
        <v>370</v>
      </c>
      <c r="DZ83" s="14" t="s">
        <v>370</v>
      </c>
      <c r="EA83" s="14" t="s">
        <v>370</v>
      </c>
      <c r="EB83" s="14" t="s">
        <v>370</v>
      </c>
      <c r="EC83" s="14" t="s">
        <v>370</v>
      </c>
      <c r="ED83" s="14" t="s">
        <v>370</v>
      </c>
      <c r="EE83" s="14" t="s">
        <v>399</v>
      </c>
      <c r="EF83" s="14" t="s">
        <v>399</v>
      </c>
      <c r="EG83" s="14" t="s">
        <v>399</v>
      </c>
      <c r="EH83" s="14" t="s">
        <v>399</v>
      </c>
      <c r="EI83" s="14" t="s">
        <v>369</v>
      </c>
      <c r="EJ83" s="14" t="s">
        <v>399</v>
      </c>
      <c r="EK83" s="14" t="s">
        <v>399</v>
      </c>
      <c r="EL83" s="14" t="s">
        <v>372</v>
      </c>
      <c r="EM83" s="14" t="s">
        <v>424</v>
      </c>
      <c r="EN83" s="14" t="s">
        <v>373</v>
      </c>
      <c r="EO83" s="14"/>
      <c r="EP83" s="14"/>
      <c r="EQ83" s="14" t="s">
        <v>411</v>
      </c>
      <c r="ER83" s="14" t="s">
        <v>411</v>
      </c>
      <c r="ES83" s="14" t="s">
        <v>376</v>
      </c>
      <c r="ET83" s="14" t="s">
        <v>376</v>
      </c>
      <c r="EU83" s="14" t="s">
        <v>376</v>
      </c>
      <c r="EV83" s="14" t="s">
        <v>379</v>
      </c>
      <c r="EW83" s="14"/>
      <c r="EX83" s="161" t="s">
        <v>344</v>
      </c>
      <c r="EY83" s="161" t="s">
        <v>345</v>
      </c>
      <c r="EZ83" s="161" t="s">
        <v>344</v>
      </c>
      <c r="FA83" s="14" t="s">
        <v>344</v>
      </c>
      <c r="FB83" s="14" t="s">
        <v>401</v>
      </c>
      <c r="FC83" s="14"/>
      <c r="FD83" s="14" t="s">
        <v>401</v>
      </c>
      <c r="FE83" s="14"/>
      <c r="FF83" s="14" t="s">
        <v>382</v>
      </c>
      <c r="FG83" s="14" t="s">
        <v>441</v>
      </c>
      <c r="FH83" s="14" t="s">
        <v>451</v>
      </c>
      <c r="FI83" s="14" t="s">
        <v>442</v>
      </c>
      <c r="FJ83" s="14"/>
      <c r="FK83" s="14"/>
      <c r="FL83" s="14"/>
      <c r="FM83" s="14"/>
      <c r="FN83" s="14"/>
      <c r="FO83" s="14"/>
      <c r="FP83" s="14"/>
      <c r="FQ83" s="14"/>
      <c r="FR83" s="14"/>
      <c r="FS83" s="14"/>
      <c r="FT83" s="14"/>
      <c r="FU83" s="14"/>
      <c r="FV83" s="14"/>
      <c r="FW83" s="14"/>
      <c r="FX83" s="14"/>
      <c r="FY83" s="14"/>
      <c r="FZ83" s="14"/>
      <c r="GA83" s="14" t="s">
        <v>368</v>
      </c>
      <c r="GB83" s="14" t="s">
        <v>368</v>
      </c>
      <c r="GC83" s="14" t="s">
        <v>368</v>
      </c>
      <c r="GD83" s="14" t="s">
        <v>368</v>
      </c>
      <c r="GE83" s="14" t="s">
        <v>368</v>
      </c>
      <c r="GF83" s="14" t="s">
        <v>368</v>
      </c>
      <c r="GG83" s="14"/>
      <c r="GH83" s="14"/>
      <c r="GI83" s="14"/>
      <c r="GJ83" s="14"/>
      <c r="GK83" s="14"/>
      <c r="GL83" s="14" t="s">
        <v>344</v>
      </c>
      <c r="GM83" s="14" t="s">
        <v>344</v>
      </c>
      <c r="GN83" s="14" t="s">
        <v>344</v>
      </c>
      <c r="GO83" s="14" t="s">
        <v>344</v>
      </c>
      <c r="GP83" s="14" t="s">
        <v>344</v>
      </c>
      <c r="GQ83" s="14" t="s">
        <v>344</v>
      </c>
      <c r="GR83" s="14" t="s">
        <v>344</v>
      </c>
      <c r="GS83" s="14" t="s">
        <v>344</v>
      </c>
      <c r="GT83" s="14" t="s">
        <v>344</v>
      </c>
      <c r="GU83" s="14" t="s">
        <v>344</v>
      </c>
      <c r="GV83" s="14" t="s">
        <v>344</v>
      </c>
      <c r="GW83" s="14" t="s">
        <v>344</v>
      </c>
      <c r="GX83" s="14" t="s">
        <v>344</v>
      </c>
      <c r="GY83" s="14" t="s">
        <v>344</v>
      </c>
      <c r="GZ83" s="14" t="s">
        <v>345</v>
      </c>
      <c r="HA83" s="14"/>
      <c r="HB83" s="14" t="s">
        <v>344</v>
      </c>
      <c r="HC83" s="14"/>
      <c r="HD83" s="14" t="s">
        <v>344</v>
      </c>
      <c r="HE83" s="14"/>
      <c r="HF83" s="14" t="s">
        <v>344</v>
      </c>
      <c r="HG83" s="14"/>
      <c r="HH83" s="14" t="s">
        <v>344</v>
      </c>
      <c r="HI83" s="14"/>
      <c r="HJ83" s="14" t="s">
        <v>344</v>
      </c>
      <c r="HK83" s="14" t="s">
        <v>344</v>
      </c>
      <c r="HL83" s="14" t="s">
        <v>344</v>
      </c>
      <c r="HM83" s="14" t="s">
        <v>344</v>
      </c>
      <c r="HN83" s="14" t="s">
        <v>344</v>
      </c>
      <c r="HO83" s="14" t="s">
        <v>344</v>
      </c>
      <c r="HP83" s="14" t="s">
        <v>344</v>
      </c>
      <c r="HQ83" s="14" t="s">
        <v>344</v>
      </c>
      <c r="HR83" s="14" t="s">
        <v>344</v>
      </c>
      <c r="HS83" s="14" t="s">
        <v>344</v>
      </c>
      <c r="HT83" s="14" t="s">
        <v>344</v>
      </c>
      <c r="HU83" s="14" t="s">
        <v>344</v>
      </c>
      <c r="HV83" s="14" t="s">
        <v>344</v>
      </c>
      <c r="HW83" s="14" t="s">
        <v>344</v>
      </c>
      <c r="HX83" s="14" t="s">
        <v>345</v>
      </c>
      <c r="HY83" s="14"/>
      <c r="HZ83" s="14" t="s">
        <v>344</v>
      </c>
      <c r="IA83" s="14"/>
      <c r="IB83" s="14" t="s">
        <v>344</v>
      </c>
      <c r="IC83" s="14"/>
      <c r="ID83" s="14" t="s">
        <v>344</v>
      </c>
      <c r="IE83" s="14"/>
      <c r="IF83" s="14" t="s">
        <v>344</v>
      </c>
      <c r="IG83" s="14"/>
      <c r="IH83" s="14" t="s">
        <v>344</v>
      </c>
      <c r="II83" s="14" t="s">
        <v>344</v>
      </c>
      <c r="IJ83" s="14" t="s">
        <v>345</v>
      </c>
      <c r="IK83" s="14" t="s">
        <v>344</v>
      </c>
      <c r="IL83" s="14" t="s">
        <v>345</v>
      </c>
      <c r="IM83" s="14" t="s">
        <v>344</v>
      </c>
      <c r="IN83" s="14" t="s">
        <v>344</v>
      </c>
      <c r="IO83" s="14" t="s">
        <v>344</v>
      </c>
      <c r="IP83" s="14" t="s">
        <v>345</v>
      </c>
      <c r="IQ83" s="14" t="s">
        <v>344</v>
      </c>
      <c r="IR83" s="14" t="s">
        <v>345</v>
      </c>
      <c r="IS83" s="14" t="s">
        <v>344</v>
      </c>
      <c r="IT83" s="14"/>
      <c r="IU83" s="14"/>
      <c r="IV83" s="14"/>
      <c r="IW83" s="14"/>
      <c r="IX83" s="14"/>
      <c r="IY83" s="14"/>
      <c r="IZ83" s="14"/>
      <c r="JA83" s="14"/>
      <c r="JB83" s="14"/>
      <c r="JC83" s="14"/>
      <c r="JD83" s="14"/>
      <c r="JE83" s="14"/>
      <c r="JF83" s="14"/>
      <c r="JG83" s="14"/>
      <c r="JH83" s="14"/>
    </row>
    <row r="84" spans="1:268" x14ac:dyDescent="0.3">
      <c r="A84" s="13" t="s">
        <v>727</v>
      </c>
      <c r="B84" s="14">
        <v>164</v>
      </c>
      <c r="C84" s="14" t="s">
        <v>792</v>
      </c>
      <c r="D84" s="14">
        <v>14</v>
      </c>
      <c r="E84" s="14" t="s">
        <v>387</v>
      </c>
      <c r="F84" s="14">
        <v>1332597122</v>
      </c>
      <c r="G84" s="14" t="s">
        <v>793</v>
      </c>
      <c r="H84" s="14" t="s">
        <v>792</v>
      </c>
      <c r="I84" s="14" t="s">
        <v>730</v>
      </c>
      <c r="J84" s="14">
        <v>20</v>
      </c>
      <c r="K84" s="14" t="s">
        <v>406</v>
      </c>
      <c r="L84" s="14"/>
      <c r="M84" s="14" t="s">
        <v>345</v>
      </c>
      <c r="N84" s="14" t="s">
        <v>344</v>
      </c>
      <c r="O84" s="14" t="s">
        <v>344</v>
      </c>
      <c r="P84" s="14" t="s">
        <v>344</v>
      </c>
      <c r="Q84" s="14" t="s">
        <v>344</v>
      </c>
      <c r="R84" s="14"/>
      <c r="S84" s="14" t="s">
        <v>475</v>
      </c>
      <c r="T84" s="14"/>
      <c r="U84" s="14" t="s">
        <v>347</v>
      </c>
      <c r="V84" s="14"/>
      <c r="W84" s="14" t="s">
        <v>368</v>
      </c>
      <c r="X84" s="14" t="s">
        <v>368</v>
      </c>
      <c r="Y84" s="14" t="s">
        <v>368</v>
      </c>
      <c r="Z84" s="14" t="s">
        <v>368</v>
      </c>
      <c r="AA84" s="14" t="s">
        <v>368</v>
      </c>
      <c r="AB84" s="14" t="s">
        <v>368</v>
      </c>
      <c r="AC84" s="14" t="s">
        <v>345</v>
      </c>
      <c r="AD84" s="14" t="s">
        <v>345</v>
      </c>
      <c r="AE84" s="14" t="s">
        <v>344</v>
      </c>
      <c r="AF84" s="14" t="s">
        <v>344</v>
      </c>
      <c r="AG84" s="14" t="s">
        <v>344</v>
      </c>
      <c r="AH84" s="14" t="s">
        <v>344</v>
      </c>
      <c r="AI84" s="14" t="s">
        <v>344</v>
      </c>
      <c r="AJ84" s="14" t="s">
        <v>344</v>
      </c>
      <c r="AK84" s="14" t="s">
        <v>368</v>
      </c>
      <c r="AL84" s="14" t="s">
        <v>368</v>
      </c>
      <c r="AM84" s="14" t="s">
        <v>368</v>
      </c>
      <c r="AN84" s="14" t="s">
        <v>368</v>
      </c>
      <c r="AO84" s="14" t="s">
        <v>368</v>
      </c>
      <c r="AP84" s="14" t="s">
        <v>368</v>
      </c>
      <c r="AQ84" s="14" t="s">
        <v>345</v>
      </c>
      <c r="AR84" s="14" t="s">
        <v>344</v>
      </c>
      <c r="AS84" s="14" t="s">
        <v>345</v>
      </c>
      <c r="AT84" s="14" t="s">
        <v>344</v>
      </c>
      <c r="AU84" s="14" t="s">
        <v>344</v>
      </c>
      <c r="AV84" s="14" t="s">
        <v>344</v>
      </c>
      <c r="AW84" s="14" t="s">
        <v>344</v>
      </c>
      <c r="AX84" s="14" t="s">
        <v>344</v>
      </c>
      <c r="AY84" s="14" t="s">
        <v>391</v>
      </c>
      <c r="AZ84" s="14" t="s">
        <v>391</v>
      </c>
      <c r="BA84" s="14" t="s">
        <v>391</v>
      </c>
      <c r="BB84" s="14" t="s">
        <v>391</v>
      </c>
      <c r="BC84" s="14" t="s">
        <v>391</v>
      </c>
      <c r="BD84" s="14" t="s">
        <v>391</v>
      </c>
      <c r="BE84" s="14" t="s">
        <v>348</v>
      </c>
      <c r="BF84" s="14" t="s">
        <v>348</v>
      </c>
      <c r="BG84" s="14" t="s">
        <v>348</v>
      </c>
      <c r="BH84" s="14" t="s">
        <v>348</v>
      </c>
      <c r="BI84" s="14" t="s">
        <v>348</v>
      </c>
      <c r="BJ84" s="14" t="s">
        <v>354</v>
      </c>
      <c r="BK84" s="14" t="s">
        <v>391</v>
      </c>
      <c r="BL84" s="14" t="s">
        <v>391</v>
      </c>
      <c r="BM84" s="14" t="s">
        <v>391</v>
      </c>
      <c r="BN84" s="14" t="s">
        <v>391</v>
      </c>
      <c r="BO84" s="14" t="s">
        <v>391</v>
      </c>
      <c r="BP84" s="14" t="s">
        <v>391</v>
      </c>
      <c r="BQ84" s="14" t="s">
        <v>407</v>
      </c>
      <c r="BR84" s="14" t="s">
        <v>408</v>
      </c>
      <c r="BS84" s="14" t="s">
        <v>391</v>
      </c>
      <c r="BT84" s="14" t="s">
        <v>391</v>
      </c>
      <c r="BU84" s="14" t="s">
        <v>391</v>
      </c>
      <c r="BV84" s="14" t="s">
        <v>391</v>
      </c>
      <c r="BW84" s="14" t="s">
        <v>391</v>
      </c>
      <c r="BX84" s="14" t="s">
        <v>391</v>
      </c>
      <c r="BY84" s="14" t="s">
        <v>391</v>
      </c>
      <c r="BZ84" s="14" t="s">
        <v>391</v>
      </c>
      <c r="CA84" s="14" t="s">
        <v>391</v>
      </c>
      <c r="CB84" s="14" t="s">
        <v>391</v>
      </c>
      <c r="CC84" s="14" t="s">
        <v>391</v>
      </c>
      <c r="CD84" s="14" t="s">
        <v>391</v>
      </c>
      <c r="CE84" s="14" t="s">
        <v>391</v>
      </c>
      <c r="CF84" s="14" t="s">
        <v>391</v>
      </c>
      <c r="CG84" s="14" t="s">
        <v>360</v>
      </c>
      <c r="CH84" s="14" t="s">
        <v>392</v>
      </c>
      <c r="CI84" s="14" t="s">
        <v>392</v>
      </c>
      <c r="CJ84" s="14" t="s">
        <v>360</v>
      </c>
      <c r="CK84" s="14"/>
      <c r="CL84" s="14" t="s">
        <v>344</v>
      </c>
      <c r="CM84" s="14" t="s">
        <v>344</v>
      </c>
      <c r="CN84" s="14" t="s">
        <v>344</v>
      </c>
      <c r="CO84" s="14" t="s">
        <v>345</v>
      </c>
      <c r="CP84" s="14" t="s">
        <v>345</v>
      </c>
      <c r="CQ84" s="14" t="s">
        <v>344</v>
      </c>
      <c r="CR84" s="14" t="s">
        <v>655</v>
      </c>
      <c r="CS84" s="14">
        <v>50</v>
      </c>
      <c r="CT84" s="14">
        <v>60</v>
      </c>
      <c r="CU84" s="14"/>
      <c r="CV84" s="14"/>
      <c r="CW84" s="14" t="s">
        <v>364</v>
      </c>
      <c r="CX84" s="14" t="s">
        <v>395</v>
      </c>
      <c r="CY84" s="14" t="s">
        <v>363</v>
      </c>
      <c r="CZ84" s="14" t="s">
        <v>397</v>
      </c>
      <c r="DA84" s="14" t="s">
        <v>397</v>
      </c>
      <c r="DB84" s="14" t="s">
        <v>397</v>
      </c>
      <c r="DC84" s="14" t="s">
        <v>397</v>
      </c>
      <c r="DD84" s="14" t="s">
        <v>397</v>
      </c>
      <c r="DE84" s="14"/>
      <c r="DF84" s="14"/>
      <c r="DG84" s="14"/>
      <c r="DH84" s="14"/>
      <c r="DI84" s="14"/>
      <c r="DJ84" s="14"/>
      <c r="DK84" s="14" t="s">
        <v>367</v>
      </c>
      <c r="DL84" s="14" t="s">
        <v>368</v>
      </c>
      <c r="DM84" s="14" t="s">
        <v>368</v>
      </c>
      <c r="DN84" s="14" t="s">
        <v>368</v>
      </c>
      <c r="DO84" s="14" t="s">
        <v>368</v>
      </c>
      <c r="DP84" s="14" t="s">
        <v>368</v>
      </c>
      <c r="DQ84" s="14" t="s">
        <v>368</v>
      </c>
      <c r="DR84" s="14" t="s">
        <v>368</v>
      </c>
      <c r="DS84" s="14" t="s">
        <v>345</v>
      </c>
      <c r="DT84" s="14" t="s">
        <v>368</v>
      </c>
      <c r="DU84" s="14" t="s">
        <v>368</v>
      </c>
      <c r="DV84" s="14" t="s">
        <v>368</v>
      </c>
      <c r="DW84" s="14" t="s">
        <v>345</v>
      </c>
      <c r="DX84" s="14" t="s">
        <v>370</v>
      </c>
      <c r="DY84" s="14" t="s">
        <v>370</v>
      </c>
      <c r="DZ84" s="14" t="s">
        <v>370</v>
      </c>
      <c r="EA84" s="14" t="s">
        <v>370</v>
      </c>
      <c r="EB84" s="14" t="s">
        <v>370</v>
      </c>
      <c r="EC84" s="14" t="s">
        <v>370</v>
      </c>
      <c r="ED84" s="14" t="s">
        <v>370</v>
      </c>
      <c r="EE84" s="14" t="s">
        <v>369</v>
      </c>
      <c r="EF84" s="14" t="s">
        <v>369</v>
      </c>
      <c r="EG84" s="14" t="s">
        <v>369</v>
      </c>
      <c r="EH84" s="14" t="s">
        <v>369</v>
      </c>
      <c r="EI84" s="14" t="s">
        <v>369</v>
      </c>
      <c r="EJ84" s="14" t="s">
        <v>369</v>
      </c>
      <c r="EK84" s="14" t="s">
        <v>369</v>
      </c>
      <c r="EL84" s="14" t="s">
        <v>440</v>
      </c>
      <c r="EM84" s="14" t="s">
        <v>374</v>
      </c>
      <c r="EN84" s="14" t="s">
        <v>373</v>
      </c>
      <c r="EO84" s="14"/>
      <c r="EP84" s="14"/>
      <c r="EQ84" s="14" t="s">
        <v>376</v>
      </c>
      <c r="ER84" s="14" t="s">
        <v>376</v>
      </c>
      <c r="ES84" s="14" t="s">
        <v>375</v>
      </c>
      <c r="ET84" s="14" t="s">
        <v>375</v>
      </c>
      <c r="EU84" s="14" t="s">
        <v>375</v>
      </c>
      <c r="EV84" s="14" t="s">
        <v>379</v>
      </c>
      <c r="EW84" s="14"/>
      <c r="EX84" s="14" t="s">
        <v>368</v>
      </c>
      <c r="EY84" s="14" t="s">
        <v>368</v>
      </c>
      <c r="EZ84" s="14" t="s">
        <v>368</v>
      </c>
      <c r="FA84" s="14" t="s">
        <v>345</v>
      </c>
      <c r="FB84" s="14" t="s">
        <v>401</v>
      </c>
      <c r="FC84" s="14"/>
      <c r="FD84" s="14" t="s">
        <v>401</v>
      </c>
      <c r="FE84" s="14"/>
      <c r="FF84" s="14" t="s">
        <v>477</v>
      </c>
      <c r="FG84" s="14" t="s">
        <v>441</v>
      </c>
      <c r="FH84" s="14" t="s">
        <v>432</v>
      </c>
      <c r="FI84" s="14" t="s">
        <v>433</v>
      </c>
      <c r="FJ84" s="14"/>
      <c r="FK84" s="14"/>
      <c r="FL84" s="14"/>
      <c r="FM84" s="14"/>
      <c r="FN84" s="14"/>
      <c r="FO84" s="14"/>
      <c r="FP84" s="14"/>
      <c r="FQ84" s="14"/>
      <c r="FR84" s="14"/>
      <c r="FS84" s="14"/>
      <c r="FT84" s="14"/>
      <c r="FU84" s="14"/>
      <c r="FV84" s="14"/>
      <c r="FW84" s="14"/>
      <c r="FX84" s="14"/>
      <c r="FY84" s="14"/>
      <c r="FZ84" s="14"/>
      <c r="GA84" s="14" t="s">
        <v>368</v>
      </c>
      <c r="GB84" s="14" t="s">
        <v>368</v>
      </c>
      <c r="GC84" s="14" t="s">
        <v>368</v>
      </c>
      <c r="GD84" s="14" t="s">
        <v>368</v>
      </c>
      <c r="GE84" s="14" t="s">
        <v>368</v>
      </c>
      <c r="GF84" s="14" t="s">
        <v>368</v>
      </c>
      <c r="GG84" s="14"/>
      <c r="GH84" s="14"/>
      <c r="GI84" s="14"/>
      <c r="GJ84" s="14"/>
      <c r="GK84" s="14"/>
      <c r="GL84" s="14" t="s">
        <v>344</v>
      </c>
      <c r="GM84" s="14" t="s">
        <v>344</v>
      </c>
      <c r="GN84" s="14" t="s">
        <v>344</v>
      </c>
      <c r="GO84" s="14" t="s">
        <v>344</v>
      </c>
      <c r="GP84" s="14" t="s">
        <v>344</v>
      </c>
      <c r="GQ84" s="14" t="s">
        <v>344</v>
      </c>
      <c r="GR84" s="14" t="s">
        <v>344</v>
      </c>
      <c r="GS84" s="14" t="s">
        <v>344</v>
      </c>
      <c r="GT84" s="14" t="s">
        <v>344</v>
      </c>
      <c r="GU84" s="14" t="s">
        <v>344</v>
      </c>
      <c r="GV84" s="14" t="s">
        <v>344</v>
      </c>
      <c r="GW84" s="14" t="s">
        <v>345</v>
      </c>
      <c r="GX84" s="14" t="s">
        <v>344</v>
      </c>
      <c r="GY84" s="14" t="s">
        <v>344</v>
      </c>
      <c r="GZ84" s="14" t="s">
        <v>344</v>
      </c>
      <c r="HA84" s="14"/>
      <c r="HB84" s="14" t="s">
        <v>344</v>
      </c>
      <c r="HC84" s="14"/>
      <c r="HD84" s="14" t="s">
        <v>344</v>
      </c>
      <c r="HE84" s="14"/>
      <c r="HF84" s="14" t="s">
        <v>344</v>
      </c>
      <c r="HG84" s="14"/>
      <c r="HH84" s="14" t="s">
        <v>344</v>
      </c>
      <c r="HI84" s="14"/>
      <c r="HJ84" s="14" t="s">
        <v>344</v>
      </c>
      <c r="HK84" s="14" t="s">
        <v>344</v>
      </c>
      <c r="HL84" s="14" t="s">
        <v>344</v>
      </c>
      <c r="HM84" s="14" t="s">
        <v>344</v>
      </c>
      <c r="HN84" s="14" t="s">
        <v>344</v>
      </c>
      <c r="HO84" s="14" t="s">
        <v>344</v>
      </c>
      <c r="HP84" s="14" t="s">
        <v>344</v>
      </c>
      <c r="HQ84" s="14" t="s">
        <v>344</v>
      </c>
      <c r="HR84" s="14" t="s">
        <v>344</v>
      </c>
      <c r="HS84" s="14" t="s">
        <v>344</v>
      </c>
      <c r="HT84" s="14" t="s">
        <v>344</v>
      </c>
      <c r="HU84" s="14" t="s">
        <v>344</v>
      </c>
      <c r="HV84" s="14" t="s">
        <v>344</v>
      </c>
      <c r="HW84" s="14" t="s">
        <v>344</v>
      </c>
      <c r="HX84" s="14" t="s">
        <v>345</v>
      </c>
      <c r="HY84" s="14"/>
      <c r="HZ84" s="14" t="s">
        <v>344</v>
      </c>
      <c r="IA84" s="14"/>
      <c r="IB84" s="14" t="s">
        <v>344</v>
      </c>
      <c r="IC84" s="14"/>
      <c r="ID84" s="14" t="s">
        <v>344</v>
      </c>
      <c r="IE84" s="14"/>
      <c r="IF84" s="14" t="s">
        <v>344</v>
      </c>
      <c r="IG84" s="14"/>
      <c r="IH84" s="14" t="s">
        <v>345</v>
      </c>
      <c r="II84" s="14" t="s">
        <v>345</v>
      </c>
      <c r="IJ84" s="14" t="s">
        <v>345</v>
      </c>
      <c r="IK84" s="14" t="s">
        <v>344</v>
      </c>
      <c r="IL84" s="14" t="s">
        <v>345</v>
      </c>
      <c r="IM84" s="14" t="s">
        <v>344</v>
      </c>
      <c r="IN84" s="14" t="s">
        <v>344</v>
      </c>
      <c r="IO84" s="14" t="s">
        <v>345</v>
      </c>
      <c r="IP84" s="14" t="s">
        <v>344</v>
      </c>
      <c r="IQ84" s="14" t="s">
        <v>344</v>
      </c>
      <c r="IR84" s="14" t="s">
        <v>344</v>
      </c>
      <c r="IS84" s="14" t="s">
        <v>344</v>
      </c>
      <c r="IT84" s="14"/>
      <c r="IU84" s="14" t="s">
        <v>794</v>
      </c>
      <c r="IV84" s="14"/>
      <c r="IW84" s="14"/>
      <c r="IX84" s="14"/>
      <c r="IY84" s="14"/>
      <c r="IZ84" s="14"/>
      <c r="JA84" s="14"/>
      <c r="JB84" s="14"/>
      <c r="JC84" s="14"/>
      <c r="JD84" s="14"/>
      <c r="JE84" s="14"/>
      <c r="JF84" s="14"/>
      <c r="JG84" s="14"/>
      <c r="JH84" s="14"/>
    </row>
    <row r="85" spans="1:268" x14ac:dyDescent="0.3">
      <c r="A85" s="13" t="s">
        <v>727</v>
      </c>
      <c r="B85" s="14">
        <v>165</v>
      </c>
      <c r="C85" s="14" t="s">
        <v>795</v>
      </c>
      <c r="D85" s="14">
        <v>14</v>
      </c>
      <c r="E85" s="14" t="s">
        <v>387</v>
      </c>
      <c r="F85" s="14">
        <v>530654360</v>
      </c>
      <c r="G85" s="14" t="s">
        <v>796</v>
      </c>
      <c r="H85" s="14" t="s">
        <v>795</v>
      </c>
      <c r="I85" s="14" t="s">
        <v>730</v>
      </c>
      <c r="J85" s="14">
        <v>44</v>
      </c>
      <c r="K85" s="14" t="s">
        <v>406</v>
      </c>
      <c r="L85" s="14"/>
      <c r="M85" s="14" t="s">
        <v>345</v>
      </c>
      <c r="N85" s="14" t="s">
        <v>344</v>
      </c>
      <c r="O85" s="14" t="s">
        <v>344</v>
      </c>
      <c r="P85" s="14" t="s">
        <v>344</v>
      </c>
      <c r="Q85" s="14" t="s">
        <v>344</v>
      </c>
      <c r="R85" s="14"/>
      <c r="S85" s="14" t="s">
        <v>475</v>
      </c>
      <c r="T85" s="14"/>
      <c r="U85" s="14" t="s">
        <v>428</v>
      </c>
      <c r="V85" s="14"/>
      <c r="W85" s="14" t="s">
        <v>345</v>
      </c>
      <c r="X85" s="14" t="s">
        <v>344</v>
      </c>
      <c r="Y85" s="14" t="s">
        <v>345</v>
      </c>
      <c r="Z85" s="14" t="s">
        <v>344</v>
      </c>
      <c r="AA85" s="14" t="s">
        <v>344</v>
      </c>
      <c r="AB85" s="14" t="s">
        <v>345</v>
      </c>
      <c r="AC85" s="14" t="s">
        <v>344</v>
      </c>
      <c r="AD85" s="14" t="s">
        <v>345</v>
      </c>
      <c r="AE85" s="14" t="s">
        <v>344</v>
      </c>
      <c r="AF85" s="14" t="s">
        <v>344</v>
      </c>
      <c r="AG85" s="14" t="s">
        <v>344</v>
      </c>
      <c r="AH85" s="14" t="s">
        <v>345</v>
      </c>
      <c r="AI85" s="14" t="s">
        <v>344</v>
      </c>
      <c r="AJ85" s="14" t="s">
        <v>344</v>
      </c>
      <c r="AK85" s="14" t="s">
        <v>344</v>
      </c>
      <c r="AL85" s="14" t="s">
        <v>345</v>
      </c>
      <c r="AM85" s="14" t="s">
        <v>344</v>
      </c>
      <c r="AN85" s="14" t="s">
        <v>345</v>
      </c>
      <c r="AO85" s="14" t="s">
        <v>344</v>
      </c>
      <c r="AP85" s="14" t="s">
        <v>344</v>
      </c>
      <c r="AQ85" s="14" t="s">
        <v>344</v>
      </c>
      <c r="AR85" s="14" t="s">
        <v>345</v>
      </c>
      <c r="AS85" s="14" t="s">
        <v>344</v>
      </c>
      <c r="AT85" s="14" t="s">
        <v>344</v>
      </c>
      <c r="AU85" s="14" t="s">
        <v>344</v>
      </c>
      <c r="AV85" s="14" t="s">
        <v>345</v>
      </c>
      <c r="AW85" s="14" t="s">
        <v>344</v>
      </c>
      <c r="AX85" s="14" t="s">
        <v>344</v>
      </c>
      <c r="AY85" s="14" t="s">
        <v>732</v>
      </c>
      <c r="AZ85" s="14" t="s">
        <v>731</v>
      </c>
      <c r="BA85" s="14" t="s">
        <v>391</v>
      </c>
      <c r="BB85" s="14" t="s">
        <v>733</v>
      </c>
      <c r="BC85" s="14" t="s">
        <v>733</v>
      </c>
      <c r="BD85" s="14" t="s">
        <v>733</v>
      </c>
      <c r="BE85" s="14" t="s">
        <v>390</v>
      </c>
      <c r="BF85" s="14" t="s">
        <v>390</v>
      </c>
      <c r="BG85" s="14" t="s">
        <v>390</v>
      </c>
      <c r="BH85" s="14" t="s">
        <v>348</v>
      </c>
      <c r="BI85" s="14" t="s">
        <v>349</v>
      </c>
      <c r="BJ85" s="14" t="s">
        <v>391</v>
      </c>
      <c r="BK85" s="14" t="s">
        <v>391</v>
      </c>
      <c r="BL85" s="14" t="s">
        <v>391</v>
      </c>
      <c r="BM85" s="14" t="s">
        <v>391</v>
      </c>
      <c r="BN85" s="14" t="s">
        <v>391</v>
      </c>
      <c r="BO85" s="14" t="s">
        <v>391</v>
      </c>
      <c r="BP85" s="14" t="s">
        <v>391</v>
      </c>
      <c r="BQ85" s="14" t="s">
        <v>419</v>
      </c>
      <c r="BR85" s="14" t="s">
        <v>429</v>
      </c>
      <c r="BS85" s="14" t="s">
        <v>391</v>
      </c>
      <c r="BT85" s="14" t="s">
        <v>391</v>
      </c>
      <c r="BU85" s="14" t="s">
        <v>391</v>
      </c>
      <c r="BV85" s="14" t="s">
        <v>391</v>
      </c>
      <c r="BW85" s="14" t="s">
        <v>391</v>
      </c>
      <c r="BX85" s="14" t="s">
        <v>391</v>
      </c>
      <c r="BY85" s="14" t="s">
        <v>391</v>
      </c>
      <c r="BZ85" s="14" t="s">
        <v>391</v>
      </c>
      <c r="CA85" s="14" t="s">
        <v>391</v>
      </c>
      <c r="CB85" s="14" t="s">
        <v>391</v>
      </c>
      <c r="CC85" s="14" t="s">
        <v>391</v>
      </c>
      <c r="CD85" s="14" t="s">
        <v>391</v>
      </c>
      <c r="CE85" s="14" t="s">
        <v>391</v>
      </c>
      <c r="CF85" s="14" t="s">
        <v>391</v>
      </c>
      <c r="CG85" s="14" t="s">
        <v>421</v>
      </c>
      <c r="CH85" s="14" t="s">
        <v>421</v>
      </c>
      <c r="CI85" s="14" t="s">
        <v>421</v>
      </c>
      <c r="CJ85" s="14" t="s">
        <v>421</v>
      </c>
      <c r="CK85" s="14" t="s">
        <v>797</v>
      </c>
      <c r="CL85" s="14" t="s">
        <v>344</v>
      </c>
      <c r="CM85" s="14" t="s">
        <v>345</v>
      </c>
      <c r="CN85" s="14" t="s">
        <v>344</v>
      </c>
      <c r="CO85" s="14" t="s">
        <v>344</v>
      </c>
      <c r="CP85" s="14" t="s">
        <v>345</v>
      </c>
      <c r="CQ85" s="14" t="s">
        <v>344</v>
      </c>
      <c r="CR85" s="14" t="s">
        <v>667</v>
      </c>
      <c r="CS85" s="14">
        <v>69</v>
      </c>
      <c r="CT85" s="14">
        <v>100</v>
      </c>
      <c r="CU85" s="14"/>
      <c r="CV85" s="14"/>
      <c r="CW85" s="14" t="s">
        <v>471</v>
      </c>
      <c r="CX85" s="14" t="s">
        <v>396</v>
      </c>
      <c r="CY85" s="14" t="s">
        <v>396</v>
      </c>
      <c r="CZ85" s="14" t="s">
        <v>397</v>
      </c>
      <c r="DA85" s="14" t="s">
        <v>397</v>
      </c>
      <c r="DB85" s="14" t="s">
        <v>397</v>
      </c>
      <c r="DC85" s="14" t="s">
        <v>397</v>
      </c>
      <c r="DD85" s="14" t="s">
        <v>397</v>
      </c>
      <c r="DE85" s="14"/>
      <c r="DF85" s="14"/>
      <c r="DG85" s="14"/>
      <c r="DH85" s="14"/>
      <c r="DI85" s="14"/>
      <c r="DJ85" s="14"/>
      <c r="DK85" s="14" t="s">
        <v>492</v>
      </c>
      <c r="DL85" s="14" t="s">
        <v>368</v>
      </c>
      <c r="DM85" s="14" t="s">
        <v>368</v>
      </c>
      <c r="DN85" s="14" t="s">
        <v>368</v>
      </c>
      <c r="DO85" s="14" t="s">
        <v>345</v>
      </c>
      <c r="DP85" s="14" t="s">
        <v>368</v>
      </c>
      <c r="DQ85" s="14" t="s">
        <v>368</v>
      </c>
      <c r="DR85" s="14" t="s">
        <v>368</v>
      </c>
      <c r="DS85" s="14" t="s">
        <v>345</v>
      </c>
      <c r="DT85" s="14" t="s">
        <v>368</v>
      </c>
      <c r="DU85" s="14" t="s">
        <v>368</v>
      </c>
      <c r="DV85" s="14" t="s">
        <v>368</v>
      </c>
      <c r="DW85" s="14" t="s">
        <v>345</v>
      </c>
      <c r="DX85" s="14" t="s">
        <v>370</v>
      </c>
      <c r="DY85" s="14" t="s">
        <v>370</v>
      </c>
      <c r="DZ85" s="14" t="s">
        <v>370</v>
      </c>
      <c r="EA85" s="14" t="s">
        <v>370</v>
      </c>
      <c r="EB85" s="14" t="s">
        <v>370</v>
      </c>
      <c r="EC85" s="14" t="s">
        <v>370</v>
      </c>
      <c r="ED85" s="14" t="s">
        <v>370</v>
      </c>
      <c r="EE85" s="14" t="s">
        <v>369</v>
      </c>
      <c r="EF85" s="14" t="s">
        <v>369</v>
      </c>
      <c r="EG85" s="14" t="s">
        <v>369</v>
      </c>
      <c r="EH85" s="14" t="s">
        <v>399</v>
      </c>
      <c r="EI85" s="14" t="s">
        <v>369</v>
      </c>
      <c r="EJ85" s="14" t="s">
        <v>399</v>
      </c>
      <c r="EK85" s="14" t="s">
        <v>399</v>
      </c>
      <c r="EL85" s="14" t="s">
        <v>373</v>
      </c>
      <c r="EM85" s="14" t="s">
        <v>374</v>
      </c>
      <c r="EN85" s="14" t="s">
        <v>372</v>
      </c>
      <c r="EO85" s="14"/>
      <c r="EP85" s="14"/>
      <c r="EQ85" s="14" t="s">
        <v>391</v>
      </c>
      <c r="ER85" s="14" t="s">
        <v>375</v>
      </c>
      <c r="ES85" s="14" t="s">
        <v>375</v>
      </c>
      <c r="ET85" s="14" t="s">
        <v>375</v>
      </c>
      <c r="EU85" s="14" t="s">
        <v>391</v>
      </c>
      <c r="EV85" s="14" t="s">
        <v>484</v>
      </c>
      <c r="EW85" s="14"/>
      <c r="EX85" s="14" t="s">
        <v>368</v>
      </c>
      <c r="EY85" s="14" t="s">
        <v>368</v>
      </c>
      <c r="EZ85" s="14" t="s">
        <v>368</v>
      </c>
      <c r="FA85" s="14" t="s">
        <v>345</v>
      </c>
      <c r="FB85" s="14" t="s">
        <v>401</v>
      </c>
      <c r="FC85" s="14"/>
      <c r="FD85" s="14" t="s">
        <v>401</v>
      </c>
      <c r="FE85" s="14"/>
      <c r="FF85" s="14" t="s">
        <v>412</v>
      </c>
      <c r="FG85" s="14" t="s">
        <v>413</v>
      </c>
      <c r="FH85" s="14" t="s">
        <v>451</v>
      </c>
      <c r="FI85" s="14" t="s">
        <v>385</v>
      </c>
      <c r="FJ85" s="14"/>
      <c r="FK85" s="14"/>
      <c r="FL85" s="14"/>
      <c r="FM85" s="14"/>
      <c r="FN85" s="14"/>
      <c r="FO85" s="14"/>
      <c r="FP85" s="14"/>
      <c r="FQ85" s="14"/>
      <c r="FR85" s="14"/>
      <c r="FS85" s="14"/>
      <c r="FT85" s="14"/>
      <c r="FU85" s="14"/>
      <c r="FV85" s="14"/>
      <c r="FW85" s="14"/>
      <c r="FX85" s="14"/>
      <c r="FY85" s="14"/>
      <c r="FZ85" s="14"/>
      <c r="GA85" s="14" t="s">
        <v>368</v>
      </c>
      <c r="GB85" s="14" t="s">
        <v>368</v>
      </c>
      <c r="GC85" s="14" t="s">
        <v>368</v>
      </c>
      <c r="GD85" s="14" t="s">
        <v>368</v>
      </c>
      <c r="GE85" s="14" t="s">
        <v>368</v>
      </c>
      <c r="GF85" s="14" t="s">
        <v>368</v>
      </c>
      <c r="GG85" s="14"/>
      <c r="GH85" s="14"/>
      <c r="GI85" s="14"/>
      <c r="GJ85" s="14"/>
      <c r="GK85" s="14"/>
      <c r="GL85" s="14" t="s">
        <v>344</v>
      </c>
      <c r="GM85" s="14" t="s">
        <v>344</v>
      </c>
      <c r="GN85" s="14" t="s">
        <v>344</v>
      </c>
      <c r="GO85" s="14" t="s">
        <v>344</v>
      </c>
      <c r="GP85" s="14" t="s">
        <v>344</v>
      </c>
      <c r="GQ85" s="14" t="s">
        <v>344</v>
      </c>
      <c r="GR85" s="14" t="s">
        <v>344</v>
      </c>
      <c r="GS85" s="14" t="s">
        <v>344</v>
      </c>
      <c r="GT85" s="14" t="s">
        <v>344</v>
      </c>
      <c r="GU85" s="14" t="s">
        <v>344</v>
      </c>
      <c r="GV85" s="14" t="s">
        <v>344</v>
      </c>
      <c r="GW85" s="14" t="s">
        <v>344</v>
      </c>
      <c r="GX85" s="14" t="s">
        <v>344</v>
      </c>
      <c r="GY85" s="14" t="s">
        <v>344</v>
      </c>
      <c r="GZ85" s="14" t="s">
        <v>345</v>
      </c>
      <c r="HA85" s="14"/>
      <c r="HB85" s="14" t="s">
        <v>344</v>
      </c>
      <c r="HC85" s="14"/>
      <c r="HD85" s="14" t="s">
        <v>344</v>
      </c>
      <c r="HE85" s="14"/>
      <c r="HF85" s="14" t="s">
        <v>344</v>
      </c>
      <c r="HG85" s="14"/>
      <c r="HH85" s="14" t="s">
        <v>344</v>
      </c>
      <c r="HI85" s="14"/>
      <c r="HJ85" s="14" t="s">
        <v>344</v>
      </c>
      <c r="HK85" s="14" t="s">
        <v>344</v>
      </c>
      <c r="HL85" s="14" t="s">
        <v>344</v>
      </c>
      <c r="HM85" s="14" t="s">
        <v>344</v>
      </c>
      <c r="HN85" s="14" t="s">
        <v>344</v>
      </c>
      <c r="HO85" s="14" t="s">
        <v>344</v>
      </c>
      <c r="HP85" s="14" t="s">
        <v>344</v>
      </c>
      <c r="HQ85" s="14" t="s">
        <v>344</v>
      </c>
      <c r="HR85" s="14" t="s">
        <v>344</v>
      </c>
      <c r="HS85" s="14" t="s">
        <v>344</v>
      </c>
      <c r="HT85" s="14" t="s">
        <v>344</v>
      </c>
      <c r="HU85" s="14" t="s">
        <v>344</v>
      </c>
      <c r="HV85" s="14" t="s">
        <v>344</v>
      </c>
      <c r="HW85" s="14" t="s">
        <v>344</v>
      </c>
      <c r="HX85" s="14" t="s">
        <v>345</v>
      </c>
      <c r="HY85" s="14"/>
      <c r="HZ85" s="14" t="s">
        <v>344</v>
      </c>
      <c r="IA85" s="14"/>
      <c r="IB85" s="14" t="s">
        <v>344</v>
      </c>
      <c r="IC85" s="14"/>
      <c r="ID85" s="14" t="s">
        <v>344</v>
      </c>
      <c r="IE85" s="14"/>
      <c r="IF85" s="14" t="s">
        <v>344</v>
      </c>
      <c r="IG85" s="14"/>
      <c r="IH85" s="14" t="s">
        <v>345</v>
      </c>
      <c r="II85" s="14" t="s">
        <v>345</v>
      </c>
      <c r="IJ85" s="14" t="s">
        <v>345</v>
      </c>
      <c r="IK85" s="14" t="s">
        <v>344</v>
      </c>
      <c r="IL85" s="14" t="s">
        <v>345</v>
      </c>
      <c r="IM85" s="14" t="s">
        <v>344</v>
      </c>
      <c r="IN85" s="14" t="s">
        <v>344</v>
      </c>
      <c r="IO85" s="14" t="s">
        <v>345</v>
      </c>
      <c r="IP85" s="14" t="s">
        <v>344</v>
      </c>
      <c r="IQ85" s="14" t="s">
        <v>344</v>
      </c>
      <c r="IR85" s="14" t="s">
        <v>344</v>
      </c>
      <c r="IS85" s="14" t="s">
        <v>344</v>
      </c>
      <c r="IT85" s="14"/>
      <c r="IU85" s="14" t="s">
        <v>798</v>
      </c>
      <c r="IV85" s="14"/>
      <c r="IW85" s="14"/>
      <c r="IX85" s="14"/>
      <c r="IY85" s="14"/>
      <c r="IZ85" s="14"/>
      <c r="JA85" s="14"/>
      <c r="JB85" s="14"/>
      <c r="JC85" s="14"/>
      <c r="JD85" s="14"/>
      <c r="JE85" s="14"/>
      <c r="JF85" s="14"/>
      <c r="JG85" s="14"/>
      <c r="JH85" s="14"/>
    </row>
    <row r="86" spans="1:268" x14ac:dyDescent="0.3">
      <c r="A86" s="13" t="s">
        <v>727</v>
      </c>
      <c r="B86" s="14">
        <v>166</v>
      </c>
      <c r="C86" s="14" t="s">
        <v>799</v>
      </c>
      <c r="D86" s="14">
        <v>14</v>
      </c>
      <c r="E86" s="14" t="s">
        <v>387</v>
      </c>
      <c r="F86" s="14">
        <v>1151650283</v>
      </c>
      <c r="G86" s="14" t="s">
        <v>800</v>
      </c>
      <c r="H86" s="14" t="s">
        <v>799</v>
      </c>
      <c r="I86" s="14" t="s">
        <v>730</v>
      </c>
      <c r="J86" s="14">
        <v>21</v>
      </c>
      <c r="K86" s="14" t="s">
        <v>389</v>
      </c>
      <c r="L86" s="14"/>
      <c r="M86" s="14" t="s">
        <v>345</v>
      </c>
      <c r="N86" s="14" t="s">
        <v>344</v>
      </c>
      <c r="O86" s="14" t="s">
        <v>344</v>
      </c>
      <c r="P86" s="14" t="s">
        <v>344</v>
      </c>
      <c r="Q86" s="14" t="s">
        <v>344</v>
      </c>
      <c r="R86" s="14"/>
      <c r="S86" s="14" t="s">
        <v>475</v>
      </c>
      <c r="T86" s="14"/>
      <c r="U86" s="14" t="s">
        <v>418</v>
      </c>
      <c r="V86" s="14"/>
      <c r="W86" s="14" t="s">
        <v>344</v>
      </c>
      <c r="X86" s="14" t="s">
        <v>344</v>
      </c>
      <c r="Y86" s="14" t="s">
        <v>344</v>
      </c>
      <c r="Z86" s="14" t="s">
        <v>344</v>
      </c>
      <c r="AA86" s="14" t="s">
        <v>345</v>
      </c>
      <c r="AB86" s="14" t="s">
        <v>344</v>
      </c>
      <c r="AC86" s="14" t="s">
        <v>344</v>
      </c>
      <c r="AD86" s="14" t="s">
        <v>345</v>
      </c>
      <c r="AE86" s="14" t="s">
        <v>344</v>
      </c>
      <c r="AF86" s="14" t="s">
        <v>344</v>
      </c>
      <c r="AG86" s="14" t="s">
        <v>344</v>
      </c>
      <c r="AH86" s="14" t="s">
        <v>344</v>
      </c>
      <c r="AI86" s="14" t="s">
        <v>344</v>
      </c>
      <c r="AJ86" s="14" t="s">
        <v>344</v>
      </c>
      <c r="AK86" s="14" t="s">
        <v>345</v>
      </c>
      <c r="AL86" s="14" t="s">
        <v>344</v>
      </c>
      <c r="AM86" s="14" t="s">
        <v>344</v>
      </c>
      <c r="AN86" s="14" t="s">
        <v>344</v>
      </c>
      <c r="AO86" s="14" t="s">
        <v>344</v>
      </c>
      <c r="AP86" s="14" t="s">
        <v>344</v>
      </c>
      <c r="AQ86" s="14" t="s">
        <v>344</v>
      </c>
      <c r="AR86" s="14" t="s">
        <v>345</v>
      </c>
      <c r="AS86" s="14" t="s">
        <v>344</v>
      </c>
      <c r="AT86" s="14" t="s">
        <v>344</v>
      </c>
      <c r="AU86" s="14" t="s">
        <v>344</v>
      </c>
      <c r="AV86" s="14" t="s">
        <v>344</v>
      </c>
      <c r="AW86" s="14" t="s">
        <v>344</v>
      </c>
      <c r="AX86" s="14" t="s">
        <v>344</v>
      </c>
      <c r="AY86" s="14" t="s">
        <v>737</v>
      </c>
      <c r="AZ86" s="14" t="s">
        <v>732</v>
      </c>
      <c r="BA86" s="14" t="s">
        <v>391</v>
      </c>
      <c r="BB86" s="14" t="s">
        <v>731</v>
      </c>
      <c r="BC86" s="14" t="s">
        <v>731</v>
      </c>
      <c r="BD86" s="14" t="s">
        <v>731</v>
      </c>
      <c r="BE86" s="14" t="s">
        <v>390</v>
      </c>
      <c r="BF86" s="14" t="s">
        <v>349</v>
      </c>
      <c r="BG86" s="14" t="s">
        <v>390</v>
      </c>
      <c r="BH86" s="14" t="s">
        <v>390</v>
      </c>
      <c r="BI86" s="14" t="s">
        <v>348</v>
      </c>
      <c r="BJ86" s="14" t="s">
        <v>354</v>
      </c>
      <c r="BK86" s="14" t="s">
        <v>356</v>
      </c>
      <c r="BL86" s="14" t="s">
        <v>352</v>
      </c>
      <c r="BM86" s="14" t="s">
        <v>353</v>
      </c>
      <c r="BN86" s="14" t="s">
        <v>355</v>
      </c>
      <c r="BO86" s="14" t="s">
        <v>351</v>
      </c>
      <c r="BP86" s="14" t="s">
        <v>357</v>
      </c>
      <c r="BQ86" s="14" t="s">
        <v>358</v>
      </c>
      <c r="BR86" s="14" t="s">
        <v>408</v>
      </c>
      <c r="BS86" s="14" t="s">
        <v>357</v>
      </c>
      <c r="BT86" s="14" t="s">
        <v>356</v>
      </c>
      <c r="BU86" s="14" t="s">
        <v>354</v>
      </c>
      <c r="BV86" s="14" t="s">
        <v>353</v>
      </c>
      <c r="BW86" s="14" t="s">
        <v>355</v>
      </c>
      <c r="BX86" s="14" t="s">
        <v>391</v>
      </c>
      <c r="BY86" s="14" t="s">
        <v>352</v>
      </c>
      <c r="BZ86" s="14" t="s">
        <v>356</v>
      </c>
      <c r="CA86" s="14" t="s">
        <v>352</v>
      </c>
      <c r="CB86" s="14" t="s">
        <v>355</v>
      </c>
      <c r="CC86" s="14" t="s">
        <v>357</v>
      </c>
      <c r="CD86" s="14" t="s">
        <v>354</v>
      </c>
      <c r="CE86" s="14" t="s">
        <v>353</v>
      </c>
      <c r="CF86" s="14" t="s">
        <v>351</v>
      </c>
      <c r="CG86" s="14" t="s">
        <v>392</v>
      </c>
      <c r="CH86" s="14" t="s">
        <v>421</v>
      </c>
      <c r="CI86" s="14" t="s">
        <v>420</v>
      </c>
      <c r="CJ86" s="14" t="s">
        <v>420</v>
      </c>
      <c r="CK86" s="14" t="s">
        <v>801</v>
      </c>
      <c r="CL86" s="14" t="s">
        <v>344</v>
      </c>
      <c r="CM86" s="14" t="s">
        <v>344</v>
      </c>
      <c r="CN86" s="14" t="s">
        <v>344</v>
      </c>
      <c r="CO86" s="14" t="s">
        <v>345</v>
      </c>
      <c r="CP86" s="14" t="s">
        <v>344</v>
      </c>
      <c r="CQ86" s="14" t="s">
        <v>344</v>
      </c>
      <c r="CR86" s="14" t="s">
        <v>667</v>
      </c>
      <c r="CS86" s="14">
        <v>100</v>
      </c>
      <c r="CT86" s="14">
        <v>100</v>
      </c>
      <c r="CU86" s="14"/>
      <c r="CV86" s="14"/>
      <c r="CW86" s="14" t="s">
        <v>364</v>
      </c>
      <c r="CX86" s="14" t="s">
        <v>395</v>
      </c>
      <c r="CY86" s="14" t="s">
        <v>364</v>
      </c>
      <c r="CZ86" s="14" t="s">
        <v>423</v>
      </c>
      <c r="DA86" s="14" t="s">
        <v>397</v>
      </c>
      <c r="DB86" s="14" t="s">
        <v>397</v>
      </c>
      <c r="DC86" s="14" t="s">
        <v>397</v>
      </c>
      <c r="DD86" s="14" t="s">
        <v>365</v>
      </c>
      <c r="DE86" s="14"/>
      <c r="DF86" s="14"/>
      <c r="DG86" s="14"/>
      <c r="DH86" s="14"/>
      <c r="DI86" s="14"/>
      <c r="DJ86" s="14" t="s">
        <v>802</v>
      </c>
      <c r="DK86" s="14" t="s">
        <v>367</v>
      </c>
      <c r="DL86" s="14" t="s">
        <v>368</v>
      </c>
      <c r="DM86" s="14" t="s">
        <v>368</v>
      </c>
      <c r="DN86" s="14" t="s">
        <v>368</v>
      </c>
      <c r="DO86" s="14" t="s">
        <v>368</v>
      </c>
      <c r="DP86" s="14" t="s">
        <v>368</v>
      </c>
      <c r="DQ86" s="14" t="s">
        <v>368</v>
      </c>
      <c r="DR86" s="14" t="s">
        <v>368</v>
      </c>
      <c r="DS86" s="14" t="s">
        <v>345</v>
      </c>
      <c r="DT86" s="14" t="s">
        <v>368</v>
      </c>
      <c r="DU86" s="14" t="s">
        <v>368</v>
      </c>
      <c r="DV86" s="14" t="s">
        <v>368</v>
      </c>
      <c r="DW86" s="14" t="s">
        <v>345</v>
      </c>
      <c r="DX86" s="14" t="s">
        <v>370</v>
      </c>
      <c r="DY86" s="14" t="s">
        <v>370</v>
      </c>
      <c r="DZ86" s="14" t="s">
        <v>370</v>
      </c>
      <c r="EA86" s="14" t="s">
        <v>370</v>
      </c>
      <c r="EB86" s="14" t="s">
        <v>370</v>
      </c>
      <c r="EC86" s="14" t="s">
        <v>370</v>
      </c>
      <c r="ED86" s="14" t="s">
        <v>370</v>
      </c>
      <c r="EE86" s="14" t="s">
        <v>369</v>
      </c>
      <c r="EF86" s="14" t="s">
        <v>369</v>
      </c>
      <c r="EG86" s="14" t="s">
        <v>369</v>
      </c>
      <c r="EH86" s="14" t="s">
        <v>369</v>
      </c>
      <c r="EI86" s="14" t="s">
        <v>369</v>
      </c>
      <c r="EJ86" s="14" t="s">
        <v>369</v>
      </c>
      <c r="EK86" s="14" t="s">
        <v>369</v>
      </c>
      <c r="EL86" s="14" t="s">
        <v>373</v>
      </c>
      <c r="EM86" s="14" t="s">
        <v>372</v>
      </c>
      <c r="EN86" s="14" t="s">
        <v>374</v>
      </c>
      <c r="EO86" s="14"/>
      <c r="EP86" s="14"/>
      <c r="EQ86" s="14" t="s">
        <v>411</v>
      </c>
      <c r="ER86" s="14" t="s">
        <v>376</v>
      </c>
      <c r="ES86" s="14" t="s">
        <v>375</v>
      </c>
      <c r="ET86" s="14" t="s">
        <v>391</v>
      </c>
      <c r="EU86" s="14" t="s">
        <v>375</v>
      </c>
      <c r="EV86" s="14" t="s">
        <v>379</v>
      </c>
      <c r="EW86" s="14"/>
      <c r="EX86" s="14" t="s">
        <v>368</v>
      </c>
      <c r="EY86" s="14" t="s">
        <v>368</v>
      </c>
      <c r="EZ86" s="14" t="s">
        <v>368</v>
      </c>
      <c r="FA86" s="14" t="s">
        <v>345</v>
      </c>
      <c r="FB86" s="14" t="s">
        <v>401</v>
      </c>
      <c r="FC86" s="14"/>
      <c r="FD86" s="14" t="s">
        <v>401</v>
      </c>
      <c r="FE86" s="14"/>
      <c r="FF86" s="14" t="s">
        <v>431</v>
      </c>
      <c r="FG86" s="14" t="s">
        <v>441</v>
      </c>
      <c r="FH86" s="14" t="s">
        <v>460</v>
      </c>
      <c r="FI86" s="14" t="s">
        <v>433</v>
      </c>
      <c r="FJ86" s="14"/>
      <c r="FK86" s="14"/>
      <c r="FL86" s="14"/>
      <c r="FM86" s="14"/>
      <c r="FN86" s="14"/>
      <c r="FO86" s="14"/>
      <c r="FP86" s="14"/>
      <c r="FQ86" s="14"/>
      <c r="FR86" s="14"/>
      <c r="FS86" s="14"/>
      <c r="FT86" s="14"/>
      <c r="FU86" s="14"/>
      <c r="FV86" s="14"/>
      <c r="FW86" s="14"/>
      <c r="FX86" s="14"/>
      <c r="FY86" s="14"/>
      <c r="FZ86" s="14"/>
      <c r="GA86" s="14" t="s">
        <v>368</v>
      </c>
      <c r="GB86" s="14" t="s">
        <v>368</v>
      </c>
      <c r="GC86" s="14" t="s">
        <v>368</v>
      </c>
      <c r="GD86" s="14" t="s">
        <v>368</v>
      </c>
      <c r="GE86" s="14" t="s">
        <v>368</v>
      </c>
      <c r="GF86" s="14" t="s">
        <v>368</v>
      </c>
      <c r="GG86" s="14"/>
      <c r="GH86" s="14"/>
      <c r="GI86" s="14"/>
      <c r="GJ86" s="14"/>
      <c r="GK86" s="14"/>
      <c r="GL86" s="14" t="s">
        <v>344</v>
      </c>
      <c r="GM86" s="14" t="s">
        <v>344</v>
      </c>
      <c r="GN86" s="14" t="s">
        <v>344</v>
      </c>
      <c r="GO86" s="14" t="s">
        <v>345</v>
      </c>
      <c r="GP86" s="14" t="s">
        <v>345</v>
      </c>
      <c r="GQ86" s="14" t="s">
        <v>344</v>
      </c>
      <c r="GR86" s="14" t="s">
        <v>344</v>
      </c>
      <c r="GS86" s="14" t="s">
        <v>344</v>
      </c>
      <c r="GT86" s="14" t="s">
        <v>344</v>
      </c>
      <c r="GU86" s="14" t="s">
        <v>344</v>
      </c>
      <c r="GV86" s="14" t="s">
        <v>345</v>
      </c>
      <c r="GW86" s="14" t="s">
        <v>345</v>
      </c>
      <c r="GX86" s="14" t="s">
        <v>344</v>
      </c>
      <c r="GY86" s="14" t="s">
        <v>344</v>
      </c>
      <c r="GZ86" s="14" t="s">
        <v>344</v>
      </c>
      <c r="HA86" s="14"/>
      <c r="HB86" s="14" t="s">
        <v>344</v>
      </c>
      <c r="HC86" s="14"/>
      <c r="HD86" s="14" t="s">
        <v>344</v>
      </c>
      <c r="HE86" s="14"/>
      <c r="HF86" s="14" t="s">
        <v>344</v>
      </c>
      <c r="HG86" s="14"/>
      <c r="HH86" s="14" t="s">
        <v>344</v>
      </c>
      <c r="HI86" s="14"/>
      <c r="HJ86" s="14" t="s">
        <v>345</v>
      </c>
      <c r="HK86" s="14" t="s">
        <v>345</v>
      </c>
      <c r="HL86" s="14" t="s">
        <v>344</v>
      </c>
      <c r="HM86" s="14" t="s">
        <v>344</v>
      </c>
      <c r="HN86" s="14" t="s">
        <v>344</v>
      </c>
      <c r="HO86" s="14" t="s">
        <v>344</v>
      </c>
      <c r="HP86" s="14" t="s">
        <v>344</v>
      </c>
      <c r="HQ86" s="14" t="s">
        <v>344</v>
      </c>
      <c r="HR86" s="14" t="s">
        <v>344</v>
      </c>
      <c r="HS86" s="14" t="s">
        <v>344</v>
      </c>
      <c r="HT86" s="14" t="s">
        <v>344</v>
      </c>
      <c r="HU86" s="14" t="s">
        <v>345</v>
      </c>
      <c r="HV86" s="14" t="s">
        <v>344</v>
      </c>
      <c r="HW86" s="14" t="s">
        <v>344</v>
      </c>
      <c r="HX86" s="14" t="s">
        <v>344</v>
      </c>
      <c r="HY86" s="14"/>
      <c r="HZ86" s="14" t="s">
        <v>345</v>
      </c>
      <c r="IA86" s="14" t="s">
        <v>742</v>
      </c>
      <c r="IB86" s="14" t="s">
        <v>344</v>
      </c>
      <c r="IC86" s="14"/>
      <c r="ID86" s="14" t="s">
        <v>344</v>
      </c>
      <c r="IE86" s="14"/>
      <c r="IF86" s="14" t="s">
        <v>344</v>
      </c>
      <c r="IG86" s="14"/>
      <c r="IH86" s="14" t="s">
        <v>345</v>
      </c>
      <c r="II86" s="14" t="s">
        <v>345</v>
      </c>
      <c r="IJ86" s="14" t="s">
        <v>344</v>
      </c>
      <c r="IK86" s="14" t="s">
        <v>344</v>
      </c>
      <c r="IL86" s="14" t="s">
        <v>345</v>
      </c>
      <c r="IM86" s="14" t="s">
        <v>344</v>
      </c>
      <c r="IN86" s="14" t="s">
        <v>344</v>
      </c>
      <c r="IO86" s="14" t="s">
        <v>345</v>
      </c>
      <c r="IP86" s="14" t="s">
        <v>344</v>
      </c>
      <c r="IQ86" s="14" t="s">
        <v>344</v>
      </c>
      <c r="IR86" s="14" t="s">
        <v>345</v>
      </c>
      <c r="IS86" s="14" t="s">
        <v>344</v>
      </c>
      <c r="IT86" s="14"/>
      <c r="IU86" s="14"/>
      <c r="IV86" s="14"/>
      <c r="IW86" s="14"/>
      <c r="IX86" s="14"/>
      <c r="IY86" s="14"/>
      <c r="IZ86" s="14"/>
      <c r="JA86" s="14"/>
      <c r="JB86" s="14"/>
      <c r="JC86" s="14"/>
      <c r="JD86" s="14"/>
      <c r="JE86" s="14"/>
      <c r="JF86" s="14"/>
      <c r="JG86" s="14"/>
      <c r="JH86" s="14"/>
    </row>
    <row r="87" spans="1:268" x14ac:dyDescent="0.3">
      <c r="A87" s="13" t="s">
        <v>727</v>
      </c>
      <c r="B87" s="14">
        <v>167</v>
      </c>
      <c r="C87" s="14" t="s">
        <v>803</v>
      </c>
      <c r="D87" s="14">
        <v>14</v>
      </c>
      <c r="E87" s="14" t="s">
        <v>387</v>
      </c>
      <c r="F87" s="14">
        <v>1304846449</v>
      </c>
      <c r="G87" s="14" t="s">
        <v>804</v>
      </c>
      <c r="H87" s="14" t="s">
        <v>803</v>
      </c>
      <c r="I87" s="14" t="s">
        <v>730</v>
      </c>
      <c r="J87" s="14">
        <v>34</v>
      </c>
      <c r="K87" s="14" t="s">
        <v>389</v>
      </c>
      <c r="L87" s="14"/>
      <c r="M87" s="14" t="s">
        <v>345</v>
      </c>
      <c r="N87" s="14" t="s">
        <v>344</v>
      </c>
      <c r="O87" s="14" t="s">
        <v>344</v>
      </c>
      <c r="P87" s="14" t="s">
        <v>344</v>
      </c>
      <c r="Q87" s="14" t="s">
        <v>344</v>
      </c>
      <c r="R87" s="14"/>
      <c r="S87" s="14" t="s">
        <v>475</v>
      </c>
      <c r="T87" s="14"/>
      <c r="U87" s="14" t="s">
        <v>571</v>
      </c>
      <c r="V87" s="14"/>
      <c r="W87" s="14" t="s">
        <v>345</v>
      </c>
      <c r="X87" s="14" t="s">
        <v>344</v>
      </c>
      <c r="Y87" s="14" t="s">
        <v>344</v>
      </c>
      <c r="Z87" s="14" t="s">
        <v>344</v>
      </c>
      <c r="AA87" s="14" t="s">
        <v>344</v>
      </c>
      <c r="AB87" s="14" t="s">
        <v>344</v>
      </c>
      <c r="AC87" s="14" t="s">
        <v>344</v>
      </c>
      <c r="AD87" s="14" t="s">
        <v>344</v>
      </c>
      <c r="AE87" s="14" t="s">
        <v>345</v>
      </c>
      <c r="AF87" s="14" t="s">
        <v>344</v>
      </c>
      <c r="AG87" s="14" t="s">
        <v>344</v>
      </c>
      <c r="AH87" s="14" t="s">
        <v>344</v>
      </c>
      <c r="AI87" s="14" t="s">
        <v>344</v>
      </c>
      <c r="AJ87" s="14" t="s">
        <v>344</v>
      </c>
      <c r="AK87" s="14" t="s">
        <v>344</v>
      </c>
      <c r="AL87" s="14" t="s">
        <v>344</v>
      </c>
      <c r="AM87" s="14" t="s">
        <v>345</v>
      </c>
      <c r="AN87" s="14" t="s">
        <v>344</v>
      </c>
      <c r="AO87" s="14" t="s">
        <v>344</v>
      </c>
      <c r="AP87" s="14" t="s">
        <v>344</v>
      </c>
      <c r="AQ87" s="14" t="s">
        <v>344</v>
      </c>
      <c r="AR87" s="14" t="s">
        <v>344</v>
      </c>
      <c r="AS87" s="14" t="s">
        <v>344</v>
      </c>
      <c r="AT87" s="14" t="s">
        <v>345</v>
      </c>
      <c r="AU87" s="14" t="s">
        <v>344</v>
      </c>
      <c r="AV87" s="14" t="s">
        <v>344</v>
      </c>
      <c r="AW87" s="14" t="s">
        <v>344</v>
      </c>
      <c r="AX87" s="14" t="s">
        <v>344</v>
      </c>
      <c r="AY87" s="14" t="s">
        <v>731</v>
      </c>
      <c r="AZ87" s="14"/>
      <c r="BA87" s="14"/>
      <c r="BB87" s="14"/>
      <c r="BC87" s="14"/>
      <c r="BD87" s="14"/>
      <c r="BE87" s="14" t="s">
        <v>390</v>
      </c>
      <c r="BF87" s="14" t="s">
        <v>390</v>
      </c>
      <c r="BG87" s="14" t="s">
        <v>390</v>
      </c>
      <c r="BH87" s="14" t="s">
        <v>390</v>
      </c>
      <c r="BI87" s="14" t="s">
        <v>349</v>
      </c>
      <c r="BJ87" s="14" t="s">
        <v>355</v>
      </c>
      <c r="BK87" s="14" t="s">
        <v>354</v>
      </c>
      <c r="BL87" s="14" t="s">
        <v>352</v>
      </c>
      <c r="BM87" s="14" t="s">
        <v>357</v>
      </c>
      <c r="BN87" s="14" t="s">
        <v>351</v>
      </c>
      <c r="BO87" s="14" t="s">
        <v>354</v>
      </c>
      <c r="BP87" s="14" t="s">
        <v>357</v>
      </c>
      <c r="BQ87" s="14" t="s">
        <v>358</v>
      </c>
      <c r="BR87" s="14" t="s">
        <v>408</v>
      </c>
      <c r="BS87" s="14" t="s">
        <v>354</v>
      </c>
      <c r="BT87" s="14" t="s">
        <v>355</v>
      </c>
      <c r="BU87" s="14" t="s">
        <v>355</v>
      </c>
      <c r="BV87" s="14" t="s">
        <v>355</v>
      </c>
      <c r="BW87" s="14" t="s">
        <v>353</v>
      </c>
      <c r="BX87" s="14" t="s">
        <v>357</v>
      </c>
      <c r="BY87" s="14" t="s">
        <v>353</v>
      </c>
      <c r="BZ87" s="14" t="s">
        <v>354</v>
      </c>
      <c r="CA87" s="14" t="s">
        <v>355</v>
      </c>
      <c r="CB87" s="14" t="s">
        <v>355</v>
      </c>
      <c r="CC87" s="14" t="s">
        <v>355</v>
      </c>
      <c r="CD87" s="14" t="s">
        <v>352</v>
      </c>
      <c r="CE87" s="14" t="s">
        <v>351</v>
      </c>
      <c r="CF87" s="14" t="s">
        <v>354</v>
      </c>
      <c r="CG87" s="14" t="s">
        <v>392</v>
      </c>
      <c r="CH87" s="14" t="s">
        <v>421</v>
      </c>
      <c r="CI87" s="14" t="s">
        <v>420</v>
      </c>
      <c r="CJ87" s="14" t="s">
        <v>420</v>
      </c>
      <c r="CK87" s="14" t="s">
        <v>805</v>
      </c>
      <c r="CL87" s="14" t="s">
        <v>344</v>
      </c>
      <c r="CM87" s="14" t="s">
        <v>344</v>
      </c>
      <c r="CN87" s="14" t="s">
        <v>344</v>
      </c>
      <c r="CO87" s="14" t="s">
        <v>345</v>
      </c>
      <c r="CP87" s="14" t="s">
        <v>344</v>
      </c>
      <c r="CQ87" s="14" t="s">
        <v>344</v>
      </c>
      <c r="CR87" s="14" t="s">
        <v>667</v>
      </c>
      <c r="CS87" s="14">
        <v>80</v>
      </c>
      <c r="CT87" s="14">
        <v>100</v>
      </c>
      <c r="CU87" s="14"/>
      <c r="CV87" s="14"/>
      <c r="CW87" s="14" t="s">
        <v>471</v>
      </c>
      <c r="CX87" s="14" t="s">
        <v>396</v>
      </c>
      <c r="CY87" s="14" t="s">
        <v>363</v>
      </c>
      <c r="CZ87" s="14" t="s">
        <v>397</v>
      </c>
      <c r="DA87" s="14" t="s">
        <v>397</v>
      </c>
      <c r="DB87" s="14" t="s">
        <v>397</v>
      </c>
      <c r="DC87" s="14" t="s">
        <v>397</v>
      </c>
      <c r="DD87" s="14" t="s">
        <v>366</v>
      </c>
      <c r="DE87" s="14"/>
      <c r="DF87" s="14"/>
      <c r="DG87" s="14"/>
      <c r="DH87" s="14"/>
      <c r="DI87" s="14"/>
      <c r="DJ87" s="14"/>
      <c r="DK87" s="14" t="s">
        <v>806</v>
      </c>
      <c r="DL87" s="14" t="s">
        <v>345</v>
      </c>
      <c r="DM87" s="14" t="s">
        <v>345</v>
      </c>
      <c r="DN87" s="14" t="s">
        <v>345</v>
      </c>
      <c r="DO87" s="14" t="s">
        <v>344</v>
      </c>
      <c r="DP87" s="14" t="s">
        <v>368</v>
      </c>
      <c r="DQ87" s="14" t="s">
        <v>368</v>
      </c>
      <c r="DR87" s="14" t="s">
        <v>368</v>
      </c>
      <c r="DS87" s="14" t="s">
        <v>345</v>
      </c>
      <c r="DT87" s="14" t="s">
        <v>345</v>
      </c>
      <c r="DU87" s="14" t="s">
        <v>344</v>
      </c>
      <c r="DV87" s="14" t="s">
        <v>345</v>
      </c>
      <c r="DW87" s="14" t="s">
        <v>344</v>
      </c>
      <c r="DX87" s="14" t="s">
        <v>370</v>
      </c>
      <c r="DY87" s="14" t="s">
        <v>370</v>
      </c>
      <c r="DZ87" s="14" t="s">
        <v>370</v>
      </c>
      <c r="EA87" s="14" t="s">
        <v>370</v>
      </c>
      <c r="EB87" s="14" t="s">
        <v>370</v>
      </c>
      <c r="EC87" s="14" t="s">
        <v>370</v>
      </c>
      <c r="ED87" s="14" t="s">
        <v>370</v>
      </c>
      <c r="EE87" s="14" t="s">
        <v>398</v>
      </c>
      <c r="EF87" s="14" t="s">
        <v>369</v>
      </c>
      <c r="EG87" s="14" t="s">
        <v>369</v>
      </c>
      <c r="EH87" s="14" t="s">
        <v>369</v>
      </c>
      <c r="EI87" s="14" t="s">
        <v>369</v>
      </c>
      <c r="EJ87" s="14" t="s">
        <v>369</v>
      </c>
      <c r="EK87" s="14" t="s">
        <v>369</v>
      </c>
      <c r="EL87" s="14" t="s">
        <v>373</v>
      </c>
      <c r="EM87" s="14" t="s">
        <v>374</v>
      </c>
      <c r="EN87" s="14" t="s">
        <v>372</v>
      </c>
      <c r="EO87" s="14"/>
      <c r="EP87" s="14"/>
      <c r="EQ87" s="14" t="s">
        <v>376</v>
      </c>
      <c r="ER87" s="14" t="s">
        <v>376</v>
      </c>
      <c r="ES87" s="14" t="s">
        <v>375</v>
      </c>
      <c r="ET87" s="14" t="s">
        <v>375</v>
      </c>
      <c r="EU87" s="14" t="s">
        <v>376</v>
      </c>
      <c r="EV87" s="14" t="s">
        <v>807</v>
      </c>
      <c r="EW87" s="14"/>
      <c r="EX87" s="14" t="s">
        <v>368</v>
      </c>
      <c r="EY87" s="14" t="s">
        <v>368</v>
      </c>
      <c r="EZ87" s="14" t="s">
        <v>368</v>
      </c>
      <c r="FA87" s="14" t="s">
        <v>345</v>
      </c>
      <c r="FB87" s="14" t="s">
        <v>401</v>
      </c>
      <c r="FC87" s="14"/>
      <c r="FD87" s="14" t="s">
        <v>401</v>
      </c>
      <c r="FE87" s="14"/>
      <c r="FF87" s="14" t="s">
        <v>412</v>
      </c>
      <c r="FG87" s="14" t="s">
        <v>413</v>
      </c>
      <c r="FH87" s="14" t="s">
        <v>451</v>
      </c>
      <c r="FI87" s="14" t="s">
        <v>385</v>
      </c>
      <c r="FJ87" s="14"/>
      <c r="FK87" s="14"/>
      <c r="FL87" s="14"/>
      <c r="FM87" s="14"/>
      <c r="FN87" s="14"/>
      <c r="FO87" s="14"/>
      <c r="FP87" s="14"/>
      <c r="FQ87" s="14"/>
      <c r="FR87" s="14"/>
      <c r="FS87" s="14"/>
      <c r="FT87" s="14"/>
      <c r="FU87" s="14"/>
      <c r="FV87" s="14"/>
      <c r="FW87" s="14"/>
      <c r="FX87" s="14"/>
      <c r="FY87" s="14"/>
      <c r="FZ87" s="14"/>
      <c r="GA87" s="14" t="s">
        <v>368</v>
      </c>
      <c r="GB87" s="14" t="s">
        <v>368</v>
      </c>
      <c r="GC87" s="14" t="s">
        <v>368</v>
      </c>
      <c r="GD87" s="14" t="s">
        <v>368</v>
      </c>
      <c r="GE87" s="14" t="s">
        <v>368</v>
      </c>
      <c r="GF87" s="14" t="s">
        <v>368</v>
      </c>
      <c r="GG87" s="14"/>
      <c r="GH87" s="14"/>
      <c r="GI87" s="14"/>
      <c r="GJ87" s="14"/>
      <c r="GK87" s="14"/>
      <c r="GL87" s="14" t="s">
        <v>344</v>
      </c>
      <c r="GM87" s="14" t="s">
        <v>344</v>
      </c>
      <c r="GN87" s="14" t="s">
        <v>344</v>
      </c>
      <c r="GO87" s="14" t="s">
        <v>344</v>
      </c>
      <c r="GP87" s="14" t="s">
        <v>344</v>
      </c>
      <c r="GQ87" s="14" t="s">
        <v>344</v>
      </c>
      <c r="GR87" s="14" t="s">
        <v>344</v>
      </c>
      <c r="GS87" s="14" t="s">
        <v>344</v>
      </c>
      <c r="GT87" s="14" t="s">
        <v>344</v>
      </c>
      <c r="GU87" s="14" t="s">
        <v>344</v>
      </c>
      <c r="GV87" s="14" t="s">
        <v>344</v>
      </c>
      <c r="GW87" s="14" t="s">
        <v>344</v>
      </c>
      <c r="GX87" s="14" t="s">
        <v>344</v>
      </c>
      <c r="GY87" s="14" t="s">
        <v>344</v>
      </c>
      <c r="GZ87" s="14" t="s">
        <v>345</v>
      </c>
      <c r="HA87" s="14"/>
      <c r="HB87" s="14" t="s">
        <v>344</v>
      </c>
      <c r="HC87" s="14"/>
      <c r="HD87" s="14" t="s">
        <v>344</v>
      </c>
      <c r="HE87" s="14"/>
      <c r="HF87" s="14" t="s">
        <v>344</v>
      </c>
      <c r="HG87" s="14"/>
      <c r="HH87" s="14" t="s">
        <v>344</v>
      </c>
      <c r="HI87" s="14"/>
      <c r="HJ87" s="14" t="s">
        <v>344</v>
      </c>
      <c r="HK87" s="14" t="s">
        <v>344</v>
      </c>
      <c r="HL87" s="14" t="s">
        <v>344</v>
      </c>
      <c r="HM87" s="14" t="s">
        <v>344</v>
      </c>
      <c r="HN87" s="14" t="s">
        <v>344</v>
      </c>
      <c r="HO87" s="14" t="s">
        <v>344</v>
      </c>
      <c r="HP87" s="14" t="s">
        <v>344</v>
      </c>
      <c r="HQ87" s="14" t="s">
        <v>344</v>
      </c>
      <c r="HR87" s="14" t="s">
        <v>344</v>
      </c>
      <c r="HS87" s="14" t="s">
        <v>344</v>
      </c>
      <c r="HT87" s="14" t="s">
        <v>344</v>
      </c>
      <c r="HU87" s="14" t="s">
        <v>344</v>
      </c>
      <c r="HV87" s="14" t="s">
        <v>345</v>
      </c>
      <c r="HW87" s="14" t="s">
        <v>344</v>
      </c>
      <c r="HX87" s="14" t="s">
        <v>344</v>
      </c>
      <c r="HY87" s="14"/>
      <c r="HZ87" s="14" t="s">
        <v>344</v>
      </c>
      <c r="IA87" s="14"/>
      <c r="IB87" s="14" t="s">
        <v>344</v>
      </c>
      <c r="IC87" s="14"/>
      <c r="ID87" s="14" t="s">
        <v>344</v>
      </c>
      <c r="IE87" s="14"/>
      <c r="IF87" s="14" t="s">
        <v>344</v>
      </c>
      <c r="IG87" s="14"/>
      <c r="IH87" s="14" t="s">
        <v>344</v>
      </c>
      <c r="II87" s="14" t="s">
        <v>344</v>
      </c>
      <c r="IJ87" s="14" t="s">
        <v>344</v>
      </c>
      <c r="IK87" s="14" t="s">
        <v>344</v>
      </c>
      <c r="IL87" s="14" t="s">
        <v>345</v>
      </c>
      <c r="IM87" s="14" t="s">
        <v>344</v>
      </c>
      <c r="IN87" s="14" t="s">
        <v>344</v>
      </c>
      <c r="IO87" s="14" t="s">
        <v>345</v>
      </c>
      <c r="IP87" s="14" t="s">
        <v>344</v>
      </c>
      <c r="IQ87" s="14" t="s">
        <v>344</v>
      </c>
      <c r="IR87" s="14" t="s">
        <v>344</v>
      </c>
      <c r="IS87" s="14" t="s">
        <v>344</v>
      </c>
      <c r="IT87" s="14"/>
      <c r="IU87" s="14"/>
      <c r="IV87" s="14"/>
      <c r="IW87" s="14"/>
      <c r="IX87" s="14"/>
      <c r="IY87" s="14"/>
      <c r="IZ87" s="14"/>
      <c r="JA87" s="14"/>
      <c r="JB87" s="14"/>
      <c r="JC87" s="14"/>
      <c r="JD87" s="14"/>
      <c r="JE87" s="14"/>
      <c r="JF87" s="14"/>
      <c r="JG87" s="14"/>
      <c r="JH87" s="14"/>
    </row>
    <row r="88" spans="1:268" x14ac:dyDescent="0.3">
      <c r="A88" s="13" t="s">
        <v>727</v>
      </c>
      <c r="B88" s="14">
        <v>168</v>
      </c>
      <c r="C88" s="14" t="s">
        <v>808</v>
      </c>
      <c r="D88" s="14">
        <v>14</v>
      </c>
      <c r="E88" s="14" t="s">
        <v>387</v>
      </c>
      <c r="F88" s="14">
        <v>873750368</v>
      </c>
      <c r="G88" s="14" t="s">
        <v>809</v>
      </c>
      <c r="H88" s="14" t="s">
        <v>808</v>
      </c>
      <c r="I88" s="14" t="s">
        <v>730</v>
      </c>
      <c r="J88" s="14">
        <v>22</v>
      </c>
      <c r="K88" s="14" t="s">
        <v>389</v>
      </c>
      <c r="L88" s="14"/>
      <c r="M88" s="14" t="s">
        <v>345</v>
      </c>
      <c r="N88" s="14" t="s">
        <v>344</v>
      </c>
      <c r="O88" s="14" t="s">
        <v>344</v>
      </c>
      <c r="P88" s="14" t="s">
        <v>344</v>
      </c>
      <c r="Q88" s="14" t="s">
        <v>344</v>
      </c>
      <c r="R88" s="14"/>
      <c r="S88" s="14" t="s">
        <v>475</v>
      </c>
      <c r="T88" s="14"/>
      <c r="U88" s="14" t="s">
        <v>347</v>
      </c>
      <c r="V88" s="14"/>
      <c r="W88" s="14" t="s">
        <v>368</v>
      </c>
      <c r="X88" s="14" t="s">
        <v>368</v>
      </c>
      <c r="Y88" s="14" t="s">
        <v>368</v>
      </c>
      <c r="Z88" s="14" t="s">
        <v>368</v>
      </c>
      <c r="AA88" s="14" t="s">
        <v>368</v>
      </c>
      <c r="AB88" s="14" t="s">
        <v>368</v>
      </c>
      <c r="AC88" s="14" t="s">
        <v>345</v>
      </c>
      <c r="AD88" s="14" t="s">
        <v>368</v>
      </c>
      <c r="AE88" s="14" t="s">
        <v>368</v>
      </c>
      <c r="AF88" s="14" t="s">
        <v>368</v>
      </c>
      <c r="AG88" s="14" t="s">
        <v>368</v>
      </c>
      <c r="AH88" s="14" t="s">
        <v>368</v>
      </c>
      <c r="AI88" s="14" t="s">
        <v>368</v>
      </c>
      <c r="AJ88" s="14" t="s">
        <v>345</v>
      </c>
      <c r="AK88" s="14" t="s">
        <v>368</v>
      </c>
      <c r="AL88" s="14" t="s">
        <v>368</v>
      </c>
      <c r="AM88" s="14" t="s">
        <v>368</v>
      </c>
      <c r="AN88" s="14" t="s">
        <v>368</v>
      </c>
      <c r="AO88" s="14" t="s">
        <v>368</v>
      </c>
      <c r="AP88" s="14" t="s">
        <v>368</v>
      </c>
      <c r="AQ88" s="14" t="s">
        <v>345</v>
      </c>
      <c r="AR88" s="14" t="s">
        <v>368</v>
      </c>
      <c r="AS88" s="14" t="s">
        <v>368</v>
      </c>
      <c r="AT88" s="14" t="s">
        <v>368</v>
      </c>
      <c r="AU88" s="14" t="s">
        <v>368</v>
      </c>
      <c r="AV88" s="14" t="s">
        <v>368</v>
      </c>
      <c r="AW88" s="14" t="s">
        <v>368</v>
      </c>
      <c r="AX88" s="14" t="s">
        <v>345</v>
      </c>
      <c r="AY88" s="14"/>
      <c r="AZ88" s="14"/>
      <c r="BA88" s="14"/>
      <c r="BB88" s="14"/>
      <c r="BC88" s="14"/>
      <c r="BD88" s="14"/>
      <c r="BE88" s="14" t="s">
        <v>390</v>
      </c>
      <c r="BF88" s="14" t="s">
        <v>348</v>
      </c>
      <c r="BG88" s="14" t="s">
        <v>348</v>
      </c>
      <c r="BH88" s="14" t="s">
        <v>348</v>
      </c>
      <c r="BI88" s="14" t="s">
        <v>348</v>
      </c>
      <c r="BJ88" s="14" t="s">
        <v>391</v>
      </c>
      <c r="BK88" s="14" t="s">
        <v>391</v>
      </c>
      <c r="BL88" s="14" t="s">
        <v>391</v>
      </c>
      <c r="BM88" s="14" t="s">
        <v>391</v>
      </c>
      <c r="BN88" s="14" t="s">
        <v>391</v>
      </c>
      <c r="BO88" s="14" t="s">
        <v>391</v>
      </c>
      <c r="BP88" s="14" t="s">
        <v>391</v>
      </c>
      <c r="BQ88" s="14" t="s">
        <v>419</v>
      </c>
      <c r="BR88" s="14" t="s">
        <v>429</v>
      </c>
      <c r="BS88" s="14" t="s">
        <v>391</v>
      </c>
      <c r="BT88" s="14" t="s">
        <v>391</v>
      </c>
      <c r="BU88" s="14" t="s">
        <v>391</v>
      </c>
      <c r="BV88" s="14" t="s">
        <v>391</v>
      </c>
      <c r="BW88" s="14" t="s">
        <v>391</v>
      </c>
      <c r="BX88" s="14" t="s">
        <v>391</v>
      </c>
      <c r="BY88" s="14" t="s">
        <v>391</v>
      </c>
      <c r="BZ88" s="14" t="s">
        <v>391</v>
      </c>
      <c r="CA88" s="14" t="s">
        <v>391</v>
      </c>
      <c r="CB88" s="14" t="s">
        <v>391</v>
      </c>
      <c r="CC88" s="14" t="s">
        <v>391</v>
      </c>
      <c r="CD88" s="14" t="s">
        <v>391</v>
      </c>
      <c r="CE88" s="14" t="s">
        <v>391</v>
      </c>
      <c r="CF88" s="14" t="s">
        <v>391</v>
      </c>
      <c r="CG88" s="14" t="s">
        <v>421</v>
      </c>
      <c r="CH88" s="14" t="s">
        <v>421</v>
      </c>
      <c r="CI88" s="14" t="s">
        <v>421</v>
      </c>
      <c r="CJ88" s="14" t="s">
        <v>421</v>
      </c>
      <c r="CK88" s="14" t="s">
        <v>810</v>
      </c>
      <c r="CL88" s="14" t="s">
        <v>344</v>
      </c>
      <c r="CM88" s="14" t="s">
        <v>344</v>
      </c>
      <c r="CN88" s="14" t="s">
        <v>344</v>
      </c>
      <c r="CO88" s="14" t="s">
        <v>345</v>
      </c>
      <c r="CP88" s="14" t="s">
        <v>345</v>
      </c>
      <c r="CQ88" s="14" t="s">
        <v>345</v>
      </c>
      <c r="CR88" s="14" t="s">
        <v>655</v>
      </c>
      <c r="CS88" s="14">
        <v>83</v>
      </c>
      <c r="CT88" s="14">
        <v>100</v>
      </c>
      <c r="CU88" s="14"/>
      <c r="CV88" s="14"/>
      <c r="CW88" s="14" t="s">
        <v>364</v>
      </c>
      <c r="CX88" s="14" t="s">
        <v>395</v>
      </c>
      <c r="CY88" s="14" t="s">
        <v>363</v>
      </c>
      <c r="CZ88" s="14" t="s">
        <v>397</v>
      </c>
      <c r="DA88" s="14" t="s">
        <v>397</v>
      </c>
      <c r="DB88" s="14" t="s">
        <v>397</v>
      </c>
      <c r="DC88" s="14" t="s">
        <v>397</v>
      </c>
      <c r="DD88" s="14" t="s">
        <v>397</v>
      </c>
      <c r="DE88" s="14"/>
      <c r="DF88" s="14"/>
      <c r="DG88" s="14"/>
      <c r="DH88" s="14"/>
      <c r="DI88" s="14"/>
      <c r="DJ88" s="14"/>
      <c r="DK88" s="14" t="s">
        <v>515</v>
      </c>
      <c r="DL88" s="14" t="s">
        <v>368</v>
      </c>
      <c r="DM88" s="14" t="s">
        <v>368</v>
      </c>
      <c r="DN88" s="14" t="s">
        <v>368</v>
      </c>
      <c r="DO88" s="14" t="s">
        <v>345</v>
      </c>
      <c r="DP88" s="14" t="s">
        <v>368</v>
      </c>
      <c r="DQ88" s="14" t="s">
        <v>368</v>
      </c>
      <c r="DR88" s="14" t="s">
        <v>368</v>
      </c>
      <c r="DS88" s="14" t="s">
        <v>345</v>
      </c>
      <c r="DT88" s="14" t="s">
        <v>368</v>
      </c>
      <c r="DU88" s="14" t="s">
        <v>368</v>
      </c>
      <c r="DV88" s="14" t="s">
        <v>368</v>
      </c>
      <c r="DW88" s="14" t="s">
        <v>345</v>
      </c>
      <c r="DX88" s="14" t="s">
        <v>370</v>
      </c>
      <c r="DY88" s="14" t="s">
        <v>370</v>
      </c>
      <c r="DZ88" s="14" t="s">
        <v>369</v>
      </c>
      <c r="EA88" s="14" t="s">
        <v>370</v>
      </c>
      <c r="EB88" s="14" t="s">
        <v>370</v>
      </c>
      <c r="EC88" s="14" t="s">
        <v>370</v>
      </c>
      <c r="ED88" s="14" t="s">
        <v>370</v>
      </c>
      <c r="EE88" s="14" t="s">
        <v>369</v>
      </c>
      <c r="EF88" s="14" t="s">
        <v>369</v>
      </c>
      <c r="EG88" s="14" t="s">
        <v>371</v>
      </c>
      <c r="EH88" s="14" t="s">
        <v>369</v>
      </c>
      <c r="EI88" s="14" t="s">
        <v>369</v>
      </c>
      <c r="EJ88" s="14" t="s">
        <v>369</v>
      </c>
      <c r="EK88" s="14" t="s">
        <v>371</v>
      </c>
      <c r="EL88" s="14" t="s">
        <v>374</v>
      </c>
      <c r="EM88" s="14" t="s">
        <v>373</v>
      </c>
      <c r="EN88" s="14" t="s">
        <v>372</v>
      </c>
      <c r="EO88" s="14"/>
      <c r="EP88" s="14"/>
      <c r="EQ88" s="14" t="s">
        <v>378</v>
      </c>
      <c r="ER88" s="14" t="s">
        <v>378</v>
      </c>
      <c r="ES88" s="14" t="s">
        <v>378</v>
      </c>
      <c r="ET88" s="14" t="s">
        <v>378</v>
      </c>
      <c r="EU88" s="14" t="s">
        <v>378</v>
      </c>
      <c r="EV88" s="14" t="s">
        <v>484</v>
      </c>
      <c r="EW88" s="14"/>
      <c r="EX88" s="14" t="s">
        <v>368</v>
      </c>
      <c r="EY88" s="14" t="s">
        <v>368</v>
      </c>
      <c r="EZ88" s="14" t="s">
        <v>368</v>
      </c>
      <c r="FA88" s="14" t="s">
        <v>345</v>
      </c>
      <c r="FB88" s="14" t="s">
        <v>401</v>
      </c>
      <c r="FC88" s="14"/>
      <c r="FD88" s="14" t="s">
        <v>401</v>
      </c>
      <c r="FE88" s="14"/>
      <c r="FF88" s="14" t="s">
        <v>412</v>
      </c>
      <c r="FG88" s="14" t="s">
        <v>402</v>
      </c>
      <c r="FH88" s="14" t="s">
        <v>451</v>
      </c>
      <c r="FI88" s="14" t="s">
        <v>433</v>
      </c>
      <c r="FJ88" s="14"/>
      <c r="FK88" s="14"/>
      <c r="FL88" s="14"/>
      <c r="FM88" s="14"/>
      <c r="FN88" s="14"/>
      <c r="FO88" s="14"/>
      <c r="FP88" s="14"/>
      <c r="FQ88" s="14"/>
      <c r="FR88" s="14"/>
      <c r="FS88" s="14"/>
      <c r="FT88" s="14"/>
      <c r="FU88" s="14"/>
      <c r="FV88" s="14"/>
      <c r="FW88" s="14"/>
      <c r="FX88" s="14"/>
      <c r="FY88" s="14"/>
      <c r="FZ88" s="14"/>
      <c r="GA88" s="14" t="s">
        <v>368</v>
      </c>
      <c r="GB88" s="14" t="s">
        <v>368</v>
      </c>
      <c r="GC88" s="14" t="s">
        <v>368</v>
      </c>
      <c r="GD88" s="14" t="s">
        <v>368</v>
      </c>
      <c r="GE88" s="14" t="s">
        <v>368</v>
      </c>
      <c r="GF88" s="14" t="s">
        <v>368</v>
      </c>
      <c r="GG88" s="14"/>
      <c r="GH88" s="14"/>
      <c r="GI88" s="14"/>
      <c r="GJ88" s="14"/>
      <c r="GK88" s="14"/>
      <c r="GL88" s="14" t="s">
        <v>344</v>
      </c>
      <c r="GM88" s="14" t="s">
        <v>344</v>
      </c>
      <c r="GN88" s="14" t="s">
        <v>344</v>
      </c>
      <c r="GO88" s="14" t="s">
        <v>344</v>
      </c>
      <c r="GP88" s="14" t="s">
        <v>344</v>
      </c>
      <c r="GQ88" s="14" t="s">
        <v>344</v>
      </c>
      <c r="GR88" s="14" t="s">
        <v>344</v>
      </c>
      <c r="GS88" s="14" t="s">
        <v>344</v>
      </c>
      <c r="GT88" s="14" t="s">
        <v>345</v>
      </c>
      <c r="GU88" s="14" t="s">
        <v>344</v>
      </c>
      <c r="GV88" s="14" t="s">
        <v>344</v>
      </c>
      <c r="GW88" s="14" t="s">
        <v>345</v>
      </c>
      <c r="GX88" s="14" t="s">
        <v>344</v>
      </c>
      <c r="GY88" s="14" t="s">
        <v>344</v>
      </c>
      <c r="GZ88" s="14" t="s">
        <v>344</v>
      </c>
      <c r="HA88" s="14"/>
      <c r="HB88" s="14" t="s">
        <v>344</v>
      </c>
      <c r="HC88" s="14"/>
      <c r="HD88" s="14" t="s">
        <v>344</v>
      </c>
      <c r="HE88" s="14"/>
      <c r="HF88" s="14" t="s">
        <v>344</v>
      </c>
      <c r="HG88" s="14"/>
      <c r="HH88" s="14" t="s">
        <v>344</v>
      </c>
      <c r="HI88" s="14"/>
      <c r="HJ88" s="14" t="s">
        <v>345</v>
      </c>
      <c r="HK88" s="14" t="s">
        <v>344</v>
      </c>
      <c r="HL88" s="14" t="s">
        <v>344</v>
      </c>
      <c r="HM88" s="14" t="s">
        <v>344</v>
      </c>
      <c r="HN88" s="14" t="s">
        <v>344</v>
      </c>
      <c r="HO88" s="14" t="s">
        <v>344</v>
      </c>
      <c r="HP88" s="14" t="s">
        <v>345</v>
      </c>
      <c r="HQ88" s="14" t="s">
        <v>344</v>
      </c>
      <c r="HR88" s="14" t="s">
        <v>344</v>
      </c>
      <c r="HS88" s="14" t="s">
        <v>344</v>
      </c>
      <c r="HT88" s="14" t="s">
        <v>344</v>
      </c>
      <c r="HU88" s="14" t="s">
        <v>344</v>
      </c>
      <c r="HV88" s="14" t="s">
        <v>345</v>
      </c>
      <c r="HW88" s="14" t="s">
        <v>344</v>
      </c>
      <c r="HX88" s="14" t="s">
        <v>344</v>
      </c>
      <c r="HY88" s="14"/>
      <c r="HZ88" s="14" t="s">
        <v>344</v>
      </c>
      <c r="IA88" s="14"/>
      <c r="IB88" s="14" t="s">
        <v>344</v>
      </c>
      <c r="IC88" s="14"/>
      <c r="ID88" s="14" t="s">
        <v>344</v>
      </c>
      <c r="IE88" s="14"/>
      <c r="IF88" s="14" t="s">
        <v>344</v>
      </c>
      <c r="IG88" s="14"/>
      <c r="IH88" s="14" t="s">
        <v>345</v>
      </c>
      <c r="II88" s="14" t="s">
        <v>345</v>
      </c>
      <c r="IJ88" s="14" t="s">
        <v>345</v>
      </c>
      <c r="IK88" s="14" t="s">
        <v>344</v>
      </c>
      <c r="IL88" s="14" t="s">
        <v>345</v>
      </c>
      <c r="IM88" s="14" t="s">
        <v>345</v>
      </c>
      <c r="IN88" s="14" t="s">
        <v>344</v>
      </c>
      <c r="IO88" s="14" t="s">
        <v>345</v>
      </c>
      <c r="IP88" s="14" t="s">
        <v>345</v>
      </c>
      <c r="IQ88" s="14" t="s">
        <v>344</v>
      </c>
      <c r="IR88" s="14" t="s">
        <v>345</v>
      </c>
      <c r="IS88" s="14" t="s">
        <v>344</v>
      </c>
      <c r="IT88" s="14"/>
      <c r="IU88" s="14"/>
      <c r="IV88" s="14"/>
      <c r="IW88" s="14"/>
      <c r="IX88" s="14"/>
      <c r="IY88" s="14"/>
      <c r="IZ88" s="14"/>
      <c r="JA88" s="14"/>
      <c r="JB88" s="14"/>
      <c r="JC88" s="14"/>
      <c r="JD88" s="14"/>
      <c r="JE88" s="14"/>
      <c r="JF88" s="14"/>
      <c r="JG88" s="14"/>
      <c r="JH88" s="14"/>
    </row>
    <row r="89" spans="1:268" x14ac:dyDescent="0.3">
      <c r="A89" s="13" t="s">
        <v>727</v>
      </c>
      <c r="B89" s="14">
        <v>169</v>
      </c>
      <c r="C89" s="14" t="s">
        <v>811</v>
      </c>
      <c r="D89" s="14">
        <v>14</v>
      </c>
      <c r="E89" s="14" t="s">
        <v>340</v>
      </c>
      <c r="F89" s="14">
        <v>552820639</v>
      </c>
      <c r="G89" s="14" t="s">
        <v>812</v>
      </c>
      <c r="H89" s="14" t="s">
        <v>811</v>
      </c>
      <c r="I89" s="14" t="s">
        <v>765</v>
      </c>
      <c r="J89" s="14">
        <v>19</v>
      </c>
      <c r="K89" s="14" t="s">
        <v>389</v>
      </c>
      <c r="L89" s="14"/>
      <c r="M89" s="14" t="s">
        <v>345</v>
      </c>
      <c r="N89" s="14" t="s">
        <v>345</v>
      </c>
      <c r="O89" s="14" t="s">
        <v>344</v>
      </c>
      <c r="P89" s="14" t="s">
        <v>344</v>
      </c>
      <c r="Q89" s="14" t="s">
        <v>344</v>
      </c>
      <c r="R89" s="14"/>
      <c r="S89" s="14" t="s">
        <v>475</v>
      </c>
      <c r="T89" s="14"/>
      <c r="U89" s="14" t="s">
        <v>347</v>
      </c>
      <c r="V89" s="14"/>
      <c r="W89" s="14" t="s">
        <v>344</v>
      </c>
      <c r="X89" s="14" t="s">
        <v>344</v>
      </c>
      <c r="Y89" s="14" t="s">
        <v>345</v>
      </c>
      <c r="Z89" s="14" t="s">
        <v>344</v>
      </c>
      <c r="AA89" s="14" t="s">
        <v>345</v>
      </c>
      <c r="AB89" s="14" t="s">
        <v>345</v>
      </c>
      <c r="AC89" s="14" t="s">
        <v>344</v>
      </c>
      <c r="AD89" s="14" t="s">
        <v>345</v>
      </c>
      <c r="AE89" s="14" t="s">
        <v>344</v>
      </c>
      <c r="AF89" s="14" t="s">
        <v>345</v>
      </c>
      <c r="AG89" s="14" t="s">
        <v>344</v>
      </c>
      <c r="AH89" s="14" t="s">
        <v>345</v>
      </c>
      <c r="AI89" s="14" t="s">
        <v>344</v>
      </c>
      <c r="AJ89" s="14" t="s">
        <v>344</v>
      </c>
      <c r="AK89" s="14" t="s">
        <v>345</v>
      </c>
      <c r="AL89" s="14" t="s">
        <v>344</v>
      </c>
      <c r="AM89" s="14" t="s">
        <v>344</v>
      </c>
      <c r="AN89" s="14" t="s">
        <v>345</v>
      </c>
      <c r="AO89" s="14" t="s">
        <v>344</v>
      </c>
      <c r="AP89" s="14" t="s">
        <v>344</v>
      </c>
      <c r="AQ89" s="14" t="s">
        <v>344</v>
      </c>
      <c r="AR89" s="14" t="s">
        <v>345</v>
      </c>
      <c r="AS89" s="14" t="s">
        <v>345</v>
      </c>
      <c r="AT89" s="14" t="s">
        <v>345</v>
      </c>
      <c r="AU89" s="14" t="s">
        <v>345</v>
      </c>
      <c r="AV89" s="14" t="s">
        <v>345</v>
      </c>
      <c r="AW89" s="14" t="s">
        <v>345</v>
      </c>
      <c r="AX89" s="14" t="s">
        <v>344</v>
      </c>
      <c r="AY89" s="15"/>
      <c r="AZ89" s="14" t="s">
        <v>732</v>
      </c>
      <c r="BA89" s="14" t="s">
        <v>391</v>
      </c>
      <c r="BB89" s="14" t="s">
        <v>731</v>
      </c>
      <c r="BC89" s="14" t="s">
        <v>733</v>
      </c>
      <c r="BD89" s="14" t="s">
        <v>732</v>
      </c>
      <c r="BE89" s="14" t="s">
        <v>390</v>
      </c>
      <c r="BF89" s="14" t="s">
        <v>349</v>
      </c>
      <c r="BG89" s="14" t="s">
        <v>390</v>
      </c>
      <c r="BH89" s="14" t="s">
        <v>390</v>
      </c>
      <c r="BI89" s="14" t="s">
        <v>390</v>
      </c>
      <c r="BJ89" s="14" t="s">
        <v>356</v>
      </c>
      <c r="BK89" s="14" t="s">
        <v>357</v>
      </c>
      <c r="BL89" s="14" t="s">
        <v>352</v>
      </c>
      <c r="BM89" s="14" t="s">
        <v>353</v>
      </c>
      <c r="BN89" s="14" t="s">
        <v>351</v>
      </c>
      <c r="BO89" s="14" t="s">
        <v>357</v>
      </c>
      <c r="BP89" s="14" t="s">
        <v>354</v>
      </c>
      <c r="BQ89" s="14" t="s">
        <v>358</v>
      </c>
      <c r="BR89" s="14" t="s">
        <v>408</v>
      </c>
      <c r="BS89" s="14" t="s">
        <v>357</v>
      </c>
      <c r="BT89" s="14" t="s">
        <v>354</v>
      </c>
      <c r="BU89" s="14" t="s">
        <v>356</v>
      </c>
      <c r="BV89" s="14" t="s">
        <v>352</v>
      </c>
      <c r="BW89" s="14" t="s">
        <v>353</v>
      </c>
      <c r="BX89" s="14" t="s">
        <v>351</v>
      </c>
      <c r="BY89" s="14" t="s">
        <v>355</v>
      </c>
      <c r="BZ89" s="14" t="s">
        <v>352</v>
      </c>
      <c r="CA89" s="14" t="s">
        <v>356</v>
      </c>
      <c r="CB89" s="14" t="s">
        <v>353</v>
      </c>
      <c r="CC89" s="14" t="s">
        <v>354</v>
      </c>
      <c r="CD89" s="14" t="s">
        <v>354</v>
      </c>
      <c r="CE89" s="14" t="s">
        <v>357</v>
      </c>
      <c r="CF89" s="14" t="s">
        <v>355</v>
      </c>
      <c r="CG89" s="14" t="s">
        <v>420</v>
      </c>
      <c r="CH89" s="14" t="s">
        <v>393</v>
      </c>
      <c r="CI89" s="14" t="s">
        <v>392</v>
      </c>
      <c r="CJ89" s="14" t="s">
        <v>420</v>
      </c>
      <c r="CK89" s="14" t="s">
        <v>510</v>
      </c>
      <c r="CL89" s="14" t="s">
        <v>344</v>
      </c>
      <c r="CM89" s="14" t="s">
        <v>344</v>
      </c>
      <c r="CN89" s="14" t="s">
        <v>344</v>
      </c>
      <c r="CO89" s="14" t="s">
        <v>344</v>
      </c>
      <c r="CP89" s="14" t="s">
        <v>345</v>
      </c>
      <c r="CQ89" s="14" t="s">
        <v>344</v>
      </c>
      <c r="CR89" s="14" t="s">
        <v>655</v>
      </c>
      <c r="CS89" s="14">
        <v>1</v>
      </c>
      <c r="CT89" s="14">
        <v>60</v>
      </c>
      <c r="CU89" s="14">
        <v>100</v>
      </c>
      <c r="CV89" s="14">
        <v>1</v>
      </c>
      <c r="CW89" s="14" t="s">
        <v>395</v>
      </c>
      <c r="CX89" s="14" t="s">
        <v>395</v>
      </c>
      <c r="CY89" s="14" t="s">
        <v>396</v>
      </c>
      <c r="CZ89" s="14" t="s">
        <v>397</v>
      </c>
      <c r="DA89" s="14" t="s">
        <v>397</v>
      </c>
      <c r="DB89" s="14" t="s">
        <v>397</v>
      </c>
      <c r="DC89" s="14" t="s">
        <v>397</v>
      </c>
      <c r="DD89" s="14" t="s">
        <v>397</v>
      </c>
      <c r="DE89" s="14" t="s">
        <v>397</v>
      </c>
      <c r="DF89" s="14" t="s">
        <v>397</v>
      </c>
      <c r="DG89" s="14" t="s">
        <v>397</v>
      </c>
      <c r="DH89" s="14" t="s">
        <v>397</v>
      </c>
      <c r="DI89" s="14" t="s">
        <v>397</v>
      </c>
      <c r="DJ89" s="14"/>
      <c r="DK89" s="14" t="s">
        <v>367</v>
      </c>
      <c r="DL89" s="14" t="s">
        <v>368</v>
      </c>
      <c r="DM89" s="14" t="s">
        <v>368</v>
      </c>
      <c r="DN89" s="14" t="s">
        <v>368</v>
      </c>
      <c r="DO89" s="14" t="s">
        <v>368</v>
      </c>
      <c r="DP89" s="14" t="s">
        <v>368</v>
      </c>
      <c r="DQ89" s="14" t="s">
        <v>368</v>
      </c>
      <c r="DR89" s="14" t="s">
        <v>368</v>
      </c>
      <c r="DS89" s="14" t="s">
        <v>345</v>
      </c>
      <c r="DT89" s="14" t="s">
        <v>368</v>
      </c>
      <c r="DU89" s="14" t="s">
        <v>368</v>
      </c>
      <c r="DV89" s="14" t="s">
        <v>368</v>
      </c>
      <c r="DW89" s="14" t="s">
        <v>345</v>
      </c>
      <c r="DX89" s="14" t="s">
        <v>369</v>
      </c>
      <c r="DY89" s="14" t="s">
        <v>370</v>
      </c>
      <c r="DZ89" s="14" t="s">
        <v>370</v>
      </c>
      <c r="EA89" s="14" t="s">
        <v>369</v>
      </c>
      <c r="EB89" s="14" t="s">
        <v>369</v>
      </c>
      <c r="EC89" s="14" t="s">
        <v>369</v>
      </c>
      <c r="ED89" s="14" t="s">
        <v>370</v>
      </c>
      <c r="EE89" s="14" t="s">
        <v>370</v>
      </c>
      <c r="EF89" s="14" t="s">
        <v>370</v>
      </c>
      <c r="EG89" s="14" t="s">
        <v>369</v>
      </c>
      <c r="EH89" s="14" t="s">
        <v>370</v>
      </c>
      <c r="EI89" s="14" t="s">
        <v>370</v>
      </c>
      <c r="EJ89" s="14" t="s">
        <v>369</v>
      </c>
      <c r="EK89" s="14" t="s">
        <v>371</v>
      </c>
      <c r="EL89" s="14" t="s">
        <v>372</v>
      </c>
      <c r="EM89" s="14" t="s">
        <v>424</v>
      </c>
      <c r="EN89" s="14" t="s">
        <v>440</v>
      </c>
      <c r="EO89" s="14"/>
      <c r="EP89" s="14"/>
      <c r="EQ89" s="14" t="s">
        <v>375</v>
      </c>
      <c r="ER89" s="14" t="s">
        <v>376</v>
      </c>
      <c r="ES89" s="14" t="s">
        <v>375</v>
      </c>
      <c r="ET89" s="14" t="s">
        <v>376</v>
      </c>
      <c r="EU89" s="14" t="s">
        <v>376</v>
      </c>
      <c r="EV89" s="14" t="s">
        <v>762</v>
      </c>
      <c r="EW89" s="14"/>
      <c r="EX89" s="161" t="s">
        <v>344</v>
      </c>
      <c r="EY89" s="161" t="s">
        <v>345</v>
      </c>
      <c r="EZ89" s="161" t="s">
        <v>344</v>
      </c>
      <c r="FA89" s="14" t="s">
        <v>344</v>
      </c>
      <c r="FB89" s="14" t="s">
        <v>381</v>
      </c>
      <c r="FC89" s="14"/>
      <c r="FD89" s="14" t="s">
        <v>381</v>
      </c>
      <c r="FE89" s="14"/>
      <c r="FF89" s="14"/>
      <c r="FG89" s="14"/>
      <c r="FH89" s="14"/>
      <c r="FI89" s="14"/>
      <c r="FJ89" s="14"/>
      <c r="FK89" s="14"/>
      <c r="FL89" s="14"/>
      <c r="FM89" s="14"/>
      <c r="FN89" s="14"/>
      <c r="FO89" s="14"/>
      <c r="FP89" s="14"/>
      <c r="FQ89" s="14"/>
      <c r="FR89" s="14"/>
      <c r="FS89" s="14"/>
      <c r="FT89" s="14"/>
      <c r="FU89" s="14"/>
      <c r="FV89" s="14"/>
      <c r="FW89" s="14"/>
      <c r="FX89" s="14"/>
      <c r="FY89" s="14"/>
      <c r="FZ89" s="14"/>
      <c r="GA89" s="14" t="s">
        <v>368</v>
      </c>
      <c r="GB89" s="14" t="s">
        <v>368</v>
      </c>
      <c r="GC89" s="14" t="s">
        <v>368</v>
      </c>
      <c r="GD89" s="14" t="s">
        <v>368</v>
      </c>
      <c r="GE89" s="14" t="s">
        <v>368</v>
      </c>
      <c r="GF89" s="14" t="s">
        <v>368</v>
      </c>
      <c r="GG89" s="14"/>
      <c r="GH89" s="14"/>
      <c r="GI89" s="14"/>
      <c r="GJ89" s="14"/>
      <c r="GK89" s="14"/>
      <c r="GL89" s="14" t="s">
        <v>344</v>
      </c>
      <c r="GM89" s="14" t="s">
        <v>344</v>
      </c>
      <c r="GN89" s="14" t="s">
        <v>344</v>
      </c>
      <c r="GO89" s="14" t="s">
        <v>344</v>
      </c>
      <c r="GP89" s="14" t="s">
        <v>344</v>
      </c>
      <c r="GQ89" s="14" t="s">
        <v>344</v>
      </c>
      <c r="GR89" s="14" t="s">
        <v>345</v>
      </c>
      <c r="GS89" s="14" t="s">
        <v>344</v>
      </c>
      <c r="GT89" s="14" t="s">
        <v>345</v>
      </c>
      <c r="GU89" s="14" t="s">
        <v>344</v>
      </c>
      <c r="GV89" s="14" t="s">
        <v>344</v>
      </c>
      <c r="GW89" s="14" t="s">
        <v>344</v>
      </c>
      <c r="GX89" s="14" t="s">
        <v>344</v>
      </c>
      <c r="GY89" s="14" t="s">
        <v>344</v>
      </c>
      <c r="GZ89" s="14" t="s">
        <v>344</v>
      </c>
      <c r="HA89" s="14"/>
      <c r="HB89" s="14" t="s">
        <v>344</v>
      </c>
      <c r="HC89" s="14"/>
      <c r="HD89" s="14" t="s">
        <v>344</v>
      </c>
      <c r="HE89" s="14"/>
      <c r="HF89" s="14" t="s">
        <v>344</v>
      </c>
      <c r="HG89" s="14"/>
      <c r="HH89" s="14" t="s">
        <v>344</v>
      </c>
      <c r="HI89" s="14"/>
      <c r="HJ89" s="14" t="s">
        <v>345</v>
      </c>
      <c r="HK89" s="14" t="s">
        <v>344</v>
      </c>
      <c r="HL89" s="14" t="s">
        <v>344</v>
      </c>
      <c r="HM89" s="14" t="s">
        <v>344</v>
      </c>
      <c r="HN89" s="14" t="s">
        <v>344</v>
      </c>
      <c r="HO89" s="14" t="s">
        <v>344</v>
      </c>
      <c r="HP89" s="14" t="s">
        <v>344</v>
      </c>
      <c r="HQ89" s="14" t="s">
        <v>344</v>
      </c>
      <c r="HR89" s="14" t="s">
        <v>345</v>
      </c>
      <c r="HS89" s="14" t="s">
        <v>344</v>
      </c>
      <c r="HT89" s="14" t="s">
        <v>344</v>
      </c>
      <c r="HU89" s="14" t="s">
        <v>344</v>
      </c>
      <c r="HV89" s="14" t="s">
        <v>344</v>
      </c>
      <c r="HW89" s="14" t="s">
        <v>344</v>
      </c>
      <c r="HX89" s="14" t="s">
        <v>344</v>
      </c>
      <c r="HY89" s="14"/>
      <c r="HZ89" s="14" t="s">
        <v>344</v>
      </c>
      <c r="IA89" s="14"/>
      <c r="IB89" s="14" t="s">
        <v>344</v>
      </c>
      <c r="IC89" s="14"/>
      <c r="ID89" s="14" t="s">
        <v>344</v>
      </c>
      <c r="IE89" s="14"/>
      <c r="IF89" s="14" t="s">
        <v>344</v>
      </c>
      <c r="IG89" s="14"/>
      <c r="IH89" s="14" t="s">
        <v>344</v>
      </c>
      <c r="II89" s="14" t="s">
        <v>345</v>
      </c>
      <c r="IJ89" s="14" t="s">
        <v>345</v>
      </c>
      <c r="IK89" s="14" t="s">
        <v>344</v>
      </c>
      <c r="IL89" s="14" t="s">
        <v>345</v>
      </c>
      <c r="IM89" s="14" t="s">
        <v>345</v>
      </c>
      <c r="IN89" s="14" t="s">
        <v>344</v>
      </c>
      <c r="IO89" s="14" t="s">
        <v>345</v>
      </c>
      <c r="IP89" s="14" t="s">
        <v>344</v>
      </c>
      <c r="IQ89" s="14" t="s">
        <v>344</v>
      </c>
      <c r="IR89" s="14" t="s">
        <v>344</v>
      </c>
      <c r="IS89" s="14" t="s">
        <v>344</v>
      </c>
      <c r="IT89" s="14"/>
      <c r="IU89" s="14"/>
      <c r="IV89" s="14"/>
      <c r="IW89" s="14"/>
      <c r="IX89" s="14"/>
      <c r="IY89" s="14"/>
      <c r="IZ89" s="14"/>
      <c r="JA89" s="14"/>
      <c r="JB89" s="14"/>
      <c r="JC89" s="14"/>
      <c r="JD89" s="14"/>
      <c r="JE89" s="14"/>
      <c r="JF89" s="14"/>
      <c r="JG89" s="14"/>
      <c r="JH89" s="14"/>
    </row>
    <row r="90" spans="1:268" x14ac:dyDescent="0.3">
      <c r="A90" s="16" t="s">
        <v>813</v>
      </c>
      <c r="B90" s="16">
        <v>170</v>
      </c>
      <c r="C90" s="16" t="s">
        <v>814</v>
      </c>
      <c r="D90" s="16">
        <v>14</v>
      </c>
      <c r="E90" s="16" t="s">
        <v>340</v>
      </c>
      <c r="F90" s="16">
        <v>476576537</v>
      </c>
      <c r="G90" s="16" t="s">
        <v>815</v>
      </c>
      <c r="H90" s="16" t="s">
        <v>814</v>
      </c>
      <c r="I90" s="16" t="s">
        <v>816</v>
      </c>
      <c r="J90" s="16">
        <v>17</v>
      </c>
      <c r="K90" s="16" t="s">
        <v>389</v>
      </c>
      <c r="L90" s="16"/>
      <c r="M90" s="16" t="s">
        <v>345</v>
      </c>
      <c r="N90" s="16" t="s">
        <v>345</v>
      </c>
      <c r="O90" s="16" t="s">
        <v>344</v>
      </c>
      <c r="P90" s="16" t="s">
        <v>344</v>
      </c>
      <c r="Q90" s="16" t="s">
        <v>344</v>
      </c>
      <c r="R90" s="16"/>
      <c r="S90" s="16" t="s">
        <v>522</v>
      </c>
      <c r="T90" s="16"/>
      <c r="U90" s="16" t="s">
        <v>428</v>
      </c>
      <c r="V90" s="16"/>
      <c r="W90" s="16" t="s">
        <v>344</v>
      </c>
      <c r="X90" s="16" t="s">
        <v>345</v>
      </c>
      <c r="Y90" s="16" t="s">
        <v>344</v>
      </c>
      <c r="Z90" s="16" t="s">
        <v>344</v>
      </c>
      <c r="AA90" s="16" t="s">
        <v>344</v>
      </c>
      <c r="AB90" s="16" t="s">
        <v>344</v>
      </c>
      <c r="AC90" s="16" t="s">
        <v>344</v>
      </c>
      <c r="AD90" s="16" t="s">
        <v>344</v>
      </c>
      <c r="AE90" s="16" t="s">
        <v>345</v>
      </c>
      <c r="AF90" s="16" t="s">
        <v>344</v>
      </c>
      <c r="AG90" s="16" t="s">
        <v>344</v>
      </c>
      <c r="AH90" s="16" t="s">
        <v>344</v>
      </c>
      <c r="AI90" s="16" t="s">
        <v>344</v>
      </c>
      <c r="AJ90" s="16" t="s">
        <v>344</v>
      </c>
      <c r="AK90" s="16" t="s">
        <v>344</v>
      </c>
      <c r="AL90" s="16" t="s">
        <v>344</v>
      </c>
      <c r="AM90" s="16" t="s">
        <v>344</v>
      </c>
      <c r="AN90" s="16" t="s">
        <v>345</v>
      </c>
      <c r="AO90" s="16" t="s">
        <v>344</v>
      </c>
      <c r="AP90" s="16" t="s">
        <v>344</v>
      </c>
      <c r="AQ90" s="16" t="s">
        <v>344</v>
      </c>
      <c r="AR90" s="16" t="s">
        <v>345</v>
      </c>
      <c r="AS90" s="16" t="s">
        <v>344</v>
      </c>
      <c r="AT90" s="16" t="s">
        <v>344</v>
      </c>
      <c r="AU90" s="16" t="s">
        <v>345</v>
      </c>
      <c r="AV90" s="16" t="s">
        <v>344</v>
      </c>
      <c r="AW90" s="16" t="s">
        <v>344</v>
      </c>
      <c r="AX90" s="16" t="s">
        <v>344</v>
      </c>
      <c r="AY90" s="16" t="s">
        <v>732</v>
      </c>
      <c r="AZ90" s="16" t="s">
        <v>733</v>
      </c>
      <c r="BA90" s="16" t="s">
        <v>733</v>
      </c>
      <c r="BB90" s="16" t="s">
        <v>732</v>
      </c>
      <c r="BC90" s="16" t="s">
        <v>733</v>
      </c>
      <c r="BD90" s="16" t="s">
        <v>733</v>
      </c>
      <c r="BE90" s="16" t="s">
        <v>348</v>
      </c>
      <c r="BF90" s="16" t="s">
        <v>348</v>
      </c>
      <c r="BG90" s="16" t="s">
        <v>349</v>
      </c>
      <c r="BH90" s="16" t="s">
        <v>390</v>
      </c>
      <c r="BI90" s="16" t="s">
        <v>350</v>
      </c>
      <c r="BJ90" s="16" t="s">
        <v>354</v>
      </c>
      <c r="BK90" s="16" t="s">
        <v>356</v>
      </c>
      <c r="BL90" s="16" t="s">
        <v>352</v>
      </c>
      <c r="BM90" s="16" t="s">
        <v>355</v>
      </c>
      <c r="BN90" s="16" t="s">
        <v>351</v>
      </c>
      <c r="BO90" s="16" t="s">
        <v>356</v>
      </c>
      <c r="BP90" s="16" t="s">
        <v>357</v>
      </c>
      <c r="BQ90" s="16" t="s">
        <v>419</v>
      </c>
      <c r="BR90" s="16" t="s">
        <v>367</v>
      </c>
      <c r="BS90" s="16" t="s">
        <v>353</v>
      </c>
      <c r="BT90" s="16" t="s">
        <v>355</v>
      </c>
      <c r="BU90" s="16" t="s">
        <v>351</v>
      </c>
      <c r="BV90" s="16" t="s">
        <v>357</v>
      </c>
      <c r="BW90" s="16" t="s">
        <v>356</v>
      </c>
      <c r="BX90" s="16" t="s">
        <v>354</v>
      </c>
      <c r="BY90" s="16" t="s">
        <v>352</v>
      </c>
      <c r="BZ90" s="16" t="s">
        <v>351</v>
      </c>
      <c r="CA90" s="16" t="s">
        <v>353</v>
      </c>
      <c r="CB90" s="16" t="s">
        <v>356</v>
      </c>
      <c r="CC90" s="16" t="s">
        <v>355</v>
      </c>
      <c r="CD90" s="16" t="s">
        <v>353</v>
      </c>
      <c r="CE90" s="16" t="s">
        <v>354</v>
      </c>
      <c r="CF90" s="16" t="s">
        <v>352</v>
      </c>
      <c r="CG90" s="16" t="s">
        <v>393</v>
      </c>
      <c r="CH90" s="16" t="s">
        <v>421</v>
      </c>
      <c r="CI90" s="16" t="s">
        <v>393</v>
      </c>
      <c r="CJ90" s="16" t="s">
        <v>393</v>
      </c>
      <c r="CK90" s="16" t="s">
        <v>510</v>
      </c>
      <c r="CL90" s="16" t="s">
        <v>345</v>
      </c>
      <c r="CM90" s="16" t="s">
        <v>344</v>
      </c>
      <c r="CN90" s="16" t="s">
        <v>344</v>
      </c>
      <c r="CO90" s="16" t="s">
        <v>344</v>
      </c>
      <c r="CP90" s="16" t="s">
        <v>345</v>
      </c>
      <c r="CQ90" s="16" t="s">
        <v>344</v>
      </c>
      <c r="CR90" s="16" t="s">
        <v>667</v>
      </c>
      <c r="CS90" s="16">
        <v>30</v>
      </c>
      <c r="CT90" s="16">
        <v>35</v>
      </c>
      <c r="CU90" s="16">
        <v>100</v>
      </c>
      <c r="CV90" s="16">
        <v>1</v>
      </c>
      <c r="CW90" s="16" t="s">
        <v>363</v>
      </c>
      <c r="CX90" s="16" t="s">
        <v>396</v>
      </c>
      <c r="CY90" s="16" t="s">
        <v>364</v>
      </c>
      <c r="CZ90" s="16" t="s">
        <v>366</v>
      </c>
      <c r="DA90" s="16" t="s">
        <v>397</v>
      </c>
      <c r="DB90" s="16" t="s">
        <v>366</v>
      </c>
      <c r="DC90" s="16" t="s">
        <v>365</v>
      </c>
      <c r="DD90" s="16" t="s">
        <v>397</v>
      </c>
      <c r="DE90" s="16" t="s">
        <v>366</v>
      </c>
      <c r="DF90" s="16" t="s">
        <v>397</v>
      </c>
      <c r="DG90" s="16" t="s">
        <v>366</v>
      </c>
      <c r="DH90" s="16" t="s">
        <v>365</v>
      </c>
      <c r="DI90" s="16" t="s">
        <v>397</v>
      </c>
      <c r="DJ90" s="16"/>
      <c r="DK90" s="16" t="s">
        <v>367</v>
      </c>
      <c r="DL90" s="16" t="s">
        <v>368</v>
      </c>
      <c r="DM90" s="16" t="s">
        <v>368</v>
      </c>
      <c r="DN90" s="16" t="s">
        <v>368</v>
      </c>
      <c r="DO90" s="16" t="s">
        <v>368</v>
      </c>
      <c r="DP90" s="16" t="s">
        <v>368</v>
      </c>
      <c r="DQ90" s="16" t="s">
        <v>368</v>
      </c>
      <c r="DR90" s="16" t="s">
        <v>368</v>
      </c>
      <c r="DS90" s="16" t="s">
        <v>345</v>
      </c>
      <c r="DT90" s="16" t="s">
        <v>368</v>
      </c>
      <c r="DU90" s="16" t="s">
        <v>368</v>
      </c>
      <c r="DV90" s="16" t="s">
        <v>368</v>
      </c>
      <c r="DW90" s="16" t="s">
        <v>345</v>
      </c>
      <c r="DX90" s="16" t="s">
        <v>369</v>
      </c>
      <c r="DY90" s="16" t="s">
        <v>369</v>
      </c>
      <c r="DZ90" s="16" t="s">
        <v>369</v>
      </c>
      <c r="EA90" s="16" t="s">
        <v>369</v>
      </c>
      <c r="EB90" s="16" t="s">
        <v>369</v>
      </c>
      <c r="EC90" s="16" t="s">
        <v>369</v>
      </c>
      <c r="ED90" s="16" t="s">
        <v>369</v>
      </c>
      <c r="EE90" s="16" t="s">
        <v>370</v>
      </c>
      <c r="EF90" s="16" t="s">
        <v>370</v>
      </c>
      <c r="EG90" s="16" t="s">
        <v>370</v>
      </c>
      <c r="EH90" s="16" t="s">
        <v>370</v>
      </c>
      <c r="EI90" s="16" t="s">
        <v>370</v>
      </c>
      <c r="EJ90" s="16" t="s">
        <v>370</v>
      </c>
      <c r="EK90" s="16" t="s">
        <v>370</v>
      </c>
      <c r="EL90" s="16" t="s">
        <v>373</v>
      </c>
      <c r="EM90" s="16" t="s">
        <v>374</v>
      </c>
      <c r="EN90" s="16" t="s">
        <v>440</v>
      </c>
      <c r="EO90" s="16"/>
      <c r="EP90" s="16"/>
      <c r="EQ90" s="16" t="s">
        <v>376</v>
      </c>
      <c r="ER90" s="16" t="s">
        <v>376</v>
      </c>
      <c r="ES90" s="16" t="s">
        <v>375</v>
      </c>
      <c r="ET90" s="16" t="s">
        <v>375</v>
      </c>
      <c r="EU90" s="16" t="s">
        <v>376</v>
      </c>
      <c r="EV90" s="16" t="s">
        <v>400</v>
      </c>
      <c r="EW90" s="16"/>
      <c r="EX90" s="16" t="s">
        <v>368</v>
      </c>
      <c r="EY90" s="16" t="s">
        <v>368</v>
      </c>
      <c r="EZ90" s="16" t="s">
        <v>368</v>
      </c>
      <c r="FA90" s="16" t="s">
        <v>345</v>
      </c>
      <c r="FB90" s="16" t="s">
        <v>380</v>
      </c>
      <c r="FC90" s="16"/>
      <c r="FD90" s="16" t="s">
        <v>401</v>
      </c>
      <c r="FE90" s="16"/>
      <c r="FF90" s="16"/>
      <c r="FG90" s="16"/>
      <c r="FH90" s="16"/>
      <c r="FI90" s="16"/>
      <c r="FJ90" s="16"/>
      <c r="FK90" s="16"/>
      <c r="FL90" s="16"/>
      <c r="FM90" s="16"/>
      <c r="FN90" s="16"/>
      <c r="FO90" s="16"/>
      <c r="FP90" s="16"/>
      <c r="FQ90" s="16"/>
      <c r="FR90" s="16"/>
      <c r="FS90" s="16"/>
      <c r="FT90" s="16"/>
      <c r="FU90" s="16"/>
      <c r="FV90" s="16"/>
      <c r="FW90" s="16"/>
      <c r="FX90" s="16"/>
      <c r="FY90" s="16"/>
      <c r="FZ90" s="16"/>
      <c r="GA90" s="16" t="s">
        <v>368</v>
      </c>
      <c r="GB90" s="16" t="s">
        <v>368</v>
      </c>
      <c r="GC90" s="16" t="s">
        <v>368</v>
      </c>
      <c r="GD90" s="16" t="s">
        <v>368</v>
      </c>
      <c r="GE90" s="16" t="s">
        <v>368</v>
      </c>
      <c r="GF90" s="16" t="s">
        <v>368</v>
      </c>
      <c r="GG90" s="16"/>
      <c r="GH90" s="16"/>
      <c r="GI90" s="16"/>
      <c r="GJ90" s="16"/>
      <c r="GK90" s="16"/>
      <c r="GL90" s="16" t="s">
        <v>344</v>
      </c>
      <c r="GM90" s="16" t="s">
        <v>344</v>
      </c>
      <c r="GN90" s="16" t="s">
        <v>344</v>
      </c>
      <c r="GO90" s="16" t="s">
        <v>344</v>
      </c>
      <c r="GP90" s="16" t="s">
        <v>344</v>
      </c>
      <c r="GQ90" s="16" t="s">
        <v>344</v>
      </c>
      <c r="GR90" s="16" t="s">
        <v>344</v>
      </c>
      <c r="GS90" s="16" t="s">
        <v>344</v>
      </c>
      <c r="GT90" s="16" t="s">
        <v>344</v>
      </c>
      <c r="GU90" s="16" t="s">
        <v>344</v>
      </c>
      <c r="GV90" s="16" t="s">
        <v>344</v>
      </c>
      <c r="GW90" s="16" t="s">
        <v>344</v>
      </c>
      <c r="GX90" s="16" t="s">
        <v>344</v>
      </c>
      <c r="GY90" s="16" t="s">
        <v>344</v>
      </c>
      <c r="GZ90" s="16" t="s">
        <v>345</v>
      </c>
      <c r="HA90" s="16"/>
      <c r="HB90" s="16" t="s">
        <v>344</v>
      </c>
      <c r="HC90" s="16"/>
      <c r="HD90" s="16" t="s">
        <v>344</v>
      </c>
      <c r="HE90" s="16"/>
      <c r="HF90" s="16" t="s">
        <v>344</v>
      </c>
      <c r="HG90" s="16"/>
      <c r="HH90" s="16" t="s">
        <v>344</v>
      </c>
      <c r="HI90" s="16"/>
      <c r="HJ90" s="16" t="s">
        <v>344</v>
      </c>
      <c r="HK90" s="16" t="s">
        <v>344</v>
      </c>
      <c r="HL90" s="16" t="s">
        <v>344</v>
      </c>
      <c r="HM90" s="16" t="s">
        <v>344</v>
      </c>
      <c r="HN90" s="16" t="s">
        <v>344</v>
      </c>
      <c r="HO90" s="16" t="s">
        <v>344</v>
      </c>
      <c r="HP90" s="16" t="s">
        <v>344</v>
      </c>
      <c r="HQ90" s="16" t="s">
        <v>344</v>
      </c>
      <c r="HR90" s="16" t="s">
        <v>344</v>
      </c>
      <c r="HS90" s="16" t="s">
        <v>344</v>
      </c>
      <c r="HT90" s="16" t="s">
        <v>344</v>
      </c>
      <c r="HU90" s="16" t="s">
        <v>344</v>
      </c>
      <c r="HV90" s="16" t="s">
        <v>344</v>
      </c>
      <c r="HW90" s="16" t="s">
        <v>344</v>
      </c>
      <c r="HX90" s="16" t="s">
        <v>345</v>
      </c>
      <c r="HY90" s="16"/>
      <c r="HZ90" s="16" t="s">
        <v>344</v>
      </c>
      <c r="IA90" s="16"/>
      <c r="IB90" s="16" t="s">
        <v>344</v>
      </c>
      <c r="IC90" s="16"/>
      <c r="ID90" s="16" t="s">
        <v>344</v>
      </c>
      <c r="IE90" s="16"/>
      <c r="IF90" s="16" t="s">
        <v>344</v>
      </c>
      <c r="IG90" s="16"/>
      <c r="IH90" s="16" t="s">
        <v>345</v>
      </c>
      <c r="II90" s="16" t="s">
        <v>344</v>
      </c>
      <c r="IJ90" s="16" t="s">
        <v>344</v>
      </c>
      <c r="IK90" s="16" t="s">
        <v>345</v>
      </c>
      <c r="IL90" s="16" t="s">
        <v>345</v>
      </c>
      <c r="IM90" s="16" t="s">
        <v>345</v>
      </c>
      <c r="IN90" s="16" t="s">
        <v>344</v>
      </c>
      <c r="IO90" s="16" t="s">
        <v>345</v>
      </c>
      <c r="IP90" s="16" t="s">
        <v>344</v>
      </c>
      <c r="IQ90" s="16" t="s">
        <v>344</v>
      </c>
      <c r="IR90" s="16" t="s">
        <v>344</v>
      </c>
      <c r="IS90" s="16" t="s">
        <v>344</v>
      </c>
      <c r="IT90" s="16"/>
      <c r="IU90" s="16"/>
      <c r="IV90" s="16"/>
      <c r="IW90" s="16"/>
      <c r="IX90" s="16"/>
      <c r="IY90" s="16"/>
      <c r="IZ90" s="16"/>
      <c r="JA90" s="16"/>
      <c r="JB90" s="16"/>
      <c r="JC90" s="16"/>
      <c r="JD90" s="16"/>
      <c r="JE90" s="16"/>
      <c r="JF90" s="16"/>
      <c r="JG90" s="16"/>
      <c r="JH90" s="16"/>
    </row>
    <row r="91" spans="1:268" x14ac:dyDescent="0.3">
      <c r="A91" s="16" t="s">
        <v>813</v>
      </c>
      <c r="B91" s="16">
        <v>171</v>
      </c>
      <c r="C91" s="16" t="s">
        <v>817</v>
      </c>
      <c r="D91" s="16">
        <v>14</v>
      </c>
      <c r="E91" s="16" t="s">
        <v>340</v>
      </c>
      <c r="F91" s="16">
        <v>1259513912</v>
      </c>
      <c r="G91" s="16" t="s">
        <v>818</v>
      </c>
      <c r="H91" s="16" t="s">
        <v>817</v>
      </c>
      <c r="I91" s="16" t="s">
        <v>816</v>
      </c>
      <c r="J91" s="16">
        <v>18</v>
      </c>
      <c r="K91" s="16" t="s">
        <v>406</v>
      </c>
      <c r="L91" s="16"/>
      <c r="M91" s="16" t="s">
        <v>344</v>
      </c>
      <c r="N91" s="16" t="s">
        <v>345</v>
      </c>
      <c r="O91" s="16" t="s">
        <v>344</v>
      </c>
      <c r="P91" s="16" t="s">
        <v>344</v>
      </c>
      <c r="Q91" s="16" t="s">
        <v>344</v>
      </c>
      <c r="R91" s="16"/>
      <c r="S91" s="16" t="s">
        <v>522</v>
      </c>
      <c r="T91" s="16"/>
      <c r="U91" s="16" t="s">
        <v>418</v>
      </c>
      <c r="V91" s="16"/>
      <c r="W91" s="16" t="s">
        <v>345</v>
      </c>
      <c r="X91" s="16" t="s">
        <v>344</v>
      </c>
      <c r="Y91" s="16" t="s">
        <v>344</v>
      </c>
      <c r="Z91" s="16" t="s">
        <v>344</v>
      </c>
      <c r="AA91" s="16" t="s">
        <v>344</v>
      </c>
      <c r="AB91" s="16" t="s">
        <v>344</v>
      </c>
      <c r="AC91" s="16" t="s">
        <v>344</v>
      </c>
      <c r="AD91" s="16" t="s">
        <v>345</v>
      </c>
      <c r="AE91" s="16" t="s">
        <v>344</v>
      </c>
      <c r="AF91" s="16" t="s">
        <v>344</v>
      </c>
      <c r="AG91" s="16" t="s">
        <v>344</v>
      </c>
      <c r="AH91" s="16" t="s">
        <v>345</v>
      </c>
      <c r="AI91" s="16" t="s">
        <v>344</v>
      </c>
      <c r="AJ91" s="16" t="s">
        <v>344</v>
      </c>
      <c r="AK91" s="16" t="s">
        <v>344</v>
      </c>
      <c r="AL91" s="16" t="s">
        <v>344</v>
      </c>
      <c r="AM91" s="16" t="s">
        <v>344</v>
      </c>
      <c r="AN91" s="16" t="s">
        <v>345</v>
      </c>
      <c r="AO91" s="16" t="s">
        <v>344</v>
      </c>
      <c r="AP91" s="16" t="s">
        <v>344</v>
      </c>
      <c r="AQ91" s="16" t="s">
        <v>344</v>
      </c>
      <c r="AR91" s="16" t="s">
        <v>345</v>
      </c>
      <c r="AS91" s="16" t="s">
        <v>344</v>
      </c>
      <c r="AT91" s="16" t="s">
        <v>344</v>
      </c>
      <c r="AU91" s="16" t="s">
        <v>344</v>
      </c>
      <c r="AV91" s="16" t="s">
        <v>344</v>
      </c>
      <c r="AW91" s="16" t="s">
        <v>344</v>
      </c>
      <c r="AX91" s="16" t="s">
        <v>344</v>
      </c>
      <c r="AY91" s="16" t="s">
        <v>391</v>
      </c>
      <c r="AZ91" s="16" t="s">
        <v>732</v>
      </c>
      <c r="BA91" s="16" t="s">
        <v>732</v>
      </c>
      <c r="BB91" s="16" t="s">
        <v>732</v>
      </c>
      <c r="BC91" s="16" t="s">
        <v>733</v>
      </c>
      <c r="BD91" s="16" t="s">
        <v>391</v>
      </c>
      <c r="BE91" s="16" t="s">
        <v>348</v>
      </c>
      <c r="BF91" s="16" t="s">
        <v>348</v>
      </c>
      <c r="BG91" s="16" t="s">
        <v>390</v>
      </c>
      <c r="BH91" s="16" t="s">
        <v>349</v>
      </c>
      <c r="BI91" s="16" t="s">
        <v>349</v>
      </c>
      <c r="BJ91" s="16" t="s">
        <v>354</v>
      </c>
      <c r="BK91" s="16" t="s">
        <v>357</v>
      </c>
      <c r="BL91" s="16" t="s">
        <v>353</v>
      </c>
      <c r="BM91" s="16" t="s">
        <v>355</v>
      </c>
      <c r="BN91" s="16" t="s">
        <v>351</v>
      </c>
      <c r="BO91" s="16" t="s">
        <v>356</v>
      </c>
      <c r="BP91" s="16" t="s">
        <v>352</v>
      </c>
      <c r="BQ91" s="16" t="s">
        <v>358</v>
      </c>
      <c r="BR91" s="16" t="s">
        <v>367</v>
      </c>
      <c r="BS91" s="16" t="s">
        <v>357</v>
      </c>
      <c r="BT91" s="16" t="s">
        <v>356</v>
      </c>
      <c r="BU91" s="16" t="s">
        <v>354</v>
      </c>
      <c r="BV91" s="16" t="s">
        <v>352</v>
      </c>
      <c r="BW91" s="16" t="s">
        <v>391</v>
      </c>
      <c r="BX91" s="16" t="s">
        <v>351</v>
      </c>
      <c r="BY91" s="16" t="s">
        <v>391</v>
      </c>
      <c r="BZ91" s="16" t="s">
        <v>354</v>
      </c>
      <c r="CA91" s="16" t="s">
        <v>357</v>
      </c>
      <c r="CB91" s="16" t="s">
        <v>391</v>
      </c>
      <c r="CC91" s="16" t="s">
        <v>391</v>
      </c>
      <c r="CD91" s="16" t="s">
        <v>351</v>
      </c>
      <c r="CE91" s="16" t="s">
        <v>352</v>
      </c>
      <c r="CF91" s="16" t="s">
        <v>357</v>
      </c>
      <c r="CG91" s="16" t="s">
        <v>421</v>
      </c>
      <c r="CH91" s="16" t="s">
        <v>392</v>
      </c>
      <c r="CI91" s="16" t="s">
        <v>421</v>
      </c>
      <c r="CJ91" s="16" t="s">
        <v>392</v>
      </c>
      <c r="CK91" s="16" t="s">
        <v>510</v>
      </c>
      <c r="CL91" s="16" t="s">
        <v>344</v>
      </c>
      <c r="CM91" s="16" t="s">
        <v>344</v>
      </c>
      <c r="CN91" s="16" t="s">
        <v>344</v>
      </c>
      <c r="CO91" s="16" t="s">
        <v>344</v>
      </c>
      <c r="CP91" s="16" t="s">
        <v>345</v>
      </c>
      <c r="CQ91" s="16" t="s">
        <v>344</v>
      </c>
      <c r="CR91" s="16" t="s">
        <v>655</v>
      </c>
      <c r="CS91" s="16">
        <v>75</v>
      </c>
      <c r="CT91" s="16">
        <v>50</v>
      </c>
      <c r="CU91" s="16">
        <v>100</v>
      </c>
      <c r="CV91" s="16">
        <v>1</v>
      </c>
      <c r="CW91" s="16" t="s">
        <v>363</v>
      </c>
      <c r="CX91" s="16" t="s">
        <v>396</v>
      </c>
      <c r="CY91" s="16" t="s">
        <v>396</v>
      </c>
      <c r="CZ91" s="16" t="s">
        <v>397</v>
      </c>
      <c r="DA91" s="16" t="s">
        <v>397</v>
      </c>
      <c r="DB91" s="16" t="s">
        <v>397</v>
      </c>
      <c r="DC91" s="16" t="s">
        <v>397</v>
      </c>
      <c r="DD91" s="16" t="s">
        <v>397</v>
      </c>
      <c r="DE91" s="16" t="s">
        <v>397</v>
      </c>
      <c r="DF91" s="16" t="s">
        <v>397</v>
      </c>
      <c r="DG91" s="16" t="s">
        <v>397</v>
      </c>
      <c r="DH91" s="16" t="s">
        <v>397</v>
      </c>
      <c r="DI91" s="16" t="s">
        <v>397</v>
      </c>
      <c r="DJ91" s="16"/>
      <c r="DK91" s="16" t="s">
        <v>367</v>
      </c>
      <c r="DL91" s="16" t="s">
        <v>368</v>
      </c>
      <c r="DM91" s="16" t="s">
        <v>368</v>
      </c>
      <c r="DN91" s="16" t="s">
        <v>368</v>
      </c>
      <c r="DO91" s="16" t="s">
        <v>368</v>
      </c>
      <c r="DP91" s="16" t="s">
        <v>368</v>
      </c>
      <c r="DQ91" s="16" t="s">
        <v>368</v>
      </c>
      <c r="DR91" s="16" t="s">
        <v>368</v>
      </c>
      <c r="DS91" s="16" t="s">
        <v>345</v>
      </c>
      <c r="DT91" s="16" t="s">
        <v>368</v>
      </c>
      <c r="DU91" s="16" t="s">
        <v>368</v>
      </c>
      <c r="DV91" s="16" t="s">
        <v>368</v>
      </c>
      <c r="DW91" s="16" t="s">
        <v>345</v>
      </c>
      <c r="DX91" s="16" t="s">
        <v>369</v>
      </c>
      <c r="DY91" s="16" t="s">
        <v>399</v>
      </c>
      <c r="DZ91" s="16" t="s">
        <v>369</v>
      </c>
      <c r="EA91" s="16" t="s">
        <v>369</v>
      </c>
      <c r="EB91" s="16" t="s">
        <v>369</v>
      </c>
      <c r="EC91" s="16" t="s">
        <v>369</v>
      </c>
      <c r="ED91" s="16" t="s">
        <v>369</v>
      </c>
      <c r="EE91" s="16" t="s">
        <v>370</v>
      </c>
      <c r="EF91" s="16" t="s">
        <v>370</v>
      </c>
      <c r="EG91" s="16" t="s">
        <v>370</v>
      </c>
      <c r="EH91" s="16" t="s">
        <v>370</v>
      </c>
      <c r="EI91" s="16" t="s">
        <v>370</v>
      </c>
      <c r="EJ91" s="16" t="s">
        <v>370</v>
      </c>
      <c r="EK91" s="16" t="s">
        <v>370</v>
      </c>
      <c r="EL91" s="16" t="s">
        <v>373</v>
      </c>
      <c r="EM91" s="16" t="s">
        <v>440</v>
      </c>
      <c r="EN91" s="16" t="s">
        <v>374</v>
      </c>
      <c r="EO91" s="16"/>
      <c r="EP91" s="16"/>
      <c r="EQ91" s="16" t="s">
        <v>376</v>
      </c>
      <c r="ER91" s="16" t="s">
        <v>376</v>
      </c>
      <c r="ES91" s="16" t="s">
        <v>375</v>
      </c>
      <c r="ET91" s="16" t="s">
        <v>391</v>
      </c>
      <c r="EU91" s="16" t="s">
        <v>391</v>
      </c>
      <c r="EV91" s="16" t="s">
        <v>400</v>
      </c>
      <c r="EW91" s="16"/>
      <c r="EX91" s="16" t="s">
        <v>368</v>
      </c>
      <c r="EY91" s="16" t="s">
        <v>368</v>
      </c>
      <c r="EZ91" s="16" t="s">
        <v>368</v>
      </c>
      <c r="FA91" s="16" t="s">
        <v>345</v>
      </c>
      <c r="FB91" s="16" t="s">
        <v>381</v>
      </c>
      <c r="FC91" s="16"/>
      <c r="FD91" s="16" t="s">
        <v>401</v>
      </c>
      <c r="FE91" s="16"/>
      <c r="FF91" s="16" t="s">
        <v>382</v>
      </c>
      <c r="FG91" s="16" t="s">
        <v>402</v>
      </c>
      <c r="FH91" s="16" t="s">
        <v>432</v>
      </c>
      <c r="FI91" s="16" t="s">
        <v>403</v>
      </c>
      <c r="FJ91" s="16"/>
      <c r="FK91" s="16"/>
      <c r="FL91" s="16"/>
      <c r="FM91" s="16"/>
      <c r="FN91" s="16"/>
      <c r="FO91" s="16"/>
      <c r="FP91" s="16"/>
      <c r="FQ91" s="16"/>
      <c r="FR91" s="16"/>
      <c r="FS91" s="16"/>
      <c r="FT91" s="16"/>
      <c r="FU91" s="16"/>
      <c r="FV91" s="16"/>
      <c r="FW91" s="16"/>
      <c r="FX91" s="16"/>
      <c r="FY91" s="16"/>
      <c r="FZ91" s="16"/>
      <c r="GA91" s="16" t="s">
        <v>368</v>
      </c>
      <c r="GB91" s="16" t="s">
        <v>368</v>
      </c>
      <c r="GC91" s="16" t="s">
        <v>368</v>
      </c>
      <c r="GD91" s="16" t="s">
        <v>368</v>
      </c>
      <c r="GE91" s="16" t="s">
        <v>368</v>
      </c>
      <c r="GF91" s="16" t="s">
        <v>368</v>
      </c>
      <c r="GG91" s="16"/>
      <c r="GH91" s="16"/>
      <c r="GI91" s="16"/>
      <c r="GJ91" s="16"/>
      <c r="GK91" s="16"/>
      <c r="GL91" s="16" t="s">
        <v>344</v>
      </c>
      <c r="GM91" s="16" t="s">
        <v>344</v>
      </c>
      <c r="GN91" s="16" t="s">
        <v>344</v>
      </c>
      <c r="GO91" s="16" t="s">
        <v>344</v>
      </c>
      <c r="GP91" s="16" t="s">
        <v>344</v>
      </c>
      <c r="GQ91" s="16" t="s">
        <v>344</v>
      </c>
      <c r="GR91" s="16" t="s">
        <v>344</v>
      </c>
      <c r="GS91" s="16" t="s">
        <v>344</v>
      </c>
      <c r="GT91" s="16" t="s">
        <v>344</v>
      </c>
      <c r="GU91" s="16" t="s">
        <v>344</v>
      </c>
      <c r="GV91" s="16" t="s">
        <v>344</v>
      </c>
      <c r="GW91" s="16" t="s">
        <v>344</v>
      </c>
      <c r="GX91" s="16" t="s">
        <v>344</v>
      </c>
      <c r="GY91" s="16" t="s">
        <v>344</v>
      </c>
      <c r="GZ91" s="16" t="s">
        <v>345</v>
      </c>
      <c r="HA91" s="16"/>
      <c r="HB91" s="16" t="s">
        <v>344</v>
      </c>
      <c r="HC91" s="16"/>
      <c r="HD91" s="16" t="s">
        <v>344</v>
      </c>
      <c r="HE91" s="16"/>
      <c r="HF91" s="16" t="s">
        <v>344</v>
      </c>
      <c r="HG91" s="16"/>
      <c r="HH91" s="16" t="s">
        <v>344</v>
      </c>
      <c r="HI91" s="16"/>
      <c r="HJ91" s="16" t="s">
        <v>344</v>
      </c>
      <c r="HK91" s="16" t="s">
        <v>344</v>
      </c>
      <c r="HL91" s="16" t="s">
        <v>344</v>
      </c>
      <c r="HM91" s="16" t="s">
        <v>344</v>
      </c>
      <c r="HN91" s="16" t="s">
        <v>344</v>
      </c>
      <c r="HO91" s="16" t="s">
        <v>344</v>
      </c>
      <c r="HP91" s="16" t="s">
        <v>344</v>
      </c>
      <c r="HQ91" s="16" t="s">
        <v>344</v>
      </c>
      <c r="HR91" s="16" t="s">
        <v>344</v>
      </c>
      <c r="HS91" s="16" t="s">
        <v>344</v>
      </c>
      <c r="HT91" s="16" t="s">
        <v>344</v>
      </c>
      <c r="HU91" s="16" t="s">
        <v>344</v>
      </c>
      <c r="HV91" s="16" t="s">
        <v>344</v>
      </c>
      <c r="HW91" s="16" t="s">
        <v>344</v>
      </c>
      <c r="HX91" s="16" t="s">
        <v>345</v>
      </c>
      <c r="HY91" s="16"/>
      <c r="HZ91" s="16" t="s">
        <v>344</v>
      </c>
      <c r="IA91" s="16"/>
      <c r="IB91" s="16" t="s">
        <v>344</v>
      </c>
      <c r="IC91" s="16"/>
      <c r="ID91" s="16" t="s">
        <v>344</v>
      </c>
      <c r="IE91" s="16"/>
      <c r="IF91" s="16" t="s">
        <v>344</v>
      </c>
      <c r="IG91" s="16"/>
      <c r="IH91" s="16" t="s">
        <v>345</v>
      </c>
      <c r="II91" s="16" t="s">
        <v>345</v>
      </c>
      <c r="IJ91" s="16" t="s">
        <v>344</v>
      </c>
      <c r="IK91" s="16" t="s">
        <v>344</v>
      </c>
      <c r="IL91" s="16" t="s">
        <v>345</v>
      </c>
      <c r="IM91" s="16" t="s">
        <v>345</v>
      </c>
      <c r="IN91" s="16" t="s">
        <v>344</v>
      </c>
      <c r="IO91" s="16" t="s">
        <v>344</v>
      </c>
      <c r="IP91" s="16" t="s">
        <v>344</v>
      </c>
      <c r="IQ91" s="16" t="s">
        <v>344</v>
      </c>
      <c r="IR91" s="16" t="s">
        <v>345</v>
      </c>
      <c r="IS91" s="16" t="s">
        <v>344</v>
      </c>
      <c r="IT91" s="16"/>
      <c r="IU91" s="16"/>
      <c r="IV91" s="16"/>
      <c r="IW91" s="16"/>
      <c r="IX91" s="16"/>
      <c r="IY91" s="16"/>
      <c r="IZ91" s="16"/>
      <c r="JA91" s="16"/>
      <c r="JB91" s="16"/>
      <c r="JC91" s="16"/>
      <c r="JD91" s="16"/>
      <c r="JE91" s="16"/>
      <c r="JF91" s="16"/>
      <c r="JG91" s="16"/>
      <c r="JH91" s="16"/>
    </row>
    <row r="92" spans="1:268" x14ac:dyDescent="0.3">
      <c r="A92" s="16" t="s">
        <v>813</v>
      </c>
      <c r="B92" s="16">
        <v>172</v>
      </c>
      <c r="C92" s="16" t="s">
        <v>819</v>
      </c>
      <c r="D92" s="16">
        <v>14</v>
      </c>
      <c r="E92" s="16" t="s">
        <v>340</v>
      </c>
      <c r="F92" s="16">
        <v>387377433</v>
      </c>
      <c r="G92" s="16" t="s">
        <v>820</v>
      </c>
      <c r="H92" s="16" t="s">
        <v>819</v>
      </c>
      <c r="I92" s="16" t="s">
        <v>816</v>
      </c>
      <c r="J92" s="16">
        <v>17</v>
      </c>
      <c r="K92" s="16" t="s">
        <v>406</v>
      </c>
      <c r="L92" s="16"/>
      <c r="M92" s="16" t="s">
        <v>344</v>
      </c>
      <c r="N92" s="16" t="s">
        <v>345</v>
      </c>
      <c r="O92" s="16" t="s">
        <v>344</v>
      </c>
      <c r="P92" s="16" t="s">
        <v>344</v>
      </c>
      <c r="Q92" s="16" t="s">
        <v>344</v>
      </c>
      <c r="R92" s="16"/>
      <c r="S92" s="16" t="s">
        <v>522</v>
      </c>
      <c r="T92" s="16"/>
      <c r="U92" s="16" t="s">
        <v>418</v>
      </c>
      <c r="V92" s="16"/>
      <c r="W92" s="16" t="s">
        <v>345</v>
      </c>
      <c r="X92" s="16" t="s">
        <v>344</v>
      </c>
      <c r="Y92" s="16" t="s">
        <v>344</v>
      </c>
      <c r="Z92" s="16" t="s">
        <v>344</v>
      </c>
      <c r="AA92" s="16" t="s">
        <v>344</v>
      </c>
      <c r="AB92" s="16" t="s">
        <v>344</v>
      </c>
      <c r="AC92" s="16" t="s">
        <v>344</v>
      </c>
      <c r="AD92" s="16" t="s">
        <v>345</v>
      </c>
      <c r="AE92" s="16" t="s">
        <v>344</v>
      </c>
      <c r="AF92" s="16" t="s">
        <v>344</v>
      </c>
      <c r="AG92" s="16" t="s">
        <v>344</v>
      </c>
      <c r="AH92" s="16" t="s">
        <v>344</v>
      </c>
      <c r="AI92" s="16" t="s">
        <v>344</v>
      </c>
      <c r="AJ92" s="16" t="s">
        <v>344</v>
      </c>
      <c r="AK92" s="16" t="s">
        <v>345</v>
      </c>
      <c r="AL92" s="16" t="s">
        <v>344</v>
      </c>
      <c r="AM92" s="16" t="s">
        <v>344</v>
      </c>
      <c r="AN92" s="16" t="s">
        <v>345</v>
      </c>
      <c r="AO92" s="16" t="s">
        <v>344</v>
      </c>
      <c r="AP92" s="16" t="s">
        <v>344</v>
      </c>
      <c r="AQ92" s="16" t="s">
        <v>344</v>
      </c>
      <c r="AR92" s="16" t="s">
        <v>344</v>
      </c>
      <c r="AS92" s="16" t="s">
        <v>344</v>
      </c>
      <c r="AT92" s="16" t="s">
        <v>345</v>
      </c>
      <c r="AU92" s="16" t="s">
        <v>344</v>
      </c>
      <c r="AV92" s="16" t="s">
        <v>345</v>
      </c>
      <c r="AW92" s="16" t="s">
        <v>344</v>
      </c>
      <c r="AX92" s="16" t="s">
        <v>344</v>
      </c>
      <c r="AY92" s="16" t="s">
        <v>731</v>
      </c>
      <c r="AZ92" s="16" t="s">
        <v>732</v>
      </c>
      <c r="BA92" s="16" t="s">
        <v>737</v>
      </c>
      <c r="BB92" s="16" t="s">
        <v>731</v>
      </c>
      <c r="BC92" s="16" t="s">
        <v>731</v>
      </c>
      <c r="BD92" s="16" t="s">
        <v>733</v>
      </c>
      <c r="BE92" s="16" t="s">
        <v>390</v>
      </c>
      <c r="BF92" s="16" t="s">
        <v>390</v>
      </c>
      <c r="BG92" s="16" t="s">
        <v>390</v>
      </c>
      <c r="BH92" s="16" t="s">
        <v>390</v>
      </c>
      <c r="BI92" s="16" t="s">
        <v>390</v>
      </c>
      <c r="BJ92" s="16" t="s">
        <v>354</v>
      </c>
      <c r="BK92" s="16" t="s">
        <v>356</v>
      </c>
      <c r="BL92" s="16" t="s">
        <v>352</v>
      </c>
      <c r="BM92" s="16" t="s">
        <v>353</v>
      </c>
      <c r="BN92" s="16" t="s">
        <v>355</v>
      </c>
      <c r="BO92" s="16" t="s">
        <v>356</v>
      </c>
      <c r="BP92" s="16" t="s">
        <v>357</v>
      </c>
      <c r="BQ92" s="16" t="s">
        <v>455</v>
      </c>
      <c r="BR92" s="16" t="s">
        <v>367</v>
      </c>
      <c r="BS92" s="16" t="s">
        <v>354</v>
      </c>
      <c r="BT92" s="16" t="s">
        <v>356</v>
      </c>
      <c r="BU92" s="16" t="s">
        <v>351</v>
      </c>
      <c r="BV92" s="16" t="s">
        <v>353</v>
      </c>
      <c r="BW92" s="16" t="s">
        <v>353</v>
      </c>
      <c r="BX92" s="16" t="s">
        <v>351</v>
      </c>
      <c r="BY92" s="16" t="s">
        <v>353</v>
      </c>
      <c r="BZ92" s="16" t="s">
        <v>357</v>
      </c>
      <c r="CA92" s="16" t="s">
        <v>356</v>
      </c>
      <c r="CB92" s="16" t="s">
        <v>352</v>
      </c>
      <c r="CC92" s="16" t="s">
        <v>354</v>
      </c>
      <c r="CD92" s="16" t="s">
        <v>353</v>
      </c>
      <c r="CE92" s="16" t="s">
        <v>355</v>
      </c>
      <c r="CF92" s="16" t="s">
        <v>354</v>
      </c>
      <c r="CG92" s="16" t="s">
        <v>392</v>
      </c>
      <c r="CH92" s="16" t="s">
        <v>420</v>
      </c>
      <c r="CI92" s="16" t="s">
        <v>392</v>
      </c>
      <c r="CJ92" s="16" t="s">
        <v>392</v>
      </c>
      <c r="CK92" s="16" t="s">
        <v>821</v>
      </c>
      <c r="CL92" s="16" t="s">
        <v>344</v>
      </c>
      <c r="CM92" s="16" t="s">
        <v>344</v>
      </c>
      <c r="CN92" s="16" t="s">
        <v>345</v>
      </c>
      <c r="CO92" s="16" t="s">
        <v>344</v>
      </c>
      <c r="CP92" s="16" t="s">
        <v>345</v>
      </c>
      <c r="CQ92" s="16" t="s">
        <v>345</v>
      </c>
      <c r="CR92" s="16" t="s">
        <v>667</v>
      </c>
      <c r="CS92" s="16">
        <v>55</v>
      </c>
      <c r="CT92" s="16">
        <v>1</v>
      </c>
      <c r="CU92" s="16">
        <v>100</v>
      </c>
      <c r="CV92" s="16">
        <v>1</v>
      </c>
      <c r="CW92" s="16" t="s">
        <v>364</v>
      </c>
      <c r="CX92" s="16" t="s">
        <v>396</v>
      </c>
      <c r="CY92" s="16" t="s">
        <v>395</v>
      </c>
      <c r="CZ92" s="16" t="s">
        <v>397</v>
      </c>
      <c r="DA92" s="16" t="s">
        <v>397</v>
      </c>
      <c r="DB92" s="16" t="s">
        <v>397</v>
      </c>
      <c r="DC92" s="16" t="s">
        <v>397</v>
      </c>
      <c r="DD92" s="16" t="s">
        <v>397</v>
      </c>
      <c r="DE92" s="16" t="s">
        <v>397</v>
      </c>
      <c r="DF92" s="16" t="s">
        <v>366</v>
      </c>
      <c r="DG92" s="16" t="s">
        <v>397</v>
      </c>
      <c r="DH92" s="16" t="s">
        <v>397</v>
      </c>
      <c r="DI92" s="16" t="s">
        <v>365</v>
      </c>
      <c r="DJ92" s="16"/>
      <c r="DK92" s="16" t="s">
        <v>367</v>
      </c>
      <c r="DL92" s="16" t="s">
        <v>368</v>
      </c>
      <c r="DM92" s="16" t="s">
        <v>368</v>
      </c>
      <c r="DN92" s="16" t="s">
        <v>368</v>
      </c>
      <c r="DO92" s="16" t="s">
        <v>368</v>
      </c>
      <c r="DP92" s="16" t="s">
        <v>368</v>
      </c>
      <c r="DQ92" s="16" t="s">
        <v>368</v>
      </c>
      <c r="DR92" s="16" t="s">
        <v>368</v>
      </c>
      <c r="DS92" s="16" t="s">
        <v>345</v>
      </c>
      <c r="DT92" s="16" t="s">
        <v>345</v>
      </c>
      <c r="DU92" s="16" t="s">
        <v>344</v>
      </c>
      <c r="DV92" s="16" t="s">
        <v>344</v>
      </c>
      <c r="DW92" s="16" t="s">
        <v>344</v>
      </c>
      <c r="DX92" s="16" t="s">
        <v>369</v>
      </c>
      <c r="DY92" s="16" t="s">
        <v>369</v>
      </c>
      <c r="DZ92" s="16" t="s">
        <v>369</v>
      </c>
      <c r="EA92" s="16" t="s">
        <v>369</v>
      </c>
      <c r="EB92" s="16" t="s">
        <v>369</v>
      </c>
      <c r="EC92" s="16" t="s">
        <v>369</v>
      </c>
      <c r="ED92" s="16" t="s">
        <v>398</v>
      </c>
      <c r="EE92" s="16" t="s">
        <v>370</v>
      </c>
      <c r="EF92" s="16" t="s">
        <v>370</v>
      </c>
      <c r="EG92" s="16" t="s">
        <v>370</v>
      </c>
      <c r="EH92" s="16" t="s">
        <v>370</v>
      </c>
      <c r="EI92" s="16" t="s">
        <v>370</v>
      </c>
      <c r="EJ92" s="16" t="s">
        <v>370</v>
      </c>
      <c r="EK92" s="16" t="s">
        <v>370</v>
      </c>
      <c r="EL92" s="16" t="s">
        <v>424</v>
      </c>
      <c r="EM92" s="16" t="s">
        <v>373</v>
      </c>
      <c r="EN92" s="16" t="s">
        <v>372</v>
      </c>
      <c r="EO92" s="16"/>
      <c r="EP92" s="16"/>
      <c r="EQ92" s="16" t="s">
        <v>411</v>
      </c>
      <c r="ER92" s="16" t="s">
        <v>377</v>
      </c>
      <c r="ES92" s="16" t="s">
        <v>376</v>
      </c>
      <c r="ET92" s="16" t="s">
        <v>375</v>
      </c>
      <c r="EU92" s="16" t="s">
        <v>377</v>
      </c>
      <c r="EV92" s="16" t="s">
        <v>400</v>
      </c>
      <c r="EW92" s="16"/>
      <c r="EX92" s="16" t="s">
        <v>368</v>
      </c>
      <c r="EY92" s="16" t="s">
        <v>368</v>
      </c>
      <c r="EZ92" s="16" t="s">
        <v>368</v>
      </c>
      <c r="FA92" s="16" t="s">
        <v>345</v>
      </c>
      <c r="FB92" s="16" t="s">
        <v>343</v>
      </c>
      <c r="FC92" s="162" t="s">
        <v>822</v>
      </c>
      <c r="FD92" s="16" t="s">
        <v>401</v>
      </c>
      <c r="FE92" s="16"/>
      <c r="FF92" s="16" t="s">
        <v>382</v>
      </c>
      <c r="FG92" s="16" t="s">
        <v>383</v>
      </c>
      <c r="FH92" s="16" t="s">
        <v>384</v>
      </c>
      <c r="FI92" s="16" t="s">
        <v>385</v>
      </c>
      <c r="FJ92" s="16"/>
      <c r="FK92" s="16"/>
      <c r="FL92" s="16"/>
      <c r="FM92" s="16"/>
      <c r="FN92" s="16"/>
      <c r="FO92" s="16"/>
      <c r="FP92" s="16"/>
      <c r="FQ92" s="16"/>
      <c r="FR92" s="16"/>
      <c r="FS92" s="16"/>
      <c r="FT92" s="16"/>
      <c r="FU92" s="16"/>
      <c r="FV92" s="16"/>
      <c r="FW92" s="16"/>
      <c r="FX92" s="16"/>
      <c r="FY92" s="16"/>
      <c r="FZ92" s="16"/>
      <c r="GA92" s="16" t="s">
        <v>368</v>
      </c>
      <c r="GB92" s="16" t="s">
        <v>368</v>
      </c>
      <c r="GC92" s="16" t="s">
        <v>368</v>
      </c>
      <c r="GD92" s="16" t="s">
        <v>368</v>
      </c>
      <c r="GE92" s="16" t="s">
        <v>368</v>
      </c>
      <c r="GF92" s="16" t="s">
        <v>368</v>
      </c>
      <c r="GG92" s="16"/>
      <c r="GH92" s="16"/>
      <c r="GI92" s="16"/>
      <c r="GJ92" s="16"/>
      <c r="GK92" s="16"/>
      <c r="GL92" s="16" t="s">
        <v>344</v>
      </c>
      <c r="GM92" s="16" t="s">
        <v>345</v>
      </c>
      <c r="GN92" s="16" t="s">
        <v>344</v>
      </c>
      <c r="GO92" s="16" t="s">
        <v>345</v>
      </c>
      <c r="GP92" s="16" t="s">
        <v>344</v>
      </c>
      <c r="GQ92" s="16" t="s">
        <v>344</v>
      </c>
      <c r="GR92" s="16" t="s">
        <v>344</v>
      </c>
      <c r="GS92" s="16" t="s">
        <v>344</v>
      </c>
      <c r="GT92" s="16" t="s">
        <v>344</v>
      </c>
      <c r="GU92" s="16" t="s">
        <v>344</v>
      </c>
      <c r="GV92" s="16" t="s">
        <v>344</v>
      </c>
      <c r="GW92" s="16" t="s">
        <v>345</v>
      </c>
      <c r="GX92" s="16" t="s">
        <v>344</v>
      </c>
      <c r="GY92" s="16" t="s">
        <v>344</v>
      </c>
      <c r="GZ92" s="16" t="s">
        <v>344</v>
      </c>
      <c r="HA92" s="16"/>
      <c r="HB92" s="16" t="s">
        <v>345</v>
      </c>
      <c r="HC92" s="16" t="s">
        <v>557</v>
      </c>
      <c r="HD92" s="16" t="s">
        <v>344</v>
      </c>
      <c r="HE92" s="16"/>
      <c r="HF92" s="16" t="s">
        <v>345</v>
      </c>
      <c r="HG92" s="16" t="s">
        <v>823</v>
      </c>
      <c r="HH92" s="16" t="s">
        <v>344</v>
      </c>
      <c r="HI92" s="16"/>
      <c r="HJ92" s="16" t="s">
        <v>345</v>
      </c>
      <c r="HK92" s="16" t="s">
        <v>344</v>
      </c>
      <c r="HL92" s="16" t="s">
        <v>344</v>
      </c>
      <c r="HM92" s="16" t="s">
        <v>345</v>
      </c>
      <c r="HN92" s="16" t="s">
        <v>344</v>
      </c>
      <c r="HO92" s="16" t="s">
        <v>345</v>
      </c>
      <c r="HP92" s="16" t="s">
        <v>344</v>
      </c>
      <c r="HQ92" s="16" t="s">
        <v>344</v>
      </c>
      <c r="HR92" s="16" t="s">
        <v>344</v>
      </c>
      <c r="HS92" s="16" t="s">
        <v>344</v>
      </c>
      <c r="HT92" s="16" t="s">
        <v>344</v>
      </c>
      <c r="HU92" s="16" t="s">
        <v>344</v>
      </c>
      <c r="HV92" s="16" t="s">
        <v>345</v>
      </c>
      <c r="HW92" s="16" t="s">
        <v>344</v>
      </c>
      <c r="HX92" s="16" t="s">
        <v>344</v>
      </c>
      <c r="HY92" s="16"/>
      <c r="HZ92" s="16" t="s">
        <v>344</v>
      </c>
      <c r="IA92" s="16"/>
      <c r="IB92" s="16" t="s">
        <v>344</v>
      </c>
      <c r="IC92" s="16"/>
      <c r="ID92" s="16" t="s">
        <v>344</v>
      </c>
      <c r="IE92" s="16"/>
      <c r="IF92" s="16" t="s">
        <v>344</v>
      </c>
      <c r="IG92" s="16"/>
      <c r="IH92" s="16" t="s">
        <v>345</v>
      </c>
      <c r="II92" s="16" t="s">
        <v>345</v>
      </c>
      <c r="IJ92" s="16" t="s">
        <v>345</v>
      </c>
      <c r="IK92" s="16" t="s">
        <v>344</v>
      </c>
      <c r="IL92" s="16" t="s">
        <v>345</v>
      </c>
      <c r="IM92" s="16" t="s">
        <v>345</v>
      </c>
      <c r="IN92" s="16" t="s">
        <v>345</v>
      </c>
      <c r="IO92" s="16" t="s">
        <v>345</v>
      </c>
      <c r="IP92" s="16" t="s">
        <v>344</v>
      </c>
      <c r="IQ92" s="16" t="s">
        <v>344</v>
      </c>
      <c r="IR92" s="16" t="s">
        <v>345</v>
      </c>
      <c r="IS92" s="16" t="s">
        <v>344</v>
      </c>
      <c r="IT92" s="16"/>
      <c r="IU92" s="16"/>
      <c r="IV92" s="16"/>
      <c r="IW92" s="16"/>
      <c r="IX92" s="16"/>
      <c r="IY92" s="16"/>
      <c r="IZ92" s="16"/>
      <c r="JA92" s="16"/>
      <c r="JB92" s="16"/>
      <c r="JC92" s="16"/>
      <c r="JD92" s="16"/>
      <c r="JE92" s="16"/>
      <c r="JF92" s="16"/>
      <c r="JG92" s="16"/>
      <c r="JH92" s="16"/>
    </row>
    <row r="93" spans="1:268" x14ac:dyDescent="0.3">
      <c r="A93" s="16" t="s">
        <v>813</v>
      </c>
      <c r="B93" s="16">
        <v>173</v>
      </c>
      <c r="C93" s="16" t="s">
        <v>824</v>
      </c>
      <c r="D93" s="16">
        <v>14</v>
      </c>
      <c r="E93" s="16" t="s">
        <v>340</v>
      </c>
      <c r="F93" s="16">
        <v>284216881</v>
      </c>
      <c r="G93" s="16" t="s">
        <v>825</v>
      </c>
      <c r="H93" s="16" t="s">
        <v>824</v>
      </c>
      <c r="I93" s="16" t="s">
        <v>816</v>
      </c>
      <c r="J93" s="16">
        <v>18</v>
      </c>
      <c r="K93" s="16" t="s">
        <v>406</v>
      </c>
      <c r="L93" s="16"/>
      <c r="M93" s="16" t="s">
        <v>345</v>
      </c>
      <c r="N93" s="16" t="s">
        <v>345</v>
      </c>
      <c r="O93" s="16" t="s">
        <v>344</v>
      </c>
      <c r="P93" s="16" t="s">
        <v>344</v>
      </c>
      <c r="Q93" s="16" t="s">
        <v>344</v>
      </c>
      <c r="R93" s="16"/>
      <c r="S93" s="16" t="s">
        <v>522</v>
      </c>
      <c r="T93" s="16"/>
      <c r="U93" s="16" t="s">
        <v>428</v>
      </c>
      <c r="V93" s="16"/>
      <c r="W93" s="16" t="s">
        <v>345</v>
      </c>
      <c r="X93" s="16" t="s">
        <v>344</v>
      </c>
      <c r="Y93" s="16" t="s">
        <v>344</v>
      </c>
      <c r="Z93" s="16" t="s">
        <v>344</v>
      </c>
      <c r="AA93" s="16" t="s">
        <v>344</v>
      </c>
      <c r="AB93" s="16" t="s">
        <v>344</v>
      </c>
      <c r="AC93" s="16" t="s">
        <v>344</v>
      </c>
      <c r="AD93" s="16" t="s">
        <v>344</v>
      </c>
      <c r="AE93" s="16" t="s">
        <v>345</v>
      </c>
      <c r="AF93" s="16" t="s">
        <v>344</v>
      </c>
      <c r="AG93" s="16" t="s">
        <v>344</v>
      </c>
      <c r="AH93" s="16" t="s">
        <v>345</v>
      </c>
      <c r="AI93" s="16" t="s">
        <v>344</v>
      </c>
      <c r="AJ93" s="16" t="s">
        <v>344</v>
      </c>
      <c r="AK93" s="16" t="s">
        <v>344</v>
      </c>
      <c r="AL93" s="16" t="s">
        <v>344</v>
      </c>
      <c r="AM93" s="16" t="s">
        <v>345</v>
      </c>
      <c r="AN93" s="16" t="s">
        <v>344</v>
      </c>
      <c r="AO93" s="16" t="s">
        <v>344</v>
      </c>
      <c r="AP93" s="16" t="s">
        <v>344</v>
      </c>
      <c r="AQ93" s="16" t="s">
        <v>344</v>
      </c>
      <c r="AR93" s="16" t="s">
        <v>345</v>
      </c>
      <c r="AS93" s="16" t="s">
        <v>344</v>
      </c>
      <c r="AT93" s="16" t="s">
        <v>345</v>
      </c>
      <c r="AU93" s="16" t="s">
        <v>344</v>
      </c>
      <c r="AV93" s="16" t="s">
        <v>345</v>
      </c>
      <c r="AW93" s="16" t="s">
        <v>344</v>
      </c>
      <c r="AX93" s="16" t="s">
        <v>344</v>
      </c>
      <c r="AY93" s="16" t="s">
        <v>733</v>
      </c>
      <c r="AZ93" s="16" t="s">
        <v>732</v>
      </c>
      <c r="BA93" s="16" t="s">
        <v>732</v>
      </c>
      <c r="BB93" s="16" t="s">
        <v>731</v>
      </c>
      <c r="BC93" s="16" t="s">
        <v>733</v>
      </c>
      <c r="BD93" s="16" t="s">
        <v>732</v>
      </c>
      <c r="BE93" s="16" t="s">
        <v>350</v>
      </c>
      <c r="BF93" s="16" t="s">
        <v>350</v>
      </c>
      <c r="BG93" s="16" t="s">
        <v>349</v>
      </c>
      <c r="BH93" s="16" t="s">
        <v>349</v>
      </c>
      <c r="BI93" s="16" t="s">
        <v>350</v>
      </c>
      <c r="BJ93" s="16" t="s">
        <v>354</v>
      </c>
      <c r="BK93" s="16" t="s">
        <v>357</v>
      </c>
      <c r="BL93" s="16" t="s">
        <v>353</v>
      </c>
      <c r="BM93" s="16" t="s">
        <v>355</v>
      </c>
      <c r="BN93" s="16" t="s">
        <v>391</v>
      </c>
      <c r="BO93" s="16" t="s">
        <v>391</v>
      </c>
      <c r="BP93" s="16" t="s">
        <v>391</v>
      </c>
      <c r="BQ93" s="16" t="s">
        <v>358</v>
      </c>
      <c r="BR93" s="16" t="s">
        <v>408</v>
      </c>
      <c r="BS93" s="16" t="s">
        <v>353</v>
      </c>
      <c r="BT93" s="16" t="s">
        <v>354</v>
      </c>
      <c r="BU93" s="16" t="s">
        <v>352</v>
      </c>
      <c r="BV93" s="16" t="s">
        <v>351</v>
      </c>
      <c r="BW93" s="16" t="s">
        <v>356</v>
      </c>
      <c r="BX93" s="16" t="s">
        <v>355</v>
      </c>
      <c r="BY93" s="16" t="s">
        <v>357</v>
      </c>
      <c r="BZ93" s="16" t="s">
        <v>357</v>
      </c>
      <c r="CA93" s="16" t="s">
        <v>353</v>
      </c>
      <c r="CB93" s="16" t="s">
        <v>351</v>
      </c>
      <c r="CC93" s="16" t="s">
        <v>354</v>
      </c>
      <c r="CD93" s="16" t="s">
        <v>356</v>
      </c>
      <c r="CE93" s="16" t="s">
        <v>352</v>
      </c>
      <c r="CF93" s="16" t="s">
        <v>355</v>
      </c>
      <c r="CG93" s="16" t="s">
        <v>392</v>
      </c>
      <c r="CH93" s="16" t="s">
        <v>421</v>
      </c>
      <c r="CI93" s="16" t="s">
        <v>421</v>
      </c>
      <c r="CJ93" s="16" t="s">
        <v>420</v>
      </c>
      <c r="CK93" s="16" t="s">
        <v>826</v>
      </c>
      <c r="CL93" s="16" t="s">
        <v>344</v>
      </c>
      <c r="CM93" s="16" t="s">
        <v>344</v>
      </c>
      <c r="CN93" s="16" t="s">
        <v>344</v>
      </c>
      <c r="CO93" s="16" t="s">
        <v>344</v>
      </c>
      <c r="CP93" s="16" t="s">
        <v>345</v>
      </c>
      <c r="CQ93" s="16" t="s">
        <v>344</v>
      </c>
      <c r="CR93" s="16" t="s">
        <v>667</v>
      </c>
      <c r="CS93" s="16">
        <v>100</v>
      </c>
      <c r="CT93" s="16">
        <v>38</v>
      </c>
      <c r="CU93" s="16">
        <v>64</v>
      </c>
      <c r="CV93" s="16">
        <v>1</v>
      </c>
      <c r="CW93" s="16" t="s">
        <v>395</v>
      </c>
      <c r="CX93" s="16" t="s">
        <v>396</v>
      </c>
      <c r="CY93" s="16" t="s">
        <v>396</v>
      </c>
      <c r="CZ93" s="16" t="s">
        <v>397</v>
      </c>
      <c r="DA93" s="16" t="s">
        <v>397</v>
      </c>
      <c r="DB93" s="16" t="s">
        <v>397</v>
      </c>
      <c r="DC93" s="16" t="s">
        <v>397</v>
      </c>
      <c r="DD93" s="16" t="s">
        <v>397</v>
      </c>
      <c r="DE93" s="16" t="s">
        <v>366</v>
      </c>
      <c r="DF93" s="16" t="s">
        <v>365</v>
      </c>
      <c r="DG93" s="16" t="s">
        <v>397</v>
      </c>
      <c r="DH93" s="16" t="s">
        <v>397</v>
      </c>
      <c r="DI93" s="16" t="s">
        <v>366</v>
      </c>
      <c r="DJ93" s="16"/>
      <c r="DK93" s="16" t="s">
        <v>367</v>
      </c>
      <c r="DL93" s="16" t="s">
        <v>368</v>
      </c>
      <c r="DM93" s="16" t="s">
        <v>368</v>
      </c>
      <c r="DN93" s="16" t="s">
        <v>368</v>
      </c>
      <c r="DO93" s="16" t="s">
        <v>368</v>
      </c>
      <c r="DP93" s="16" t="s">
        <v>368</v>
      </c>
      <c r="DQ93" s="16" t="s">
        <v>368</v>
      </c>
      <c r="DR93" s="16" t="s">
        <v>368</v>
      </c>
      <c r="DS93" s="16" t="s">
        <v>345</v>
      </c>
      <c r="DT93" s="16" t="s">
        <v>368</v>
      </c>
      <c r="DU93" s="16" t="s">
        <v>368</v>
      </c>
      <c r="DV93" s="16" t="s">
        <v>368</v>
      </c>
      <c r="DW93" s="16" t="s">
        <v>345</v>
      </c>
      <c r="DX93" s="16" t="s">
        <v>369</v>
      </c>
      <c r="DY93" s="16" t="s">
        <v>399</v>
      </c>
      <c r="DZ93" s="16" t="s">
        <v>371</v>
      </c>
      <c r="EA93" s="16" t="s">
        <v>371</v>
      </c>
      <c r="EB93" s="16" t="s">
        <v>369</v>
      </c>
      <c r="EC93" s="16" t="s">
        <v>369</v>
      </c>
      <c r="ED93" s="16" t="s">
        <v>371</v>
      </c>
      <c r="EE93" s="16" t="s">
        <v>370</v>
      </c>
      <c r="EF93" s="16" t="s">
        <v>370</v>
      </c>
      <c r="EG93" s="16" t="s">
        <v>398</v>
      </c>
      <c r="EH93" s="16" t="s">
        <v>370</v>
      </c>
      <c r="EI93" s="16" t="s">
        <v>370</v>
      </c>
      <c r="EJ93" s="16" t="s">
        <v>370</v>
      </c>
      <c r="EK93" s="16" t="s">
        <v>370</v>
      </c>
      <c r="EL93" s="16" t="s">
        <v>373</v>
      </c>
      <c r="EM93" s="16" t="s">
        <v>424</v>
      </c>
      <c r="EN93" s="16" t="s">
        <v>374</v>
      </c>
      <c r="EO93" s="16"/>
      <c r="EP93" s="16"/>
      <c r="EQ93" s="16" t="s">
        <v>391</v>
      </c>
      <c r="ER93" s="16" t="s">
        <v>375</v>
      </c>
      <c r="ES93" s="16" t="s">
        <v>375</v>
      </c>
      <c r="ET93" s="16" t="s">
        <v>391</v>
      </c>
      <c r="EU93" s="16" t="s">
        <v>375</v>
      </c>
      <c r="EV93" s="16" t="s">
        <v>400</v>
      </c>
      <c r="EW93" s="16"/>
      <c r="EX93" s="162" t="s">
        <v>344</v>
      </c>
      <c r="EY93" s="162" t="s">
        <v>345</v>
      </c>
      <c r="EZ93" s="162" t="s">
        <v>344</v>
      </c>
      <c r="FA93" s="16" t="s">
        <v>344</v>
      </c>
      <c r="FB93" s="16" t="s">
        <v>381</v>
      </c>
      <c r="FC93" s="16"/>
      <c r="FD93" s="16" t="s">
        <v>401</v>
      </c>
      <c r="FE93" s="16"/>
      <c r="FF93" s="16"/>
      <c r="FG93" s="16"/>
      <c r="FH93" s="16"/>
      <c r="FI93" s="16"/>
      <c r="FJ93" s="16"/>
      <c r="FK93" s="16"/>
      <c r="FL93" s="16"/>
      <c r="FM93" s="16"/>
      <c r="FN93" s="16"/>
      <c r="FO93" s="16"/>
      <c r="FP93" s="16"/>
      <c r="FQ93" s="16"/>
      <c r="FR93" s="16"/>
      <c r="FS93" s="16"/>
      <c r="FT93" s="16"/>
      <c r="FU93" s="16"/>
      <c r="FV93" s="16"/>
      <c r="FW93" s="16"/>
      <c r="FX93" s="16"/>
      <c r="FY93" s="16"/>
      <c r="FZ93" s="16"/>
      <c r="GA93" s="16" t="s">
        <v>368</v>
      </c>
      <c r="GB93" s="16" t="s">
        <v>368</v>
      </c>
      <c r="GC93" s="16" t="s">
        <v>368</v>
      </c>
      <c r="GD93" s="16" t="s">
        <v>368</v>
      </c>
      <c r="GE93" s="16" t="s">
        <v>368</v>
      </c>
      <c r="GF93" s="16" t="s">
        <v>368</v>
      </c>
      <c r="GG93" s="16"/>
      <c r="GH93" s="16"/>
      <c r="GI93" s="16"/>
      <c r="GJ93" s="16"/>
      <c r="GK93" s="16"/>
      <c r="GL93" s="16" t="s">
        <v>344</v>
      </c>
      <c r="GM93" s="16" t="s">
        <v>344</v>
      </c>
      <c r="GN93" s="16" t="s">
        <v>344</v>
      </c>
      <c r="GO93" s="16" t="s">
        <v>344</v>
      </c>
      <c r="GP93" s="16" t="s">
        <v>344</v>
      </c>
      <c r="GQ93" s="16" t="s">
        <v>344</v>
      </c>
      <c r="GR93" s="16" t="s">
        <v>344</v>
      </c>
      <c r="GS93" s="16" t="s">
        <v>344</v>
      </c>
      <c r="GT93" s="16" t="s">
        <v>344</v>
      </c>
      <c r="GU93" s="16" t="s">
        <v>344</v>
      </c>
      <c r="GV93" s="16" t="s">
        <v>344</v>
      </c>
      <c r="GW93" s="16" t="s">
        <v>344</v>
      </c>
      <c r="GX93" s="16" t="s">
        <v>344</v>
      </c>
      <c r="GY93" s="16" t="s">
        <v>344</v>
      </c>
      <c r="GZ93" s="16" t="s">
        <v>345</v>
      </c>
      <c r="HA93" s="16"/>
      <c r="HB93" s="16" t="s">
        <v>344</v>
      </c>
      <c r="HC93" s="16"/>
      <c r="HD93" s="16" t="s">
        <v>344</v>
      </c>
      <c r="HE93" s="16"/>
      <c r="HF93" s="16" t="s">
        <v>344</v>
      </c>
      <c r="HG93" s="16"/>
      <c r="HH93" s="16" t="s">
        <v>344</v>
      </c>
      <c r="HI93" s="16"/>
      <c r="HJ93" s="16" t="s">
        <v>344</v>
      </c>
      <c r="HK93" s="16" t="s">
        <v>344</v>
      </c>
      <c r="HL93" s="16" t="s">
        <v>344</v>
      </c>
      <c r="HM93" s="16" t="s">
        <v>344</v>
      </c>
      <c r="HN93" s="16" t="s">
        <v>344</v>
      </c>
      <c r="HO93" s="16" t="s">
        <v>344</v>
      </c>
      <c r="HP93" s="16" t="s">
        <v>344</v>
      </c>
      <c r="HQ93" s="16" t="s">
        <v>344</v>
      </c>
      <c r="HR93" s="16" t="s">
        <v>344</v>
      </c>
      <c r="HS93" s="16" t="s">
        <v>344</v>
      </c>
      <c r="HT93" s="16" t="s">
        <v>344</v>
      </c>
      <c r="HU93" s="16" t="s">
        <v>344</v>
      </c>
      <c r="HV93" s="16" t="s">
        <v>344</v>
      </c>
      <c r="HW93" s="16" t="s">
        <v>344</v>
      </c>
      <c r="HX93" s="16" t="s">
        <v>345</v>
      </c>
      <c r="HY93" s="16"/>
      <c r="HZ93" s="16" t="s">
        <v>344</v>
      </c>
      <c r="IA93" s="16"/>
      <c r="IB93" s="16" t="s">
        <v>344</v>
      </c>
      <c r="IC93" s="16"/>
      <c r="ID93" s="16" t="s">
        <v>344</v>
      </c>
      <c r="IE93" s="16"/>
      <c r="IF93" s="16" t="s">
        <v>344</v>
      </c>
      <c r="IG93" s="16"/>
      <c r="IH93" s="16" t="s">
        <v>345</v>
      </c>
      <c r="II93" s="16" t="s">
        <v>344</v>
      </c>
      <c r="IJ93" s="16" t="s">
        <v>344</v>
      </c>
      <c r="IK93" s="16" t="s">
        <v>344</v>
      </c>
      <c r="IL93" s="16" t="s">
        <v>345</v>
      </c>
      <c r="IM93" s="16" t="s">
        <v>345</v>
      </c>
      <c r="IN93" s="16" t="s">
        <v>344</v>
      </c>
      <c r="IO93" s="16" t="s">
        <v>345</v>
      </c>
      <c r="IP93" s="16" t="s">
        <v>345</v>
      </c>
      <c r="IQ93" s="16" t="s">
        <v>344</v>
      </c>
      <c r="IR93" s="16" t="s">
        <v>345</v>
      </c>
      <c r="IS93" s="16" t="s">
        <v>344</v>
      </c>
      <c r="IT93" s="16"/>
      <c r="IU93" s="16"/>
      <c r="IV93" s="16"/>
      <c r="IW93" s="16"/>
      <c r="IX93" s="16"/>
      <c r="IY93" s="16"/>
      <c r="IZ93" s="16"/>
      <c r="JA93" s="16"/>
      <c r="JB93" s="16"/>
      <c r="JC93" s="16"/>
      <c r="JD93" s="16"/>
      <c r="JE93" s="16"/>
      <c r="JF93" s="16"/>
      <c r="JG93" s="16"/>
      <c r="JH93" s="16"/>
    </row>
    <row r="94" spans="1:268" x14ac:dyDescent="0.3">
      <c r="A94" s="16" t="s">
        <v>813</v>
      </c>
      <c r="B94" s="16">
        <v>174</v>
      </c>
      <c r="C94" s="16" t="s">
        <v>827</v>
      </c>
      <c r="D94" s="16">
        <v>14</v>
      </c>
      <c r="E94" s="16" t="s">
        <v>340</v>
      </c>
      <c r="F94" s="16">
        <v>340390749</v>
      </c>
      <c r="G94" s="16" t="s">
        <v>828</v>
      </c>
      <c r="H94" s="16" t="s">
        <v>827</v>
      </c>
      <c r="I94" s="16" t="s">
        <v>816</v>
      </c>
      <c r="J94" s="16">
        <v>18</v>
      </c>
      <c r="K94" s="16" t="s">
        <v>389</v>
      </c>
      <c r="L94" s="16"/>
      <c r="M94" s="16" t="s">
        <v>345</v>
      </c>
      <c r="N94" s="16" t="s">
        <v>345</v>
      </c>
      <c r="O94" s="16" t="s">
        <v>344</v>
      </c>
      <c r="P94" s="16" t="s">
        <v>344</v>
      </c>
      <c r="Q94" s="16" t="s">
        <v>344</v>
      </c>
      <c r="R94" s="16"/>
      <c r="S94" s="16" t="s">
        <v>346</v>
      </c>
      <c r="T94" s="16"/>
      <c r="U94" s="16" t="s">
        <v>418</v>
      </c>
      <c r="V94" s="16"/>
      <c r="W94" s="16" t="s">
        <v>344</v>
      </c>
      <c r="X94" s="16" t="s">
        <v>344</v>
      </c>
      <c r="Y94" s="16" t="s">
        <v>344</v>
      </c>
      <c r="Z94" s="16" t="s">
        <v>344</v>
      </c>
      <c r="AA94" s="16" t="s">
        <v>345</v>
      </c>
      <c r="AB94" s="16" t="s">
        <v>344</v>
      </c>
      <c r="AC94" s="16" t="s">
        <v>344</v>
      </c>
      <c r="AD94" s="16" t="s">
        <v>345</v>
      </c>
      <c r="AE94" s="16" t="s">
        <v>344</v>
      </c>
      <c r="AF94" s="16" t="s">
        <v>344</v>
      </c>
      <c r="AG94" s="16" t="s">
        <v>344</v>
      </c>
      <c r="AH94" s="16" t="s">
        <v>344</v>
      </c>
      <c r="AI94" s="16" t="s">
        <v>345</v>
      </c>
      <c r="AJ94" s="16" t="s">
        <v>344</v>
      </c>
      <c r="AK94" s="16" t="s">
        <v>344</v>
      </c>
      <c r="AL94" s="16" t="s">
        <v>344</v>
      </c>
      <c r="AM94" s="16" t="s">
        <v>344</v>
      </c>
      <c r="AN94" s="16" t="s">
        <v>344</v>
      </c>
      <c r="AO94" s="16" t="s">
        <v>344</v>
      </c>
      <c r="AP94" s="16" t="s">
        <v>345</v>
      </c>
      <c r="AQ94" s="16" t="s">
        <v>344</v>
      </c>
      <c r="AR94" s="16" t="s">
        <v>344</v>
      </c>
      <c r="AS94" s="16" t="s">
        <v>344</v>
      </c>
      <c r="AT94" s="16" t="s">
        <v>344</v>
      </c>
      <c r="AU94" s="16" t="s">
        <v>345</v>
      </c>
      <c r="AV94" s="16" t="s">
        <v>344</v>
      </c>
      <c r="AW94" s="16" t="s">
        <v>344</v>
      </c>
      <c r="AX94" s="16" t="s">
        <v>344</v>
      </c>
      <c r="AY94" s="16" t="s">
        <v>732</v>
      </c>
      <c r="AZ94" s="16" t="s">
        <v>731</v>
      </c>
      <c r="BA94" s="16" t="s">
        <v>733</v>
      </c>
      <c r="BB94" s="16" t="s">
        <v>737</v>
      </c>
      <c r="BC94" s="16" t="s">
        <v>733</v>
      </c>
      <c r="BD94" s="16" t="s">
        <v>733</v>
      </c>
      <c r="BE94" s="16" t="s">
        <v>390</v>
      </c>
      <c r="BF94" s="16" t="s">
        <v>350</v>
      </c>
      <c r="BG94" s="16" t="s">
        <v>349</v>
      </c>
      <c r="BH94" s="16" t="s">
        <v>349</v>
      </c>
      <c r="BI94" s="16" t="s">
        <v>348</v>
      </c>
      <c r="BJ94" s="16" t="s">
        <v>391</v>
      </c>
      <c r="BK94" s="16" t="s">
        <v>391</v>
      </c>
      <c r="BL94" s="16" t="s">
        <v>391</v>
      </c>
      <c r="BM94" s="16" t="s">
        <v>391</v>
      </c>
      <c r="BN94" s="16" t="s">
        <v>391</v>
      </c>
      <c r="BO94" s="16" t="s">
        <v>391</v>
      </c>
      <c r="BP94" s="16" t="s">
        <v>391</v>
      </c>
      <c r="BQ94" s="16" t="s">
        <v>689</v>
      </c>
      <c r="BR94" s="16" t="s">
        <v>367</v>
      </c>
      <c r="BS94" s="16" t="s">
        <v>391</v>
      </c>
      <c r="BT94" s="16" t="s">
        <v>391</v>
      </c>
      <c r="BU94" s="16" t="s">
        <v>391</v>
      </c>
      <c r="BV94" s="16" t="s">
        <v>391</v>
      </c>
      <c r="BW94" s="16" t="s">
        <v>391</v>
      </c>
      <c r="BX94" s="16" t="s">
        <v>391</v>
      </c>
      <c r="BY94" s="16" t="s">
        <v>391</v>
      </c>
      <c r="BZ94" s="16" t="s">
        <v>391</v>
      </c>
      <c r="CA94" s="16" t="s">
        <v>391</v>
      </c>
      <c r="CB94" s="16" t="s">
        <v>391</v>
      </c>
      <c r="CC94" s="16" t="s">
        <v>391</v>
      </c>
      <c r="CD94" s="16" t="s">
        <v>391</v>
      </c>
      <c r="CE94" s="16" t="s">
        <v>391</v>
      </c>
      <c r="CF94" s="16" t="s">
        <v>391</v>
      </c>
      <c r="CG94" s="16" t="s">
        <v>421</v>
      </c>
      <c r="CH94" s="16" t="s">
        <v>421</v>
      </c>
      <c r="CI94" s="16" t="s">
        <v>421</v>
      </c>
      <c r="CJ94" s="16" t="s">
        <v>421</v>
      </c>
      <c r="CK94" s="16" t="s">
        <v>710</v>
      </c>
      <c r="CL94" s="16" t="s">
        <v>344</v>
      </c>
      <c r="CM94" s="16" t="s">
        <v>344</v>
      </c>
      <c r="CN94" s="16" t="s">
        <v>344</v>
      </c>
      <c r="CO94" s="16" t="s">
        <v>344</v>
      </c>
      <c r="CP94" s="16" t="s">
        <v>344</v>
      </c>
      <c r="CQ94" s="16" t="s">
        <v>345</v>
      </c>
      <c r="CR94" s="16" t="s">
        <v>829</v>
      </c>
      <c r="CS94" s="16">
        <v>100</v>
      </c>
      <c r="CT94" s="16">
        <v>76</v>
      </c>
      <c r="CU94" s="16">
        <v>100</v>
      </c>
      <c r="CV94" s="16">
        <v>100</v>
      </c>
      <c r="CW94" s="16" t="s">
        <v>396</v>
      </c>
      <c r="CX94" s="16" t="s">
        <v>396</v>
      </c>
      <c r="CY94" s="16" t="s">
        <v>396</v>
      </c>
      <c r="CZ94" s="16" t="s">
        <v>397</v>
      </c>
      <c r="DA94" s="16" t="s">
        <v>397</v>
      </c>
      <c r="DB94" s="16" t="s">
        <v>397</v>
      </c>
      <c r="DC94" s="16" t="s">
        <v>397</v>
      </c>
      <c r="DD94" s="16" t="s">
        <v>397</v>
      </c>
      <c r="DE94" s="16" t="s">
        <v>397</v>
      </c>
      <c r="DF94" s="16" t="s">
        <v>397</v>
      </c>
      <c r="DG94" s="16" t="s">
        <v>397</v>
      </c>
      <c r="DH94" s="16" t="s">
        <v>397</v>
      </c>
      <c r="DI94" s="16" t="s">
        <v>397</v>
      </c>
      <c r="DJ94" s="16"/>
      <c r="DK94" s="16" t="s">
        <v>367</v>
      </c>
      <c r="DL94" s="16" t="s">
        <v>368</v>
      </c>
      <c r="DM94" s="16" t="s">
        <v>368</v>
      </c>
      <c r="DN94" s="16" t="s">
        <v>368</v>
      </c>
      <c r="DO94" s="16" t="s">
        <v>368</v>
      </c>
      <c r="DP94" s="16" t="s">
        <v>368</v>
      </c>
      <c r="DQ94" s="16" t="s">
        <v>368</v>
      </c>
      <c r="DR94" s="16" t="s">
        <v>368</v>
      </c>
      <c r="DS94" s="16" t="s">
        <v>345</v>
      </c>
      <c r="DT94" s="16" t="s">
        <v>368</v>
      </c>
      <c r="DU94" s="16" t="s">
        <v>368</v>
      </c>
      <c r="DV94" s="16" t="s">
        <v>368</v>
      </c>
      <c r="DW94" s="16" t="s">
        <v>345</v>
      </c>
      <c r="DX94" s="16" t="s">
        <v>370</v>
      </c>
      <c r="DY94" s="16" t="s">
        <v>371</v>
      </c>
      <c r="DZ94" s="16" t="s">
        <v>370</v>
      </c>
      <c r="EA94" s="16" t="s">
        <v>369</v>
      </c>
      <c r="EB94" s="16" t="s">
        <v>371</v>
      </c>
      <c r="EC94" s="16" t="s">
        <v>371</v>
      </c>
      <c r="ED94" s="16" t="s">
        <v>369</v>
      </c>
      <c r="EE94" s="16" t="s">
        <v>370</v>
      </c>
      <c r="EF94" s="16" t="s">
        <v>370</v>
      </c>
      <c r="EG94" s="16" t="s">
        <v>370</v>
      </c>
      <c r="EH94" s="16" t="s">
        <v>370</v>
      </c>
      <c r="EI94" s="16" t="s">
        <v>370</v>
      </c>
      <c r="EJ94" s="16" t="s">
        <v>370</v>
      </c>
      <c r="EK94" s="16" t="s">
        <v>370</v>
      </c>
      <c r="EL94" s="16" t="s">
        <v>372</v>
      </c>
      <c r="EM94" s="16" t="s">
        <v>374</v>
      </c>
      <c r="EN94" s="16" t="s">
        <v>424</v>
      </c>
      <c r="EO94" s="16"/>
      <c r="EP94" s="16"/>
      <c r="EQ94" s="16" t="s">
        <v>391</v>
      </c>
      <c r="ER94" s="16" t="s">
        <v>391</v>
      </c>
      <c r="ES94" s="16" t="s">
        <v>391</v>
      </c>
      <c r="ET94" s="16" t="s">
        <v>391</v>
      </c>
      <c r="EU94" s="16" t="s">
        <v>391</v>
      </c>
      <c r="EV94" s="16" t="s">
        <v>400</v>
      </c>
      <c r="EW94" s="16"/>
      <c r="EX94" s="16" t="s">
        <v>368</v>
      </c>
      <c r="EY94" s="16" t="s">
        <v>368</v>
      </c>
      <c r="EZ94" s="16" t="s">
        <v>368</v>
      </c>
      <c r="FA94" s="16" t="s">
        <v>345</v>
      </c>
      <c r="FB94" s="16" t="s">
        <v>401</v>
      </c>
      <c r="FC94" s="16"/>
      <c r="FD94" s="16" t="s">
        <v>401</v>
      </c>
      <c r="FE94" s="16"/>
      <c r="FF94" s="16"/>
      <c r="FG94" s="16"/>
      <c r="FH94" s="16"/>
      <c r="FI94" s="16"/>
      <c r="FJ94" s="16"/>
      <c r="FK94" s="16"/>
      <c r="FL94" s="16"/>
      <c r="FM94" s="16"/>
      <c r="FN94" s="16"/>
      <c r="FO94" s="16"/>
      <c r="FP94" s="16"/>
      <c r="FQ94" s="16"/>
      <c r="FR94" s="16"/>
      <c r="FS94" s="16"/>
      <c r="FT94" s="16"/>
      <c r="FU94" s="16"/>
      <c r="FV94" s="16"/>
      <c r="FW94" s="16"/>
      <c r="FX94" s="16"/>
      <c r="FY94" s="16"/>
      <c r="FZ94" s="16"/>
      <c r="GA94" s="16" t="s">
        <v>368</v>
      </c>
      <c r="GB94" s="16" t="s">
        <v>368</v>
      </c>
      <c r="GC94" s="16" t="s">
        <v>368</v>
      </c>
      <c r="GD94" s="16" t="s">
        <v>368</v>
      </c>
      <c r="GE94" s="16" t="s">
        <v>368</v>
      </c>
      <c r="GF94" s="16" t="s">
        <v>368</v>
      </c>
      <c r="GG94" s="16"/>
      <c r="GH94" s="16"/>
      <c r="GI94" s="16"/>
      <c r="GJ94" s="16"/>
      <c r="GK94" s="16"/>
      <c r="GL94" s="16" t="s">
        <v>344</v>
      </c>
      <c r="GM94" s="16" t="s">
        <v>344</v>
      </c>
      <c r="GN94" s="16" t="s">
        <v>344</v>
      </c>
      <c r="GO94" s="16" t="s">
        <v>344</v>
      </c>
      <c r="GP94" s="16" t="s">
        <v>344</v>
      </c>
      <c r="GQ94" s="16" t="s">
        <v>344</v>
      </c>
      <c r="GR94" s="16" t="s">
        <v>344</v>
      </c>
      <c r="GS94" s="16" t="s">
        <v>344</v>
      </c>
      <c r="GT94" s="16" t="s">
        <v>344</v>
      </c>
      <c r="GU94" s="16" t="s">
        <v>344</v>
      </c>
      <c r="GV94" s="16" t="s">
        <v>344</v>
      </c>
      <c r="GW94" s="16" t="s">
        <v>344</v>
      </c>
      <c r="GX94" s="16" t="s">
        <v>344</v>
      </c>
      <c r="GY94" s="16" t="s">
        <v>344</v>
      </c>
      <c r="GZ94" s="16" t="s">
        <v>345</v>
      </c>
      <c r="HA94" s="16"/>
      <c r="HB94" s="16" t="s">
        <v>344</v>
      </c>
      <c r="HC94" s="16"/>
      <c r="HD94" s="16" t="s">
        <v>344</v>
      </c>
      <c r="HE94" s="16"/>
      <c r="HF94" s="16" t="s">
        <v>344</v>
      </c>
      <c r="HG94" s="16"/>
      <c r="HH94" s="16" t="s">
        <v>344</v>
      </c>
      <c r="HI94" s="16"/>
      <c r="HJ94" s="16" t="s">
        <v>344</v>
      </c>
      <c r="HK94" s="16" t="s">
        <v>344</v>
      </c>
      <c r="HL94" s="16" t="s">
        <v>344</v>
      </c>
      <c r="HM94" s="16" t="s">
        <v>344</v>
      </c>
      <c r="HN94" s="16" t="s">
        <v>344</v>
      </c>
      <c r="HO94" s="16" t="s">
        <v>344</v>
      </c>
      <c r="HP94" s="16" t="s">
        <v>344</v>
      </c>
      <c r="HQ94" s="16" t="s">
        <v>344</v>
      </c>
      <c r="HR94" s="16" t="s">
        <v>344</v>
      </c>
      <c r="HS94" s="16" t="s">
        <v>344</v>
      </c>
      <c r="HT94" s="16" t="s">
        <v>344</v>
      </c>
      <c r="HU94" s="16" t="s">
        <v>344</v>
      </c>
      <c r="HV94" s="16" t="s">
        <v>345</v>
      </c>
      <c r="HW94" s="16" t="s">
        <v>344</v>
      </c>
      <c r="HX94" s="16" t="s">
        <v>344</v>
      </c>
      <c r="HY94" s="16"/>
      <c r="HZ94" s="16" t="s">
        <v>344</v>
      </c>
      <c r="IA94" s="16"/>
      <c r="IB94" s="16" t="s">
        <v>344</v>
      </c>
      <c r="IC94" s="16"/>
      <c r="ID94" s="16" t="s">
        <v>344</v>
      </c>
      <c r="IE94" s="16"/>
      <c r="IF94" s="16" t="s">
        <v>344</v>
      </c>
      <c r="IG94" s="16"/>
      <c r="IH94" s="16" t="s">
        <v>344</v>
      </c>
      <c r="II94" s="16" t="s">
        <v>345</v>
      </c>
      <c r="IJ94" s="16" t="s">
        <v>344</v>
      </c>
      <c r="IK94" s="16" t="s">
        <v>344</v>
      </c>
      <c r="IL94" s="16" t="s">
        <v>344</v>
      </c>
      <c r="IM94" s="16" t="s">
        <v>345</v>
      </c>
      <c r="IN94" s="16" t="s">
        <v>344</v>
      </c>
      <c r="IO94" s="16" t="s">
        <v>345</v>
      </c>
      <c r="IP94" s="16" t="s">
        <v>344</v>
      </c>
      <c r="IQ94" s="16" t="s">
        <v>344</v>
      </c>
      <c r="IR94" s="16" t="s">
        <v>344</v>
      </c>
      <c r="IS94" s="16" t="s">
        <v>344</v>
      </c>
      <c r="IT94" s="16"/>
      <c r="IU94" s="16"/>
      <c r="IV94" s="16"/>
      <c r="IW94" s="16"/>
      <c r="IX94" s="16"/>
      <c r="IY94" s="16"/>
      <c r="IZ94" s="16"/>
      <c r="JA94" s="16"/>
      <c r="JB94" s="16"/>
      <c r="JC94" s="16"/>
      <c r="JD94" s="16"/>
      <c r="JE94" s="16"/>
      <c r="JF94" s="16"/>
      <c r="JG94" s="16"/>
      <c r="JH94" s="16"/>
    </row>
    <row r="95" spans="1:268" x14ac:dyDescent="0.3">
      <c r="A95" s="16" t="s">
        <v>813</v>
      </c>
      <c r="B95" s="16">
        <v>175</v>
      </c>
      <c r="C95" s="16" t="s">
        <v>830</v>
      </c>
      <c r="D95" s="16">
        <v>14</v>
      </c>
      <c r="E95" s="16" t="s">
        <v>340</v>
      </c>
      <c r="F95" s="16">
        <v>2094928507</v>
      </c>
      <c r="G95" s="16" t="s">
        <v>831</v>
      </c>
      <c r="H95" s="16" t="s">
        <v>830</v>
      </c>
      <c r="I95" s="16" t="s">
        <v>816</v>
      </c>
      <c r="J95" s="16">
        <v>18</v>
      </c>
      <c r="K95" s="16" t="s">
        <v>389</v>
      </c>
      <c r="L95" s="16"/>
      <c r="M95" s="16" t="s">
        <v>344</v>
      </c>
      <c r="N95" s="16" t="s">
        <v>345</v>
      </c>
      <c r="O95" s="16" t="s">
        <v>344</v>
      </c>
      <c r="P95" s="16" t="s">
        <v>344</v>
      </c>
      <c r="Q95" s="16" t="s">
        <v>344</v>
      </c>
      <c r="R95" s="16"/>
      <c r="S95" s="16" t="s">
        <v>522</v>
      </c>
      <c r="T95" s="16"/>
      <c r="U95" s="16" t="s">
        <v>523</v>
      </c>
      <c r="V95" s="16"/>
      <c r="W95" s="16" t="s">
        <v>345</v>
      </c>
      <c r="X95" s="16" t="s">
        <v>344</v>
      </c>
      <c r="Y95" s="16" t="s">
        <v>344</v>
      </c>
      <c r="Z95" s="16" t="s">
        <v>345</v>
      </c>
      <c r="AA95" s="16" t="s">
        <v>344</v>
      </c>
      <c r="AB95" s="16" t="s">
        <v>344</v>
      </c>
      <c r="AC95" s="16" t="s">
        <v>344</v>
      </c>
      <c r="AD95" s="16" t="s">
        <v>344</v>
      </c>
      <c r="AE95" s="16" t="s">
        <v>345</v>
      </c>
      <c r="AF95" s="16" t="s">
        <v>344</v>
      </c>
      <c r="AG95" s="16" t="s">
        <v>345</v>
      </c>
      <c r="AH95" s="16" t="s">
        <v>344</v>
      </c>
      <c r="AI95" s="16" t="s">
        <v>345</v>
      </c>
      <c r="AJ95" s="16" t="s">
        <v>344</v>
      </c>
      <c r="AK95" s="16" t="s">
        <v>344</v>
      </c>
      <c r="AL95" s="16" t="s">
        <v>344</v>
      </c>
      <c r="AM95" s="16" t="s">
        <v>345</v>
      </c>
      <c r="AN95" s="16" t="s">
        <v>345</v>
      </c>
      <c r="AO95" s="16" t="s">
        <v>345</v>
      </c>
      <c r="AP95" s="16" t="s">
        <v>344</v>
      </c>
      <c r="AQ95" s="16" t="s">
        <v>344</v>
      </c>
      <c r="AR95" s="16" t="s">
        <v>344</v>
      </c>
      <c r="AS95" s="16" t="s">
        <v>344</v>
      </c>
      <c r="AT95" s="16" t="s">
        <v>345</v>
      </c>
      <c r="AU95" s="16" t="s">
        <v>345</v>
      </c>
      <c r="AV95" s="16" t="s">
        <v>344</v>
      </c>
      <c r="AW95" s="16" t="s">
        <v>344</v>
      </c>
      <c r="AX95" s="16" t="s">
        <v>344</v>
      </c>
      <c r="AY95" s="16" t="s">
        <v>731</v>
      </c>
      <c r="AZ95" s="16" t="s">
        <v>733</v>
      </c>
      <c r="BA95" s="16" t="s">
        <v>731</v>
      </c>
      <c r="BB95" s="16" t="s">
        <v>732</v>
      </c>
      <c r="BC95" s="16" t="s">
        <v>731</v>
      </c>
      <c r="BD95" s="16" t="s">
        <v>731</v>
      </c>
      <c r="BE95" s="16" t="s">
        <v>349</v>
      </c>
      <c r="BF95" s="16" t="s">
        <v>349</v>
      </c>
      <c r="BG95" s="16" t="s">
        <v>348</v>
      </c>
      <c r="BH95" s="16" t="s">
        <v>390</v>
      </c>
      <c r="BI95" s="16" t="s">
        <v>349</v>
      </c>
      <c r="BJ95" s="16" t="s">
        <v>351</v>
      </c>
      <c r="BK95" s="16" t="s">
        <v>356</v>
      </c>
      <c r="BL95" s="16" t="s">
        <v>357</v>
      </c>
      <c r="BM95" s="16" t="s">
        <v>353</v>
      </c>
      <c r="BN95" s="16" t="s">
        <v>353</v>
      </c>
      <c r="BO95" s="16" t="s">
        <v>354</v>
      </c>
      <c r="BP95" s="16" t="s">
        <v>357</v>
      </c>
      <c r="BQ95" s="16" t="s">
        <v>455</v>
      </c>
      <c r="BR95" s="16" t="s">
        <v>429</v>
      </c>
      <c r="BS95" s="16" t="s">
        <v>354</v>
      </c>
      <c r="BT95" s="16" t="s">
        <v>355</v>
      </c>
      <c r="BU95" s="16" t="s">
        <v>351</v>
      </c>
      <c r="BV95" s="16" t="s">
        <v>353</v>
      </c>
      <c r="BW95" s="16" t="s">
        <v>357</v>
      </c>
      <c r="BX95" s="16" t="s">
        <v>352</v>
      </c>
      <c r="BY95" s="16" t="s">
        <v>353</v>
      </c>
      <c r="BZ95" s="16" t="s">
        <v>355</v>
      </c>
      <c r="CA95" s="16" t="s">
        <v>354</v>
      </c>
      <c r="CB95" s="16" t="s">
        <v>357</v>
      </c>
      <c r="CC95" s="16" t="s">
        <v>352</v>
      </c>
      <c r="CD95" s="16" t="s">
        <v>353</v>
      </c>
      <c r="CE95" s="16" t="s">
        <v>351</v>
      </c>
      <c r="CF95" s="16" t="s">
        <v>356</v>
      </c>
      <c r="CG95" s="16" t="s">
        <v>420</v>
      </c>
      <c r="CH95" s="16" t="s">
        <v>393</v>
      </c>
      <c r="CI95" s="16" t="s">
        <v>420</v>
      </c>
      <c r="CJ95" s="16" t="s">
        <v>393</v>
      </c>
      <c r="CK95" s="16" t="s">
        <v>832</v>
      </c>
      <c r="CL95" s="16" t="s">
        <v>344</v>
      </c>
      <c r="CM95" s="16" t="s">
        <v>344</v>
      </c>
      <c r="CN95" s="16" t="s">
        <v>344</v>
      </c>
      <c r="CO95" s="16" t="s">
        <v>345</v>
      </c>
      <c r="CP95" s="16" t="s">
        <v>345</v>
      </c>
      <c r="CQ95" s="16" t="s">
        <v>344</v>
      </c>
      <c r="CR95" s="16" t="s">
        <v>667</v>
      </c>
      <c r="CS95" s="16">
        <v>10</v>
      </c>
      <c r="CT95" s="16">
        <v>81</v>
      </c>
      <c r="CU95" s="16">
        <v>81</v>
      </c>
      <c r="CV95" s="16">
        <v>1</v>
      </c>
      <c r="CW95" s="16" t="s">
        <v>395</v>
      </c>
      <c r="CX95" s="16" t="s">
        <v>396</v>
      </c>
      <c r="CY95" s="16" t="s">
        <v>396</v>
      </c>
      <c r="CZ95" s="16" t="s">
        <v>397</v>
      </c>
      <c r="DA95" s="16" t="s">
        <v>397</v>
      </c>
      <c r="DB95" s="16" t="s">
        <v>397</v>
      </c>
      <c r="DC95" s="16" t="s">
        <v>397</v>
      </c>
      <c r="DD95" s="16" t="s">
        <v>366</v>
      </c>
      <c r="DE95" s="16" t="s">
        <v>397</v>
      </c>
      <c r="DF95" s="16" t="s">
        <v>397</v>
      </c>
      <c r="DG95" s="16" t="s">
        <v>397</v>
      </c>
      <c r="DH95" s="16" t="s">
        <v>397</v>
      </c>
      <c r="DI95" s="16" t="s">
        <v>397</v>
      </c>
      <c r="DJ95" s="16" t="s">
        <v>593</v>
      </c>
      <c r="DK95" s="16" t="s">
        <v>367</v>
      </c>
      <c r="DL95" s="16" t="s">
        <v>368</v>
      </c>
      <c r="DM95" s="16" t="s">
        <v>368</v>
      </c>
      <c r="DN95" s="16" t="s">
        <v>368</v>
      </c>
      <c r="DO95" s="16" t="s">
        <v>368</v>
      </c>
      <c r="DP95" s="16" t="s">
        <v>344</v>
      </c>
      <c r="DQ95" s="16" t="s">
        <v>345</v>
      </c>
      <c r="DR95" s="16" t="s">
        <v>344</v>
      </c>
      <c r="DS95" s="16" t="s">
        <v>344</v>
      </c>
      <c r="DT95" s="16" t="s">
        <v>368</v>
      </c>
      <c r="DU95" s="16" t="s">
        <v>368</v>
      </c>
      <c r="DV95" s="16" t="s">
        <v>368</v>
      </c>
      <c r="DW95" s="16" t="s">
        <v>345</v>
      </c>
      <c r="DX95" s="16" t="s">
        <v>399</v>
      </c>
      <c r="DY95" s="16" t="s">
        <v>398</v>
      </c>
      <c r="DZ95" s="16" t="s">
        <v>370</v>
      </c>
      <c r="EA95" s="16" t="s">
        <v>369</v>
      </c>
      <c r="EB95" s="16" t="s">
        <v>369</v>
      </c>
      <c r="EC95" s="16" t="s">
        <v>370</v>
      </c>
      <c r="ED95" s="16" t="s">
        <v>371</v>
      </c>
      <c r="EE95" s="16" t="s">
        <v>370</v>
      </c>
      <c r="EF95" s="16" t="s">
        <v>370</v>
      </c>
      <c r="EG95" s="16" t="s">
        <v>369</v>
      </c>
      <c r="EH95" s="16" t="s">
        <v>371</v>
      </c>
      <c r="EI95" s="16" t="s">
        <v>369</v>
      </c>
      <c r="EJ95" s="16" t="s">
        <v>399</v>
      </c>
      <c r="EK95" s="16" t="s">
        <v>398</v>
      </c>
      <c r="EL95" s="16" t="s">
        <v>373</v>
      </c>
      <c r="EM95" s="16" t="s">
        <v>374</v>
      </c>
      <c r="EN95" s="16" t="s">
        <v>372</v>
      </c>
      <c r="EO95" s="16"/>
      <c r="EP95" s="16"/>
      <c r="EQ95" s="16" t="s">
        <v>376</v>
      </c>
      <c r="ER95" s="16" t="s">
        <v>376</v>
      </c>
      <c r="ES95" s="16" t="s">
        <v>411</v>
      </c>
      <c r="ET95" s="16" t="s">
        <v>376</v>
      </c>
      <c r="EU95" s="16" t="s">
        <v>411</v>
      </c>
      <c r="EV95" s="16" t="s">
        <v>400</v>
      </c>
      <c r="EW95" s="16"/>
      <c r="EX95" s="162" t="s">
        <v>344</v>
      </c>
      <c r="EY95" s="162" t="s">
        <v>345</v>
      </c>
      <c r="EZ95" s="162" t="s">
        <v>344</v>
      </c>
      <c r="FA95" s="16" t="s">
        <v>344</v>
      </c>
      <c r="FB95" s="16" t="s">
        <v>401</v>
      </c>
      <c r="FC95" s="16"/>
      <c r="FD95" s="16" t="s">
        <v>401</v>
      </c>
      <c r="FE95" s="16"/>
      <c r="FF95" s="16" t="s">
        <v>412</v>
      </c>
      <c r="FG95" s="16" t="s">
        <v>413</v>
      </c>
      <c r="FH95" s="16" t="s">
        <v>451</v>
      </c>
      <c r="FI95" s="16" t="s">
        <v>385</v>
      </c>
      <c r="FJ95" s="16"/>
      <c r="FK95" s="16"/>
      <c r="FL95" s="16"/>
      <c r="FM95" s="16"/>
      <c r="FN95" s="16"/>
      <c r="FO95" s="16"/>
      <c r="FP95" s="16"/>
      <c r="FQ95" s="16"/>
      <c r="FR95" s="16"/>
      <c r="FS95" s="16"/>
      <c r="FT95" s="16"/>
      <c r="FU95" s="16"/>
      <c r="FV95" s="16"/>
      <c r="FW95" s="16"/>
      <c r="FX95" s="16"/>
      <c r="FY95" s="16"/>
      <c r="FZ95" s="16"/>
      <c r="GA95" s="16" t="s">
        <v>368</v>
      </c>
      <c r="GB95" s="16" t="s">
        <v>368</v>
      </c>
      <c r="GC95" s="16" t="s">
        <v>368</v>
      </c>
      <c r="GD95" s="16" t="s">
        <v>368</v>
      </c>
      <c r="GE95" s="16" t="s">
        <v>368</v>
      </c>
      <c r="GF95" s="16" t="s">
        <v>368</v>
      </c>
      <c r="GG95" s="16"/>
      <c r="GH95" s="16"/>
      <c r="GI95" s="16"/>
      <c r="GJ95" s="16"/>
      <c r="GK95" s="16"/>
      <c r="GL95" s="16" t="s">
        <v>344</v>
      </c>
      <c r="GM95" s="16" t="s">
        <v>344</v>
      </c>
      <c r="GN95" s="16" t="s">
        <v>345</v>
      </c>
      <c r="GO95" s="16" t="s">
        <v>344</v>
      </c>
      <c r="GP95" s="16" t="s">
        <v>344</v>
      </c>
      <c r="GQ95" s="16" t="s">
        <v>344</v>
      </c>
      <c r="GR95" s="16" t="s">
        <v>344</v>
      </c>
      <c r="GS95" s="16" t="s">
        <v>344</v>
      </c>
      <c r="GT95" s="16" t="s">
        <v>345</v>
      </c>
      <c r="GU95" s="16" t="s">
        <v>344</v>
      </c>
      <c r="GV95" s="16" t="s">
        <v>344</v>
      </c>
      <c r="GW95" s="16" t="s">
        <v>344</v>
      </c>
      <c r="GX95" s="16" t="s">
        <v>344</v>
      </c>
      <c r="GY95" s="16" t="s">
        <v>344</v>
      </c>
      <c r="GZ95" s="16" t="s">
        <v>344</v>
      </c>
      <c r="HA95" s="16"/>
      <c r="HB95" s="16" t="s">
        <v>344</v>
      </c>
      <c r="HC95" s="16"/>
      <c r="HD95" s="16" t="s">
        <v>344</v>
      </c>
      <c r="HE95" s="16"/>
      <c r="HF95" s="16" t="s">
        <v>344</v>
      </c>
      <c r="HG95" s="16"/>
      <c r="HH95" s="16" t="s">
        <v>344</v>
      </c>
      <c r="HI95" s="16"/>
      <c r="HJ95" s="16" t="s">
        <v>344</v>
      </c>
      <c r="HK95" s="16" t="s">
        <v>344</v>
      </c>
      <c r="HL95" s="16" t="s">
        <v>344</v>
      </c>
      <c r="HM95" s="16" t="s">
        <v>345</v>
      </c>
      <c r="HN95" s="16" t="s">
        <v>344</v>
      </c>
      <c r="HO95" s="16" t="s">
        <v>344</v>
      </c>
      <c r="HP95" s="16" t="s">
        <v>344</v>
      </c>
      <c r="HQ95" s="16" t="s">
        <v>344</v>
      </c>
      <c r="HR95" s="16" t="s">
        <v>344</v>
      </c>
      <c r="HS95" s="16" t="s">
        <v>344</v>
      </c>
      <c r="HT95" s="16" t="s">
        <v>344</v>
      </c>
      <c r="HU95" s="16" t="s">
        <v>344</v>
      </c>
      <c r="HV95" s="16" t="s">
        <v>344</v>
      </c>
      <c r="HW95" s="16" t="s">
        <v>344</v>
      </c>
      <c r="HX95" s="16" t="s">
        <v>344</v>
      </c>
      <c r="HY95" s="16"/>
      <c r="HZ95" s="16" t="s">
        <v>344</v>
      </c>
      <c r="IA95" s="16"/>
      <c r="IB95" s="16" t="s">
        <v>344</v>
      </c>
      <c r="IC95" s="16"/>
      <c r="ID95" s="16" t="s">
        <v>344</v>
      </c>
      <c r="IE95" s="16"/>
      <c r="IF95" s="16" t="s">
        <v>344</v>
      </c>
      <c r="IG95" s="16"/>
      <c r="IH95" s="16" t="s">
        <v>344</v>
      </c>
      <c r="II95" s="16" t="s">
        <v>344</v>
      </c>
      <c r="IJ95" s="16" t="s">
        <v>344</v>
      </c>
      <c r="IK95" s="16" t="s">
        <v>344</v>
      </c>
      <c r="IL95" s="16" t="s">
        <v>345</v>
      </c>
      <c r="IM95" s="16" t="s">
        <v>344</v>
      </c>
      <c r="IN95" s="16" t="s">
        <v>344</v>
      </c>
      <c r="IO95" s="16" t="s">
        <v>345</v>
      </c>
      <c r="IP95" s="16" t="s">
        <v>344</v>
      </c>
      <c r="IQ95" s="16" t="s">
        <v>344</v>
      </c>
      <c r="IR95" s="16" t="s">
        <v>344</v>
      </c>
      <c r="IS95" s="16" t="s">
        <v>344</v>
      </c>
      <c r="IT95" s="16"/>
      <c r="IU95" s="16"/>
      <c r="IV95" s="16"/>
      <c r="IW95" s="16"/>
      <c r="IX95" s="16"/>
      <c r="IY95" s="16"/>
      <c r="IZ95" s="16"/>
      <c r="JA95" s="16"/>
      <c r="JB95" s="16"/>
      <c r="JC95" s="16"/>
      <c r="JD95" s="16"/>
      <c r="JE95" s="16"/>
      <c r="JF95" s="16"/>
      <c r="JG95" s="16"/>
      <c r="JH95" s="16"/>
    </row>
    <row r="96" spans="1:268" x14ac:dyDescent="0.3">
      <c r="A96" s="16" t="s">
        <v>813</v>
      </c>
      <c r="B96" s="16">
        <v>176</v>
      </c>
      <c r="C96" s="16" t="s">
        <v>833</v>
      </c>
      <c r="D96" s="16">
        <v>14</v>
      </c>
      <c r="E96" s="16" t="s">
        <v>340</v>
      </c>
      <c r="F96" s="16">
        <v>720145131</v>
      </c>
      <c r="G96" s="16" t="s">
        <v>834</v>
      </c>
      <c r="H96" s="16" t="s">
        <v>833</v>
      </c>
      <c r="I96" s="16" t="s">
        <v>816</v>
      </c>
      <c r="J96" s="16">
        <v>17</v>
      </c>
      <c r="K96" s="16" t="s">
        <v>389</v>
      </c>
      <c r="L96" s="16"/>
      <c r="M96" s="16" t="s">
        <v>345</v>
      </c>
      <c r="N96" s="16" t="s">
        <v>345</v>
      </c>
      <c r="O96" s="16" t="s">
        <v>344</v>
      </c>
      <c r="P96" s="16" t="s">
        <v>344</v>
      </c>
      <c r="Q96" s="16" t="s">
        <v>344</v>
      </c>
      <c r="R96" s="16"/>
      <c r="S96" s="16" t="s">
        <v>522</v>
      </c>
      <c r="T96" s="16"/>
      <c r="U96" s="16" t="s">
        <v>428</v>
      </c>
      <c r="V96" s="16"/>
      <c r="W96" s="16" t="s">
        <v>344</v>
      </c>
      <c r="X96" s="16" t="s">
        <v>344</v>
      </c>
      <c r="Y96" s="16" t="s">
        <v>344</v>
      </c>
      <c r="Z96" s="16" t="s">
        <v>344</v>
      </c>
      <c r="AA96" s="16" t="s">
        <v>345</v>
      </c>
      <c r="AB96" s="16" t="s">
        <v>344</v>
      </c>
      <c r="AC96" s="16" t="s">
        <v>344</v>
      </c>
      <c r="AD96" s="16" t="s">
        <v>345</v>
      </c>
      <c r="AE96" s="16" t="s">
        <v>344</v>
      </c>
      <c r="AF96" s="16" t="s">
        <v>344</v>
      </c>
      <c r="AG96" s="16" t="s">
        <v>344</v>
      </c>
      <c r="AH96" s="16" t="s">
        <v>344</v>
      </c>
      <c r="AI96" s="16" t="s">
        <v>344</v>
      </c>
      <c r="AJ96" s="16" t="s">
        <v>344</v>
      </c>
      <c r="AK96" s="16" t="s">
        <v>344</v>
      </c>
      <c r="AL96" s="16" t="s">
        <v>344</v>
      </c>
      <c r="AM96" s="16" t="s">
        <v>344</v>
      </c>
      <c r="AN96" s="16" t="s">
        <v>345</v>
      </c>
      <c r="AO96" s="16" t="s">
        <v>344</v>
      </c>
      <c r="AP96" s="16" t="s">
        <v>344</v>
      </c>
      <c r="AQ96" s="16" t="s">
        <v>344</v>
      </c>
      <c r="AR96" s="16" t="s">
        <v>344</v>
      </c>
      <c r="AS96" s="16" t="s">
        <v>345</v>
      </c>
      <c r="AT96" s="16" t="s">
        <v>345</v>
      </c>
      <c r="AU96" s="16" t="s">
        <v>345</v>
      </c>
      <c r="AV96" s="16" t="s">
        <v>345</v>
      </c>
      <c r="AW96" s="16" t="s">
        <v>344</v>
      </c>
      <c r="AX96" s="16" t="s">
        <v>344</v>
      </c>
      <c r="AY96" s="16"/>
      <c r="AZ96" s="16"/>
      <c r="BA96" s="16"/>
      <c r="BB96" s="16"/>
      <c r="BC96" s="16"/>
      <c r="BD96" s="16"/>
      <c r="BE96" s="16" t="s">
        <v>348</v>
      </c>
      <c r="BF96" s="16" t="s">
        <v>349</v>
      </c>
      <c r="BG96" s="16" t="s">
        <v>349</v>
      </c>
      <c r="BH96" s="16" t="s">
        <v>349</v>
      </c>
      <c r="BI96" s="16" t="s">
        <v>350</v>
      </c>
      <c r="BJ96" s="16" t="s">
        <v>391</v>
      </c>
      <c r="BK96" s="16" t="s">
        <v>391</v>
      </c>
      <c r="BL96" s="16" t="s">
        <v>391</v>
      </c>
      <c r="BM96" s="16" t="s">
        <v>391</v>
      </c>
      <c r="BN96" s="16" t="s">
        <v>391</v>
      </c>
      <c r="BO96" s="16" t="s">
        <v>391</v>
      </c>
      <c r="BP96" s="16" t="s">
        <v>391</v>
      </c>
      <c r="BQ96" s="16" t="s">
        <v>358</v>
      </c>
      <c r="BR96" s="16" t="s">
        <v>367</v>
      </c>
      <c r="BS96" s="16" t="s">
        <v>391</v>
      </c>
      <c r="BT96" s="16" t="s">
        <v>391</v>
      </c>
      <c r="BU96" s="16" t="s">
        <v>391</v>
      </c>
      <c r="BV96" s="16" t="s">
        <v>391</v>
      </c>
      <c r="BW96" s="16" t="s">
        <v>391</v>
      </c>
      <c r="BX96" s="16" t="s">
        <v>391</v>
      </c>
      <c r="BY96" s="16" t="s">
        <v>391</v>
      </c>
      <c r="BZ96" s="16" t="s">
        <v>391</v>
      </c>
      <c r="CA96" s="16" t="s">
        <v>391</v>
      </c>
      <c r="CB96" s="16" t="s">
        <v>391</v>
      </c>
      <c r="CC96" s="16" t="s">
        <v>391</v>
      </c>
      <c r="CD96" s="16" t="s">
        <v>391</v>
      </c>
      <c r="CE96" s="16" t="s">
        <v>391</v>
      </c>
      <c r="CF96" s="16" t="s">
        <v>391</v>
      </c>
      <c r="CG96" s="16" t="s">
        <v>420</v>
      </c>
      <c r="CH96" s="16" t="s">
        <v>421</v>
      </c>
      <c r="CI96" s="16" t="s">
        <v>393</v>
      </c>
      <c r="CJ96" s="16" t="s">
        <v>421</v>
      </c>
      <c r="CK96" s="16" t="s">
        <v>835</v>
      </c>
      <c r="CL96" s="16" t="s">
        <v>344</v>
      </c>
      <c r="CM96" s="16" t="s">
        <v>344</v>
      </c>
      <c r="CN96" s="16" t="s">
        <v>344</v>
      </c>
      <c r="CO96" s="16" t="s">
        <v>344</v>
      </c>
      <c r="CP96" s="16" t="s">
        <v>345</v>
      </c>
      <c r="CQ96" s="16" t="s">
        <v>344</v>
      </c>
      <c r="CR96" s="16" t="s">
        <v>655</v>
      </c>
      <c r="CS96" s="16">
        <v>53</v>
      </c>
      <c r="CT96" s="16">
        <v>60</v>
      </c>
      <c r="CU96" s="16">
        <v>73</v>
      </c>
      <c r="CV96" s="16">
        <v>57</v>
      </c>
      <c r="CW96" s="16" t="s">
        <v>396</v>
      </c>
      <c r="CX96" s="16" t="s">
        <v>396</v>
      </c>
      <c r="CY96" s="16" t="s">
        <v>396</v>
      </c>
      <c r="CZ96" s="16" t="s">
        <v>366</v>
      </c>
      <c r="DA96" s="16" t="s">
        <v>365</v>
      </c>
      <c r="DB96" s="16" t="s">
        <v>366</v>
      </c>
      <c r="DC96" s="16" t="s">
        <v>423</v>
      </c>
      <c r="DD96" s="16" t="s">
        <v>366</v>
      </c>
      <c r="DE96" s="16" t="s">
        <v>366</v>
      </c>
      <c r="DF96" s="16" t="s">
        <v>365</v>
      </c>
      <c r="DG96" s="16" t="s">
        <v>366</v>
      </c>
      <c r="DH96" s="16" t="s">
        <v>365</v>
      </c>
      <c r="DI96" s="16" t="s">
        <v>366</v>
      </c>
      <c r="DJ96" s="16" t="s">
        <v>836</v>
      </c>
      <c r="DK96" s="16" t="s">
        <v>492</v>
      </c>
      <c r="DL96" s="16" t="s">
        <v>368</v>
      </c>
      <c r="DM96" s="16" t="s">
        <v>368</v>
      </c>
      <c r="DN96" s="16" t="s">
        <v>368</v>
      </c>
      <c r="DO96" s="16" t="s">
        <v>345</v>
      </c>
      <c r="DP96" s="16" t="s">
        <v>368</v>
      </c>
      <c r="DQ96" s="16" t="s">
        <v>368</v>
      </c>
      <c r="DR96" s="16" t="s">
        <v>368</v>
      </c>
      <c r="DS96" s="16" t="s">
        <v>345</v>
      </c>
      <c r="DT96" s="16" t="s">
        <v>368</v>
      </c>
      <c r="DU96" s="16" t="s">
        <v>368</v>
      </c>
      <c r="DV96" s="16" t="s">
        <v>368</v>
      </c>
      <c r="DW96" s="16" t="s">
        <v>345</v>
      </c>
      <c r="DX96" s="16" t="s">
        <v>369</v>
      </c>
      <c r="DY96" s="16" t="s">
        <v>370</v>
      </c>
      <c r="DZ96" s="16" t="s">
        <v>371</v>
      </c>
      <c r="EA96" s="16" t="s">
        <v>369</v>
      </c>
      <c r="EB96" s="16" t="s">
        <v>369</v>
      </c>
      <c r="EC96" s="16" t="s">
        <v>371</v>
      </c>
      <c r="ED96" s="16" t="s">
        <v>399</v>
      </c>
      <c r="EE96" s="16" t="s">
        <v>370</v>
      </c>
      <c r="EF96" s="16" t="s">
        <v>370</v>
      </c>
      <c r="EG96" s="16" t="s">
        <v>370</v>
      </c>
      <c r="EH96" s="16" t="s">
        <v>370</v>
      </c>
      <c r="EI96" s="16" t="s">
        <v>370</v>
      </c>
      <c r="EJ96" s="16" t="s">
        <v>370</v>
      </c>
      <c r="EK96" s="16" t="s">
        <v>370</v>
      </c>
      <c r="EL96" s="16" t="s">
        <v>424</v>
      </c>
      <c r="EM96" s="16" t="s">
        <v>440</v>
      </c>
      <c r="EN96" s="16" t="s">
        <v>372</v>
      </c>
      <c r="EO96" s="16"/>
      <c r="EP96" s="16"/>
      <c r="EQ96" s="16" t="s">
        <v>378</v>
      </c>
      <c r="ER96" s="16" t="s">
        <v>378</v>
      </c>
      <c r="ES96" s="16" t="s">
        <v>378</v>
      </c>
      <c r="ET96" s="16" t="s">
        <v>391</v>
      </c>
      <c r="EU96" s="16" t="s">
        <v>378</v>
      </c>
      <c r="EV96" s="16" t="s">
        <v>400</v>
      </c>
      <c r="EW96" s="16"/>
      <c r="EX96" s="162" t="s">
        <v>344</v>
      </c>
      <c r="EY96" s="162" t="s">
        <v>345</v>
      </c>
      <c r="EZ96" s="162" t="s">
        <v>344</v>
      </c>
      <c r="FA96" s="16" t="s">
        <v>344</v>
      </c>
      <c r="FB96" s="16" t="s">
        <v>380</v>
      </c>
      <c r="FC96" s="16"/>
      <c r="FD96" s="16" t="s">
        <v>380</v>
      </c>
      <c r="FE96" s="16"/>
      <c r="FF96" s="16"/>
      <c r="FG96" s="16"/>
      <c r="FH96" s="16"/>
      <c r="FI96" s="16"/>
      <c r="FJ96" s="16"/>
      <c r="FK96" s="16"/>
      <c r="FL96" s="16"/>
      <c r="FM96" s="16"/>
      <c r="FN96" s="16"/>
      <c r="FO96" s="16"/>
      <c r="FP96" s="16"/>
      <c r="FQ96" s="16"/>
      <c r="FR96" s="16"/>
      <c r="FS96" s="16"/>
      <c r="FT96" s="16"/>
      <c r="FU96" s="16"/>
      <c r="FV96" s="16"/>
      <c r="FW96" s="16"/>
      <c r="FX96" s="16"/>
      <c r="FY96" s="16"/>
      <c r="FZ96" s="16"/>
      <c r="GA96" s="16" t="s">
        <v>368</v>
      </c>
      <c r="GB96" s="16" t="s">
        <v>368</v>
      </c>
      <c r="GC96" s="16" t="s">
        <v>368</v>
      </c>
      <c r="GD96" s="16" t="s">
        <v>368</v>
      </c>
      <c r="GE96" s="16" t="s">
        <v>368</v>
      </c>
      <c r="GF96" s="16" t="s">
        <v>368</v>
      </c>
      <c r="GG96" s="16"/>
      <c r="GH96" s="16"/>
      <c r="GI96" s="16"/>
      <c r="GJ96" s="16"/>
      <c r="GK96" s="16"/>
      <c r="GL96" s="16" t="s">
        <v>344</v>
      </c>
      <c r="GM96" s="16" t="s">
        <v>344</v>
      </c>
      <c r="GN96" s="16" t="s">
        <v>344</v>
      </c>
      <c r="GO96" s="16" t="s">
        <v>344</v>
      </c>
      <c r="GP96" s="16" t="s">
        <v>344</v>
      </c>
      <c r="GQ96" s="16" t="s">
        <v>344</v>
      </c>
      <c r="GR96" s="16" t="s">
        <v>344</v>
      </c>
      <c r="GS96" s="16" t="s">
        <v>344</v>
      </c>
      <c r="GT96" s="16" t="s">
        <v>344</v>
      </c>
      <c r="GU96" s="16" t="s">
        <v>344</v>
      </c>
      <c r="GV96" s="16" t="s">
        <v>344</v>
      </c>
      <c r="GW96" s="16" t="s">
        <v>344</v>
      </c>
      <c r="GX96" s="16" t="s">
        <v>344</v>
      </c>
      <c r="GY96" s="16" t="s">
        <v>344</v>
      </c>
      <c r="GZ96" s="16" t="s">
        <v>345</v>
      </c>
      <c r="HA96" s="16"/>
      <c r="HB96" s="16" t="s">
        <v>344</v>
      </c>
      <c r="HC96" s="16"/>
      <c r="HD96" s="16" t="s">
        <v>344</v>
      </c>
      <c r="HE96" s="16"/>
      <c r="HF96" s="16" t="s">
        <v>344</v>
      </c>
      <c r="HG96" s="16"/>
      <c r="HH96" s="16" t="s">
        <v>344</v>
      </c>
      <c r="HI96" s="16"/>
      <c r="HJ96" s="16" t="s">
        <v>344</v>
      </c>
      <c r="HK96" s="16" t="s">
        <v>344</v>
      </c>
      <c r="HL96" s="16" t="s">
        <v>344</v>
      </c>
      <c r="HM96" s="16" t="s">
        <v>344</v>
      </c>
      <c r="HN96" s="16" t="s">
        <v>344</v>
      </c>
      <c r="HO96" s="16" t="s">
        <v>344</v>
      </c>
      <c r="HP96" s="16" t="s">
        <v>344</v>
      </c>
      <c r="HQ96" s="16" t="s">
        <v>344</v>
      </c>
      <c r="HR96" s="16" t="s">
        <v>344</v>
      </c>
      <c r="HS96" s="16" t="s">
        <v>344</v>
      </c>
      <c r="HT96" s="16" t="s">
        <v>344</v>
      </c>
      <c r="HU96" s="16" t="s">
        <v>345</v>
      </c>
      <c r="HV96" s="16" t="s">
        <v>344</v>
      </c>
      <c r="HW96" s="16" t="s">
        <v>344</v>
      </c>
      <c r="HX96" s="16" t="s">
        <v>344</v>
      </c>
      <c r="HY96" s="16"/>
      <c r="HZ96" s="16" t="s">
        <v>344</v>
      </c>
      <c r="IA96" s="16"/>
      <c r="IB96" s="16" t="s">
        <v>344</v>
      </c>
      <c r="IC96" s="16"/>
      <c r="ID96" s="16" t="s">
        <v>344</v>
      </c>
      <c r="IE96" s="16"/>
      <c r="IF96" s="16" t="s">
        <v>344</v>
      </c>
      <c r="IG96" s="16"/>
      <c r="IH96" s="16" t="s">
        <v>345</v>
      </c>
      <c r="II96" s="16" t="s">
        <v>345</v>
      </c>
      <c r="IJ96" s="16" t="s">
        <v>345</v>
      </c>
      <c r="IK96" s="16" t="s">
        <v>345</v>
      </c>
      <c r="IL96" s="16" t="s">
        <v>345</v>
      </c>
      <c r="IM96" s="16" t="s">
        <v>345</v>
      </c>
      <c r="IN96" s="16" t="s">
        <v>344</v>
      </c>
      <c r="IO96" s="16" t="s">
        <v>345</v>
      </c>
      <c r="IP96" s="16" t="s">
        <v>344</v>
      </c>
      <c r="IQ96" s="16" t="s">
        <v>344</v>
      </c>
      <c r="IR96" s="16" t="s">
        <v>344</v>
      </c>
      <c r="IS96" s="16" t="s">
        <v>344</v>
      </c>
      <c r="IT96" s="16"/>
      <c r="IU96" s="16" t="s">
        <v>837</v>
      </c>
      <c r="IV96" s="16"/>
      <c r="IW96" s="16"/>
      <c r="IX96" s="16"/>
      <c r="IY96" s="16"/>
      <c r="IZ96" s="16"/>
      <c r="JA96" s="16"/>
      <c r="JB96" s="16"/>
      <c r="JC96" s="16"/>
      <c r="JD96" s="16"/>
      <c r="JE96" s="16"/>
      <c r="JF96" s="16"/>
      <c r="JG96" s="16"/>
      <c r="JH96" s="16"/>
    </row>
    <row r="97" spans="1:268" x14ac:dyDescent="0.3">
      <c r="A97" s="16" t="s">
        <v>813</v>
      </c>
      <c r="B97" s="16">
        <v>177</v>
      </c>
      <c r="C97" s="16" t="s">
        <v>838</v>
      </c>
      <c r="D97" s="16">
        <v>14</v>
      </c>
      <c r="E97" s="16" t="s">
        <v>340</v>
      </c>
      <c r="F97" s="16">
        <v>529365430</v>
      </c>
      <c r="G97" s="16" t="s">
        <v>839</v>
      </c>
      <c r="H97" s="16" t="s">
        <v>838</v>
      </c>
      <c r="I97" s="16" t="s">
        <v>816</v>
      </c>
      <c r="J97" s="16">
        <v>18</v>
      </c>
      <c r="K97" s="16" t="s">
        <v>389</v>
      </c>
      <c r="L97" s="16"/>
      <c r="M97" s="16" t="s">
        <v>345</v>
      </c>
      <c r="N97" s="16" t="s">
        <v>345</v>
      </c>
      <c r="O97" s="16" t="s">
        <v>344</v>
      </c>
      <c r="P97" s="16" t="s">
        <v>344</v>
      </c>
      <c r="Q97" s="16" t="s">
        <v>344</v>
      </c>
      <c r="R97" s="16"/>
      <c r="S97" s="16" t="s">
        <v>522</v>
      </c>
      <c r="T97" s="16"/>
      <c r="U97" s="16" t="s">
        <v>418</v>
      </c>
      <c r="V97" s="16"/>
      <c r="W97" s="16" t="s">
        <v>368</v>
      </c>
      <c r="X97" s="16" t="s">
        <v>368</v>
      </c>
      <c r="Y97" s="16" t="s">
        <v>368</v>
      </c>
      <c r="Z97" s="16" t="s">
        <v>368</v>
      </c>
      <c r="AA97" s="16" t="s">
        <v>368</v>
      </c>
      <c r="AB97" s="16" t="s">
        <v>368</v>
      </c>
      <c r="AC97" s="16" t="s">
        <v>345</v>
      </c>
      <c r="AD97" s="16" t="s">
        <v>368</v>
      </c>
      <c r="AE97" s="16" t="s">
        <v>368</v>
      </c>
      <c r="AF97" s="16" t="s">
        <v>368</v>
      </c>
      <c r="AG97" s="16" t="s">
        <v>368</v>
      </c>
      <c r="AH97" s="16" t="s">
        <v>368</v>
      </c>
      <c r="AI97" s="16" t="s">
        <v>368</v>
      </c>
      <c r="AJ97" s="16" t="s">
        <v>345</v>
      </c>
      <c r="AK97" s="16" t="s">
        <v>368</v>
      </c>
      <c r="AL97" s="16" t="s">
        <v>368</v>
      </c>
      <c r="AM97" s="16" t="s">
        <v>368</v>
      </c>
      <c r="AN97" s="16" t="s">
        <v>368</v>
      </c>
      <c r="AO97" s="16" t="s">
        <v>368</v>
      </c>
      <c r="AP97" s="16" t="s">
        <v>368</v>
      </c>
      <c r="AQ97" s="16" t="s">
        <v>345</v>
      </c>
      <c r="AR97" s="16" t="s">
        <v>368</v>
      </c>
      <c r="AS97" s="16" t="s">
        <v>368</v>
      </c>
      <c r="AT97" s="16" t="s">
        <v>368</v>
      </c>
      <c r="AU97" s="16" t="s">
        <v>368</v>
      </c>
      <c r="AV97" s="16" t="s">
        <v>368</v>
      </c>
      <c r="AW97" s="16" t="s">
        <v>368</v>
      </c>
      <c r="AX97" s="16" t="s">
        <v>345</v>
      </c>
      <c r="AY97" s="16" t="s">
        <v>391</v>
      </c>
      <c r="AZ97" s="16" t="s">
        <v>391</v>
      </c>
      <c r="BA97" s="16" t="s">
        <v>391</v>
      </c>
      <c r="BB97" s="16" t="s">
        <v>391</v>
      </c>
      <c r="BC97" s="16" t="s">
        <v>391</v>
      </c>
      <c r="BD97" s="16" t="s">
        <v>391</v>
      </c>
      <c r="BE97" s="16" t="s">
        <v>350</v>
      </c>
      <c r="BF97" s="16" t="s">
        <v>348</v>
      </c>
      <c r="BG97" s="16" t="s">
        <v>349</v>
      </c>
      <c r="BH97" s="16" t="s">
        <v>349</v>
      </c>
      <c r="BI97" s="16" t="s">
        <v>349</v>
      </c>
      <c r="BJ97" s="16" t="s">
        <v>391</v>
      </c>
      <c r="BK97" s="16" t="s">
        <v>391</v>
      </c>
      <c r="BL97" s="16" t="s">
        <v>391</v>
      </c>
      <c r="BM97" s="16" t="s">
        <v>391</v>
      </c>
      <c r="BN97" s="16" t="s">
        <v>391</v>
      </c>
      <c r="BO97" s="16" t="s">
        <v>391</v>
      </c>
      <c r="BP97" s="16" t="s">
        <v>391</v>
      </c>
      <c r="BQ97" s="16" t="s">
        <v>419</v>
      </c>
      <c r="BR97" s="16" t="s">
        <v>408</v>
      </c>
      <c r="BS97" s="16" t="s">
        <v>391</v>
      </c>
      <c r="BT97" s="16" t="s">
        <v>391</v>
      </c>
      <c r="BU97" s="16" t="s">
        <v>391</v>
      </c>
      <c r="BV97" s="16" t="s">
        <v>391</v>
      </c>
      <c r="BW97" s="16" t="s">
        <v>391</v>
      </c>
      <c r="BX97" s="16" t="s">
        <v>391</v>
      </c>
      <c r="BY97" s="16" t="s">
        <v>391</v>
      </c>
      <c r="BZ97" s="16" t="s">
        <v>391</v>
      </c>
      <c r="CA97" s="16" t="s">
        <v>391</v>
      </c>
      <c r="CB97" s="16" t="s">
        <v>391</v>
      </c>
      <c r="CC97" s="16" t="s">
        <v>391</v>
      </c>
      <c r="CD97" s="16" t="s">
        <v>391</v>
      </c>
      <c r="CE97" s="16" t="s">
        <v>391</v>
      </c>
      <c r="CF97" s="16" t="s">
        <v>391</v>
      </c>
      <c r="CG97" s="16" t="s">
        <v>392</v>
      </c>
      <c r="CH97" s="16" t="s">
        <v>421</v>
      </c>
      <c r="CI97" s="16" t="s">
        <v>393</v>
      </c>
      <c r="CJ97" s="16" t="s">
        <v>421</v>
      </c>
      <c r="CK97" s="16" t="s">
        <v>510</v>
      </c>
      <c r="CL97" s="16" t="s">
        <v>344</v>
      </c>
      <c r="CM97" s="16" t="s">
        <v>344</v>
      </c>
      <c r="CN97" s="16" t="s">
        <v>344</v>
      </c>
      <c r="CO97" s="16" t="s">
        <v>345</v>
      </c>
      <c r="CP97" s="16" t="s">
        <v>345</v>
      </c>
      <c r="CQ97" s="16" t="s">
        <v>344</v>
      </c>
      <c r="CR97" s="16" t="s">
        <v>655</v>
      </c>
      <c r="CS97" s="16">
        <v>80</v>
      </c>
      <c r="CT97" s="16">
        <v>20</v>
      </c>
      <c r="CU97" s="16">
        <v>100</v>
      </c>
      <c r="CV97" s="16">
        <v>65</v>
      </c>
      <c r="CW97" s="16" t="s">
        <v>364</v>
      </c>
      <c r="CX97" s="16" t="s">
        <v>395</v>
      </c>
      <c r="CY97" s="16" t="s">
        <v>396</v>
      </c>
      <c r="CZ97" s="16" t="s">
        <v>397</v>
      </c>
      <c r="DA97" s="16" t="s">
        <v>397</v>
      </c>
      <c r="DB97" s="16" t="s">
        <v>397</v>
      </c>
      <c r="DC97" s="16" t="s">
        <v>397</v>
      </c>
      <c r="DD97" s="16" t="s">
        <v>397</v>
      </c>
      <c r="DE97" s="16" t="s">
        <v>423</v>
      </c>
      <c r="DF97" s="16" t="s">
        <v>423</v>
      </c>
      <c r="DG97" s="16" t="s">
        <v>397</v>
      </c>
      <c r="DH97" s="16" t="s">
        <v>397</v>
      </c>
      <c r="DI97" s="16" t="s">
        <v>366</v>
      </c>
      <c r="DJ97" s="16" t="s">
        <v>840</v>
      </c>
      <c r="DK97" s="16" t="s">
        <v>367</v>
      </c>
      <c r="DL97" s="16" t="s">
        <v>368</v>
      </c>
      <c r="DM97" s="16" t="s">
        <v>368</v>
      </c>
      <c r="DN97" s="16" t="s">
        <v>368</v>
      </c>
      <c r="DO97" s="16" t="s">
        <v>368</v>
      </c>
      <c r="DP97" s="16" t="s">
        <v>368</v>
      </c>
      <c r="DQ97" s="16" t="s">
        <v>368</v>
      </c>
      <c r="DR97" s="16" t="s">
        <v>368</v>
      </c>
      <c r="DS97" s="16" t="s">
        <v>345</v>
      </c>
      <c r="DT97" s="16" t="s">
        <v>368</v>
      </c>
      <c r="DU97" s="16" t="s">
        <v>368</v>
      </c>
      <c r="DV97" s="16" t="s">
        <v>368</v>
      </c>
      <c r="DW97" s="16" t="s">
        <v>345</v>
      </c>
      <c r="DX97" s="16" t="s">
        <v>369</v>
      </c>
      <c r="DY97" s="16" t="s">
        <v>369</v>
      </c>
      <c r="DZ97" s="16" t="s">
        <v>398</v>
      </c>
      <c r="EA97" s="16" t="s">
        <v>369</v>
      </c>
      <c r="EB97" s="16" t="s">
        <v>369</v>
      </c>
      <c r="EC97" s="16" t="s">
        <v>369</v>
      </c>
      <c r="ED97" s="16" t="s">
        <v>399</v>
      </c>
      <c r="EE97" s="16" t="s">
        <v>370</v>
      </c>
      <c r="EF97" s="16" t="s">
        <v>370</v>
      </c>
      <c r="EG97" s="16" t="s">
        <v>370</v>
      </c>
      <c r="EH97" s="16" t="s">
        <v>370</v>
      </c>
      <c r="EI97" s="16" t="s">
        <v>370</v>
      </c>
      <c r="EJ97" s="16" t="s">
        <v>370</v>
      </c>
      <c r="EK97" s="16" t="s">
        <v>370</v>
      </c>
      <c r="EL97" s="16" t="s">
        <v>440</v>
      </c>
      <c r="EM97" s="16" t="s">
        <v>373</v>
      </c>
      <c r="EN97" s="16" t="s">
        <v>372</v>
      </c>
      <c r="EO97" s="16"/>
      <c r="EP97" s="16"/>
      <c r="EQ97" s="16" t="s">
        <v>375</v>
      </c>
      <c r="ER97" s="16" t="s">
        <v>375</v>
      </c>
      <c r="ES97" s="16" t="s">
        <v>375</v>
      </c>
      <c r="ET97" s="16" t="s">
        <v>375</v>
      </c>
      <c r="EU97" s="16" t="s">
        <v>375</v>
      </c>
      <c r="EV97" s="16" t="s">
        <v>400</v>
      </c>
      <c r="EW97" s="16"/>
      <c r="EX97" s="16" t="s">
        <v>368</v>
      </c>
      <c r="EY97" s="16" t="s">
        <v>368</v>
      </c>
      <c r="EZ97" s="16" t="s">
        <v>368</v>
      </c>
      <c r="FA97" s="16" t="s">
        <v>345</v>
      </c>
      <c r="FB97" s="16" t="s">
        <v>401</v>
      </c>
      <c r="FC97" s="16"/>
      <c r="FD97" s="16" t="s">
        <v>401</v>
      </c>
      <c r="FE97" s="16"/>
      <c r="FF97" s="16"/>
      <c r="FG97" s="16"/>
      <c r="FH97" s="16"/>
      <c r="FI97" s="16"/>
      <c r="FJ97" s="16"/>
      <c r="FK97" s="16"/>
      <c r="FL97" s="16"/>
      <c r="FM97" s="16"/>
      <c r="FN97" s="16"/>
      <c r="FO97" s="16"/>
      <c r="FP97" s="16"/>
      <c r="FQ97" s="16"/>
      <c r="FR97" s="16"/>
      <c r="FS97" s="16"/>
      <c r="FT97" s="16"/>
      <c r="FU97" s="16"/>
      <c r="FV97" s="16"/>
      <c r="FW97" s="16"/>
      <c r="FX97" s="16"/>
      <c r="FY97" s="16"/>
      <c r="FZ97" s="16"/>
      <c r="GA97" s="16" t="s">
        <v>368</v>
      </c>
      <c r="GB97" s="16" t="s">
        <v>368</v>
      </c>
      <c r="GC97" s="16" t="s">
        <v>368</v>
      </c>
      <c r="GD97" s="16" t="s">
        <v>368</v>
      </c>
      <c r="GE97" s="16" t="s">
        <v>368</v>
      </c>
      <c r="GF97" s="16" t="s">
        <v>368</v>
      </c>
      <c r="GG97" s="16"/>
      <c r="GH97" s="16"/>
      <c r="GI97" s="16"/>
      <c r="GJ97" s="16"/>
      <c r="GK97" s="16"/>
      <c r="GL97" s="16" t="s">
        <v>344</v>
      </c>
      <c r="GM97" s="16" t="s">
        <v>344</v>
      </c>
      <c r="GN97" s="16" t="s">
        <v>344</v>
      </c>
      <c r="GO97" s="16" t="s">
        <v>344</v>
      </c>
      <c r="GP97" s="16" t="s">
        <v>344</v>
      </c>
      <c r="GQ97" s="16" t="s">
        <v>344</v>
      </c>
      <c r="GR97" s="16" t="s">
        <v>345</v>
      </c>
      <c r="GS97" s="16" t="s">
        <v>345</v>
      </c>
      <c r="GT97" s="16" t="s">
        <v>344</v>
      </c>
      <c r="GU97" s="16" t="s">
        <v>345</v>
      </c>
      <c r="GV97" s="16" t="s">
        <v>345</v>
      </c>
      <c r="GW97" s="16" t="s">
        <v>345</v>
      </c>
      <c r="GX97" s="16" t="s">
        <v>345</v>
      </c>
      <c r="GY97" s="16" t="s">
        <v>344</v>
      </c>
      <c r="GZ97" s="16" t="s">
        <v>344</v>
      </c>
      <c r="HA97" s="16"/>
      <c r="HB97" s="16" t="s">
        <v>344</v>
      </c>
      <c r="HC97" s="16"/>
      <c r="HD97" s="16" t="s">
        <v>344</v>
      </c>
      <c r="HE97" s="16"/>
      <c r="HF97" s="16" t="s">
        <v>344</v>
      </c>
      <c r="HG97" s="16"/>
      <c r="HH97" s="16" t="s">
        <v>344</v>
      </c>
      <c r="HI97" s="16"/>
      <c r="HJ97" s="16" t="s">
        <v>344</v>
      </c>
      <c r="HK97" s="16" t="s">
        <v>344</v>
      </c>
      <c r="HL97" s="16" t="s">
        <v>344</v>
      </c>
      <c r="HM97" s="16" t="s">
        <v>344</v>
      </c>
      <c r="HN97" s="16" t="s">
        <v>344</v>
      </c>
      <c r="HO97" s="16" t="s">
        <v>344</v>
      </c>
      <c r="HP97" s="16" t="s">
        <v>344</v>
      </c>
      <c r="HQ97" s="16" t="s">
        <v>344</v>
      </c>
      <c r="HR97" s="16" t="s">
        <v>344</v>
      </c>
      <c r="HS97" s="16" t="s">
        <v>344</v>
      </c>
      <c r="HT97" s="16" t="s">
        <v>344</v>
      </c>
      <c r="HU97" s="16" t="s">
        <v>344</v>
      </c>
      <c r="HV97" s="16" t="s">
        <v>344</v>
      </c>
      <c r="HW97" s="16" t="s">
        <v>344</v>
      </c>
      <c r="HX97" s="16" t="s">
        <v>345</v>
      </c>
      <c r="HY97" s="16"/>
      <c r="HZ97" s="16" t="s">
        <v>344</v>
      </c>
      <c r="IA97" s="16"/>
      <c r="IB97" s="16" t="s">
        <v>344</v>
      </c>
      <c r="IC97" s="16"/>
      <c r="ID97" s="16" t="s">
        <v>344</v>
      </c>
      <c r="IE97" s="16"/>
      <c r="IF97" s="16" t="s">
        <v>344</v>
      </c>
      <c r="IG97" s="16"/>
      <c r="IH97" s="16" t="s">
        <v>345</v>
      </c>
      <c r="II97" s="16" t="s">
        <v>345</v>
      </c>
      <c r="IJ97" s="16" t="s">
        <v>344</v>
      </c>
      <c r="IK97" s="16" t="s">
        <v>345</v>
      </c>
      <c r="IL97" s="16" t="s">
        <v>345</v>
      </c>
      <c r="IM97" s="16" t="s">
        <v>345</v>
      </c>
      <c r="IN97" s="16" t="s">
        <v>344</v>
      </c>
      <c r="IO97" s="16" t="s">
        <v>345</v>
      </c>
      <c r="IP97" s="16" t="s">
        <v>344</v>
      </c>
      <c r="IQ97" s="16" t="s">
        <v>344</v>
      </c>
      <c r="IR97" s="16" t="s">
        <v>344</v>
      </c>
      <c r="IS97" s="16" t="s">
        <v>344</v>
      </c>
      <c r="IT97" s="16"/>
      <c r="IU97" s="16"/>
      <c r="IV97" s="16"/>
      <c r="IW97" s="16"/>
      <c r="IX97" s="16"/>
      <c r="IY97" s="16"/>
      <c r="IZ97" s="16"/>
      <c r="JA97" s="16"/>
      <c r="JB97" s="16"/>
      <c r="JC97" s="16"/>
      <c r="JD97" s="16"/>
      <c r="JE97" s="16"/>
      <c r="JF97" s="16"/>
      <c r="JG97" s="16"/>
      <c r="JH97" s="16"/>
    </row>
    <row r="98" spans="1:268" x14ac:dyDescent="0.3">
      <c r="A98" s="16" t="s">
        <v>813</v>
      </c>
      <c r="B98" s="16">
        <v>178</v>
      </c>
      <c r="C98" s="16" t="s">
        <v>841</v>
      </c>
      <c r="D98" s="16">
        <v>14</v>
      </c>
      <c r="E98" s="16" t="s">
        <v>340</v>
      </c>
      <c r="F98" s="16">
        <v>305740472</v>
      </c>
      <c r="G98" s="16" t="s">
        <v>842</v>
      </c>
      <c r="H98" s="16" t="s">
        <v>841</v>
      </c>
      <c r="I98" s="16" t="s">
        <v>816</v>
      </c>
      <c r="J98" s="16">
        <v>17</v>
      </c>
      <c r="K98" s="16" t="s">
        <v>406</v>
      </c>
      <c r="L98" s="16"/>
      <c r="M98" s="16" t="s">
        <v>344</v>
      </c>
      <c r="N98" s="16" t="s">
        <v>345</v>
      </c>
      <c r="O98" s="16" t="s">
        <v>344</v>
      </c>
      <c r="P98" s="16" t="s">
        <v>344</v>
      </c>
      <c r="Q98" s="16" t="s">
        <v>344</v>
      </c>
      <c r="R98" s="16"/>
      <c r="S98" s="16" t="s">
        <v>522</v>
      </c>
      <c r="T98" s="16"/>
      <c r="U98" s="16" t="s">
        <v>347</v>
      </c>
      <c r="V98" s="16"/>
      <c r="W98" s="16" t="s">
        <v>345</v>
      </c>
      <c r="X98" s="16" t="s">
        <v>344</v>
      </c>
      <c r="Y98" s="16" t="s">
        <v>344</v>
      </c>
      <c r="Z98" s="16" t="s">
        <v>344</v>
      </c>
      <c r="AA98" s="16" t="s">
        <v>344</v>
      </c>
      <c r="AB98" s="16" t="s">
        <v>345</v>
      </c>
      <c r="AC98" s="16" t="s">
        <v>344</v>
      </c>
      <c r="AD98" s="16" t="s">
        <v>345</v>
      </c>
      <c r="AE98" s="16" t="s">
        <v>345</v>
      </c>
      <c r="AF98" s="16" t="s">
        <v>344</v>
      </c>
      <c r="AG98" s="16" t="s">
        <v>344</v>
      </c>
      <c r="AH98" s="16" t="s">
        <v>345</v>
      </c>
      <c r="AI98" s="16" t="s">
        <v>344</v>
      </c>
      <c r="AJ98" s="16" t="s">
        <v>344</v>
      </c>
      <c r="AK98" s="16" t="s">
        <v>345</v>
      </c>
      <c r="AL98" s="16" t="s">
        <v>344</v>
      </c>
      <c r="AM98" s="16" t="s">
        <v>344</v>
      </c>
      <c r="AN98" s="16" t="s">
        <v>344</v>
      </c>
      <c r="AO98" s="16" t="s">
        <v>345</v>
      </c>
      <c r="AP98" s="16" t="s">
        <v>344</v>
      </c>
      <c r="AQ98" s="16" t="s">
        <v>344</v>
      </c>
      <c r="AR98" s="16" t="s">
        <v>344</v>
      </c>
      <c r="AS98" s="16" t="s">
        <v>344</v>
      </c>
      <c r="AT98" s="16" t="s">
        <v>345</v>
      </c>
      <c r="AU98" s="16" t="s">
        <v>345</v>
      </c>
      <c r="AV98" s="16" t="s">
        <v>344</v>
      </c>
      <c r="AW98" s="16" t="s">
        <v>345</v>
      </c>
      <c r="AX98" s="16" t="s">
        <v>344</v>
      </c>
      <c r="AY98" s="16" t="s">
        <v>733</v>
      </c>
      <c r="AZ98" s="16" t="s">
        <v>732</v>
      </c>
      <c r="BA98" s="16" t="s">
        <v>732</v>
      </c>
      <c r="BB98" s="16" t="s">
        <v>733</v>
      </c>
      <c r="BC98" s="16" t="s">
        <v>733</v>
      </c>
      <c r="BD98" s="16" t="s">
        <v>732</v>
      </c>
      <c r="BE98" s="16" t="s">
        <v>348</v>
      </c>
      <c r="BF98" s="16" t="s">
        <v>348</v>
      </c>
      <c r="BG98" s="16" t="s">
        <v>349</v>
      </c>
      <c r="BH98" s="16" t="s">
        <v>350</v>
      </c>
      <c r="BI98" s="16" t="s">
        <v>350</v>
      </c>
      <c r="BJ98" s="16" t="s">
        <v>391</v>
      </c>
      <c r="BK98" s="16" t="s">
        <v>391</v>
      </c>
      <c r="BL98" s="16" t="s">
        <v>391</v>
      </c>
      <c r="BM98" s="16" t="s">
        <v>391</v>
      </c>
      <c r="BN98" s="16" t="s">
        <v>391</v>
      </c>
      <c r="BO98" s="16" t="s">
        <v>391</v>
      </c>
      <c r="BP98" s="16" t="s">
        <v>391</v>
      </c>
      <c r="BQ98" s="16" t="s">
        <v>407</v>
      </c>
      <c r="BR98" s="16" t="s">
        <v>367</v>
      </c>
      <c r="BS98" s="16" t="s">
        <v>391</v>
      </c>
      <c r="BT98" s="16" t="s">
        <v>391</v>
      </c>
      <c r="BU98" s="16" t="s">
        <v>391</v>
      </c>
      <c r="BV98" s="16" t="s">
        <v>391</v>
      </c>
      <c r="BW98" s="16" t="s">
        <v>391</v>
      </c>
      <c r="BX98" s="16" t="s">
        <v>391</v>
      </c>
      <c r="BY98" s="16" t="s">
        <v>391</v>
      </c>
      <c r="BZ98" s="16" t="s">
        <v>391</v>
      </c>
      <c r="CA98" s="16" t="s">
        <v>391</v>
      </c>
      <c r="CB98" s="16" t="s">
        <v>391</v>
      </c>
      <c r="CC98" s="16" t="s">
        <v>391</v>
      </c>
      <c r="CD98" s="16" t="s">
        <v>391</v>
      </c>
      <c r="CE98" s="16" t="s">
        <v>391</v>
      </c>
      <c r="CF98" s="16" t="s">
        <v>391</v>
      </c>
      <c r="CG98" s="16" t="s">
        <v>420</v>
      </c>
      <c r="CH98" s="16" t="s">
        <v>392</v>
      </c>
      <c r="CI98" s="16" t="s">
        <v>392</v>
      </c>
      <c r="CJ98" s="16" t="s">
        <v>360</v>
      </c>
      <c r="CK98" s="16" t="s">
        <v>843</v>
      </c>
      <c r="CL98" s="16" t="s">
        <v>344</v>
      </c>
      <c r="CM98" s="16" t="s">
        <v>344</v>
      </c>
      <c r="CN98" s="16" t="s">
        <v>344</v>
      </c>
      <c r="CO98" s="16" t="s">
        <v>345</v>
      </c>
      <c r="CP98" s="16" t="s">
        <v>345</v>
      </c>
      <c r="CQ98" s="16" t="s">
        <v>344</v>
      </c>
      <c r="CR98" s="16" t="s">
        <v>667</v>
      </c>
      <c r="CS98" s="16">
        <v>60</v>
      </c>
      <c r="CT98" s="16">
        <v>30</v>
      </c>
      <c r="CU98" s="16">
        <v>100</v>
      </c>
      <c r="CV98" s="16">
        <v>10</v>
      </c>
      <c r="CW98" s="16" t="s">
        <v>363</v>
      </c>
      <c r="CX98" s="16" t="s">
        <v>396</v>
      </c>
      <c r="CY98" s="16" t="s">
        <v>395</v>
      </c>
      <c r="CZ98" s="16" t="s">
        <v>397</v>
      </c>
      <c r="DA98" s="16" t="s">
        <v>397</v>
      </c>
      <c r="DB98" s="16" t="s">
        <v>397</v>
      </c>
      <c r="DC98" s="16" t="s">
        <v>397</v>
      </c>
      <c r="DD98" s="16" t="s">
        <v>397</v>
      </c>
      <c r="DE98" s="16" t="s">
        <v>397</v>
      </c>
      <c r="DF98" s="16" t="s">
        <v>366</v>
      </c>
      <c r="DG98" s="16" t="s">
        <v>397</v>
      </c>
      <c r="DH98" s="16" t="s">
        <v>397</v>
      </c>
      <c r="DI98" s="16" t="s">
        <v>397</v>
      </c>
      <c r="DJ98" s="16" t="s">
        <v>843</v>
      </c>
      <c r="DK98" s="16" t="s">
        <v>367</v>
      </c>
      <c r="DL98" s="16" t="s">
        <v>368</v>
      </c>
      <c r="DM98" s="16" t="s">
        <v>368</v>
      </c>
      <c r="DN98" s="16" t="s">
        <v>368</v>
      </c>
      <c r="DO98" s="16" t="s">
        <v>368</v>
      </c>
      <c r="DP98" s="16" t="s">
        <v>344</v>
      </c>
      <c r="DQ98" s="16" t="s">
        <v>344</v>
      </c>
      <c r="DR98" s="16" t="s">
        <v>345</v>
      </c>
      <c r="DS98" s="16" t="s">
        <v>344</v>
      </c>
      <c r="DT98" s="16" t="s">
        <v>344</v>
      </c>
      <c r="DU98" s="16" t="s">
        <v>345</v>
      </c>
      <c r="DV98" s="16" t="s">
        <v>344</v>
      </c>
      <c r="DW98" s="16" t="s">
        <v>344</v>
      </c>
      <c r="DX98" s="16" t="s">
        <v>369</v>
      </c>
      <c r="DY98" s="16" t="s">
        <v>369</v>
      </c>
      <c r="DZ98" s="16" t="s">
        <v>369</v>
      </c>
      <c r="EA98" s="16" t="s">
        <v>369</v>
      </c>
      <c r="EB98" s="16" t="s">
        <v>369</v>
      </c>
      <c r="EC98" s="16" t="s">
        <v>369</v>
      </c>
      <c r="ED98" s="16" t="s">
        <v>399</v>
      </c>
      <c r="EE98" s="16" t="s">
        <v>370</v>
      </c>
      <c r="EF98" s="16" t="s">
        <v>370</v>
      </c>
      <c r="EG98" s="16" t="s">
        <v>370</v>
      </c>
      <c r="EH98" s="16" t="s">
        <v>370</v>
      </c>
      <c r="EI98" s="16" t="s">
        <v>370</v>
      </c>
      <c r="EJ98" s="16" t="s">
        <v>370</v>
      </c>
      <c r="EK98" s="16" t="s">
        <v>370</v>
      </c>
      <c r="EL98" s="16" t="s">
        <v>374</v>
      </c>
      <c r="EM98" s="16" t="s">
        <v>440</v>
      </c>
      <c r="EN98" s="16" t="s">
        <v>373</v>
      </c>
      <c r="EO98" s="16"/>
      <c r="EP98" s="16"/>
      <c r="EQ98" s="16" t="s">
        <v>375</v>
      </c>
      <c r="ER98" s="16" t="s">
        <v>376</v>
      </c>
      <c r="ES98" s="16" t="s">
        <v>377</v>
      </c>
      <c r="ET98" s="16" t="s">
        <v>377</v>
      </c>
      <c r="EU98" s="16" t="s">
        <v>378</v>
      </c>
      <c r="EV98" s="16" t="s">
        <v>400</v>
      </c>
      <c r="EW98" s="16"/>
      <c r="EX98" s="16" t="s">
        <v>368</v>
      </c>
      <c r="EY98" s="16" t="s">
        <v>368</v>
      </c>
      <c r="EZ98" s="16" t="s">
        <v>368</v>
      </c>
      <c r="FA98" s="16" t="s">
        <v>345</v>
      </c>
      <c r="FB98" s="16" t="s">
        <v>401</v>
      </c>
      <c r="FC98" s="16"/>
      <c r="FD98" s="16" t="s">
        <v>401</v>
      </c>
      <c r="FE98" s="16"/>
      <c r="FF98" s="16" t="s">
        <v>412</v>
      </c>
      <c r="FG98" s="16" t="s">
        <v>413</v>
      </c>
      <c r="FH98" s="16" t="s">
        <v>384</v>
      </c>
      <c r="FI98" s="16" t="s">
        <v>385</v>
      </c>
      <c r="FJ98" s="16"/>
      <c r="FK98" s="16"/>
      <c r="FL98" s="16"/>
      <c r="FM98" s="16"/>
      <c r="FN98" s="16"/>
      <c r="FO98" s="16"/>
      <c r="FP98" s="16"/>
      <c r="FQ98" s="16"/>
      <c r="FR98" s="16"/>
      <c r="FS98" s="16"/>
      <c r="FT98" s="16"/>
      <c r="FU98" s="16"/>
      <c r="FV98" s="16"/>
      <c r="FW98" s="16"/>
      <c r="FX98" s="16"/>
      <c r="FY98" s="16"/>
      <c r="FZ98" s="16"/>
      <c r="GA98" s="16" t="s">
        <v>368</v>
      </c>
      <c r="GB98" s="16" t="s">
        <v>368</v>
      </c>
      <c r="GC98" s="16" t="s">
        <v>368</v>
      </c>
      <c r="GD98" s="16" t="s">
        <v>368</v>
      </c>
      <c r="GE98" s="16" t="s">
        <v>368</v>
      </c>
      <c r="GF98" s="16" t="s">
        <v>368</v>
      </c>
      <c r="GG98" s="16"/>
      <c r="GH98" s="16"/>
      <c r="GI98" s="16"/>
      <c r="GJ98" s="16"/>
      <c r="GK98" s="16"/>
      <c r="GL98" s="16" t="s">
        <v>344</v>
      </c>
      <c r="GM98" s="16" t="s">
        <v>344</v>
      </c>
      <c r="GN98" s="16" t="s">
        <v>344</v>
      </c>
      <c r="GO98" s="16" t="s">
        <v>344</v>
      </c>
      <c r="GP98" s="16" t="s">
        <v>344</v>
      </c>
      <c r="GQ98" s="16" t="s">
        <v>344</v>
      </c>
      <c r="GR98" s="16" t="s">
        <v>344</v>
      </c>
      <c r="GS98" s="16" t="s">
        <v>344</v>
      </c>
      <c r="GT98" s="16" t="s">
        <v>344</v>
      </c>
      <c r="GU98" s="16" t="s">
        <v>344</v>
      </c>
      <c r="GV98" s="16" t="s">
        <v>344</v>
      </c>
      <c r="GW98" s="16" t="s">
        <v>344</v>
      </c>
      <c r="GX98" s="16" t="s">
        <v>344</v>
      </c>
      <c r="GY98" s="16" t="s">
        <v>344</v>
      </c>
      <c r="GZ98" s="16" t="s">
        <v>345</v>
      </c>
      <c r="HA98" s="16"/>
      <c r="HB98" s="16" t="s">
        <v>344</v>
      </c>
      <c r="HC98" s="16"/>
      <c r="HD98" s="16" t="s">
        <v>344</v>
      </c>
      <c r="HE98" s="16"/>
      <c r="HF98" s="16" t="s">
        <v>344</v>
      </c>
      <c r="HG98" s="16"/>
      <c r="HH98" s="16" t="s">
        <v>344</v>
      </c>
      <c r="HI98" s="16"/>
      <c r="HJ98" s="16" t="s">
        <v>344</v>
      </c>
      <c r="HK98" s="16" t="s">
        <v>344</v>
      </c>
      <c r="HL98" s="16" t="s">
        <v>344</v>
      </c>
      <c r="HM98" s="16" t="s">
        <v>344</v>
      </c>
      <c r="HN98" s="16" t="s">
        <v>344</v>
      </c>
      <c r="HO98" s="16" t="s">
        <v>344</v>
      </c>
      <c r="HP98" s="16" t="s">
        <v>344</v>
      </c>
      <c r="HQ98" s="16" t="s">
        <v>344</v>
      </c>
      <c r="HR98" s="16" t="s">
        <v>344</v>
      </c>
      <c r="HS98" s="16" t="s">
        <v>344</v>
      </c>
      <c r="HT98" s="16" t="s">
        <v>344</v>
      </c>
      <c r="HU98" s="16" t="s">
        <v>344</v>
      </c>
      <c r="HV98" s="16" t="s">
        <v>344</v>
      </c>
      <c r="HW98" s="16" t="s">
        <v>344</v>
      </c>
      <c r="HX98" s="16" t="s">
        <v>345</v>
      </c>
      <c r="HY98" s="16"/>
      <c r="HZ98" s="16" t="s">
        <v>344</v>
      </c>
      <c r="IA98" s="16"/>
      <c r="IB98" s="16" t="s">
        <v>345</v>
      </c>
      <c r="IC98" s="16" t="s">
        <v>844</v>
      </c>
      <c r="ID98" s="16" t="s">
        <v>344</v>
      </c>
      <c r="IE98" s="16"/>
      <c r="IF98" s="16" t="s">
        <v>344</v>
      </c>
      <c r="IG98" s="16"/>
      <c r="IH98" s="16" t="s">
        <v>345</v>
      </c>
      <c r="II98" s="16" t="s">
        <v>344</v>
      </c>
      <c r="IJ98" s="16" t="s">
        <v>344</v>
      </c>
      <c r="IK98" s="16" t="s">
        <v>344</v>
      </c>
      <c r="IL98" s="16" t="s">
        <v>345</v>
      </c>
      <c r="IM98" s="16" t="s">
        <v>344</v>
      </c>
      <c r="IN98" s="16" t="s">
        <v>344</v>
      </c>
      <c r="IO98" s="16" t="s">
        <v>345</v>
      </c>
      <c r="IP98" s="16" t="s">
        <v>344</v>
      </c>
      <c r="IQ98" s="16" t="s">
        <v>344</v>
      </c>
      <c r="IR98" s="16" t="s">
        <v>345</v>
      </c>
      <c r="IS98" s="16" t="s">
        <v>344</v>
      </c>
      <c r="IT98" s="16"/>
      <c r="IU98" s="16"/>
      <c r="IV98" s="16"/>
      <c r="IW98" s="16"/>
      <c r="IX98" s="16"/>
      <c r="IY98" s="16"/>
      <c r="IZ98" s="16"/>
      <c r="JA98" s="16"/>
      <c r="JB98" s="16"/>
      <c r="JC98" s="16"/>
      <c r="JD98" s="16"/>
      <c r="JE98" s="16"/>
      <c r="JF98" s="16"/>
      <c r="JG98" s="16"/>
      <c r="JH98" s="16"/>
    </row>
    <row r="99" spans="1:268" x14ac:dyDescent="0.3">
      <c r="A99" s="16" t="s">
        <v>813</v>
      </c>
      <c r="B99" s="16">
        <v>179</v>
      </c>
      <c r="C99" s="16" t="s">
        <v>845</v>
      </c>
      <c r="D99" s="16">
        <v>14</v>
      </c>
      <c r="E99" s="16" t="s">
        <v>340</v>
      </c>
      <c r="F99" s="16">
        <v>1922022380</v>
      </c>
      <c r="G99" s="16" t="s">
        <v>846</v>
      </c>
      <c r="H99" s="16" t="s">
        <v>845</v>
      </c>
      <c r="I99" s="16" t="s">
        <v>816</v>
      </c>
      <c r="J99" s="16">
        <v>17</v>
      </c>
      <c r="K99" s="16" t="s">
        <v>389</v>
      </c>
      <c r="L99" s="16"/>
      <c r="M99" s="16" t="s">
        <v>344</v>
      </c>
      <c r="N99" s="16" t="s">
        <v>345</v>
      </c>
      <c r="O99" s="16" t="s">
        <v>344</v>
      </c>
      <c r="P99" s="16" t="s">
        <v>344</v>
      </c>
      <c r="Q99" s="16" t="s">
        <v>344</v>
      </c>
      <c r="R99" s="16"/>
      <c r="S99" s="16" t="s">
        <v>522</v>
      </c>
      <c r="T99" s="16"/>
      <c r="U99" s="16" t="s">
        <v>347</v>
      </c>
      <c r="V99" s="16"/>
      <c r="W99" s="16" t="s">
        <v>344</v>
      </c>
      <c r="X99" s="16" t="s">
        <v>344</v>
      </c>
      <c r="Y99" s="16" t="s">
        <v>344</v>
      </c>
      <c r="Z99" s="16" t="s">
        <v>344</v>
      </c>
      <c r="AA99" s="16" t="s">
        <v>344</v>
      </c>
      <c r="AB99" s="16" t="s">
        <v>345</v>
      </c>
      <c r="AC99" s="16" t="s">
        <v>344</v>
      </c>
      <c r="AD99" s="16" t="s">
        <v>344</v>
      </c>
      <c r="AE99" s="16" t="s">
        <v>345</v>
      </c>
      <c r="AF99" s="16" t="s">
        <v>344</v>
      </c>
      <c r="AG99" s="16" t="s">
        <v>344</v>
      </c>
      <c r="AH99" s="16" t="s">
        <v>344</v>
      </c>
      <c r="AI99" s="16" t="s">
        <v>345</v>
      </c>
      <c r="AJ99" s="16" t="s">
        <v>344</v>
      </c>
      <c r="AK99" s="16" t="s">
        <v>345</v>
      </c>
      <c r="AL99" s="16" t="s">
        <v>344</v>
      </c>
      <c r="AM99" s="16" t="s">
        <v>344</v>
      </c>
      <c r="AN99" s="16" t="s">
        <v>345</v>
      </c>
      <c r="AO99" s="16" t="s">
        <v>345</v>
      </c>
      <c r="AP99" s="16" t="s">
        <v>344</v>
      </c>
      <c r="AQ99" s="16" t="s">
        <v>344</v>
      </c>
      <c r="AR99" s="16" t="s">
        <v>345</v>
      </c>
      <c r="AS99" s="16" t="s">
        <v>344</v>
      </c>
      <c r="AT99" s="16" t="s">
        <v>345</v>
      </c>
      <c r="AU99" s="16" t="s">
        <v>344</v>
      </c>
      <c r="AV99" s="16" t="s">
        <v>344</v>
      </c>
      <c r="AW99" s="16" t="s">
        <v>344</v>
      </c>
      <c r="AX99" s="16" t="s">
        <v>344</v>
      </c>
      <c r="AY99" s="16" t="s">
        <v>733</v>
      </c>
      <c r="AZ99" s="16" t="s">
        <v>731</v>
      </c>
      <c r="BA99" s="16" t="s">
        <v>732</v>
      </c>
      <c r="BB99" s="16" t="s">
        <v>737</v>
      </c>
      <c r="BC99" s="16" t="s">
        <v>733</v>
      </c>
      <c r="BD99" s="16" t="s">
        <v>737</v>
      </c>
      <c r="BE99" s="16" t="s">
        <v>349</v>
      </c>
      <c r="BF99" s="16" t="s">
        <v>349</v>
      </c>
      <c r="BG99" s="16" t="s">
        <v>390</v>
      </c>
      <c r="BH99" s="16" t="s">
        <v>390</v>
      </c>
      <c r="BI99" s="16" t="s">
        <v>390</v>
      </c>
      <c r="BJ99" s="16" t="s">
        <v>354</v>
      </c>
      <c r="BK99" s="16" t="s">
        <v>356</v>
      </c>
      <c r="BL99" s="16" t="s">
        <v>357</v>
      </c>
      <c r="BM99" s="16" t="s">
        <v>353</v>
      </c>
      <c r="BN99" s="16" t="s">
        <v>391</v>
      </c>
      <c r="BO99" s="16" t="s">
        <v>352</v>
      </c>
      <c r="BP99" s="16" t="s">
        <v>355</v>
      </c>
      <c r="BQ99" s="16" t="s">
        <v>419</v>
      </c>
      <c r="BR99" s="16" t="s">
        <v>408</v>
      </c>
      <c r="BS99" s="16" t="s">
        <v>356</v>
      </c>
      <c r="BT99" s="16" t="s">
        <v>352</v>
      </c>
      <c r="BU99" s="16" t="s">
        <v>354</v>
      </c>
      <c r="BV99" s="16" t="s">
        <v>357</v>
      </c>
      <c r="BW99" s="16" t="s">
        <v>353</v>
      </c>
      <c r="BX99" s="16" t="s">
        <v>351</v>
      </c>
      <c r="BY99" s="16" t="s">
        <v>355</v>
      </c>
      <c r="BZ99" s="16" t="s">
        <v>354</v>
      </c>
      <c r="CA99" s="16" t="s">
        <v>353</v>
      </c>
      <c r="CB99" s="16" t="s">
        <v>356</v>
      </c>
      <c r="CC99" s="16" t="s">
        <v>357</v>
      </c>
      <c r="CD99" s="16" t="s">
        <v>352</v>
      </c>
      <c r="CE99" s="16" t="s">
        <v>351</v>
      </c>
      <c r="CF99" s="16" t="s">
        <v>355</v>
      </c>
      <c r="CG99" s="16" t="s">
        <v>392</v>
      </c>
      <c r="CH99" s="16" t="s">
        <v>421</v>
      </c>
      <c r="CI99" s="16" t="s">
        <v>360</v>
      </c>
      <c r="CJ99" s="16" t="s">
        <v>420</v>
      </c>
      <c r="CK99" s="16" t="s">
        <v>847</v>
      </c>
      <c r="CL99" s="16" t="s">
        <v>344</v>
      </c>
      <c r="CM99" s="16" t="s">
        <v>344</v>
      </c>
      <c r="CN99" s="16" t="s">
        <v>345</v>
      </c>
      <c r="CO99" s="16" t="s">
        <v>344</v>
      </c>
      <c r="CP99" s="16" t="s">
        <v>344</v>
      </c>
      <c r="CQ99" s="16" t="s">
        <v>344</v>
      </c>
      <c r="CR99" s="16" t="s">
        <v>667</v>
      </c>
      <c r="CS99" s="16">
        <v>15</v>
      </c>
      <c r="CT99" s="16">
        <v>50</v>
      </c>
      <c r="CU99" s="16">
        <v>55</v>
      </c>
      <c r="CV99" s="16">
        <v>10</v>
      </c>
      <c r="CW99" s="16" t="s">
        <v>396</v>
      </c>
      <c r="CX99" s="16" t="s">
        <v>363</v>
      </c>
      <c r="CY99" s="16" t="s">
        <v>396</v>
      </c>
      <c r="CZ99" s="16" t="s">
        <v>397</v>
      </c>
      <c r="DA99" s="16" t="s">
        <v>397</v>
      </c>
      <c r="DB99" s="16" t="s">
        <v>397</v>
      </c>
      <c r="DC99" s="16" t="s">
        <v>397</v>
      </c>
      <c r="DD99" s="16" t="s">
        <v>397</v>
      </c>
      <c r="DE99" s="16" t="s">
        <v>397</v>
      </c>
      <c r="DF99" s="16" t="s">
        <v>397</v>
      </c>
      <c r="DG99" s="16" t="s">
        <v>397</v>
      </c>
      <c r="DH99" s="16" t="s">
        <v>397</v>
      </c>
      <c r="DI99" s="16" t="s">
        <v>397</v>
      </c>
      <c r="DJ99" s="16"/>
      <c r="DK99" s="16" t="s">
        <v>367</v>
      </c>
      <c r="DL99" s="16" t="s">
        <v>368</v>
      </c>
      <c r="DM99" s="16" t="s">
        <v>368</v>
      </c>
      <c r="DN99" s="16" t="s">
        <v>368</v>
      </c>
      <c r="DO99" s="16" t="s">
        <v>368</v>
      </c>
      <c r="DP99" s="16" t="s">
        <v>368</v>
      </c>
      <c r="DQ99" s="16" t="s">
        <v>368</v>
      </c>
      <c r="DR99" s="16" t="s">
        <v>368</v>
      </c>
      <c r="DS99" s="16" t="s">
        <v>345</v>
      </c>
      <c r="DT99" s="16" t="s">
        <v>345</v>
      </c>
      <c r="DU99" s="16" t="s">
        <v>344</v>
      </c>
      <c r="DV99" s="16" t="s">
        <v>344</v>
      </c>
      <c r="DW99" s="16" t="s">
        <v>344</v>
      </c>
      <c r="DX99" s="16" t="s">
        <v>369</v>
      </c>
      <c r="DY99" s="16" t="s">
        <v>370</v>
      </c>
      <c r="DZ99" s="16" t="s">
        <v>369</v>
      </c>
      <c r="EA99" s="16" t="s">
        <v>371</v>
      </c>
      <c r="EB99" s="16" t="s">
        <v>369</v>
      </c>
      <c r="EC99" s="16" t="s">
        <v>369</v>
      </c>
      <c r="ED99" s="16" t="s">
        <v>398</v>
      </c>
      <c r="EE99" s="16" t="s">
        <v>370</v>
      </c>
      <c r="EF99" s="16" t="s">
        <v>370</v>
      </c>
      <c r="EG99" s="16" t="s">
        <v>370</v>
      </c>
      <c r="EH99" s="16" t="s">
        <v>370</v>
      </c>
      <c r="EI99" s="16" t="s">
        <v>370</v>
      </c>
      <c r="EJ99" s="16" t="s">
        <v>370</v>
      </c>
      <c r="EK99" s="16" t="s">
        <v>370</v>
      </c>
      <c r="EL99" s="16" t="s">
        <v>373</v>
      </c>
      <c r="EM99" s="16" t="s">
        <v>440</v>
      </c>
      <c r="EN99" s="16" t="s">
        <v>372</v>
      </c>
      <c r="EO99" s="16"/>
      <c r="EP99" s="16"/>
      <c r="EQ99" s="16" t="s">
        <v>391</v>
      </c>
      <c r="ER99" s="16" t="s">
        <v>375</v>
      </c>
      <c r="ES99" s="16" t="s">
        <v>376</v>
      </c>
      <c r="ET99" s="16" t="s">
        <v>391</v>
      </c>
      <c r="EU99" s="16" t="s">
        <v>376</v>
      </c>
      <c r="EV99" s="16" t="s">
        <v>400</v>
      </c>
      <c r="EW99" s="16"/>
      <c r="EX99" s="16" t="s">
        <v>368</v>
      </c>
      <c r="EY99" s="16" t="s">
        <v>368</v>
      </c>
      <c r="EZ99" s="16" t="s">
        <v>368</v>
      </c>
      <c r="FA99" s="16" t="s">
        <v>345</v>
      </c>
      <c r="FB99" s="16" t="s">
        <v>380</v>
      </c>
      <c r="FC99" s="16"/>
      <c r="FD99" s="16" t="s">
        <v>401</v>
      </c>
      <c r="FE99" s="16"/>
      <c r="FF99" s="16" t="s">
        <v>412</v>
      </c>
      <c r="FG99" s="16" t="s">
        <v>383</v>
      </c>
      <c r="FH99" s="16" t="s">
        <v>432</v>
      </c>
      <c r="FI99" s="16" t="s">
        <v>403</v>
      </c>
      <c r="FJ99" s="16"/>
      <c r="FK99" s="16"/>
      <c r="FL99" s="16"/>
      <c r="FM99" s="16"/>
      <c r="FN99" s="16"/>
      <c r="FO99" s="16"/>
      <c r="FP99" s="16"/>
      <c r="FQ99" s="16"/>
      <c r="FR99" s="16"/>
      <c r="FS99" s="16"/>
      <c r="FT99" s="16"/>
      <c r="FU99" s="16"/>
      <c r="FV99" s="16"/>
      <c r="FW99" s="16"/>
      <c r="FX99" s="16"/>
      <c r="FY99" s="16"/>
      <c r="FZ99" s="16"/>
      <c r="GA99" s="16" t="s">
        <v>368</v>
      </c>
      <c r="GB99" s="16" t="s">
        <v>368</v>
      </c>
      <c r="GC99" s="16" t="s">
        <v>368</v>
      </c>
      <c r="GD99" s="16" t="s">
        <v>368</v>
      </c>
      <c r="GE99" s="16" t="s">
        <v>368</v>
      </c>
      <c r="GF99" s="16" t="s">
        <v>368</v>
      </c>
      <c r="GG99" s="16"/>
      <c r="GH99" s="16"/>
      <c r="GI99" s="16"/>
      <c r="GJ99" s="16"/>
      <c r="GK99" s="16"/>
      <c r="GL99" s="16" t="s">
        <v>344</v>
      </c>
      <c r="GM99" s="16" t="s">
        <v>344</v>
      </c>
      <c r="GN99" s="16" t="s">
        <v>344</v>
      </c>
      <c r="GO99" s="16" t="s">
        <v>344</v>
      </c>
      <c r="GP99" s="16" t="s">
        <v>344</v>
      </c>
      <c r="GQ99" s="16" t="s">
        <v>344</v>
      </c>
      <c r="GR99" s="16" t="s">
        <v>344</v>
      </c>
      <c r="GS99" s="16" t="s">
        <v>344</v>
      </c>
      <c r="GT99" s="16" t="s">
        <v>344</v>
      </c>
      <c r="GU99" s="16" t="s">
        <v>344</v>
      </c>
      <c r="GV99" s="16" t="s">
        <v>344</v>
      </c>
      <c r="GW99" s="16" t="s">
        <v>344</v>
      </c>
      <c r="GX99" s="16" t="s">
        <v>344</v>
      </c>
      <c r="GY99" s="16" t="s">
        <v>344</v>
      </c>
      <c r="GZ99" s="16" t="s">
        <v>345</v>
      </c>
      <c r="HA99" s="16"/>
      <c r="HB99" s="16" t="s">
        <v>344</v>
      </c>
      <c r="HC99" s="16"/>
      <c r="HD99" s="16" t="s">
        <v>344</v>
      </c>
      <c r="HE99" s="16"/>
      <c r="HF99" s="16" t="s">
        <v>344</v>
      </c>
      <c r="HG99" s="16"/>
      <c r="HH99" s="16" t="s">
        <v>344</v>
      </c>
      <c r="HI99" s="16"/>
      <c r="HJ99" s="16" t="s">
        <v>344</v>
      </c>
      <c r="HK99" s="16" t="s">
        <v>344</v>
      </c>
      <c r="HL99" s="16" t="s">
        <v>344</v>
      </c>
      <c r="HM99" s="16" t="s">
        <v>344</v>
      </c>
      <c r="HN99" s="16" t="s">
        <v>344</v>
      </c>
      <c r="HO99" s="16" t="s">
        <v>344</v>
      </c>
      <c r="HP99" s="16" t="s">
        <v>344</v>
      </c>
      <c r="HQ99" s="16" t="s">
        <v>344</v>
      </c>
      <c r="HR99" s="16" t="s">
        <v>344</v>
      </c>
      <c r="HS99" s="16" t="s">
        <v>344</v>
      </c>
      <c r="HT99" s="16" t="s">
        <v>344</v>
      </c>
      <c r="HU99" s="16" t="s">
        <v>344</v>
      </c>
      <c r="HV99" s="16" t="s">
        <v>345</v>
      </c>
      <c r="HW99" s="16" t="s">
        <v>344</v>
      </c>
      <c r="HX99" s="16" t="s">
        <v>344</v>
      </c>
      <c r="HY99" s="16"/>
      <c r="HZ99" s="16" t="s">
        <v>344</v>
      </c>
      <c r="IA99" s="16"/>
      <c r="IB99" s="16" t="s">
        <v>344</v>
      </c>
      <c r="IC99" s="16"/>
      <c r="ID99" s="16" t="s">
        <v>344</v>
      </c>
      <c r="IE99" s="16"/>
      <c r="IF99" s="16" t="s">
        <v>344</v>
      </c>
      <c r="IG99" s="16"/>
      <c r="IH99" s="16" t="s">
        <v>344</v>
      </c>
      <c r="II99" s="16" t="s">
        <v>344</v>
      </c>
      <c r="IJ99" s="16" t="s">
        <v>344</v>
      </c>
      <c r="IK99" s="16" t="s">
        <v>344</v>
      </c>
      <c r="IL99" s="16" t="s">
        <v>345</v>
      </c>
      <c r="IM99" s="16" t="s">
        <v>345</v>
      </c>
      <c r="IN99" s="16" t="s">
        <v>344</v>
      </c>
      <c r="IO99" s="16" t="s">
        <v>344</v>
      </c>
      <c r="IP99" s="16" t="s">
        <v>344</v>
      </c>
      <c r="IQ99" s="16" t="s">
        <v>344</v>
      </c>
      <c r="IR99" s="16" t="s">
        <v>344</v>
      </c>
      <c r="IS99" s="16" t="s">
        <v>344</v>
      </c>
      <c r="IT99" s="16"/>
      <c r="IU99" s="16"/>
      <c r="IV99" s="16"/>
      <c r="IW99" s="16"/>
      <c r="IX99" s="16"/>
      <c r="IY99" s="16"/>
      <c r="IZ99" s="16"/>
      <c r="JA99" s="16"/>
      <c r="JB99" s="16"/>
      <c r="JC99" s="16"/>
      <c r="JD99" s="16"/>
      <c r="JE99" s="16"/>
      <c r="JF99" s="16"/>
      <c r="JG99" s="16"/>
      <c r="JH99" s="16"/>
    </row>
    <row r="100" spans="1:268" x14ac:dyDescent="0.3">
      <c r="A100" s="16" t="s">
        <v>813</v>
      </c>
      <c r="B100" s="16">
        <v>180</v>
      </c>
      <c r="C100" s="16" t="s">
        <v>848</v>
      </c>
      <c r="D100" s="16">
        <v>14</v>
      </c>
      <c r="E100" s="16" t="s">
        <v>340</v>
      </c>
      <c r="F100" s="16">
        <v>346132662</v>
      </c>
      <c r="G100" s="16" t="s">
        <v>849</v>
      </c>
      <c r="H100" s="16" t="s">
        <v>848</v>
      </c>
      <c r="I100" s="16" t="s">
        <v>816</v>
      </c>
      <c r="J100" s="16">
        <v>18</v>
      </c>
      <c r="K100" s="16" t="s">
        <v>389</v>
      </c>
      <c r="L100" s="16"/>
      <c r="M100" s="16" t="s">
        <v>345</v>
      </c>
      <c r="N100" s="16" t="s">
        <v>345</v>
      </c>
      <c r="O100" s="16" t="s">
        <v>344</v>
      </c>
      <c r="P100" s="16" t="s">
        <v>344</v>
      </c>
      <c r="Q100" s="16" t="s">
        <v>344</v>
      </c>
      <c r="R100" s="16"/>
      <c r="S100" s="16" t="s">
        <v>522</v>
      </c>
      <c r="T100" s="16"/>
      <c r="U100" s="16" t="s">
        <v>428</v>
      </c>
      <c r="V100" s="16"/>
      <c r="W100" s="16" t="s">
        <v>345</v>
      </c>
      <c r="X100" s="16" t="s">
        <v>344</v>
      </c>
      <c r="Y100" s="16" t="s">
        <v>344</v>
      </c>
      <c r="Z100" s="16" t="s">
        <v>344</v>
      </c>
      <c r="AA100" s="16" t="s">
        <v>344</v>
      </c>
      <c r="AB100" s="16" t="s">
        <v>344</v>
      </c>
      <c r="AC100" s="16" t="s">
        <v>344</v>
      </c>
      <c r="AD100" s="16" t="s">
        <v>344</v>
      </c>
      <c r="AE100" s="16" t="s">
        <v>345</v>
      </c>
      <c r="AF100" s="16" t="s">
        <v>344</v>
      </c>
      <c r="AG100" s="16" t="s">
        <v>345</v>
      </c>
      <c r="AH100" s="16" t="s">
        <v>344</v>
      </c>
      <c r="AI100" s="16" t="s">
        <v>344</v>
      </c>
      <c r="AJ100" s="16" t="s">
        <v>344</v>
      </c>
      <c r="AK100" s="16" t="s">
        <v>345</v>
      </c>
      <c r="AL100" s="16" t="s">
        <v>344</v>
      </c>
      <c r="AM100" s="16" t="s">
        <v>344</v>
      </c>
      <c r="AN100" s="16" t="s">
        <v>345</v>
      </c>
      <c r="AO100" s="16" t="s">
        <v>344</v>
      </c>
      <c r="AP100" s="16" t="s">
        <v>344</v>
      </c>
      <c r="AQ100" s="16" t="s">
        <v>344</v>
      </c>
      <c r="AR100" s="16" t="s">
        <v>344</v>
      </c>
      <c r="AS100" s="16" t="s">
        <v>344</v>
      </c>
      <c r="AT100" s="16" t="s">
        <v>345</v>
      </c>
      <c r="AU100" s="16" t="s">
        <v>344</v>
      </c>
      <c r="AV100" s="16" t="s">
        <v>345</v>
      </c>
      <c r="AW100" s="16" t="s">
        <v>345</v>
      </c>
      <c r="AX100" s="16" t="s">
        <v>344</v>
      </c>
      <c r="AY100" s="16" t="s">
        <v>733</v>
      </c>
      <c r="AZ100" s="16" t="s">
        <v>731</v>
      </c>
      <c r="BA100" s="16" t="s">
        <v>732</v>
      </c>
      <c r="BB100" s="16" t="s">
        <v>733</v>
      </c>
      <c r="BC100" s="16" t="s">
        <v>731</v>
      </c>
      <c r="BD100" s="16" t="s">
        <v>732</v>
      </c>
      <c r="BE100" s="16" t="s">
        <v>390</v>
      </c>
      <c r="BF100" s="16" t="s">
        <v>390</v>
      </c>
      <c r="BG100" s="16" t="s">
        <v>390</v>
      </c>
      <c r="BH100" s="16" t="s">
        <v>349</v>
      </c>
      <c r="BI100" s="16" t="s">
        <v>349</v>
      </c>
      <c r="BJ100" s="16" t="s">
        <v>354</v>
      </c>
      <c r="BK100" s="16" t="s">
        <v>354</v>
      </c>
      <c r="BL100" s="16" t="s">
        <v>355</v>
      </c>
      <c r="BM100" s="16" t="s">
        <v>357</v>
      </c>
      <c r="BN100" s="16" t="s">
        <v>353</v>
      </c>
      <c r="BO100" s="16" t="s">
        <v>354</v>
      </c>
      <c r="BP100" s="16" t="s">
        <v>355</v>
      </c>
      <c r="BQ100" s="16" t="s">
        <v>455</v>
      </c>
      <c r="BR100" s="16" t="s">
        <v>429</v>
      </c>
      <c r="BS100" s="16" t="s">
        <v>354</v>
      </c>
      <c r="BT100" s="16" t="s">
        <v>351</v>
      </c>
      <c r="BU100" s="16" t="s">
        <v>353</v>
      </c>
      <c r="BV100" s="16" t="s">
        <v>351</v>
      </c>
      <c r="BW100" s="16" t="s">
        <v>353</v>
      </c>
      <c r="BX100" s="16" t="s">
        <v>351</v>
      </c>
      <c r="BY100" s="16" t="s">
        <v>354</v>
      </c>
      <c r="BZ100" s="16" t="s">
        <v>354</v>
      </c>
      <c r="CA100" s="16" t="s">
        <v>355</v>
      </c>
      <c r="CB100" s="16" t="s">
        <v>353</v>
      </c>
      <c r="CC100" s="16" t="s">
        <v>353</v>
      </c>
      <c r="CD100" s="16" t="s">
        <v>353</v>
      </c>
      <c r="CE100" s="16" t="s">
        <v>351</v>
      </c>
      <c r="CF100" s="16" t="s">
        <v>391</v>
      </c>
      <c r="CG100" s="16" t="s">
        <v>420</v>
      </c>
      <c r="CH100" s="16" t="s">
        <v>393</v>
      </c>
      <c r="CI100" s="16" t="s">
        <v>392</v>
      </c>
      <c r="CJ100" s="16" t="s">
        <v>393</v>
      </c>
      <c r="CK100" s="16" t="s">
        <v>850</v>
      </c>
      <c r="CL100" s="16" t="s">
        <v>344</v>
      </c>
      <c r="CM100" s="16" t="s">
        <v>344</v>
      </c>
      <c r="CN100" s="16" t="s">
        <v>345</v>
      </c>
      <c r="CO100" s="16" t="s">
        <v>344</v>
      </c>
      <c r="CP100" s="16" t="s">
        <v>345</v>
      </c>
      <c r="CQ100" s="16" t="s">
        <v>344</v>
      </c>
      <c r="CR100" s="16" t="s">
        <v>655</v>
      </c>
      <c r="CS100" s="16">
        <v>10</v>
      </c>
      <c r="CT100" s="16">
        <v>65</v>
      </c>
      <c r="CU100" s="16">
        <v>77</v>
      </c>
      <c r="CV100" s="16">
        <v>1</v>
      </c>
      <c r="CW100" s="16" t="s">
        <v>395</v>
      </c>
      <c r="CX100" s="16" t="s">
        <v>396</v>
      </c>
      <c r="CY100" s="16" t="s">
        <v>396</v>
      </c>
      <c r="CZ100" s="16" t="s">
        <v>397</v>
      </c>
      <c r="DA100" s="16" t="s">
        <v>397</v>
      </c>
      <c r="DB100" s="16" t="s">
        <v>397</v>
      </c>
      <c r="DC100" s="16" t="s">
        <v>397</v>
      </c>
      <c r="DD100" s="16" t="s">
        <v>397</v>
      </c>
      <c r="DE100" s="16" t="s">
        <v>397</v>
      </c>
      <c r="DF100" s="16" t="s">
        <v>366</v>
      </c>
      <c r="DG100" s="16" t="s">
        <v>397</v>
      </c>
      <c r="DH100" s="16" t="s">
        <v>397</v>
      </c>
      <c r="DI100" s="16" t="s">
        <v>397</v>
      </c>
      <c r="DJ100" s="16"/>
      <c r="DK100" s="16" t="s">
        <v>367</v>
      </c>
      <c r="DL100" s="16" t="s">
        <v>368</v>
      </c>
      <c r="DM100" s="16" t="s">
        <v>368</v>
      </c>
      <c r="DN100" s="16" t="s">
        <v>368</v>
      </c>
      <c r="DO100" s="16" t="s">
        <v>368</v>
      </c>
      <c r="DP100" s="16" t="s">
        <v>368</v>
      </c>
      <c r="DQ100" s="16" t="s">
        <v>368</v>
      </c>
      <c r="DR100" s="16" t="s">
        <v>368</v>
      </c>
      <c r="DS100" s="16" t="s">
        <v>345</v>
      </c>
      <c r="DT100" s="16" t="s">
        <v>345</v>
      </c>
      <c r="DU100" s="16" t="s">
        <v>345</v>
      </c>
      <c r="DV100" s="16" t="s">
        <v>345</v>
      </c>
      <c r="DW100" s="16" t="s">
        <v>344</v>
      </c>
      <c r="DX100" s="16" t="s">
        <v>371</v>
      </c>
      <c r="DY100" s="16" t="s">
        <v>371</v>
      </c>
      <c r="DZ100" s="16" t="s">
        <v>369</v>
      </c>
      <c r="EA100" s="16" t="s">
        <v>399</v>
      </c>
      <c r="EB100" s="16" t="s">
        <v>370</v>
      </c>
      <c r="EC100" s="16" t="s">
        <v>369</v>
      </c>
      <c r="ED100" s="16" t="s">
        <v>399</v>
      </c>
      <c r="EE100" s="16" t="s">
        <v>370</v>
      </c>
      <c r="EF100" s="16" t="s">
        <v>370</v>
      </c>
      <c r="EG100" s="16" t="s">
        <v>369</v>
      </c>
      <c r="EH100" s="16" t="s">
        <v>370</v>
      </c>
      <c r="EI100" s="16" t="s">
        <v>370</v>
      </c>
      <c r="EJ100" s="16" t="s">
        <v>370</v>
      </c>
      <c r="EK100" s="16" t="s">
        <v>370</v>
      </c>
      <c r="EL100" s="16" t="s">
        <v>372</v>
      </c>
      <c r="EM100" s="16" t="s">
        <v>374</v>
      </c>
      <c r="EN100" s="16" t="s">
        <v>373</v>
      </c>
      <c r="EO100" s="16"/>
      <c r="EP100" s="16"/>
      <c r="EQ100" s="16" t="s">
        <v>376</v>
      </c>
      <c r="ER100" s="16" t="s">
        <v>375</v>
      </c>
      <c r="ES100" s="16" t="s">
        <v>375</v>
      </c>
      <c r="ET100" s="16" t="s">
        <v>378</v>
      </c>
      <c r="EU100" s="16" t="s">
        <v>376</v>
      </c>
      <c r="EV100" s="16" t="s">
        <v>400</v>
      </c>
      <c r="EW100" s="16"/>
      <c r="EX100" s="16" t="s">
        <v>368</v>
      </c>
      <c r="EY100" s="16" t="s">
        <v>368</v>
      </c>
      <c r="EZ100" s="16" t="s">
        <v>368</v>
      </c>
      <c r="FA100" s="16" t="s">
        <v>345</v>
      </c>
      <c r="FB100" s="16" t="s">
        <v>401</v>
      </c>
      <c r="FC100" s="16"/>
      <c r="FD100" s="16" t="s">
        <v>401</v>
      </c>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t="s">
        <v>368</v>
      </c>
      <c r="GB100" s="16" t="s">
        <v>368</v>
      </c>
      <c r="GC100" s="16" t="s">
        <v>368</v>
      </c>
      <c r="GD100" s="16" t="s">
        <v>368</v>
      </c>
      <c r="GE100" s="16" t="s">
        <v>368</v>
      </c>
      <c r="GF100" s="16" t="s">
        <v>368</v>
      </c>
      <c r="GG100" s="16"/>
      <c r="GH100" s="16"/>
      <c r="GI100" s="16"/>
      <c r="GJ100" s="16"/>
      <c r="GK100" s="16"/>
      <c r="GL100" s="16" t="s">
        <v>344</v>
      </c>
      <c r="GM100" s="16" t="s">
        <v>344</v>
      </c>
      <c r="GN100" s="16" t="s">
        <v>344</v>
      </c>
      <c r="GO100" s="16" t="s">
        <v>344</v>
      </c>
      <c r="GP100" s="16" t="s">
        <v>344</v>
      </c>
      <c r="GQ100" s="16" t="s">
        <v>344</v>
      </c>
      <c r="GR100" s="16" t="s">
        <v>344</v>
      </c>
      <c r="GS100" s="16" t="s">
        <v>344</v>
      </c>
      <c r="GT100" s="16" t="s">
        <v>344</v>
      </c>
      <c r="GU100" s="16" t="s">
        <v>344</v>
      </c>
      <c r="GV100" s="16" t="s">
        <v>344</v>
      </c>
      <c r="GW100" s="16" t="s">
        <v>344</v>
      </c>
      <c r="GX100" s="16" t="s">
        <v>344</v>
      </c>
      <c r="GY100" s="16" t="s">
        <v>344</v>
      </c>
      <c r="GZ100" s="16" t="s">
        <v>345</v>
      </c>
      <c r="HA100" s="16"/>
      <c r="HB100" s="16" t="s">
        <v>344</v>
      </c>
      <c r="HC100" s="16"/>
      <c r="HD100" s="16" t="s">
        <v>344</v>
      </c>
      <c r="HE100" s="16"/>
      <c r="HF100" s="16" t="s">
        <v>344</v>
      </c>
      <c r="HG100" s="16"/>
      <c r="HH100" s="16" t="s">
        <v>344</v>
      </c>
      <c r="HI100" s="16"/>
      <c r="HJ100" s="16" t="s">
        <v>344</v>
      </c>
      <c r="HK100" s="16" t="s">
        <v>344</v>
      </c>
      <c r="HL100" s="16" t="s">
        <v>344</v>
      </c>
      <c r="HM100" s="16" t="s">
        <v>344</v>
      </c>
      <c r="HN100" s="16" t="s">
        <v>344</v>
      </c>
      <c r="HO100" s="16" t="s">
        <v>344</v>
      </c>
      <c r="HP100" s="16" t="s">
        <v>344</v>
      </c>
      <c r="HQ100" s="16" t="s">
        <v>344</v>
      </c>
      <c r="HR100" s="16" t="s">
        <v>344</v>
      </c>
      <c r="HS100" s="16" t="s">
        <v>344</v>
      </c>
      <c r="HT100" s="16" t="s">
        <v>344</v>
      </c>
      <c r="HU100" s="16" t="s">
        <v>345</v>
      </c>
      <c r="HV100" s="16" t="s">
        <v>345</v>
      </c>
      <c r="HW100" s="16" t="s">
        <v>344</v>
      </c>
      <c r="HX100" s="16" t="s">
        <v>344</v>
      </c>
      <c r="HY100" s="16"/>
      <c r="HZ100" s="16" t="s">
        <v>344</v>
      </c>
      <c r="IA100" s="16"/>
      <c r="IB100" s="16" t="s">
        <v>344</v>
      </c>
      <c r="IC100" s="16"/>
      <c r="ID100" s="16" t="s">
        <v>344</v>
      </c>
      <c r="IE100" s="16"/>
      <c r="IF100" s="16" t="s">
        <v>344</v>
      </c>
      <c r="IG100" s="16"/>
      <c r="IH100" s="16" t="s">
        <v>344</v>
      </c>
      <c r="II100" s="16" t="s">
        <v>345</v>
      </c>
      <c r="IJ100" s="16" t="s">
        <v>344</v>
      </c>
      <c r="IK100" s="16" t="s">
        <v>344</v>
      </c>
      <c r="IL100" s="16" t="s">
        <v>345</v>
      </c>
      <c r="IM100" s="16" t="s">
        <v>345</v>
      </c>
      <c r="IN100" s="16" t="s">
        <v>344</v>
      </c>
      <c r="IO100" s="16" t="s">
        <v>344</v>
      </c>
      <c r="IP100" s="16" t="s">
        <v>344</v>
      </c>
      <c r="IQ100" s="16" t="s">
        <v>344</v>
      </c>
      <c r="IR100" s="16" t="s">
        <v>344</v>
      </c>
      <c r="IS100" s="16" t="s">
        <v>344</v>
      </c>
      <c r="IT100" s="16"/>
      <c r="IU100" s="16" t="s">
        <v>851</v>
      </c>
      <c r="IV100" s="16"/>
      <c r="IW100" s="16"/>
      <c r="IX100" s="16"/>
      <c r="IY100" s="16"/>
      <c r="IZ100" s="16"/>
      <c r="JA100" s="16"/>
      <c r="JB100" s="16"/>
      <c r="JC100" s="16"/>
      <c r="JD100" s="16"/>
      <c r="JE100" s="16"/>
      <c r="JF100" s="16"/>
      <c r="JG100" s="16"/>
      <c r="JH100" s="16"/>
    </row>
    <row r="101" spans="1:268" x14ac:dyDescent="0.3">
      <c r="A101" s="16" t="s">
        <v>813</v>
      </c>
      <c r="B101" s="16">
        <v>181</v>
      </c>
      <c r="C101" s="16" t="s">
        <v>852</v>
      </c>
      <c r="D101" s="16">
        <v>14</v>
      </c>
      <c r="E101" s="16" t="s">
        <v>340</v>
      </c>
      <c r="F101" s="16">
        <v>315840760</v>
      </c>
      <c r="G101" s="16" t="s">
        <v>853</v>
      </c>
      <c r="H101" s="16" t="s">
        <v>852</v>
      </c>
      <c r="I101" s="16" t="s">
        <v>816</v>
      </c>
      <c r="J101" s="16">
        <v>17</v>
      </c>
      <c r="K101" s="16" t="s">
        <v>389</v>
      </c>
      <c r="L101" s="16"/>
      <c r="M101" s="16" t="s">
        <v>344</v>
      </c>
      <c r="N101" s="16" t="s">
        <v>345</v>
      </c>
      <c r="O101" s="16" t="s">
        <v>344</v>
      </c>
      <c r="P101" s="16" t="s">
        <v>344</v>
      </c>
      <c r="Q101" s="16" t="s">
        <v>344</v>
      </c>
      <c r="R101" s="16"/>
      <c r="S101" s="16" t="s">
        <v>522</v>
      </c>
      <c r="T101" s="16"/>
      <c r="U101" s="16" t="s">
        <v>428</v>
      </c>
      <c r="V101" s="16"/>
      <c r="W101" s="16" t="s">
        <v>345</v>
      </c>
      <c r="X101" s="16" t="s">
        <v>345</v>
      </c>
      <c r="Y101" s="16" t="s">
        <v>344</v>
      </c>
      <c r="Z101" s="16" t="s">
        <v>344</v>
      </c>
      <c r="AA101" s="16" t="s">
        <v>344</v>
      </c>
      <c r="AB101" s="16" t="s">
        <v>344</v>
      </c>
      <c r="AC101" s="16" t="s">
        <v>344</v>
      </c>
      <c r="AD101" s="16" t="s">
        <v>344</v>
      </c>
      <c r="AE101" s="16" t="s">
        <v>345</v>
      </c>
      <c r="AF101" s="16" t="s">
        <v>344</v>
      </c>
      <c r="AG101" s="16" t="s">
        <v>344</v>
      </c>
      <c r="AH101" s="16" t="s">
        <v>344</v>
      </c>
      <c r="AI101" s="16" t="s">
        <v>345</v>
      </c>
      <c r="AJ101" s="16" t="s">
        <v>344</v>
      </c>
      <c r="AK101" s="16" t="s">
        <v>345</v>
      </c>
      <c r="AL101" s="16" t="s">
        <v>344</v>
      </c>
      <c r="AM101" s="16" t="s">
        <v>344</v>
      </c>
      <c r="AN101" s="16" t="s">
        <v>345</v>
      </c>
      <c r="AO101" s="16" t="s">
        <v>344</v>
      </c>
      <c r="AP101" s="16" t="s">
        <v>344</v>
      </c>
      <c r="AQ101" s="16" t="s">
        <v>344</v>
      </c>
      <c r="AR101" s="16" t="s">
        <v>344</v>
      </c>
      <c r="AS101" s="16" t="s">
        <v>345</v>
      </c>
      <c r="AT101" s="16" t="s">
        <v>344</v>
      </c>
      <c r="AU101" s="16" t="s">
        <v>344</v>
      </c>
      <c r="AV101" s="16" t="s">
        <v>344</v>
      </c>
      <c r="AW101" s="16" t="s">
        <v>345</v>
      </c>
      <c r="AX101" s="16" t="s">
        <v>344</v>
      </c>
      <c r="AY101" s="16" t="s">
        <v>732</v>
      </c>
      <c r="AZ101" s="16" t="s">
        <v>733</v>
      </c>
      <c r="BA101" s="16" t="s">
        <v>731</v>
      </c>
      <c r="BB101" s="16" t="s">
        <v>733</v>
      </c>
      <c r="BC101" s="16" t="s">
        <v>737</v>
      </c>
      <c r="BD101" s="16" t="s">
        <v>731</v>
      </c>
      <c r="BE101" s="16" t="s">
        <v>349</v>
      </c>
      <c r="BF101" s="16" t="s">
        <v>390</v>
      </c>
      <c r="BG101" s="16" t="s">
        <v>390</v>
      </c>
      <c r="BH101" s="16" t="s">
        <v>390</v>
      </c>
      <c r="BI101" s="16" t="s">
        <v>390</v>
      </c>
      <c r="BJ101" s="16" t="s">
        <v>391</v>
      </c>
      <c r="BK101" s="16" t="s">
        <v>356</v>
      </c>
      <c r="BL101" s="16" t="s">
        <v>352</v>
      </c>
      <c r="BM101" s="16" t="s">
        <v>357</v>
      </c>
      <c r="BN101" s="16" t="s">
        <v>391</v>
      </c>
      <c r="BO101" s="16" t="s">
        <v>353</v>
      </c>
      <c r="BP101" s="16" t="s">
        <v>391</v>
      </c>
      <c r="BQ101" s="16" t="s">
        <v>358</v>
      </c>
      <c r="BR101" s="16" t="s">
        <v>367</v>
      </c>
      <c r="BS101" s="16" t="s">
        <v>356</v>
      </c>
      <c r="BT101" s="16" t="s">
        <v>391</v>
      </c>
      <c r="BU101" s="16" t="s">
        <v>391</v>
      </c>
      <c r="BV101" s="16" t="s">
        <v>391</v>
      </c>
      <c r="BW101" s="16" t="s">
        <v>351</v>
      </c>
      <c r="BX101" s="16" t="s">
        <v>354</v>
      </c>
      <c r="BY101" s="16" t="s">
        <v>352</v>
      </c>
      <c r="BZ101" s="16" t="s">
        <v>351</v>
      </c>
      <c r="CA101" s="16" t="s">
        <v>356</v>
      </c>
      <c r="CB101" s="16" t="s">
        <v>352</v>
      </c>
      <c r="CC101" s="16" t="s">
        <v>354</v>
      </c>
      <c r="CD101" s="16" t="s">
        <v>357</v>
      </c>
      <c r="CE101" s="16" t="s">
        <v>353</v>
      </c>
      <c r="CF101" s="16" t="s">
        <v>391</v>
      </c>
      <c r="CG101" s="16" t="s">
        <v>420</v>
      </c>
      <c r="CH101" s="16" t="s">
        <v>421</v>
      </c>
      <c r="CI101" s="16" t="s">
        <v>420</v>
      </c>
      <c r="CJ101" s="16" t="s">
        <v>421</v>
      </c>
      <c r="CK101" s="16" t="s">
        <v>854</v>
      </c>
      <c r="CL101" s="16" t="s">
        <v>344</v>
      </c>
      <c r="CM101" s="16" t="s">
        <v>344</v>
      </c>
      <c r="CN101" s="16" t="s">
        <v>344</v>
      </c>
      <c r="CO101" s="16" t="s">
        <v>344</v>
      </c>
      <c r="CP101" s="16" t="s">
        <v>345</v>
      </c>
      <c r="CQ101" s="16" t="s">
        <v>345</v>
      </c>
      <c r="CR101" s="16" t="s">
        <v>667</v>
      </c>
      <c r="CS101" s="16">
        <v>32</v>
      </c>
      <c r="CT101" s="16">
        <v>85</v>
      </c>
      <c r="CU101" s="16">
        <v>100</v>
      </c>
      <c r="CV101" s="16">
        <v>1</v>
      </c>
      <c r="CW101" s="16" t="s">
        <v>363</v>
      </c>
      <c r="CX101" s="16" t="s">
        <v>395</v>
      </c>
      <c r="CY101" s="16" t="s">
        <v>396</v>
      </c>
      <c r="CZ101" s="16" t="s">
        <v>397</v>
      </c>
      <c r="DA101" s="16" t="s">
        <v>397</v>
      </c>
      <c r="DB101" s="16" t="s">
        <v>397</v>
      </c>
      <c r="DC101" s="16" t="s">
        <v>397</v>
      </c>
      <c r="DD101" s="16" t="s">
        <v>397</v>
      </c>
      <c r="DE101" s="16" t="s">
        <v>397</v>
      </c>
      <c r="DF101" s="16" t="s">
        <v>397</v>
      </c>
      <c r="DG101" s="16" t="s">
        <v>397</v>
      </c>
      <c r="DH101" s="16" t="s">
        <v>397</v>
      </c>
      <c r="DI101" s="16" t="s">
        <v>397</v>
      </c>
      <c r="DJ101" s="16"/>
      <c r="DK101" s="16" t="s">
        <v>367</v>
      </c>
      <c r="DL101" s="16" t="s">
        <v>368</v>
      </c>
      <c r="DM101" s="16" t="s">
        <v>368</v>
      </c>
      <c r="DN101" s="16" t="s">
        <v>368</v>
      </c>
      <c r="DO101" s="16" t="s">
        <v>368</v>
      </c>
      <c r="DP101" s="16" t="s">
        <v>368</v>
      </c>
      <c r="DQ101" s="16" t="s">
        <v>368</v>
      </c>
      <c r="DR101" s="16" t="s">
        <v>368</v>
      </c>
      <c r="DS101" s="16" t="s">
        <v>345</v>
      </c>
      <c r="DT101" s="16" t="s">
        <v>368</v>
      </c>
      <c r="DU101" s="16" t="s">
        <v>368</v>
      </c>
      <c r="DV101" s="16" t="s">
        <v>368</v>
      </c>
      <c r="DW101" s="16" t="s">
        <v>345</v>
      </c>
      <c r="DX101" s="16" t="s">
        <v>369</v>
      </c>
      <c r="DY101" s="16" t="s">
        <v>369</v>
      </c>
      <c r="DZ101" s="16" t="s">
        <v>369</v>
      </c>
      <c r="EA101" s="16" t="s">
        <v>369</v>
      </c>
      <c r="EB101" s="16" t="s">
        <v>369</v>
      </c>
      <c r="EC101" s="16" t="s">
        <v>369</v>
      </c>
      <c r="ED101" s="16" t="s">
        <v>399</v>
      </c>
      <c r="EE101" s="16" t="s">
        <v>370</v>
      </c>
      <c r="EF101" s="16" t="s">
        <v>370</v>
      </c>
      <c r="EG101" s="16" t="s">
        <v>370</v>
      </c>
      <c r="EH101" s="16" t="s">
        <v>370</v>
      </c>
      <c r="EI101" s="16" t="s">
        <v>370</v>
      </c>
      <c r="EJ101" s="16" t="s">
        <v>370</v>
      </c>
      <c r="EK101" s="16" t="s">
        <v>370</v>
      </c>
      <c r="EL101" s="16" t="s">
        <v>372</v>
      </c>
      <c r="EM101" s="16" t="s">
        <v>374</v>
      </c>
      <c r="EN101" s="16" t="s">
        <v>373</v>
      </c>
      <c r="EO101" s="16"/>
      <c r="EP101" s="16"/>
      <c r="EQ101" s="16" t="s">
        <v>411</v>
      </c>
      <c r="ER101" s="16" t="s">
        <v>376</v>
      </c>
      <c r="ES101" s="16" t="s">
        <v>411</v>
      </c>
      <c r="ET101" s="16" t="s">
        <v>391</v>
      </c>
      <c r="EU101" s="16" t="s">
        <v>377</v>
      </c>
      <c r="EV101" s="16" t="s">
        <v>400</v>
      </c>
      <c r="EW101" s="16"/>
      <c r="EX101" s="16" t="s">
        <v>368</v>
      </c>
      <c r="EY101" s="16" t="s">
        <v>368</v>
      </c>
      <c r="EZ101" s="16" t="s">
        <v>368</v>
      </c>
      <c r="FA101" s="16" t="s">
        <v>345</v>
      </c>
      <c r="FB101" s="16" t="s">
        <v>380</v>
      </c>
      <c r="FC101" s="16"/>
      <c r="FD101" s="16" t="s">
        <v>401</v>
      </c>
      <c r="FE101" s="16"/>
      <c r="FF101" s="16" t="s">
        <v>477</v>
      </c>
      <c r="FG101" s="16" t="s">
        <v>402</v>
      </c>
      <c r="FH101" s="16" t="s">
        <v>432</v>
      </c>
      <c r="FI101" s="16" t="s">
        <v>403</v>
      </c>
      <c r="FJ101" s="16"/>
      <c r="FK101" s="16"/>
      <c r="FL101" s="16"/>
      <c r="FM101" s="16"/>
      <c r="FN101" s="16"/>
      <c r="FO101" s="16"/>
      <c r="FP101" s="16"/>
      <c r="FQ101" s="16"/>
      <c r="FR101" s="16"/>
      <c r="FS101" s="16"/>
      <c r="FT101" s="16"/>
      <c r="FU101" s="16"/>
      <c r="FV101" s="16"/>
      <c r="FW101" s="16"/>
      <c r="FX101" s="16"/>
      <c r="FY101" s="16"/>
      <c r="FZ101" s="16"/>
      <c r="GA101" s="16" t="s">
        <v>368</v>
      </c>
      <c r="GB101" s="16" t="s">
        <v>368</v>
      </c>
      <c r="GC101" s="16" t="s">
        <v>368</v>
      </c>
      <c r="GD101" s="16" t="s">
        <v>368</v>
      </c>
      <c r="GE101" s="16" t="s">
        <v>368</v>
      </c>
      <c r="GF101" s="16" t="s">
        <v>368</v>
      </c>
      <c r="GG101" s="16"/>
      <c r="GH101" s="16"/>
      <c r="GI101" s="16"/>
      <c r="GJ101" s="16"/>
      <c r="GK101" s="16"/>
      <c r="GL101" s="16" t="s">
        <v>344</v>
      </c>
      <c r="GM101" s="16" t="s">
        <v>344</v>
      </c>
      <c r="GN101" s="16" t="s">
        <v>344</v>
      </c>
      <c r="GO101" s="16" t="s">
        <v>344</v>
      </c>
      <c r="GP101" s="16" t="s">
        <v>344</v>
      </c>
      <c r="GQ101" s="16" t="s">
        <v>344</v>
      </c>
      <c r="GR101" s="16" t="s">
        <v>344</v>
      </c>
      <c r="GS101" s="16" t="s">
        <v>344</v>
      </c>
      <c r="GT101" s="16" t="s">
        <v>344</v>
      </c>
      <c r="GU101" s="16" t="s">
        <v>344</v>
      </c>
      <c r="GV101" s="16" t="s">
        <v>344</v>
      </c>
      <c r="GW101" s="16" t="s">
        <v>344</v>
      </c>
      <c r="GX101" s="16" t="s">
        <v>344</v>
      </c>
      <c r="GY101" s="16" t="s">
        <v>344</v>
      </c>
      <c r="GZ101" s="16" t="s">
        <v>345</v>
      </c>
      <c r="HA101" s="16"/>
      <c r="HB101" s="16" t="s">
        <v>344</v>
      </c>
      <c r="HC101" s="16"/>
      <c r="HD101" s="16" t="s">
        <v>344</v>
      </c>
      <c r="HE101" s="16"/>
      <c r="HF101" s="16" t="s">
        <v>344</v>
      </c>
      <c r="HG101" s="16"/>
      <c r="HH101" s="16" t="s">
        <v>344</v>
      </c>
      <c r="HI101" s="16"/>
      <c r="HJ101" s="16" t="s">
        <v>344</v>
      </c>
      <c r="HK101" s="16" t="s">
        <v>344</v>
      </c>
      <c r="HL101" s="16" t="s">
        <v>344</v>
      </c>
      <c r="HM101" s="16" t="s">
        <v>344</v>
      </c>
      <c r="HN101" s="16" t="s">
        <v>344</v>
      </c>
      <c r="HO101" s="16" t="s">
        <v>344</v>
      </c>
      <c r="HP101" s="16" t="s">
        <v>344</v>
      </c>
      <c r="HQ101" s="16" t="s">
        <v>344</v>
      </c>
      <c r="HR101" s="16" t="s">
        <v>344</v>
      </c>
      <c r="HS101" s="16" t="s">
        <v>344</v>
      </c>
      <c r="HT101" s="16" t="s">
        <v>344</v>
      </c>
      <c r="HU101" s="16" t="s">
        <v>344</v>
      </c>
      <c r="HV101" s="16" t="s">
        <v>344</v>
      </c>
      <c r="HW101" s="16" t="s">
        <v>344</v>
      </c>
      <c r="HX101" s="16" t="s">
        <v>345</v>
      </c>
      <c r="HY101" s="16"/>
      <c r="HZ101" s="16" t="s">
        <v>344</v>
      </c>
      <c r="IA101" s="16"/>
      <c r="IB101" s="16" t="s">
        <v>344</v>
      </c>
      <c r="IC101" s="16"/>
      <c r="ID101" s="16" t="s">
        <v>344</v>
      </c>
      <c r="IE101" s="16"/>
      <c r="IF101" s="16" t="s">
        <v>344</v>
      </c>
      <c r="IG101" s="16"/>
      <c r="IH101" s="16" t="s">
        <v>344</v>
      </c>
      <c r="II101" s="16" t="s">
        <v>345</v>
      </c>
      <c r="IJ101" s="16" t="s">
        <v>344</v>
      </c>
      <c r="IK101" s="16" t="s">
        <v>344</v>
      </c>
      <c r="IL101" s="16" t="s">
        <v>345</v>
      </c>
      <c r="IM101" s="16" t="s">
        <v>345</v>
      </c>
      <c r="IN101" s="16" t="s">
        <v>344</v>
      </c>
      <c r="IO101" s="16" t="s">
        <v>345</v>
      </c>
      <c r="IP101" s="16" t="s">
        <v>344</v>
      </c>
      <c r="IQ101" s="16" t="s">
        <v>344</v>
      </c>
      <c r="IR101" s="16" t="s">
        <v>344</v>
      </c>
      <c r="IS101" s="16" t="s">
        <v>344</v>
      </c>
      <c r="IT101" s="16"/>
      <c r="IU101" s="16"/>
      <c r="IV101" s="16"/>
      <c r="IW101" s="16"/>
      <c r="IX101" s="16"/>
      <c r="IY101" s="16"/>
      <c r="IZ101" s="16"/>
      <c r="JA101" s="16"/>
      <c r="JB101" s="16"/>
      <c r="JC101" s="16"/>
      <c r="JD101" s="16"/>
      <c r="JE101" s="16"/>
      <c r="JF101" s="16"/>
      <c r="JG101" s="16"/>
      <c r="JH101" s="16"/>
    </row>
    <row r="102" spans="1:268" x14ac:dyDescent="0.3">
      <c r="A102" s="16" t="s">
        <v>813</v>
      </c>
      <c r="B102" s="16">
        <v>182</v>
      </c>
      <c r="C102" s="16" t="s">
        <v>855</v>
      </c>
      <c r="D102" s="16">
        <v>14</v>
      </c>
      <c r="E102" s="16" t="s">
        <v>340</v>
      </c>
      <c r="F102" s="16">
        <v>197622078</v>
      </c>
      <c r="G102" s="16" t="s">
        <v>856</v>
      </c>
      <c r="H102" s="16" t="s">
        <v>855</v>
      </c>
      <c r="I102" s="16" t="s">
        <v>816</v>
      </c>
      <c r="J102" s="16">
        <v>17</v>
      </c>
      <c r="K102" s="16" t="s">
        <v>406</v>
      </c>
      <c r="L102" s="16"/>
      <c r="M102" s="16" t="s">
        <v>344</v>
      </c>
      <c r="N102" s="16" t="s">
        <v>345</v>
      </c>
      <c r="O102" s="16" t="s">
        <v>344</v>
      </c>
      <c r="P102" s="16" t="s">
        <v>344</v>
      </c>
      <c r="Q102" s="16" t="s">
        <v>344</v>
      </c>
      <c r="R102" s="16"/>
      <c r="S102" s="16" t="s">
        <v>522</v>
      </c>
      <c r="T102" s="16"/>
      <c r="U102" s="16" t="s">
        <v>418</v>
      </c>
      <c r="V102" s="16"/>
      <c r="W102" s="16" t="s">
        <v>368</v>
      </c>
      <c r="X102" s="16" t="s">
        <v>368</v>
      </c>
      <c r="Y102" s="16" t="s">
        <v>368</v>
      </c>
      <c r="Z102" s="16" t="s">
        <v>368</v>
      </c>
      <c r="AA102" s="16" t="s">
        <v>368</v>
      </c>
      <c r="AB102" s="16" t="s">
        <v>368</v>
      </c>
      <c r="AC102" s="16" t="s">
        <v>345</v>
      </c>
      <c r="AD102" s="16" t="s">
        <v>345</v>
      </c>
      <c r="AE102" s="16" t="s">
        <v>344</v>
      </c>
      <c r="AF102" s="16" t="s">
        <v>344</v>
      </c>
      <c r="AG102" s="16" t="s">
        <v>344</v>
      </c>
      <c r="AH102" s="16" t="s">
        <v>344</v>
      </c>
      <c r="AI102" s="16" t="s">
        <v>344</v>
      </c>
      <c r="AJ102" s="16" t="s">
        <v>344</v>
      </c>
      <c r="AK102" s="16" t="s">
        <v>344</v>
      </c>
      <c r="AL102" s="16" t="s">
        <v>344</v>
      </c>
      <c r="AM102" s="16" t="s">
        <v>344</v>
      </c>
      <c r="AN102" s="16" t="s">
        <v>344</v>
      </c>
      <c r="AO102" s="16" t="s">
        <v>344</v>
      </c>
      <c r="AP102" s="16" t="s">
        <v>345</v>
      </c>
      <c r="AQ102" s="16" t="s">
        <v>344</v>
      </c>
      <c r="AR102" s="16" t="s">
        <v>344</v>
      </c>
      <c r="AS102" s="16" t="s">
        <v>344</v>
      </c>
      <c r="AT102" s="16" t="s">
        <v>344</v>
      </c>
      <c r="AU102" s="16" t="s">
        <v>344</v>
      </c>
      <c r="AV102" s="16" t="s">
        <v>344</v>
      </c>
      <c r="AW102" s="16" t="s">
        <v>345</v>
      </c>
      <c r="AX102" s="16" t="s">
        <v>344</v>
      </c>
      <c r="AY102" s="16" t="s">
        <v>731</v>
      </c>
      <c r="AZ102" s="16" t="s">
        <v>731</v>
      </c>
      <c r="BA102" s="16" t="s">
        <v>737</v>
      </c>
      <c r="BB102" s="16" t="s">
        <v>733</v>
      </c>
      <c r="BC102" s="16" t="s">
        <v>731</v>
      </c>
      <c r="BD102" s="16" t="s">
        <v>732</v>
      </c>
      <c r="BE102" s="16" t="s">
        <v>390</v>
      </c>
      <c r="BF102" s="16" t="s">
        <v>349</v>
      </c>
      <c r="BG102" s="16" t="s">
        <v>390</v>
      </c>
      <c r="BH102" s="16" t="s">
        <v>390</v>
      </c>
      <c r="BI102" s="16" t="s">
        <v>390</v>
      </c>
      <c r="BJ102" s="16" t="s">
        <v>351</v>
      </c>
      <c r="BK102" s="16" t="s">
        <v>351</v>
      </c>
      <c r="BL102" s="16" t="s">
        <v>353</v>
      </c>
      <c r="BM102" s="16" t="s">
        <v>353</v>
      </c>
      <c r="BN102" s="16" t="s">
        <v>353</v>
      </c>
      <c r="BO102" s="16" t="s">
        <v>351</v>
      </c>
      <c r="BP102" s="16" t="s">
        <v>353</v>
      </c>
      <c r="BQ102" s="16" t="s">
        <v>455</v>
      </c>
      <c r="BR102" s="16" t="s">
        <v>367</v>
      </c>
      <c r="BS102" s="16" t="s">
        <v>391</v>
      </c>
      <c r="BT102" s="16" t="s">
        <v>353</v>
      </c>
      <c r="BU102" s="16" t="s">
        <v>353</v>
      </c>
      <c r="BV102" s="16" t="s">
        <v>391</v>
      </c>
      <c r="BW102" s="16" t="s">
        <v>351</v>
      </c>
      <c r="BX102" s="16" t="s">
        <v>353</v>
      </c>
      <c r="BY102" s="16" t="s">
        <v>353</v>
      </c>
      <c r="BZ102" s="16" t="s">
        <v>353</v>
      </c>
      <c r="CA102" s="16" t="s">
        <v>354</v>
      </c>
      <c r="CB102" s="16" t="s">
        <v>356</v>
      </c>
      <c r="CC102" s="16" t="s">
        <v>351</v>
      </c>
      <c r="CD102" s="16" t="s">
        <v>356</v>
      </c>
      <c r="CE102" s="16" t="s">
        <v>351</v>
      </c>
      <c r="CF102" s="16" t="s">
        <v>351</v>
      </c>
      <c r="CG102" s="16" t="s">
        <v>360</v>
      </c>
      <c r="CH102" s="16" t="s">
        <v>421</v>
      </c>
      <c r="CI102" s="16" t="s">
        <v>420</v>
      </c>
      <c r="CJ102" s="16" t="s">
        <v>360</v>
      </c>
      <c r="CK102" s="16" t="s">
        <v>510</v>
      </c>
      <c r="CL102" s="16" t="s">
        <v>345</v>
      </c>
      <c r="CM102" s="16" t="s">
        <v>344</v>
      </c>
      <c r="CN102" s="16" t="s">
        <v>344</v>
      </c>
      <c r="CO102" s="16" t="s">
        <v>344</v>
      </c>
      <c r="CP102" s="16" t="s">
        <v>344</v>
      </c>
      <c r="CQ102" s="16" t="s">
        <v>344</v>
      </c>
      <c r="CR102" s="16" t="s">
        <v>655</v>
      </c>
      <c r="CS102" s="16">
        <v>100</v>
      </c>
      <c r="CT102" s="16">
        <v>1</v>
      </c>
      <c r="CU102" s="16">
        <v>1</v>
      </c>
      <c r="CV102" s="16">
        <v>100</v>
      </c>
      <c r="CW102" s="16" t="s">
        <v>364</v>
      </c>
      <c r="CX102" s="16" t="s">
        <v>395</v>
      </c>
      <c r="CY102" s="16" t="s">
        <v>364</v>
      </c>
      <c r="CZ102" s="16" t="s">
        <v>365</v>
      </c>
      <c r="DA102" s="16" t="s">
        <v>423</v>
      </c>
      <c r="DB102" s="16" t="s">
        <v>365</v>
      </c>
      <c r="DC102" s="16" t="s">
        <v>423</v>
      </c>
      <c r="DD102" s="16" t="s">
        <v>423</v>
      </c>
      <c r="DE102" s="16" t="s">
        <v>423</v>
      </c>
      <c r="DF102" s="16" t="s">
        <v>423</v>
      </c>
      <c r="DG102" s="16" t="s">
        <v>423</v>
      </c>
      <c r="DH102" s="16" t="s">
        <v>423</v>
      </c>
      <c r="DI102" s="16" t="s">
        <v>423</v>
      </c>
      <c r="DJ102" s="16" t="s">
        <v>857</v>
      </c>
      <c r="DK102" s="16" t="s">
        <v>367</v>
      </c>
      <c r="DL102" s="16" t="s">
        <v>368</v>
      </c>
      <c r="DM102" s="16" t="s">
        <v>368</v>
      </c>
      <c r="DN102" s="16" t="s">
        <v>368</v>
      </c>
      <c r="DO102" s="16" t="s">
        <v>368</v>
      </c>
      <c r="DP102" s="16" t="s">
        <v>344</v>
      </c>
      <c r="DQ102" s="16" t="s">
        <v>344</v>
      </c>
      <c r="DR102" s="16" t="s">
        <v>345</v>
      </c>
      <c r="DS102" s="16" t="s">
        <v>344</v>
      </c>
      <c r="DT102" s="16" t="s">
        <v>344</v>
      </c>
      <c r="DU102" s="16" t="s">
        <v>344</v>
      </c>
      <c r="DV102" s="16" t="s">
        <v>345</v>
      </c>
      <c r="DW102" s="16" t="s">
        <v>344</v>
      </c>
      <c r="DX102" s="16" t="s">
        <v>369</v>
      </c>
      <c r="DY102" s="16" t="s">
        <v>369</v>
      </c>
      <c r="DZ102" s="16" t="s">
        <v>369</v>
      </c>
      <c r="EA102" s="16" t="s">
        <v>369</v>
      </c>
      <c r="EB102" s="16" t="s">
        <v>369</v>
      </c>
      <c r="EC102" s="16" t="s">
        <v>369</v>
      </c>
      <c r="ED102" s="16" t="s">
        <v>369</v>
      </c>
      <c r="EE102" s="16" t="s">
        <v>370</v>
      </c>
      <c r="EF102" s="16" t="s">
        <v>370</v>
      </c>
      <c r="EG102" s="16" t="s">
        <v>370</v>
      </c>
      <c r="EH102" s="16" t="s">
        <v>370</v>
      </c>
      <c r="EI102" s="16" t="s">
        <v>370</v>
      </c>
      <c r="EJ102" s="16" t="s">
        <v>370</v>
      </c>
      <c r="EK102" s="16" t="s">
        <v>370</v>
      </c>
      <c r="EL102" s="16" t="s">
        <v>373</v>
      </c>
      <c r="EM102" s="16" t="s">
        <v>440</v>
      </c>
      <c r="EN102" s="16" t="s">
        <v>372</v>
      </c>
      <c r="EO102" s="16"/>
      <c r="EP102" s="16"/>
      <c r="EQ102" s="16" t="s">
        <v>377</v>
      </c>
      <c r="ER102" s="16" t="s">
        <v>377</v>
      </c>
      <c r="ES102" s="16" t="s">
        <v>377</v>
      </c>
      <c r="ET102" s="16" t="s">
        <v>377</v>
      </c>
      <c r="EU102" s="16" t="s">
        <v>377</v>
      </c>
      <c r="EV102" s="16" t="s">
        <v>400</v>
      </c>
      <c r="EW102" s="16"/>
      <c r="EX102" s="16" t="s">
        <v>368</v>
      </c>
      <c r="EY102" s="16" t="s">
        <v>368</v>
      </c>
      <c r="EZ102" s="16" t="s">
        <v>368</v>
      </c>
      <c r="FA102" s="16" t="s">
        <v>345</v>
      </c>
      <c r="FB102" s="16" t="s">
        <v>380</v>
      </c>
      <c r="FC102" s="16"/>
      <c r="FD102" s="16" t="s">
        <v>401</v>
      </c>
      <c r="FE102" s="16"/>
      <c r="FF102" s="16" t="s">
        <v>382</v>
      </c>
      <c r="FG102" s="16" t="s">
        <v>383</v>
      </c>
      <c r="FH102" s="16" t="s">
        <v>451</v>
      </c>
      <c r="FI102" s="16" t="s">
        <v>403</v>
      </c>
      <c r="FJ102" s="16"/>
      <c r="FK102" s="16"/>
      <c r="FL102" s="16"/>
      <c r="FM102" s="16"/>
      <c r="FN102" s="16"/>
      <c r="FO102" s="16"/>
      <c r="FP102" s="16"/>
      <c r="FQ102" s="16"/>
      <c r="FR102" s="16"/>
      <c r="FS102" s="16"/>
      <c r="FT102" s="16"/>
      <c r="FU102" s="16"/>
      <c r="FV102" s="16"/>
      <c r="FW102" s="16"/>
      <c r="FX102" s="16"/>
      <c r="FY102" s="16"/>
      <c r="FZ102" s="16"/>
      <c r="GA102" s="16" t="s">
        <v>368</v>
      </c>
      <c r="GB102" s="16" t="s">
        <v>368</v>
      </c>
      <c r="GC102" s="16" t="s">
        <v>368</v>
      </c>
      <c r="GD102" s="16" t="s">
        <v>368</v>
      </c>
      <c r="GE102" s="16" t="s">
        <v>368</v>
      </c>
      <c r="GF102" s="16" t="s">
        <v>368</v>
      </c>
      <c r="GG102" s="16"/>
      <c r="GH102" s="16"/>
      <c r="GI102" s="16"/>
      <c r="GJ102" s="16"/>
      <c r="GK102" s="16"/>
      <c r="GL102" s="16" t="s">
        <v>344</v>
      </c>
      <c r="GM102" s="16" t="s">
        <v>344</v>
      </c>
      <c r="GN102" s="16" t="s">
        <v>344</v>
      </c>
      <c r="GO102" s="16" t="s">
        <v>344</v>
      </c>
      <c r="GP102" s="16" t="s">
        <v>344</v>
      </c>
      <c r="GQ102" s="16" t="s">
        <v>344</v>
      </c>
      <c r="GR102" s="16" t="s">
        <v>344</v>
      </c>
      <c r="GS102" s="16" t="s">
        <v>344</v>
      </c>
      <c r="GT102" s="16" t="s">
        <v>344</v>
      </c>
      <c r="GU102" s="16" t="s">
        <v>345</v>
      </c>
      <c r="GV102" s="16" t="s">
        <v>344</v>
      </c>
      <c r="GW102" s="16" t="s">
        <v>344</v>
      </c>
      <c r="GX102" s="16" t="s">
        <v>345</v>
      </c>
      <c r="GY102" s="16" t="s">
        <v>344</v>
      </c>
      <c r="GZ102" s="16" t="s">
        <v>344</v>
      </c>
      <c r="HA102" s="16"/>
      <c r="HB102" s="16" t="s">
        <v>344</v>
      </c>
      <c r="HC102" s="16"/>
      <c r="HD102" s="16" t="s">
        <v>344</v>
      </c>
      <c r="HE102" s="16"/>
      <c r="HF102" s="16" t="s">
        <v>344</v>
      </c>
      <c r="HG102" s="16"/>
      <c r="HH102" s="16" t="s">
        <v>344</v>
      </c>
      <c r="HI102" s="16"/>
      <c r="HJ102" s="16" t="s">
        <v>344</v>
      </c>
      <c r="HK102" s="16" t="s">
        <v>344</v>
      </c>
      <c r="HL102" s="16" t="s">
        <v>344</v>
      </c>
      <c r="HM102" s="16" t="s">
        <v>344</v>
      </c>
      <c r="HN102" s="16" t="s">
        <v>344</v>
      </c>
      <c r="HO102" s="16" t="s">
        <v>344</v>
      </c>
      <c r="HP102" s="16" t="s">
        <v>344</v>
      </c>
      <c r="HQ102" s="16" t="s">
        <v>344</v>
      </c>
      <c r="HR102" s="16" t="s">
        <v>344</v>
      </c>
      <c r="HS102" s="16" t="s">
        <v>344</v>
      </c>
      <c r="HT102" s="16" t="s">
        <v>344</v>
      </c>
      <c r="HU102" s="16" t="s">
        <v>344</v>
      </c>
      <c r="HV102" s="16" t="s">
        <v>344</v>
      </c>
      <c r="HW102" s="16" t="s">
        <v>344</v>
      </c>
      <c r="HX102" s="16" t="s">
        <v>345</v>
      </c>
      <c r="HY102" s="16"/>
      <c r="HZ102" s="16" t="s">
        <v>344</v>
      </c>
      <c r="IA102" s="16"/>
      <c r="IB102" s="16" t="s">
        <v>344</v>
      </c>
      <c r="IC102" s="16"/>
      <c r="ID102" s="16" t="s">
        <v>344</v>
      </c>
      <c r="IE102" s="16"/>
      <c r="IF102" s="16" t="s">
        <v>344</v>
      </c>
      <c r="IG102" s="16"/>
      <c r="IH102" s="16" t="s">
        <v>345</v>
      </c>
      <c r="II102" s="16" t="s">
        <v>345</v>
      </c>
      <c r="IJ102" s="16" t="s">
        <v>345</v>
      </c>
      <c r="IK102" s="16" t="s">
        <v>345</v>
      </c>
      <c r="IL102" s="16" t="s">
        <v>345</v>
      </c>
      <c r="IM102" s="16" t="s">
        <v>345</v>
      </c>
      <c r="IN102" s="16" t="s">
        <v>345</v>
      </c>
      <c r="IO102" s="16" t="s">
        <v>345</v>
      </c>
      <c r="IP102" s="16" t="s">
        <v>344</v>
      </c>
      <c r="IQ102" s="16" t="s">
        <v>344</v>
      </c>
      <c r="IR102" s="16" t="s">
        <v>345</v>
      </c>
      <c r="IS102" s="16" t="s">
        <v>344</v>
      </c>
      <c r="IT102" s="16"/>
      <c r="IU102" s="16" t="s">
        <v>858</v>
      </c>
      <c r="IV102" s="16"/>
      <c r="IW102" s="16"/>
      <c r="IX102" s="16"/>
      <c r="IY102" s="16"/>
      <c r="IZ102" s="16"/>
      <c r="JA102" s="16"/>
      <c r="JB102" s="16"/>
      <c r="JC102" s="16"/>
      <c r="JD102" s="16"/>
      <c r="JE102" s="16"/>
      <c r="JF102" s="16"/>
      <c r="JG102" s="16"/>
      <c r="JH102" s="16"/>
    </row>
    <row r="103" spans="1:268" x14ac:dyDescent="0.3">
      <c r="A103" s="16" t="s">
        <v>813</v>
      </c>
      <c r="B103" s="16">
        <v>183</v>
      </c>
      <c r="C103" s="16" t="s">
        <v>859</v>
      </c>
      <c r="D103" s="16">
        <v>14</v>
      </c>
      <c r="E103" s="16" t="s">
        <v>340</v>
      </c>
      <c r="F103" s="16">
        <v>939730762</v>
      </c>
      <c r="G103" s="16" t="s">
        <v>856</v>
      </c>
      <c r="H103" s="16" t="s">
        <v>859</v>
      </c>
      <c r="I103" s="16" t="s">
        <v>816</v>
      </c>
      <c r="J103" s="16">
        <v>18</v>
      </c>
      <c r="K103" s="16" t="s">
        <v>406</v>
      </c>
      <c r="L103" s="16"/>
      <c r="M103" s="16" t="s">
        <v>344</v>
      </c>
      <c r="N103" s="16" t="s">
        <v>345</v>
      </c>
      <c r="O103" s="16" t="s">
        <v>344</v>
      </c>
      <c r="P103" s="16" t="s">
        <v>344</v>
      </c>
      <c r="Q103" s="16" t="s">
        <v>344</v>
      </c>
      <c r="R103" s="16"/>
      <c r="S103" s="16" t="s">
        <v>522</v>
      </c>
      <c r="T103" s="16"/>
      <c r="U103" s="16" t="s">
        <v>523</v>
      </c>
      <c r="V103" s="16"/>
      <c r="W103" s="16" t="s">
        <v>345</v>
      </c>
      <c r="X103" s="16" t="s">
        <v>344</v>
      </c>
      <c r="Y103" s="16" t="s">
        <v>344</v>
      </c>
      <c r="Z103" s="16" t="s">
        <v>344</v>
      </c>
      <c r="AA103" s="16" t="s">
        <v>344</v>
      </c>
      <c r="AB103" s="16" t="s">
        <v>344</v>
      </c>
      <c r="AC103" s="16" t="s">
        <v>344</v>
      </c>
      <c r="AD103" s="16" t="s">
        <v>345</v>
      </c>
      <c r="AE103" s="16" t="s">
        <v>345</v>
      </c>
      <c r="AF103" s="16" t="s">
        <v>344</v>
      </c>
      <c r="AG103" s="16" t="s">
        <v>344</v>
      </c>
      <c r="AH103" s="16" t="s">
        <v>344</v>
      </c>
      <c r="AI103" s="16" t="s">
        <v>344</v>
      </c>
      <c r="AJ103" s="16" t="s">
        <v>344</v>
      </c>
      <c r="AK103" s="16" t="s">
        <v>345</v>
      </c>
      <c r="AL103" s="16" t="s">
        <v>344</v>
      </c>
      <c r="AM103" s="16" t="s">
        <v>344</v>
      </c>
      <c r="AN103" s="16" t="s">
        <v>344</v>
      </c>
      <c r="AO103" s="16" t="s">
        <v>345</v>
      </c>
      <c r="AP103" s="16" t="s">
        <v>344</v>
      </c>
      <c r="AQ103" s="16" t="s">
        <v>344</v>
      </c>
      <c r="AR103" s="16" t="s">
        <v>344</v>
      </c>
      <c r="AS103" s="16" t="s">
        <v>345</v>
      </c>
      <c r="AT103" s="16" t="s">
        <v>345</v>
      </c>
      <c r="AU103" s="16" t="s">
        <v>345</v>
      </c>
      <c r="AV103" s="16" t="s">
        <v>344</v>
      </c>
      <c r="AW103" s="16" t="s">
        <v>344</v>
      </c>
      <c r="AX103" s="16" t="s">
        <v>344</v>
      </c>
      <c r="AY103" s="16" t="s">
        <v>732</v>
      </c>
      <c r="AZ103" s="16"/>
      <c r="BA103" s="16"/>
      <c r="BB103" s="16" t="s">
        <v>732</v>
      </c>
      <c r="BC103" s="16"/>
      <c r="BD103" s="16" t="s">
        <v>733</v>
      </c>
      <c r="BE103" s="16" t="s">
        <v>349</v>
      </c>
      <c r="BF103" s="16" t="s">
        <v>348</v>
      </c>
      <c r="BG103" s="16" t="s">
        <v>349</v>
      </c>
      <c r="BH103" s="16" t="s">
        <v>390</v>
      </c>
      <c r="BI103" s="16" t="s">
        <v>349</v>
      </c>
      <c r="BJ103" s="16" t="s">
        <v>353</v>
      </c>
      <c r="BK103" s="16" t="s">
        <v>353</v>
      </c>
      <c r="BL103" s="16" t="s">
        <v>353</v>
      </c>
      <c r="BM103" s="16" t="s">
        <v>351</v>
      </c>
      <c r="BN103" s="16" t="s">
        <v>351</v>
      </c>
      <c r="BO103" s="16" t="s">
        <v>353</v>
      </c>
      <c r="BP103" s="16" t="s">
        <v>351</v>
      </c>
      <c r="BQ103" s="16" t="s">
        <v>358</v>
      </c>
      <c r="BR103" s="16" t="s">
        <v>429</v>
      </c>
      <c r="BS103" s="16" t="s">
        <v>353</v>
      </c>
      <c r="BT103" s="16" t="s">
        <v>356</v>
      </c>
      <c r="BU103" s="16" t="s">
        <v>353</v>
      </c>
      <c r="BV103" s="16" t="s">
        <v>357</v>
      </c>
      <c r="BW103" s="16" t="s">
        <v>351</v>
      </c>
      <c r="BX103" s="16" t="s">
        <v>353</v>
      </c>
      <c r="BY103" s="16" t="s">
        <v>355</v>
      </c>
      <c r="BZ103" s="16" t="s">
        <v>353</v>
      </c>
      <c r="CA103" s="16" t="s">
        <v>356</v>
      </c>
      <c r="CB103" s="16" t="s">
        <v>356</v>
      </c>
      <c r="CC103" s="16" t="s">
        <v>353</v>
      </c>
      <c r="CD103" s="16" t="s">
        <v>353</v>
      </c>
      <c r="CE103" s="16" t="s">
        <v>354</v>
      </c>
      <c r="CF103" s="16" t="s">
        <v>357</v>
      </c>
      <c r="CG103" s="16" t="s">
        <v>392</v>
      </c>
      <c r="CH103" s="16" t="s">
        <v>420</v>
      </c>
      <c r="CI103" s="16" t="s">
        <v>360</v>
      </c>
      <c r="CJ103" s="16" t="s">
        <v>360</v>
      </c>
      <c r="CK103" s="16" t="s">
        <v>510</v>
      </c>
      <c r="CL103" s="16" t="s">
        <v>344</v>
      </c>
      <c r="CM103" s="16" t="s">
        <v>344</v>
      </c>
      <c r="CN103" s="16" t="s">
        <v>344</v>
      </c>
      <c r="CO103" s="16" t="s">
        <v>344</v>
      </c>
      <c r="CP103" s="16" t="s">
        <v>345</v>
      </c>
      <c r="CQ103" s="16" t="s">
        <v>344</v>
      </c>
      <c r="CR103" s="16" t="s">
        <v>667</v>
      </c>
      <c r="CS103" s="16">
        <v>95</v>
      </c>
      <c r="CT103" s="16">
        <v>1</v>
      </c>
      <c r="CU103" s="16">
        <v>83</v>
      </c>
      <c r="CV103" s="16">
        <v>100</v>
      </c>
      <c r="CW103" s="16" t="s">
        <v>364</v>
      </c>
      <c r="CX103" s="16" t="s">
        <v>364</v>
      </c>
      <c r="CY103" s="16" t="s">
        <v>395</v>
      </c>
      <c r="CZ103" s="16" t="s">
        <v>366</v>
      </c>
      <c r="DA103" s="16" t="s">
        <v>365</v>
      </c>
      <c r="DB103" s="16" t="s">
        <v>397</v>
      </c>
      <c r="DC103" s="16" t="s">
        <v>397</v>
      </c>
      <c r="DD103" s="16" t="s">
        <v>423</v>
      </c>
      <c r="DE103" s="16" t="s">
        <v>365</v>
      </c>
      <c r="DF103" s="16" t="s">
        <v>423</v>
      </c>
      <c r="DG103" s="16" t="s">
        <v>366</v>
      </c>
      <c r="DH103" s="16" t="s">
        <v>366</v>
      </c>
      <c r="DI103" s="16" t="s">
        <v>423</v>
      </c>
      <c r="DJ103" s="16" t="s">
        <v>860</v>
      </c>
      <c r="DK103" s="16" t="s">
        <v>449</v>
      </c>
      <c r="DL103" s="16" t="s">
        <v>345</v>
      </c>
      <c r="DM103" s="16" t="s">
        <v>345</v>
      </c>
      <c r="DN103" s="16" t="s">
        <v>345</v>
      </c>
      <c r="DO103" s="16" t="s">
        <v>344</v>
      </c>
      <c r="DP103" s="16" t="s">
        <v>345</v>
      </c>
      <c r="DQ103" s="16" t="s">
        <v>345</v>
      </c>
      <c r="DR103" s="16" t="s">
        <v>345</v>
      </c>
      <c r="DS103" s="16" t="s">
        <v>344</v>
      </c>
      <c r="DT103" s="16" t="s">
        <v>345</v>
      </c>
      <c r="DU103" s="16" t="s">
        <v>345</v>
      </c>
      <c r="DV103" s="16" t="s">
        <v>345</v>
      </c>
      <c r="DW103" s="16" t="s">
        <v>344</v>
      </c>
      <c r="DX103" s="16" t="s">
        <v>369</v>
      </c>
      <c r="DY103" s="16" t="s">
        <v>369</v>
      </c>
      <c r="DZ103" s="16" t="s">
        <v>399</v>
      </c>
      <c r="EA103" s="16" t="s">
        <v>369</v>
      </c>
      <c r="EB103" s="16" t="s">
        <v>369</v>
      </c>
      <c r="EC103" s="16" t="s">
        <v>369</v>
      </c>
      <c r="ED103" s="16" t="s">
        <v>399</v>
      </c>
      <c r="EE103" s="16" t="s">
        <v>370</v>
      </c>
      <c r="EF103" s="16" t="s">
        <v>370</v>
      </c>
      <c r="EG103" s="16" t="s">
        <v>371</v>
      </c>
      <c r="EH103" s="16" t="s">
        <v>370</v>
      </c>
      <c r="EI103" s="16" t="s">
        <v>370</v>
      </c>
      <c r="EJ103" s="16" t="s">
        <v>370</v>
      </c>
      <c r="EK103" s="16" t="s">
        <v>370</v>
      </c>
      <c r="EL103" s="16" t="s">
        <v>373</v>
      </c>
      <c r="EM103" s="16" t="s">
        <v>374</v>
      </c>
      <c r="EN103" s="16" t="s">
        <v>372</v>
      </c>
      <c r="EO103" s="16"/>
      <c r="EP103" s="16"/>
      <c r="EQ103" s="16" t="s">
        <v>377</v>
      </c>
      <c r="ER103" s="16" t="s">
        <v>377</v>
      </c>
      <c r="ES103" s="16" t="s">
        <v>376</v>
      </c>
      <c r="ET103" s="16" t="s">
        <v>375</v>
      </c>
      <c r="EU103" s="16" t="s">
        <v>377</v>
      </c>
      <c r="EV103" s="16" t="s">
        <v>400</v>
      </c>
      <c r="EW103" s="16"/>
      <c r="EX103" s="162" t="s">
        <v>345</v>
      </c>
      <c r="EY103" s="162" t="s">
        <v>345</v>
      </c>
      <c r="EZ103" s="162" t="s">
        <v>344</v>
      </c>
      <c r="FA103" s="16" t="s">
        <v>344</v>
      </c>
      <c r="FB103" s="16" t="s">
        <v>380</v>
      </c>
      <c r="FC103" s="16"/>
      <c r="FD103" s="16" t="s">
        <v>381</v>
      </c>
      <c r="FE103" s="16"/>
      <c r="FF103" s="16" t="s">
        <v>382</v>
      </c>
      <c r="FG103" s="16" t="s">
        <v>402</v>
      </c>
      <c r="FH103" s="16" t="s">
        <v>432</v>
      </c>
      <c r="FI103" s="16" t="s">
        <v>403</v>
      </c>
      <c r="FJ103" s="16"/>
      <c r="FK103" s="16"/>
      <c r="FL103" s="16"/>
      <c r="FM103" s="16"/>
      <c r="FN103" s="16"/>
      <c r="FO103" s="16"/>
      <c r="FP103" s="16"/>
      <c r="FQ103" s="16"/>
      <c r="FR103" s="16"/>
      <c r="FS103" s="16"/>
      <c r="FT103" s="16"/>
      <c r="FU103" s="16"/>
      <c r="FV103" s="16"/>
      <c r="FW103" s="16"/>
      <c r="FX103" s="16"/>
      <c r="FY103" s="16"/>
      <c r="FZ103" s="16"/>
      <c r="GA103" s="16" t="s">
        <v>368</v>
      </c>
      <c r="GB103" s="16" t="s">
        <v>368</v>
      </c>
      <c r="GC103" s="16" t="s">
        <v>368</v>
      </c>
      <c r="GD103" s="16" t="s">
        <v>368</v>
      </c>
      <c r="GE103" s="16" t="s">
        <v>368</v>
      </c>
      <c r="GF103" s="16" t="s">
        <v>368</v>
      </c>
      <c r="GG103" s="16"/>
      <c r="GH103" s="16"/>
      <c r="GI103" s="16"/>
      <c r="GJ103" s="16"/>
      <c r="GK103" s="16"/>
      <c r="GL103" s="16" t="s">
        <v>344</v>
      </c>
      <c r="GM103" s="16" t="s">
        <v>344</v>
      </c>
      <c r="GN103" s="16" t="s">
        <v>344</v>
      </c>
      <c r="GO103" s="16" t="s">
        <v>344</v>
      </c>
      <c r="GP103" s="16" t="s">
        <v>344</v>
      </c>
      <c r="GQ103" s="16" t="s">
        <v>344</v>
      </c>
      <c r="GR103" s="16" t="s">
        <v>344</v>
      </c>
      <c r="GS103" s="16" t="s">
        <v>344</v>
      </c>
      <c r="GT103" s="16" t="s">
        <v>344</v>
      </c>
      <c r="GU103" s="16" t="s">
        <v>345</v>
      </c>
      <c r="GV103" s="16" t="s">
        <v>344</v>
      </c>
      <c r="GW103" s="16" t="s">
        <v>344</v>
      </c>
      <c r="GX103" s="16" t="s">
        <v>344</v>
      </c>
      <c r="GY103" s="16" t="s">
        <v>344</v>
      </c>
      <c r="GZ103" s="16" t="s">
        <v>344</v>
      </c>
      <c r="HA103" s="16"/>
      <c r="HB103" s="16" t="s">
        <v>344</v>
      </c>
      <c r="HC103" s="16"/>
      <c r="HD103" s="16" t="s">
        <v>344</v>
      </c>
      <c r="HE103" s="16"/>
      <c r="HF103" s="16" t="s">
        <v>344</v>
      </c>
      <c r="HG103" s="16"/>
      <c r="HH103" s="16" t="s">
        <v>344</v>
      </c>
      <c r="HI103" s="16"/>
      <c r="HJ103" s="16" t="s">
        <v>344</v>
      </c>
      <c r="HK103" s="16" t="s">
        <v>344</v>
      </c>
      <c r="HL103" s="16" t="s">
        <v>344</v>
      </c>
      <c r="HM103" s="16" t="s">
        <v>344</v>
      </c>
      <c r="HN103" s="16" t="s">
        <v>344</v>
      </c>
      <c r="HO103" s="16" t="s">
        <v>344</v>
      </c>
      <c r="HP103" s="16" t="s">
        <v>344</v>
      </c>
      <c r="HQ103" s="16" t="s">
        <v>344</v>
      </c>
      <c r="HR103" s="16" t="s">
        <v>344</v>
      </c>
      <c r="HS103" s="16" t="s">
        <v>344</v>
      </c>
      <c r="HT103" s="16" t="s">
        <v>344</v>
      </c>
      <c r="HU103" s="16" t="s">
        <v>344</v>
      </c>
      <c r="HV103" s="16" t="s">
        <v>344</v>
      </c>
      <c r="HW103" s="16" t="s">
        <v>344</v>
      </c>
      <c r="HX103" s="16" t="s">
        <v>344</v>
      </c>
      <c r="HY103" s="16" t="s">
        <v>861</v>
      </c>
      <c r="HZ103" s="16" t="s">
        <v>344</v>
      </c>
      <c r="IA103" s="16"/>
      <c r="IB103" s="16" t="s">
        <v>344</v>
      </c>
      <c r="IC103" s="16"/>
      <c r="ID103" s="16" t="s">
        <v>344</v>
      </c>
      <c r="IE103" s="16"/>
      <c r="IF103" s="16" t="s">
        <v>344</v>
      </c>
      <c r="IG103" s="16"/>
      <c r="IH103" s="16" t="s">
        <v>345</v>
      </c>
      <c r="II103" s="16" t="s">
        <v>345</v>
      </c>
      <c r="IJ103" s="16" t="s">
        <v>345</v>
      </c>
      <c r="IK103" s="16" t="s">
        <v>344</v>
      </c>
      <c r="IL103" s="16" t="s">
        <v>345</v>
      </c>
      <c r="IM103" s="16" t="s">
        <v>345</v>
      </c>
      <c r="IN103" s="16" t="s">
        <v>344</v>
      </c>
      <c r="IO103" s="16" t="s">
        <v>345</v>
      </c>
      <c r="IP103" s="16" t="s">
        <v>344</v>
      </c>
      <c r="IQ103" s="16" t="s">
        <v>344</v>
      </c>
      <c r="IR103" s="16" t="s">
        <v>344</v>
      </c>
      <c r="IS103" s="16" t="s">
        <v>344</v>
      </c>
      <c r="IT103" s="16"/>
      <c r="IU103" s="16"/>
      <c r="IV103" s="16"/>
      <c r="IW103" s="16"/>
      <c r="IX103" s="16"/>
      <c r="IY103" s="16"/>
      <c r="IZ103" s="16"/>
      <c r="JA103" s="16"/>
      <c r="JB103" s="16"/>
      <c r="JC103" s="16"/>
      <c r="JD103" s="16"/>
      <c r="JE103" s="16"/>
      <c r="JF103" s="16"/>
      <c r="JG103" s="16"/>
      <c r="JH103" s="16"/>
    </row>
    <row r="104" spans="1:268" x14ac:dyDescent="0.3">
      <c r="A104" s="16" t="s">
        <v>813</v>
      </c>
      <c r="B104" s="16">
        <v>184</v>
      </c>
      <c r="C104" s="16" t="s">
        <v>862</v>
      </c>
      <c r="D104" s="16">
        <v>14</v>
      </c>
      <c r="E104" s="16" t="s">
        <v>340</v>
      </c>
      <c r="F104" s="16">
        <v>1956462706</v>
      </c>
      <c r="G104" s="16" t="s">
        <v>863</v>
      </c>
      <c r="H104" s="16" t="s">
        <v>862</v>
      </c>
      <c r="I104" s="16" t="s">
        <v>816</v>
      </c>
      <c r="J104" s="16">
        <v>17</v>
      </c>
      <c r="K104" s="16" t="s">
        <v>389</v>
      </c>
      <c r="L104" s="16"/>
      <c r="M104" s="16" t="s">
        <v>344</v>
      </c>
      <c r="N104" s="16" t="s">
        <v>345</v>
      </c>
      <c r="O104" s="16" t="s">
        <v>344</v>
      </c>
      <c r="P104" s="16" t="s">
        <v>344</v>
      </c>
      <c r="Q104" s="16" t="s">
        <v>344</v>
      </c>
      <c r="R104" s="16"/>
      <c r="S104" s="16" t="s">
        <v>522</v>
      </c>
      <c r="T104" s="16"/>
      <c r="U104" s="16" t="s">
        <v>418</v>
      </c>
      <c r="V104" s="16"/>
      <c r="W104" s="16" t="s">
        <v>344</v>
      </c>
      <c r="X104" s="16" t="s">
        <v>344</v>
      </c>
      <c r="Y104" s="16" t="s">
        <v>345</v>
      </c>
      <c r="Z104" s="16" t="s">
        <v>345</v>
      </c>
      <c r="AA104" s="16" t="s">
        <v>344</v>
      </c>
      <c r="AB104" s="16" t="s">
        <v>344</v>
      </c>
      <c r="AC104" s="16" t="s">
        <v>344</v>
      </c>
      <c r="AD104" s="16" t="s">
        <v>345</v>
      </c>
      <c r="AE104" s="16" t="s">
        <v>345</v>
      </c>
      <c r="AF104" s="16" t="s">
        <v>344</v>
      </c>
      <c r="AG104" s="16" t="s">
        <v>344</v>
      </c>
      <c r="AH104" s="16" t="s">
        <v>344</v>
      </c>
      <c r="AI104" s="16" t="s">
        <v>344</v>
      </c>
      <c r="AJ104" s="16" t="s">
        <v>344</v>
      </c>
      <c r="AK104" s="16" t="s">
        <v>345</v>
      </c>
      <c r="AL104" s="16" t="s">
        <v>344</v>
      </c>
      <c r="AM104" s="16" t="s">
        <v>344</v>
      </c>
      <c r="AN104" s="16" t="s">
        <v>345</v>
      </c>
      <c r="AO104" s="16" t="s">
        <v>345</v>
      </c>
      <c r="AP104" s="16" t="s">
        <v>344</v>
      </c>
      <c r="AQ104" s="16" t="s">
        <v>344</v>
      </c>
      <c r="AR104" s="16" t="s">
        <v>345</v>
      </c>
      <c r="AS104" s="16" t="s">
        <v>344</v>
      </c>
      <c r="AT104" s="16" t="s">
        <v>345</v>
      </c>
      <c r="AU104" s="16" t="s">
        <v>345</v>
      </c>
      <c r="AV104" s="16" t="s">
        <v>345</v>
      </c>
      <c r="AW104" s="16" t="s">
        <v>344</v>
      </c>
      <c r="AX104" s="16" t="s">
        <v>344</v>
      </c>
      <c r="AY104" s="16" t="s">
        <v>731</v>
      </c>
      <c r="AZ104" s="16" t="s">
        <v>733</v>
      </c>
      <c r="BA104" s="16" t="s">
        <v>731</v>
      </c>
      <c r="BB104" s="16" t="s">
        <v>733</v>
      </c>
      <c r="BC104" s="16" t="s">
        <v>731</v>
      </c>
      <c r="BD104" s="16" t="s">
        <v>733</v>
      </c>
      <c r="BE104" s="16" t="s">
        <v>349</v>
      </c>
      <c r="BF104" s="16" t="s">
        <v>390</v>
      </c>
      <c r="BG104" s="16" t="s">
        <v>390</v>
      </c>
      <c r="BH104" s="16" t="s">
        <v>349</v>
      </c>
      <c r="BI104" s="16" t="s">
        <v>348</v>
      </c>
      <c r="BJ104" s="16" t="s">
        <v>357</v>
      </c>
      <c r="BK104" s="16" t="s">
        <v>353</v>
      </c>
      <c r="BL104" s="16" t="s">
        <v>355</v>
      </c>
      <c r="BM104" s="16" t="s">
        <v>351</v>
      </c>
      <c r="BN104" s="16" t="s">
        <v>352</v>
      </c>
      <c r="BO104" s="16" t="s">
        <v>356</v>
      </c>
      <c r="BP104" s="16" t="s">
        <v>354</v>
      </c>
      <c r="BQ104" s="16" t="s">
        <v>358</v>
      </c>
      <c r="BR104" s="16" t="s">
        <v>429</v>
      </c>
      <c r="BS104" s="16" t="s">
        <v>354</v>
      </c>
      <c r="BT104" s="16" t="s">
        <v>353</v>
      </c>
      <c r="BU104" s="16" t="s">
        <v>356</v>
      </c>
      <c r="BV104" s="16" t="s">
        <v>352</v>
      </c>
      <c r="BW104" s="16" t="s">
        <v>357</v>
      </c>
      <c r="BX104" s="16" t="s">
        <v>351</v>
      </c>
      <c r="BY104" s="16" t="s">
        <v>355</v>
      </c>
      <c r="BZ104" s="16" t="s">
        <v>352</v>
      </c>
      <c r="CA104" s="16" t="s">
        <v>356</v>
      </c>
      <c r="CB104" s="16" t="s">
        <v>351</v>
      </c>
      <c r="CC104" s="16" t="s">
        <v>353</v>
      </c>
      <c r="CD104" s="16" t="s">
        <v>357</v>
      </c>
      <c r="CE104" s="16" t="s">
        <v>355</v>
      </c>
      <c r="CF104" s="16" t="s">
        <v>354</v>
      </c>
      <c r="CG104" s="16" t="s">
        <v>392</v>
      </c>
      <c r="CH104" s="16" t="s">
        <v>393</v>
      </c>
      <c r="CI104" s="16" t="s">
        <v>360</v>
      </c>
      <c r="CJ104" s="16" t="s">
        <v>420</v>
      </c>
      <c r="CK104" s="16" t="s">
        <v>510</v>
      </c>
      <c r="CL104" s="16" t="s">
        <v>344</v>
      </c>
      <c r="CM104" s="16" t="s">
        <v>345</v>
      </c>
      <c r="CN104" s="16" t="s">
        <v>344</v>
      </c>
      <c r="CO104" s="16" t="s">
        <v>344</v>
      </c>
      <c r="CP104" s="16" t="s">
        <v>344</v>
      </c>
      <c r="CQ104" s="16" t="s">
        <v>344</v>
      </c>
      <c r="CR104" s="16" t="s">
        <v>655</v>
      </c>
      <c r="CS104" s="16">
        <v>100</v>
      </c>
      <c r="CT104" s="16">
        <v>20</v>
      </c>
      <c r="CU104" s="16">
        <v>30</v>
      </c>
      <c r="CV104" s="16">
        <v>60</v>
      </c>
      <c r="CW104" s="16" t="s">
        <v>364</v>
      </c>
      <c r="CX104" s="16" t="s">
        <v>395</v>
      </c>
      <c r="CY104" s="16" t="s">
        <v>363</v>
      </c>
      <c r="CZ104" s="16" t="s">
        <v>365</v>
      </c>
      <c r="DA104" s="16" t="s">
        <v>366</v>
      </c>
      <c r="DB104" s="16" t="s">
        <v>365</v>
      </c>
      <c r="DC104" s="16" t="s">
        <v>366</v>
      </c>
      <c r="DD104" s="16" t="s">
        <v>365</v>
      </c>
      <c r="DE104" s="16" t="s">
        <v>365</v>
      </c>
      <c r="DF104" s="16" t="s">
        <v>423</v>
      </c>
      <c r="DG104" s="16" t="s">
        <v>365</v>
      </c>
      <c r="DH104" s="16" t="s">
        <v>423</v>
      </c>
      <c r="DI104" s="16" t="s">
        <v>365</v>
      </c>
      <c r="DJ104" s="16" t="s">
        <v>864</v>
      </c>
      <c r="DK104" s="16" t="s">
        <v>367</v>
      </c>
      <c r="DL104" s="16" t="s">
        <v>368</v>
      </c>
      <c r="DM104" s="16" t="s">
        <v>368</v>
      </c>
      <c r="DN104" s="16" t="s">
        <v>368</v>
      </c>
      <c r="DO104" s="16" t="s">
        <v>368</v>
      </c>
      <c r="DP104" s="16" t="s">
        <v>345</v>
      </c>
      <c r="DQ104" s="16" t="s">
        <v>345</v>
      </c>
      <c r="DR104" s="16" t="s">
        <v>345</v>
      </c>
      <c r="DS104" s="16" t="s">
        <v>344</v>
      </c>
      <c r="DT104" s="16" t="s">
        <v>345</v>
      </c>
      <c r="DU104" s="16" t="s">
        <v>345</v>
      </c>
      <c r="DV104" s="16" t="s">
        <v>344</v>
      </c>
      <c r="DW104" s="16" t="s">
        <v>344</v>
      </c>
      <c r="DX104" s="16" t="s">
        <v>369</v>
      </c>
      <c r="DY104" s="16" t="s">
        <v>370</v>
      </c>
      <c r="DZ104" s="16" t="s">
        <v>371</v>
      </c>
      <c r="EA104" s="16" t="s">
        <v>369</v>
      </c>
      <c r="EB104" s="16" t="s">
        <v>371</v>
      </c>
      <c r="EC104" s="16" t="s">
        <v>369</v>
      </c>
      <c r="ED104" s="16" t="s">
        <v>398</v>
      </c>
      <c r="EE104" s="16" t="s">
        <v>370</v>
      </c>
      <c r="EF104" s="16" t="s">
        <v>399</v>
      </c>
      <c r="EG104" s="16" t="s">
        <v>371</v>
      </c>
      <c r="EH104" s="16" t="s">
        <v>370</v>
      </c>
      <c r="EI104" s="16" t="s">
        <v>371</v>
      </c>
      <c r="EJ104" s="16" t="s">
        <v>370</v>
      </c>
      <c r="EK104" s="16" t="s">
        <v>371</v>
      </c>
      <c r="EL104" s="16" t="s">
        <v>373</v>
      </c>
      <c r="EM104" s="16" t="s">
        <v>374</v>
      </c>
      <c r="EN104" s="16" t="s">
        <v>424</v>
      </c>
      <c r="EO104" s="16"/>
      <c r="EP104" s="16"/>
      <c r="EQ104" s="16" t="s">
        <v>375</v>
      </c>
      <c r="ER104" s="16" t="s">
        <v>375</v>
      </c>
      <c r="ES104" s="16" t="s">
        <v>375</v>
      </c>
      <c r="ET104" s="16" t="s">
        <v>375</v>
      </c>
      <c r="EU104" s="16" t="s">
        <v>378</v>
      </c>
      <c r="EV104" s="16" t="s">
        <v>400</v>
      </c>
      <c r="EW104" s="16"/>
      <c r="EX104" s="16" t="s">
        <v>368</v>
      </c>
      <c r="EY104" s="16" t="s">
        <v>368</v>
      </c>
      <c r="EZ104" s="16" t="s">
        <v>368</v>
      </c>
      <c r="FA104" s="16" t="s">
        <v>345</v>
      </c>
      <c r="FB104" s="16" t="s">
        <v>380</v>
      </c>
      <c r="FC104" s="16"/>
      <c r="FD104" s="16" t="s">
        <v>401</v>
      </c>
      <c r="FE104" s="16"/>
      <c r="FF104" s="16" t="s">
        <v>412</v>
      </c>
      <c r="FG104" s="16" t="s">
        <v>402</v>
      </c>
      <c r="FH104" s="16" t="s">
        <v>451</v>
      </c>
      <c r="FI104" s="16" t="s">
        <v>433</v>
      </c>
      <c r="FJ104" s="16"/>
      <c r="FK104" s="16"/>
      <c r="FL104" s="16"/>
      <c r="FM104" s="16"/>
      <c r="FN104" s="16"/>
      <c r="FO104" s="16"/>
      <c r="FP104" s="16"/>
      <c r="FQ104" s="16"/>
      <c r="FR104" s="16"/>
      <c r="FS104" s="16"/>
      <c r="FT104" s="16"/>
      <c r="FU104" s="16"/>
      <c r="FV104" s="16"/>
      <c r="FW104" s="16"/>
      <c r="FX104" s="16"/>
      <c r="FY104" s="16"/>
      <c r="FZ104" s="16"/>
      <c r="GA104" s="16" t="s">
        <v>368</v>
      </c>
      <c r="GB104" s="16" t="s">
        <v>368</v>
      </c>
      <c r="GC104" s="16" t="s">
        <v>368</v>
      </c>
      <c r="GD104" s="16" t="s">
        <v>368</v>
      </c>
      <c r="GE104" s="16" t="s">
        <v>368</v>
      </c>
      <c r="GF104" s="16" t="s">
        <v>368</v>
      </c>
      <c r="GG104" s="16"/>
      <c r="GH104" s="16"/>
      <c r="GI104" s="16"/>
      <c r="GJ104" s="16"/>
      <c r="GK104" s="16"/>
      <c r="GL104" s="16" t="s">
        <v>344</v>
      </c>
      <c r="GM104" s="16" t="s">
        <v>344</v>
      </c>
      <c r="GN104" s="16" t="s">
        <v>344</v>
      </c>
      <c r="GO104" s="16" t="s">
        <v>344</v>
      </c>
      <c r="GP104" s="16" t="s">
        <v>344</v>
      </c>
      <c r="GQ104" s="16" t="s">
        <v>344</v>
      </c>
      <c r="GR104" s="16" t="s">
        <v>344</v>
      </c>
      <c r="GS104" s="16" t="s">
        <v>344</v>
      </c>
      <c r="GT104" s="16" t="s">
        <v>344</v>
      </c>
      <c r="GU104" s="16" t="s">
        <v>344</v>
      </c>
      <c r="GV104" s="16" t="s">
        <v>344</v>
      </c>
      <c r="GW104" s="16" t="s">
        <v>344</v>
      </c>
      <c r="GX104" s="16" t="s">
        <v>344</v>
      </c>
      <c r="GY104" s="16" t="s">
        <v>344</v>
      </c>
      <c r="GZ104" s="16" t="s">
        <v>345</v>
      </c>
      <c r="HA104" s="16"/>
      <c r="HB104" s="16" t="s">
        <v>344</v>
      </c>
      <c r="HC104" s="16"/>
      <c r="HD104" s="16" t="s">
        <v>344</v>
      </c>
      <c r="HE104" s="16"/>
      <c r="HF104" s="16" t="s">
        <v>344</v>
      </c>
      <c r="HG104" s="16"/>
      <c r="HH104" s="16" t="s">
        <v>344</v>
      </c>
      <c r="HI104" s="16"/>
      <c r="HJ104" s="16" t="s">
        <v>344</v>
      </c>
      <c r="HK104" s="16" t="s">
        <v>344</v>
      </c>
      <c r="HL104" s="16" t="s">
        <v>344</v>
      </c>
      <c r="HM104" s="16" t="s">
        <v>345</v>
      </c>
      <c r="HN104" s="16" t="s">
        <v>344</v>
      </c>
      <c r="HO104" s="16" t="s">
        <v>344</v>
      </c>
      <c r="HP104" s="16" t="s">
        <v>344</v>
      </c>
      <c r="HQ104" s="16" t="s">
        <v>344</v>
      </c>
      <c r="HR104" s="16" t="s">
        <v>344</v>
      </c>
      <c r="HS104" s="16" t="s">
        <v>344</v>
      </c>
      <c r="HT104" s="16" t="s">
        <v>344</v>
      </c>
      <c r="HU104" s="16" t="s">
        <v>344</v>
      </c>
      <c r="HV104" s="16" t="s">
        <v>345</v>
      </c>
      <c r="HW104" s="16" t="s">
        <v>344</v>
      </c>
      <c r="HX104" s="16" t="s">
        <v>344</v>
      </c>
      <c r="HY104" s="16"/>
      <c r="HZ104" s="16" t="s">
        <v>344</v>
      </c>
      <c r="IA104" s="16"/>
      <c r="IB104" s="16" t="s">
        <v>344</v>
      </c>
      <c r="IC104" s="16"/>
      <c r="ID104" s="16" t="s">
        <v>344</v>
      </c>
      <c r="IE104" s="16"/>
      <c r="IF104" s="16" t="s">
        <v>344</v>
      </c>
      <c r="IG104" s="16"/>
      <c r="IH104" s="16" t="s">
        <v>344</v>
      </c>
      <c r="II104" s="16" t="s">
        <v>344</v>
      </c>
      <c r="IJ104" s="16" t="s">
        <v>344</v>
      </c>
      <c r="IK104" s="16" t="s">
        <v>344</v>
      </c>
      <c r="IL104" s="16" t="s">
        <v>345</v>
      </c>
      <c r="IM104" s="16" t="s">
        <v>344</v>
      </c>
      <c r="IN104" s="16" t="s">
        <v>344</v>
      </c>
      <c r="IO104" s="16" t="s">
        <v>345</v>
      </c>
      <c r="IP104" s="16" t="s">
        <v>345</v>
      </c>
      <c r="IQ104" s="16" t="s">
        <v>344</v>
      </c>
      <c r="IR104" s="16" t="s">
        <v>344</v>
      </c>
      <c r="IS104" s="16" t="s">
        <v>344</v>
      </c>
      <c r="IT104" s="16"/>
      <c r="IU104" s="16"/>
      <c r="IV104" s="16"/>
      <c r="IW104" s="16"/>
      <c r="IX104" s="16"/>
      <c r="IY104" s="16"/>
      <c r="IZ104" s="16"/>
      <c r="JA104" s="16"/>
      <c r="JB104" s="16"/>
      <c r="JC104" s="16"/>
      <c r="JD104" s="16"/>
      <c r="JE104" s="16"/>
      <c r="JF104" s="16"/>
      <c r="JG104" s="16"/>
      <c r="JH104" s="16"/>
    </row>
    <row r="105" spans="1:268" ht="15" customHeight="1" x14ac:dyDescent="0.3">
      <c r="A105" s="17" t="s">
        <v>813</v>
      </c>
      <c r="B105" s="17">
        <v>185</v>
      </c>
      <c r="C105" s="17" t="s">
        <v>865</v>
      </c>
      <c r="D105" s="17">
        <v>14</v>
      </c>
      <c r="E105" s="17" t="s">
        <v>387</v>
      </c>
      <c r="F105" s="17">
        <v>1329258506</v>
      </c>
      <c r="G105" s="17" t="s">
        <v>866</v>
      </c>
      <c r="H105" s="17" t="s">
        <v>865</v>
      </c>
      <c r="I105" s="17" t="s">
        <v>867</v>
      </c>
      <c r="J105" s="17">
        <v>21</v>
      </c>
      <c r="K105" s="17" t="s">
        <v>406</v>
      </c>
      <c r="L105" s="17"/>
      <c r="M105" s="17" t="s">
        <v>345</v>
      </c>
      <c r="N105" s="17" t="s">
        <v>344</v>
      </c>
      <c r="O105" s="17" t="s">
        <v>344</v>
      </c>
      <c r="P105" s="17" t="s">
        <v>344</v>
      </c>
      <c r="Q105" s="17" t="s">
        <v>344</v>
      </c>
      <c r="R105" s="17"/>
      <c r="S105" s="17" t="s">
        <v>482</v>
      </c>
      <c r="T105" s="17"/>
      <c r="U105" s="17" t="s">
        <v>347</v>
      </c>
      <c r="V105" s="17"/>
      <c r="W105" s="17" t="s">
        <v>344</v>
      </c>
      <c r="X105" s="17" t="s">
        <v>344</v>
      </c>
      <c r="Y105" s="17" t="s">
        <v>344</v>
      </c>
      <c r="Z105" s="17" t="s">
        <v>344</v>
      </c>
      <c r="AA105" s="17" t="s">
        <v>345</v>
      </c>
      <c r="AB105" s="17" t="s">
        <v>344</v>
      </c>
      <c r="AC105" s="17" t="s">
        <v>344</v>
      </c>
      <c r="AD105" s="17" t="s">
        <v>345</v>
      </c>
      <c r="AE105" s="17" t="s">
        <v>344</v>
      </c>
      <c r="AF105" s="17" t="s">
        <v>344</v>
      </c>
      <c r="AG105" s="17" t="s">
        <v>344</v>
      </c>
      <c r="AH105" s="17" t="s">
        <v>344</v>
      </c>
      <c r="AI105" s="17" t="s">
        <v>344</v>
      </c>
      <c r="AJ105" s="17" t="s">
        <v>344</v>
      </c>
      <c r="AK105" s="17" t="s">
        <v>344</v>
      </c>
      <c r="AL105" s="17" t="s">
        <v>345</v>
      </c>
      <c r="AM105" s="17" t="s">
        <v>344</v>
      </c>
      <c r="AN105" s="17" t="s">
        <v>344</v>
      </c>
      <c r="AO105" s="17" t="s">
        <v>344</v>
      </c>
      <c r="AP105" s="17" t="s">
        <v>344</v>
      </c>
      <c r="AQ105" s="17" t="s">
        <v>344</v>
      </c>
      <c r="AR105" s="17" t="s">
        <v>344</v>
      </c>
      <c r="AS105" s="17" t="s">
        <v>344</v>
      </c>
      <c r="AT105" s="17" t="s">
        <v>344</v>
      </c>
      <c r="AU105" s="17" t="s">
        <v>344</v>
      </c>
      <c r="AV105" s="17" t="s">
        <v>344</v>
      </c>
      <c r="AW105" s="17" t="s">
        <v>345</v>
      </c>
      <c r="AX105" s="17" t="s">
        <v>344</v>
      </c>
      <c r="AY105" s="17" t="s">
        <v>737</v>
      </c>
      <c r="AZ105" s="17" t="s">
        <v>737</v>
      </c>
      <c r="BA105" s="17" t="s">
        <v>737</v>
      </c>
      <c r="BB105" s="17" t="s">
        <v>732</v>
      </c>
      <c r="BC105" s="17" t="s">
        <v>731</v>
      </c>
      <c r="BD105" s="17" t="s">
        <v>731</v>
      </c>
      <c r="BE105" s="17" t="s">
        <v>348</v>
      </c>
      <c r="BF105" s="17" t="s">
        <v>350</v>
      </c>
      <c r="BG105" s="17" t="s">
        <v>348</v>
      </c>
      <c r="BH105" s="17" t="s">
        <v>349</v>
      </c>
      <c r="BI105" s="17" t="s">
        <v>348</v>
      </c>
      <c r="BJ105" s="17" t="s">
        <v>351</v>
      </c>
      <c r="BK105" s="17" t="s">
        <v>356</v>
      </c>
      <c r="BL105" s="17" t="s">
        <v>352</v>
      </c>
      <c r="BM105" s="17" t="s">
        <v>353</v>
      </c>
      <c r="BN105" s="17" t="s">
        <v>352</v>
      </c>
      <c r="BO105" s="17" t="s">
        <v>356</v>
      </c>
      <c r="BP105" s="17" t="s">
        <v>353</v>
      </c>
      <c r="BQ105" s="17" t="s">
        <v>407</v>
      </c>
      <c r="BR105" s="17" t="s">
        <v>429</v>
      </c>
      <c r="BS105" s="17" t="s">
        <v>354</v>
      </c>
      <c r="BT105" s="17" t="s">
        <v>354</v>
      </c>
      <c r="BU105" s="17" t="s">
        <v>357</v>
      </c>
      <c r="BV105" s="17" t="s">
        <v>355</v>
      </c>
      <c r="BW105" s="17" t="s">
        <v>353</v>
      </c>
      <c r="BX105" s="17" t="s">
        <v>351</v>
      </c>
      <c r="BY105" s="17" t="s">
        <v>352</v>
      </c>
      <c r="BZ105" s="17" t="s">
        <v>356</v>
      </c>
      <c r="CA105" s="17" t="s">
        <v>355</v>
      </c>
      <c r="CB105" s="17" t="s">
        <v>355</v>
      </c>
      <c r="CC105" s="17" t="s">
        <v>351</v>
      </c>
      <c r="CD105" s="17" t="s">
        <v>353</v>
      </c>
      <c r="CE105" s="17" t="s">
        <v>355</v>
      </c>
      <c r="CF105" s="17" t="s">
        <v>391</v>
      </c>
      <c r="CG105" s="17" t="s">
        <v>360</v>
      </c>
      <c r="CH105" s="17" t="s">
        <v>421</v>
      </c>
      <c r="CI105" s="17" t="s">
        <v>392</v>
      </c>
      <c r="CJ105" s="17" t="s">
        <v>360</v>
      </c>
      <c r="CK105" s="17" t="s">
        <v>391</v>
      </c>
      <c r="CL105" s="17" t="s">
        <v>344</v>
      </c>
      <c r="CM105" s="17" t="s">
        <v>344</v>
      </c>
      <c r="CN105" s="17" t="s">
        <v>344</v>
      </c>
      <c r="CO105" s="17" t="s">
        <v>344</v>
      </c>
      <c r="CP105" s="17" t="s">
        <v>345</v>
      </c>
      <c r="CQ105" s="17" t="s">
        <v>344</v>
      </c>
      <c r="CR105" s="17" t="s">
        <v>655</v>
      </c>
      <c r="CS105" s="17">
        <v>100</v>
      </c>
      <c r="CT105" s="17">
        <v>100</v>
      </c>
      <c r="CU105" s="17"/>
      <c r="CV105" s="17"/>
      <c r="CW105" s="17" t="s">
        <v>364</v>
      </c>
      <c r="CX105" s="17" t="s">
        <v>396</v>
      </c>
      <c r="CY105" s="17" t="s">
        <v>395</v>
      </c>
      <c r="CZ105" s="17" t="s">
        <v>397</v>
      </c>
      <c r="DA105" s="17" t="s">
        <v>423</v>
      </c>
      <c r="DB105" s="17" t="s">
        <v>397</v>
      </c>
      <c r="DC105" s="17" t="s">
        <v>397</v>
      </c>
      <c r="DD105" s="17" t="s">
        <v>423</v>
      </c>
      <c r="DE105" s="17"/>
      <c r="DF105" s="17"/>
      <c r="DG105" s="17"/>
      <c r="DH105" s="17"/>
      <c r="DI105" s="17"/>
      <c r="DJ105" s="17" t="s">
        <v>868</v>
      </c>
      <c r="DK105" s="17" t="s">
        <v>806</v>
      </c>
      <c r="DL105" s="17" t="s">
        <v>368</v>
      </c>
      <c r="DM105" s="17" t="s">
        <v>368</v>
      </c>
      <c r="DN105" s="17" t="s">
        <v>368</v>
      </c>
      <c r="DO105" s="17" t="s">
        <v>345</v>
      </c>
      <c r="DP105" s="17" t="s">
        <v>345</v>
      </c>
      <c r="DQ105" s="17" t="s">
        <v>344</v>
      </c>
      <c r="DR105" s="17" t="s">
        <v>345</v>
      </c>
      <c r="DS105" s="17" t="s">
        <v>344</v>
      </c>
      <c r="DT105" s="17" t="s">
        <v>345</v>
      </c>
      <c r="DU105" s="17" t="s">
        <v>345</v>
      </c>
      <c r="DV105" s="17" t="s">
        <v>345</v>
      </c>
      <c r="DW105" s="17" t="s">
        <v>344</v>
      </c>
      <c r="DX105" s="17" t="s">
        <v>370</v>
      </c>
      <c r="DY105" s="17" t="s">
        <v>370</v>
      </c>
      <c r="DZ105" s="17" t="s">
        <v>370</v>
      </c>
      <c r="EA105" s="17" t="s">
        <v>370</v>
      </c>
      <c r="EB105" s="17" t="s">
        <v>370</v>
      </c>
      <c r="EC105" s="17" t="s">
        <v>370</v>
      </c>
      <c r="ED105" s="17" t="s">
        <v>370</v>
      </c>
      <c r="EE105" s="17" t="s">
        <v>369</v>
      </c>
      <c r="EF105" s="17" t="s">
        <v>369</v>
      </c>
      <c r="EG105" s="17" t="s">
        <v>369</v>
      </c>
      <c r="EH105" s="17" t="s">
        <v>369</v>
      </c>
      <c r="EI105" s="17" t="s">
        <v>369</v>
      </c>
      <c r="EJ105" s="17" t="s">
        <v>369</v>
      </c>
      <c r="EK105" s="17" t="s">
        <v>369</v>
      </c>
      <c r="EL105" s="17" t="s">
        <v>373</v>
      </c>
      <c r="EM105" s="17" t="s">
        <v>374</v>
      </c>
      <c r="EN105" s="17" t="s">
        <v>372</v>
      </c>
      <c r="EO105" s="17"/>
      <c r="EP105" s="17"/>
      <c r="EQ105" s="17" t="s">
        <v>375</v>
      </c>
      <c r="ER105" s="17" t="s">
        <v>378</v>
      </c>
      <c r="ES105" s="17" t="s">
        <v>377</v>
      </c>
      <c r="ET105" s="17" t="s">
        <v>378</v>
      </c>
      <c r="EU105" s="17" t="s">
        <v>378</v>
      </c>
      <c r="EV105" s="17" t="s">
        <v>379</v>
      </c>
      <c r="EW105" s="17"/>
      <c r="EX105" s="17" t="s">
        <v>368</v>
      </c>
      <c r="EY105" s="17" t="s">
        <v>368</v>
      </c>
      <c r="EZ105" s="17" t="s">
        <v>368</v>
      </c>
      <c r="FA105" s="17" t="s">
        <v>345</v>
      </c>
      <c r="FB105" s="17" t="s">
        <v>401</v>
      </c>
      <c r="FC105" s="17"/>
      <c r="FD105" s="17" t="s">
        <v>401</v>
      </c>
      <c r="FE105" s="17"/>
      <c r="FF105" s="17" t="s">
        <v>431</v>
      </c>
      <c r="FG105" s="17" t="s">
        <v>441</v>
      </c>
      <c r="FH105" s="17" t="s">
        <v>432</v>
      </c>
      <c r="FI105" s="17" t="s">
        <v>442</v>
      </c>
      <c r="FJ105" s="17"/>
      <c r="FK105" s="17"/>
      <c r="FL105" s="17"/>
      <c r="FM105" s="17"/>
      <c r="FN105" s="17"/>
      <c r="FO105" s="17"/>
      <c r="FP105" s="17"/>
      <c r="FQ105" s="17"/>
      <c r="FR105" s="17"/>
      <c r="FS105" s="17"/>
      <c r="FT105" s="17"/>
      <c r="FU105" s="17"/>
      <c r="FV105" s="17"/>
      <c r="FW105" s="17"/>
      <c r="FX105" s="17"/>
      <c r="FY105" s="17"/>
      <c r="FZ105" s="17"/>
      <c r="GA105" s="17" t="s">
        <v>368</v>
      </c>
      <c r="GB105" s="17" t="s">
        <v>368</v>
      </c>
      <c r="GC105" s="17" t="s">
        <v>368</v>
      </c>
      <c r="GD105" s="17" t="s">
        <v>368</v>
      </c>
      <c r="GE105" s="17" t="s">
        <v>368</v>
      </c>
      <c r="GF105" s="17" t="s">
        <v>368</v>
      </c>
      <c r="GG105" s="17"/>
      <c r="GH105" s="17"/>
      <c r="GI105" s="17"/>
      <c r="GJ105" s="17"/>
      <c r="GK105" s="17"/>
      <c r="GL105" s="17" t="s">
        <v>344</v>
      </c>
      <c r="GM105" s="17" t="s">
        <v>344</v>
      </c>
      <c r="GN105" s="17" t="s">
        <v>345</v>
      </c>
      <c r="GO105" s="17" t="s">
        <v>344</v>
      </c>
      <c r="GP105" s="17" t="s">
        <v>344</v>
      </c>
      <c r="GQ105" s="17" t="s">
        <v>344</v>
      </c>
      <c r="GR105" s="17" t="s">
        <v>344</v>
      </c>
      <c r="GS105" s="17" t="s">
        <v>344</v>
      </c>
      <c r="GT105" s="17" t="s">
        <v>344</v>
      </c>
      <c r="GU105" s="17" t="s">
        <v>344</v>
      </c>
      <c r="GV105" s="17" t="s">
        <v>344</v>
      </c>
      <c r="GW105" s="17" t="s">
        <v>344</v>
      </c>
      <c r="GX105" s="17" t="s">
        <v>344</v>
      </c>
      <c r="GY105" s="17" t="s">
        <v>344</v>
      </c>
      <c r="GZ105" s="17" t="s">
        <v>344</v>
      </c>
      <c r="HA105" s="17"/>
      <c r="HB105" s="17" t="s">
        <v>344</v>
      </c>
      <c r="HC105" s="17"/>
      <c r="HD105" s="17" t="s">
        <v>344</v>
      </c>
      <c r="HE105" s="17"/>
      <c r="HF105" s="17" t="s">
        <v>344</v>
      </c>
      <c r="HG105" s="17"/>
      <c r="HH105" s="17" t="s">
        <v>344</v>
      </c>
      <c r="HI105" s="17"/>
      <c r="HJ105" s="17" t="s">
        <v>344</v>
      </c>
      <c r="HK105" s="17" t="s">
        <v>344</v>
      </c>
      <c r="HL105" s="17" t="s">
        <v>344</v>
      </c>
      <c r="HM105" s="17" t="s">
        <v>344</v>
      </c>
      <c r="HN105" s="17" t="s">
        <v>344</v>
      </c>
      <c r="HO105" s="17" t="s">
        <v>344</v>
      </c>
      <c r="HP105" s="17" t="s">
        <v>344</v>
      </c>
      <c r="HQ105" s="17" t="s">
        <v>344</v>
      </c>
      <c r="HR105" s="17" t="s">
        <v>345</v>
      </c>
      <c r="HS105" s="17" t="s">
        <v>344</v>
      </c>
      <c r="HT105" s="17" t="s">
        <v>345</v>
      </c>
      <c r="HU105" s="17" t="s">
        <v>344</v>
      </c>
      <c r="HV105" s="17" t="s">
        <v>344</v>
      </c>
      <c r="HW105" s="17" t="s">
        <v>344</v>
      </c>
      <c r="HX105" s="17" t="s">
        <v>344</v>
      </c>
      <c r="HY105" s="17"/>
      <c r="HZ105" s="17" t="s">
        <v>344</v>
      </c>
      <c r="IA105" s="17"/>
      <c r="IB105" s="17" t="s">
        <v>344</v>
      </c>
      <c r="IC105" s="17"/>
      <c r="ID105" s="17" t="s">
        <v>344</v>
      </c>
      <c r="IE105" s="17"/>
      <c r="IF105" s="17" t="s">
        <v>344</v>
      </c>
      <c r="IG105" s="17"/>
      <c r="IH105" s="17" t="s">
        <v>345</v>
      </c>
      <c r="II105" s="17" t="s">
        <v>345</v>
      </c>
      <c r="IJ105" s="17" t="s">
        <v>345</v>
      </c>
      <c r="IK105" s="17" t="s">
        <v>344</v>
      </c>
      <c r="IL105" s="17" t="s">
        <v>345</v>
      </c>
      <c r="IM105" s="17" t="s">
        <v>344</v>
      </c>
      <c r="IN105" s="17" t="s">
        <v>344</v>
      </c>
      <c r="IO105" s="17" t="s">
        <v>345</v>
      </c>
      <c r="IP105" s="17" t="s">
        <v>344</v>
      </c>
      <c r="IQ105" s="17" t="s">
        <v>344</v>
      </c>
      <c r="IR105" s="17" t="s">
        <v>345</v>
      </c>
      <c r="IS105" s="17" t="s">
        <v>344</v>
      </c>
      <c r="IT105" s="17"/>
      <c r="IU105" s="17"/>
      <c r="IV105" s="17"/>
      <c r="IW105" s="17"/>
      <c r="IX105" s="17"/>
      <c r="IY105" s="17"/>
      <c r="IZ105" s="17"/>
      <c r="JA105" s="17"/>
      <c r="JB105" s="17"/>
      <c r="JC105" s="17"/>
      <c r="JD105" s="17"/>
      <c r="JE105" s="17"/>
      <c r="JF105" s="17"/>
      <c r="JG105" s="17"/>
      <c r="JH105" s="17"/>
    </row>
    <row r="106" spans="1:268" x14ac:dyDescent="0.3">
      <c r="A106" s="17" t="s">
        <v>813</v>
      </c>
      <c r="B106" s="17">
        <v>186</v>
      </c>
      <c r="C106" s="17" t="s">
        <v>869</v>
      </c>
      <c r="D106" s="17">
        <v>14</v>
      </c>
      <c r="E106" s="17" t="s">
        <v>387</v>
      </c>
      <c r="F106" s="17">
        <v>2052089495</v>
      </c>
      <c r="G106" s="17" t="s">
        <v>870</v>
      </c>
      <c r="H106" s="17" t="s">
        <v>869</v>
      </c>
      <c r="I106" s="17" t="s">
        <v>867</v>
      </c>
      <c r="J106" s="17">
        <v>28</v>
      </c>
      <c r="K106" s="17" t="s">
        <v>389</v>
      </c>
      <c r="L106" s="17"/>
      <c r="M106" s="17" t="s">
        <v>345</v>
      </c>
      <c r="N106" s="17" t="s">
        <v>344</v>
      </c>
      <c r="O106" s="17" t="s">
        <v>344</v>
      </c>
      <c r="P106" s="17" t="s">
        <v>344</v>
      </c>
      <c r="Q106" s="17" t="s">
        <v>344</v>
      </c>
      <c r="R106" s="17"/>
      <c r="S106" s="17" t="s">
        <v>522</v>
      </c>
      <c r="T106" s="17"/>
      <c r="U106" s="17" t="s">
        <v>347</v>
      </c>
      <c r="V106" s="17"/>
      <c r="W106" s="17" t="s">
        <v>344</v>
      </c>
      <c r="X106" s="17" t="s">
        <v>344</v>
      </c>
      <c r="Y106" s="17" t="s">
        <v>345</v>
      </c>
      <c r="Z106" s="17" t="s">
        <v>344</v>
      </c>
      <c r="AA106" s="17" t="s">
        <v>345</v>
      </c>
      <c r="AB106" s="17" t="s">
        <v>344</v>
      </c>
      <c r="AC106" s="17" t="s">
        <v>344</v>
      </c>
      <c r="AD106" s="17" t="s">
        <v>345</v>
      </c>
      <c r="AE106" s="17" t="s">
        <v>344</v>
      </c>
      <c r="AF106" s="17" t="s">
        <v>345</v>
      </c>
      <c r="AG106" s="17" t="s">
        <v>344</v>
      </c>
      <c r="AH106" s="17" t="s">
        <v>344</v>
      </c>
      <c r="AI106" s="17" t="s">
        <v>344</v>
      </c>
      <c r="AJ106" s="17" t="s">
        <v>344</v>
      </c>
      <c r="AK106" s="17" t="s">
        <v>344</v>
      </c>
      <c r="AL106" s="17" t="s">
        <v>344</v>
      </c>
      <c r="AM106" s="17" t="s">
        <v>344</v>
      </c>
      <c r="AN106" s="17" t="s">
        <v>344</v>
      </c>
      <c r="AO106" s="17" t="s">
        <v>344</v>
      </c>
      <c r="AP106" s="17" t="s">
        <v>345</v>
      </c>
      <c r="AQ106" s="17" t="s">
        <v>344</v>
      </c>
      <c r="AR106" s="17" t="s">
        <v>344</v>
      </c>
      <c r="AS106" s="17" t="s">
        <v>344</v>
      </c>
      <c r="AT106" s="17" t="s">
        <v>344</v>
      </c>
      <c r="AU106" s="17" t="s">
        <v>345</v>
      </c>
      <c r="AV106" s="17" t="s">
        <v>345</v>
      </c>
      <c r="AW106" s="17" t="s">
        <v>344</v>
      </c>
      <c r="AX106" s="17" t="s">
        <v>344</v>
      </c>
      <c r="AY106" s="17" t="s">
        <v>731</v>
      </c>
      <c r="AZ106" s="17" t="s">
        <v>733</v>
      </c>
      <c r="BA106" s="17" t="s">
        <v>731</v>
      </c>
      <c r="BB106" s="17" t="s">
        <v>732</v>
      </c>
      <c r="BC106" s="17" t="s">
        <v>731</v>
      </c>
      <c r="BD106" s="17" t="s">
        <v>731</v>
      </c>
      <c r="BE106" s="17" t="s">
        <v>390</v>
      </c>
      <c r="BF106" s="17" t="s">
        <v>390</v>
      </c>
      <c r="BG106" s="17" t="s">
        <v>390</v>
      </c>
      <c r="BH106" s="17" t="s">
        <v>390</v>
      </c>
      <c r="BI106" s="17" t="s">
        <v>390</v>
      </c>
      <c r="BJ106" s="17" t="s">
        <v>357</v>
      </c>
      <c r="BK106" s="17" t="s">
        <v>356</v>
      </c>
      <c r="BL106" s="17" t="s">
        <v>353</v>
      </c>
      <c r="BM106" s="17" t="s">
        <v>353</v>
      </c>
      <c r="BN106" s="17" t="s">
        <v>353</v>
      </c>
      <c r="BO106" s="17" t="s">
        <v>354</v>
      </c>
      <c r="BP106" s="17" t="s">
        <v>352</v>
      </c>
      <c r="BQ106" s="17" t="s">
        <v>358</v>
      </c>
      <c r="BR106" s="17" t="s">
        <v>429</v>
      </c>
      <c r="BS106" s="17" t="s">
        <v>354</v>
      </c>
      <c r="BT106" s="17" t="s">
        <v>351</v>
      </c>
      <c r="BU106" s="17" t="s">
        <v>351</v>
      </c>
      <c r="BV106" s="17" t="s">
        <v>354</v>
      </c>
      <c r="BW106" s="17" t="s">
        <v>353</v>
      </c>
      <c r="BX106" s="17" t="s">
        <v>351</v>
      </c>
      <c r="BY106" s="17" t="s">
        <v>353</v>
      </c>
      <c r="BZ106" s="17" t="s">
        <v>356</v>
      </c>
      <c r="CA106" s="17" t="s">
        <v>356</v>
      </c>
      <c r="CB106" s="17" t="s">
        <v>357</v>
      </c>
      <c r="CC106" s="17" t="s">
        <v>354</v>
      </c>
      <c r="CD106" s="17" t="s">
        <v>353</v>
      </c>
      <c r="CE106" s="17" t="s">
        <v>354</v>
      </c>
      <c r="CF106" s="17" t="s">
        <v>352</v>
      </c>
      <c r="CG106" s="17" t="s">
        <v>360</v>
      </c>
      <c r="CH106" s="17" t="s">
        <v>421</v>
      </c>
      <c r="CI106" s="17" t="s">
        <v>360</v>
      </c>
      <c r="CJ106" s="17" t="s">
        <v>392</v>
      </c>
      <c r="CK106" s="17" t="s">
        <v>871</v>
      </c>
      <c r="CL106" s="17" t="s">
        <v>345</v>
      </c>
      <c r="CM106" s="17" t="s">
        <v>344</v>
      </c>
      <c r="CN106" s="17" t="s">
        <v>344</v>
      </c>
      <c r="CO106" s="17" t="s">
        <v>344</v>
      </c>
      <c r="CP106" s="17" t="s">
        <v>345</v>
      </c>
      <c r="CQ106" s="17" t="s">
        <v>344</v>
      </c>
      <c r="CR106" s="17" t="s">
        <v>667</v>
      </c>
      <c r="CS106" s="17">
        <v>10</v>
      </c>
      <c r="CT106" s="17">
        <v>100</v>
      </c>
      <c r="CU106" s="17"/>
      <c r="CV106" s="17"/>
      <c r="CW106" s="17" t="s">
        <v>395</v>
      </c>
      <c r="CX106" s="17" t="s">
        <v>395</v>
      </c>
      <c r="CY106" s="17" t="s">
        <v>396</v>
      </c>
      <c r="CZ106" s="17" t="s">
        <v>365</v>
      </c>
      <c r="DA106" s="17" t="s">
        <v>397</v>
      </c>
      <c r="DB106" s="17" t="s">
        <v>397</v>
      </c>
      <c r="DC106" s="17" t="s">
        <v>397</v>
      </c>
      <c r="DD106" s="17" t="s">
        <v>365</v>
      </c>
      <c r="DE106" s="17"/>
      <c r="DF106" s="17"/>
      <c r="DG106" s="17"/>
      <c r="DH106" s="17"/>
      <c r="DI106" s="17"/>
      <c r="DJ106" s="17" t="s">
        <v>872</v>
      </c>
      <c r="DK106" s="17" t="s">
        <v>515</v>
      </c>
      <c r="DL106" s="17" t="s">
        <v>368</v>
      </c>
      <c r="DM106" s="17" t="s">
        <v>368</v>
      </c>
      <c r="DN106" s="17" t="s">
        <v>368</v>
      </c>
      <c r="DO106" s="17" t="s">
        <v>345</v>
      </c>
      <c r="DP106" s="17" t="s">
        <v>368</v>
      </c>
      <c r="DQ106" s="17" t="s">
        <v>368</v>
      </c>
      <c r="DR106" s="17" t="s">
        <v>368</v>
      </c>
      <c r="DS106" s="17" t="s">
        <v>345</v>
      </c>
      <c r="DT106" s="17" t="s">
        <v>345</v>
      </c>
      <c r="DU106" s="17" t="s">
        <v>345</v>
      </c>
      <c r="DV106" s="17" t="s">
        <v>345</v>
      </c>
      <c r="DW106" s="17" t="s">
        <v>344</v>
      </c>
      <c r="DX106" s="17" t="s">
        <v>370</v>
      </c>
      <c r="DY106" s="17" t="s">
        <v>370</v>
      </c>
      <c r="DZ106" s="17" t="s">
        <v>369</v>
      </c>
      <c r="EA106" s="17" t="s">
        <v>370</v>
      </c>
      <c r="EB106" s="17" t="s">
        <v>370</v>
      </c>
      <c r="EC106" s="17" t="s">
        <v>370</v>
      </c>
      <c r="ED106" s="17" t="s">
        <v>370</v>
      </c>
      <c r="EE106" s="17" t="s">
        <v>398</v>
      </c>
      <c r="EF106" s="17" t="s">
        <v>371</v>
      </c>
      <c r="EG106" s="17" t="s">
        <v>371</v>
      </c>
      <c r="EH106" s="17" t="s">
        <v>371</v>
      </c>
      <c r="EI106" s="17" t="s">
        <v>371</v>
      </c>
      <c r="EJ106" s="17" t="s">
        <v>371</v>
      </c>
      <c r="EK106" s="17" t="s">
        <v>371</v>
      </c>
      <c r="EL106" s="17" t="s">
        <v>373</v>
      </c>
      <c r="EM106" s="17" t="s">
        <v>424</v>
      </c>
      <c r="EN106" s="17" t="s">
        <v>372</v>
      </c>
      <c r="EO106" s="17"/>
      <c r="EP106" s="17"/>
      <c r="EQ106" s="17" t="s">
        <v>376</v>
      </c>
      <c r="ER106" s="17" t="s">
        <v>376</v>
      </c>
      <c r="ES106" s="17" t="s">
        <v>376</v>
      </c>
      <c r="ET106" s="17" t="s">
        <v>376</v>
      </c>
      <c r="EU106" s="17" t="s">
        <v>375</v>
      </c>
      <c r="EV106" s="17" t="s">
        <v>762</v>
      </c>
      <c r="EW106" s="17"/>
      <c r="EX106" s="163" t="s">
        <v>344</v>
      </c>
      <c r="EY106" s="163" t="s">
        <v>345</v>
      </c>
      <c r="EZ106" s="163" t="s">
        <v>344</v>
      </c>
      <c r="FA106" s="17" t="s">
        <v>344</v>
      </c>
      <c r="FB106" s="17" t="s">
        <v>401</v>
      </c>
      <c r="FC106" s="17"/>
      <c r="FD106" s="17" t="s">
        <v>343</v>
      </c>
      <c r="FE106" s="163" t="s">
        <v>873</v>
      </c>
      <c r="FF106" s="17" t="s">
        <v>412</v>
      </c>
      <c r="FG106" s="17" t="s">
        <v>402</v>
      </c>
      <c r="FH106" s="17" t="s">
        <v>384</v>
      </c>
      <c r="FI106" s="17" t="s">
        <v>385</v>
      </c>
      <c r="FJ106" s="17"/>
      <c r="FK106" s="17"/>
      <c r="FL106" s="17"/>
      <c r="FM106" s="17"/>
      <c r="FN106" s="17"/>
      <c r="FO106" s="17"/>
      <c r="FP106" s="17"/>
      <c r="FQ106" s="17"/>
      <c r="FR106" s="17"/>
      <c r="FS106" s="17"/>
      <c r="FT106" s="17"/>
      <c r="FU106" s="17"/>
      <c r="FV106" s="17"/>
      <c r="FW106" s="17"/>
      <c r="FX106" s="17"/>
      <c r="FY106" s="17"/>
      <c r="FZ106" s="17"/>
      <c r="GA106" s="17" t="s">
        <v>368</v>
      </c>
      <c r="GB106" s="17" t="s">
        <v>368</v>
      </c>
      <c r="GC106" s="17" t="s">
        <v>368</v>
      </c>
      <c r="GD106" s="17" t="s">
        <v>368</v>
      </c>
      <c r="GE106" s="17" t="s">
        <v>368</v>
      </c>
      <c r="GF106" s="17" t="s">
        <v>368</v>
      </c>
      <c r="GG106" s="17"/>
      <c r="GH106" s="17"/>
      <c r="GI106" s="17"/>
      <c r="GJ106" s="17"/>
      <c r="GK106" s="17"/>
      <c r="GL106" s="17" t="s">
        <v>344</v>
      </c>
      <c r="GM106" s="17" t="s">
        <v>344</v>
      </c>
      <c r="GN106" s="17" t="s">
        <v>344</v>
      </c>
      <c r="GO106" s="17" t="s">
        <v>345</v>
      </c>
      <c r="GP106" s="17" t="s">
        <v>344</v>
      </c>
      <c r="GQ106" s="17" t="s">
        <v>344</v>
      </c>
      <c r="GR106" s="17" t="s">
        <v>344</v>
      </c>
      <c r="GS106" s="17" t="s">
        <v>344</v>
      </c>
      <c r="GT106" s="17" t="s">
        <v>344</v>
      </c>
      <c r="GU106" s="17" t="s">
        <v>344</v>
      </c>
      <c r="GV106" s="17" t="s">
        <v>345</v>
      </c>
      <c r="GW106" s="17" t="s">
        <v>344</v>
      </c>
      <c r="GX106" s="17" t="s">
        <v>344</v>
      </c>
      <c r="GY106" s="17" t="s">
        <v>344</v>
      </c>
      <c r="GZ106" s="17" t="s">
        <v>344</v>
      </c>
      <c r="HA106" s="17"/>
      <c r="HB106" s="17" t="s">
        <v>344</v>
      </c>
      <c r="HC106" s="17"/>
      <c r="HD106" s="17" t="s">
        <v>345</v>
      </c>
      <c r="HE106" s="17" t="s">
        <v>874</v>
      </c>
      <c r="HF106" s="17" t="s">
        <v>344</v>
      </c>
      <c r="HG106" s="17"/>
      <c r="HH106" s="17" t="s">
        <v>344</v>
      </c>
      <c r="HI106" s="17"/>
      <c r="HJ106" s="17" t="s">
        <v>344</v>
      </c>
      <c r="HK106" s="17" t="s">
        <v>344</v>
      </c>
      <c r="HL106" s="17" t="s">
        <v>344</v>
      </c>
      <c r="HM106" s="17" t="s">
        <v>345</v>
      </c>
      <c r="HN106" s="17" t="s">
        <v>344</v>
      </c>
      <c r="HO106" s="17" t="s">
        <v>344</v>
      </c>
      <c r="HP106" s="17" t="s">
        <v>345</v>
      </c>
      <c r="HQ106" s="17" t="s">
        <v>344</v>
      </c>
      <c r="HR106" s="17" t="s">
        <v>344</v>
      </c>
      <c r="HS106" s="17" t="s">
        <v>344</v>
      </c>
      <c r="HT106" s="17" t="s">
        <v>344</v>
      </c>
      <c r="HU106" s="17" t="s">
        <v>344</v>
      </c>
      <c r="HV106" s="17" t="s">
        <v>344</v>
      </c>
      <c r="HW106" s="17" t="s">
        <v>344</v>
      </c>
      <c r="HX106" s="17" t="s">
        <v>344</v>
      </c>
      <c r="HY106" s="17"/>
      <c r="HZ106" s="17" t="s">
        <v>344</v>
      </c>
      <c r="IA106" s="17"/>
      <c r="IB106" s="17" t="s">
        <v>344</v>
      </c>
      <c r="IC106" s="17"/>
      <c r="ID106" s="17" t="s">
        <v>344</v>
      </c>
      <c r="IE106" s="17"/>
      <c r="IF106" s="17" t="s">
        <v>344</v>
      </c>
      <c r="IG106" s="17"/>
      <c r="IH106" s="17" t="s">
        <v>344</v>
      </c>
      <c r="II106" s="17" t="s">
        <v>344</v>
      </c>
      <c r="IJ106" s="17" t="s">
        <v>345</v>
      </c>
      <c r="IK106" s="17" t="s">
        <v>344</v>
      </c>
      <c r="IL106" s="17" t="s">
        <v>345</v>
      </c>
      <c r="IM106" s="17" t="s">
        <v>344</v>
      </c>
      <c r="IN106" s="17" t="s">
        <v>344</v>
      </c>
      <c r="IO106" s="17" t="s">
        <v>345</v>
      </c>
      <c r="IP106" s="17" t="s">
        <v>344</v>
      </c>
      <c r="IQ106" s="17" t="s">
        <v>344</v>
      </c>
      <c r="IR106" s="17" t="s">
        <v>344</v>
      </c>
      <c r="IS106" s="17" t="s">
        <v>344</v>
      </c>
      <c r="IT106" s="17"/>
      <c r="IU106" s="17"/>
      <c r="IV106" s="17"/>
      <c r="IW106" s="17"/>
      <c r="IX106" s="17"/>
      <c r="IY106" s="17"/>
      <c r="IZ106" s="17"/>
      <c r="JA106" s="17"/>
      <c r="JB106" s="17"/>
      <c r="JC106" s="17"/>
      <c r="JD106" s="17"/>
      <c r="JE106" s="17"/>
      <c r="JF106" s="17"/>
      <c r="JG106" s="17"/>
      <c r="JH106" s="17"/>
    </row>
    <row r="107" spans="1:268" x14ac:dyDescent="0.3">
      <c r="A107" s="17" t="s">
        <v>813</v>
      </c>
      <c r="B107" s="17">
        <v>188</v>
      </c>
      <c r="C107" s="17" t="s">
        <v>875</v>
      </c>
      <c r="D107" s="17">
        <v>14</v>
      </c>
      <c r="E107" s="17" t="s">
        <v>387</v>
      </c>
      <c r="F107" s="17">
        <v>1630705599</v>
      </c>
      <c r="G107" s="17" t="s">
        <v>876</v>
      </c>
      <c r="H107" s="17" t="s">
        <v>875</v>
      </c>
      <c r="I107" s="17" t="s">
        <v>867</v>
      </c>
      <c r="J107" s="17">
        <v>21</v>
      </c>
      <c r="K107" s="17" t="s">
        <v>406</v>
      </c>
      <c r="L107" s="17"/>
      <c r="M107" s="17" t="s">
        <v>345</v>
      </c>
      <c r="N107" s="17" t="s">
        <v>345</v>
      </c>
      <c r="O107" s="17" t="s">
        <v>344</v>
      </c>
      <c r="P107" s="17" t="s">
        <v>344</v>
      </c>
      <c r="Q107" s="17" t="s">
        <v>344</v>
      </c>
      <c r="R107" s="17"/>
      <c r="S107" s="17" t="s">
        <v>522</v>
      </c>
      <c r="T107" s="17"/>
      <c r="U107" s="17" t="s">
        <v>347</v>
      </c>
      <c r="V107" s="17"/>
      <c r="W107" s="17" t="s">
        <v>344</v>
      </c>
      <c r="X107" s="17" t="s">
        <v>344</v>
      </c>
      <c r="Y107" s="17" t="s">
        <v>344</v>
      </c>
      <c r="Z107" s="17" t="s">
        <v>344</v>
      </c>
      <c r="AA107" s="17" t="s">
        <v>345</v>
      </c>
      <c r="AB107" s="17" t="s">
        <v>344</v>
      </c>
      <c r="AC107" s="17" t="s">
        <v>344</v>
      </c>
      <c r="AD107" s="17" t="s">
        <v>345</v>
      </c>
      <c r="AE107" s="17" t="s">
        <v>345</v>
      </c>
      <c r="AF107" s="17" t="s">
        <v>344</v>
      </c>
      <c r="AG107" s="17" t="s">
        <v>344</v>
      </c>
      <c r="AH107" s="17" t="s">
        <v>344</v>
      </c>
      <c r="AI107" s="17" t="s">
        <v>344</v>
      </c>
      <c r="AJ107" s="17" t="s">
        <v>344</v>
      </c>
      <c r="AK107" s="17" t="s">
        <v>344</v>
      </c>
      <c r="AL107" s="17" t="s">
        <v>344</v>
      </c>
      <c r="AM107" s="17" t="s">
        <v>344</v>
      </c>
      <c r="AN107" s="17" t="s">
        <v>345</v>
      </c>
      <c r="AO107" s="17" t="s">
        <v>345</v>
      </c>
      <c r="AP107" s="17" t="s">
        <v>345</v>
      </c>
      <c r="AQ107" s="17" t="s">
        <v>344</v>
      </c>
      <c r="AR107" s="17" t="s">
        <v>345</v>
      </c>
      <c r="AS107" s="17" t="s">
        <v>345</v>
      </c>
      <c r="AT107" s="17" t="s">
        <v>345</v>
      </c>
      <c r="AU107" s="17" t="s">
        <v>345</v>
      </c>
      <c r="AV107" s="17" t="s">
        <v>345</v>
      </c>
      <c r="AW107" s="17" t="s">
        <v>345</v>
      </c>
      <c r="AX107" s="17" t="s">
        <v>344</v>
      </c>
      <c r="AY107" s="17" t="s">
        <v>733</v>
      </c>
      <c r="AZ107" s="17" t="s">
        <v>731</v>
      </c>
      <c r="BA107" s="17" t="s">
        <v>733</v>
      </c>
      <c r="BB107" s="17" t="s">
        <v>732</v>
      </c>
      <c r="BC107" s="17" t="s">
        <v>731</v>
      </c>
      <c r="BD107" s="17" t="s">
        <v>731</v>
      </c>
      <c r="BE107" s="17" t="s">
        <v>348</v>
      </c>
      <c r="BF107" s="17" t="s">
        <v>349</v>
      </c>
      <c r="BG107" s="17" t="s">
        <v>390</v>
      </c>
      <c r="BH107" s="17" t="s">
        <v>348</v>
      </c>
      <c r="BI107" s="17" t="s">
        <v>348</v>
      </c>
      <c r="BJ107" s="17" t="s">
        <v>391</v>
      </c>
      <c r="BK107" s="17" t="s">
        <v>391</v>
      </c>
      <c r="BL107" s="17" t="s">
        <v>391</v>
      </c>
      <c r="BM107" s="17" t="s">
        <v>391</v>
      </c>
      <c r="BN107" s="17" t="s">
        <v>391</v>
      </c>
      <c r="BO107" s="17" t="s">
        <v>391</v>
      </c>
      <c r="BP107" s="17" t="s">
        <v>391</v>
      </c>
      <c r="BQ107" s="17" t="s">
        <v>358</v>
      </c>
      <c r="BR107" s="17" t="s">
        <v>367</v>
      </c>
      <c r="BS107" s="17" t="s">
        <v>391</v>
      </c>
      <c r="BT107" s="17" t="s">
        <v>391</v>
      </c>
      <c r="BU107" s="17" t="s">
        <v>391</v>
      </c>
      <c r="BV107" s="17" t="s">
        <v>391</v>
      </c>
      <c r="BW107" s="17" t="s">
        <v>391</v>
      </c>
      <c r="BX107" s="17" t="s">
        <v>391</v>
      </c>
      <c r="BY107" s="17" t="s">
        <v>391</v>
      </c>
      <c r="BZ107" s="17" t="s">
        <v>391</v>
      </c>
      <c r="CA107" s="17" t="s">
        <v>391</v>
      </c>
      <c r="CB107" s="17" t="s">
        <v>391</v>
      </c>
      <c r="CC107" s="17" t="s">
        <v>391</v>
      </c>
      <c r="CD107" s="17" t="s">
        <v>391</v>
      </c>
      <c r="CE107" s="17" t="s">
        <v>391</v>
      </c>
      <c r="CF107" s="17" t="s">
        <v>391</v>
      </c>
      <c r="CG107" s="17" t="s">
        <v>392</v>
      </c>
      <c r="CH107" s="17" t="s">
        <v>420</v>
      </c>
      <c r="CI107" s="17" t="s">
        <v>392</v>
      </c>
      <c r="CJ107" s="17" t="s">
        <v>420</v>
      </c>
      <c r="CK107" s="17" t="s">
        <v>877</v>
      </c>
      <c r="CL107" s="17" t="s">
        <v>344</v>
      </c>
      <c r="CM107" s="17" t="s">
        <v>344</v>
      </c>
      <c r="CN107" s="17" t="s">
        <v>345</v>
      </c>
      <c r="CO107" s="17" t="s">
        <v>344</v>
      </c>
      <c r="CP107" s="17" t="s">
        <v>345</v>
      </c>
      <c r="CQ107" s="17" t="s">
        <v>344</v>
      </c>
      <c r="CR107" s="17" t="s">
        <v>655</v>
      </c>
      <c r="CS107" s="17">
        <v>16</v>
      </c>
      <c r="CT107" s="17">
        <v>90</v>
      </c>
      <c r="CU107" s="17">
        <v>67</v>
      </c>
      <c r="CV107" s="17">
        <v>51</v>
      </c>
      <c r="CW107" s="17" t="s">
        <v>395</v>
      </c>
      <c r="CX107" s="17" t="s">
        <v>396</v>
      </c>
      <c r="CY107" s="17" t="s">
        <v>396</v>
      </c>
      <c r="CZ107" s="17" t="s">
        <v>397</v>
      </c>
      <c r="DA107" s="17" t="s">
        <v>397</v>
      </c>
      <c r="DB107" s="17" t="s">
        <v>397</v>
      </c>
      <c r="DC107" s="17" t="s">
        <v>397</v>
      </c>
      <c r="DD107" s="17" t="s">
        <v>397</v>
      </c>
      <c r="DE107" s="17" t="s">
        <v>397</v>
      </c>
      <c r="DF107" s="17" t="s">
        <v>397</v>
      </c>
      <c r="DG107" s="17" t="s">
        <v>397</v>
      </c>
      <c r="DH107" s="17" t="s">
        <v>397</v>
      </c>
      <c r="DI107" s="17" t="s">
        <v>397</v>
      </c>
      <c r="DJ107" s="17"/>
      <c r="DK107" s="17" t="s">
        <v>367</v>
      </c>
      <c r="DL107" s="17" t="s">
        <v>368</v>
      </c>
      <c r="DM107" s="17" t="s">
        <v>368</v>
      </c>
      <c r="DN107" s="17" t="s">
        <v>368</v>
      </c>
      <c r="DO107" s="17" t="s">
        <v>368</v>
      </c>
      <c r="DP107" s="17" t="s">
        <v>345</v>
      </c>
      <c r="DQ107" s="17" t="s">
        <v>344</v>
      </c>
      <c r="DR107" s="17" t="s">
        <v>344</v>
      </c>
      <c r="DS107" s="17" t="s">
        <v>344</v>
      </c>
      <c r="DT107" s="17" t="s">
        <v>368</v>
      </c>
      <c r="DU107" s="17" t="s">
        <v>368</v>
      </c>
      <c r="DV107" s="17" t="s">
        <v>368</v>
      </c>
      <c r="DW107" s="17" t="s">
        <v>345</v>
      </c>
      <c r="DX107" s="17" t="s">
        <v>370</v>
      </c>
      <c r="DY107" s="17" t="s">
        <v>370</v>
      </c>
      <c r="DZ107" s="17" t="s">
        <v>370</v>
      </c>
      <c r="EA107" s="17" t="s">
        <v>369</v>
      </c>
      <c r="EB107" s="17" t="s">
        <v>370</v>
      </c>
      <c r="EC107" s="17" t="s">
        <v>370</v>
      </c>
      <c r="ED107" s="17" t="s">
        <v>371</v>
      </c>
      <c r="EE107" s="17" t="s">
        <v>399</v>
      </c>
      <c r="EF107" s="17" t="s">
        <v>370</v>
      </c>
      <c r="EG107" s="17" t="s">
        <v>369</v>
      </c>
      <c r="EH107" s="17" t="s">
        <v>370</v>
      </c>
      <c r="EI107" s="17" t="s">
        <v>369</v>
      </c>
      <c r="EJ107" s="17" t="s">
        <v>398</v>
      </c>
      <c r="EK107" s="17" t="s">
        <v>399</v>
      </c>
      <c r="EL107" s="17" t="s">
        <v>374</v>
      </c>
      <c r="EM107" s="17" t="s">
        <v>373</v>
      </c>
      <c r="EN107" s="17" t="s">
        <v>440</v>
      </c>
      <c r="EO107" s="17"/>
      <c r="EP107" s="17"/>
      <c r="EQ107" s="17" t="s">
        <v>375</v>
      </c>
      <c r="ER107" s="17" t="s">
        <v>391</v>
      </c>
      <c r="ES107" s="17" t="s">
        <v>375</v>
      </c>
      <c r="ET107" s="17" t="s">
        <v>378</v>
      </c>
      <c r="EU107" s="17" t="s">
        <v>391</v>
      </c>
      <c r="EV107" s="17" t="s">
        <v>379</v>
      </c>
      <c r="EW107" s="17"/>
      <c r="EX107" s="17" t="s">
        <v>368</v>
      </c>
      <c r="EY107" s="17" t="s">
        <v>368</v>
      </c>
      <c r="EZ107" s="17" t="s">
        <v>368</v>
      </c>
      <c r="FA107" s="17" t="s">
        <v>345</v>
      </c>
      <c r="FB107" s="17" t="s">
        <v>401</v>
      </c>
      <c r="FC107" s="17"/>
      <c r="FD107" s="17" t="s">
        <v>401</v>
      </c>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t="s">
        <v>368</v>
      </c>
      <c r="GB107" s="17" t="s">
        <v>368</v>
      </c>
      <c r="GC107" s="17" t="s">
        <v>368</v>
      </c>
      <c r="GD107" s="17" t="s">
        <v>368</v>
      </c>
      <c r="GE107" s="17" t="s">
        <v>368</v>
      </c>
      <c r="GF107" s="17" t="s">
        <v>368</v>
      </c>
      <c r="GG107" s="17"/>
      <c r="GH107" s="17"/>
      <c r="GI107" s="17"/>
      <c r="GJ107" s="17"/>
      <c r="GK107" s="17"/>
      <c r="GL107" s="17" t="s">
        <v>344</v>
      </c>
      <c r="GM107" s="17" t="s">
        <v>344</v>
      </c>
      <c r="GN107" s="17" t="s">
        <v>344</v>
      </c>
      <c r="GO107" s="17" t="s">
        <v>344</v>
      </c>
      <c r="GP107" s="17" t="s">
        <v>344</v>
      </c>
      <c r="GQ107" s="17" t="s">
        <v>344</v>
      </c>
      <c r="GR107" s="17" t="s">
        <v>344</v>
      </c>
      <c r="GS107" s="17" t="s">
        <v>344</v>
      </c>
      <c r="GT107" s="17" t="s">
        <v>344</v>
      </c>
      <c r="GU107" s="17" t="s">
        <v>344</v>
      </c>
      <c r="GV107" s="17" t="s">
        <v>344</v>
      </c>
      <c r="GW107" s="17" t="s">
        <v>344</v>
      </c>
      <c r="GX107" s="17" t="s">
        <v>344</v>
      </c>
      <c r="GY107" s="17" t="s">
        <v>344</v>
      </c>
      <c r="GZ107" s="17" t="s">
        <v>345</v>
      </c>
      <c r="HA107" s="17"/>
      <c r="HB107" s="17" t="s">
        <v>344</v>
      </c>
      <c r="HC107" s="17"/>
      <c r="HD107" s="17" t="s">
        <v>344</v>
      </c>
      <c r="HE107" s="17"/>
      <c r="HF107" s="17" t="s">
        <v>344</v>
      </c>
      <c r="HG107" s="17"/>
      <c r="HH107" s="17" t="s">
        <v>344</v>
      </c>
      <c r="HI107" s="17"/>
      <c r="HJ107" s="17" t="s">
        <v>344</v>
      </c>
      <c r="HK107" s="17" t="s">
        <v>344</v>
      </c>
      <c r="HL107" s="17" t="s">
        <v>344</v>
      </c>
      <c r="HM107" s="17" t="s">
        <v>344</v>
      </c>
      <c r="HN107" s="17" t="s">
        <v>344</v>
      </c>
      <c r="HO107" s="17" t="s">
        <v>344</v>
      </c>
      <c r="HP107" s="17" t="s">
        <v>344</v>
      </c>
      <c r="HQ107" s="17" t="s">
        <v>344</v>
      </c>
      <c r="HR107" s="17" t="s">
        <v>344</v>
      </c>
      <c r="HS107" s="17" t="s">
        <v>344</v>
      </c>
      <c r="HT107" s="17" t="s">
        <v>344</v>
      </c>
      <c r="HU107" s="17" t="s">
        <v>344</v>
      </c>
      <c r="HV107" s="17" t="s">
        <v>344</v>
      </c>
      <c r="HW107" s="17" t="s">
        <v>344</v>
      </c>
      <c r="HX107" s="17" t="s">
        <v>345</v>
      </c>
      <c r="HY107" s="17"/>
      <c r="HZ107" s="17" t="s">
        <v>344</v>
      </c>
      <c r="IA107" s="17"/>
      <c r="IB107" s="17" t="s">
        <v>344</v>
      </c>
      <c r="IC107" s="17"/>
      <c r="ID107" s="17" t="s">
        <v>344</v>
      </c>
      <c r="IE107" s="17"/>
      <c r="IF107" s="17" t="s">
        <v>344</v>
      </c>
      <c r="IG107" s="17"/>
      <c r="IH107" s="17" t="s">
        <v>344</v>
      </c>
      <c r="II107" s="17" t="s">
        <v>345</v>
      </c>
      <c r="IJ107" s="17" t="s">
        <v>344</v>
      </c>
      <c r="IK107" s="17" t="s">
        <v>344</v>
      </c>
      <c r="IL107" s="17" t="s">
        <v>345</v>
      </c>
      <c r="IM107" s="17" t="s">
        <v>344</v>
      </c>
      <c r="IN107" s="17" t="s">
        <v>344</v>
      </c>
      <c r="IO107" s="17" t="s">
        <v>345</v>
      </c>
      <c r="IP107" s="17" t="s">
        <v>344</v>
      </c>
      <c r="IQ107" s="17" t="s">
        <v>344</v>
      </c>
      <c r="IR107" s="17" t="s">
        <v>345</v>
      </c>
      <c r="IS107" s="17" t="s">
        <v>344</v>
      </c>
      <c r="IT107" s="17"/>
      <c r="IU107" s="17"/>
      <c r="IV107" s="17"/>
      <c r="IW107" s="17"/>
      <c r="IX107" s="17"/>
      <c r="IY107" s="17"/>
      <c r="IZ107" s="17"/>
      <c r="JA107" s="17"/>
      <c r="JB107" s="17"/>
      <c r="JC107" s="17"/>
      <c r="JD107" s="17"/>
      <c r="JE107" s="17"/>
      <c r="JF107" s="17"/>
      <c r="JG107" s="17"/>
      <c r="JH107" s="17"/>
    </row>
    <row r="108" spans="1:268" x14ac:dyDescent="0.3">
      <c r="A108" s="17" t="s">
        <v>813</v>
      </c>
      <c r="B108" s="17">
        <v>189</v>
      </c>
      <c r="C108" s="17" t="s">
        <v>878</v>
      </c>
      <c r="D108" s="17">
        <v>14</v>
      </c>
      <c r="E108" s="17" t="s">
        <v>387</v>
      </c>
      <c r="F108" s="17">
        <v>2065321632</v>
      </c>
      <c r="G108" s="17" t="s">
        <v>879</v>
      </c>
      <c r="H108" s="17" t="s">
        <v>878</v>
      </c>
      <c r="I108" s="17" t="s">
        <v>867</v>
      </c>
      <c r="J108" s="17">
        <v>21</v>
      </c>
      <c r="K108" s="17" t="s">
        <v>406</v>
      </c>
      <c r="L108" s="17"/>
      <c r="M108" s="17" t="s">
        <v>345</v>
      </c>
      <c r="N108" s="17" t="s">
        <v>345</v>
      </c>
      <c r="O108" s="17" t="s">
        <v>344</v>
      </c>
      <c r="P108" s="17" t="s">
        <v>344</v>
      </c>
      <c r="Q108" s="17" t="s">
        <v>344</v>
      </c>
      <c r="R108" s="17"/>
      <c r="S108" s="17" t="s">
        <v>522</v>
      </c>
      <c r="T108" s="17"/>
      <c r="U108" s="17" t="s">
        <v>347</v>
      </c>
      <c r="V108" s="17"/>
      <c r="W108" s="17" t="s">
        <v>344</v>
      </c>
      <c r="X108" s="17" t="s">
        <v>344</v>
      </c>
      <c r="Y108" s="17" t="s">
        <v>344</v>
      </c>
      <c r="Z108" s="17" t="s">
        <v>344</v>
      </c>
      <c r="AA108" s="17" t="s">
        <v>345</v>
      </c>
      <c r="AB108" s="17" t="s">
        <v>344</v>
      </c>
      <c r="AC108" s="17" t="s">
        <v>344</v>
      </c>
      <c r="AD108" s="17" t="s">
        <v>345</v>
      </c>
      <c r="AE108" s="17" t="s">
        <v>344</v>
      </c>
      <c r="AF108" s="17" t="s">
        <v>345</v>
      </c>
      <c r="AG108" s="17" t="s">
        <v>344</v>
      </c>
      <c r="AH108" s="17" t="s">
        <v>345</v>
      </c>
      <c r="AI108" s="17" t="s">
        <v>344</v>
      </c>
      <c r="AJ108" s="17" t="s">
        <v>344</v>
      </c>
      <c r="AK108" s="17" t="s">
        <v>345</v>
      </c>
      <c r="AL108" s="17" t="s">
        <v>344</v>
      </c>
      <c r="AM108" s="17" t="s">
        <v>344</v>
      </c>
      <c r="AN108" s="17" t="s">
        <v>344</v>
      </c>
      <c r="AO108" s="17" t="s">
        <v>344</v>
      </c>
      <c r="AP108" s="17" t="s">
        <v>344</v>
      </c>
      <c r="AQ108" s="17" t="s">
        <v>344</v>
      </c>
      <c r="AR108" s="17" t="s">
        <v>345</v>
      </c>
      <c r="AS108" s="17" t="s">
        <v>344</v>
      </c>
      <c r="AT108" s="17" t="s">
        <v>344</v>
      </c>
      <c r="AU108" s="17" t="s">
        <v>345</v>
      </c>
      <c r="AV108" s="17" t="s">
        <v>344</v>
      </c>
      <c r="AW108" s="17" t="s">
        <v>344</v>
      </c>
      <c r="AX108" s="17" t="s">
        <v>344</v>
      </c>
      <c r="AY108" s="17" t="s">
        <v>733</v>
      </c>
      <c r="AZ108" s="17" t="s">
        <v>733</v>
      </c>
      <c r="BA108" s="17" t="s">
        <v>732</v>
      </c>
      <c r="BB108" s="17" t="s">
        <v>731</v>
      </c>
      <c r="BC108" s="17" t="s">
        <v>731</v>
      </c>
      <c r="BD108" s="17" t="s">
        <v>731</v>
      </c>
      <c r="BE108" s="17" t="s">
        <v>348</v>
      </c>
      <c r="BF108" s="17" t="s">
        <v>349</v>
      </c>
      <c r="BG108" s="17" t="s">
        <v>390</v>
      </c>
      <c r="BH108" s="17" t="s">
        <v>349</v>
      </c>
      <c r="BI108" s="17" t="s">
        <v>348</v>
      </c>
      <c r="BJ108" s="17" t="s">
        <v>391</v>
      </c>
      <c r="BK108" s="17" t="s">
        <v>391</v>
      </c>
      <c r="BL108" s="17" t="s">
        <v>391</v>
      </c>
      <c r="BM108" s="17" t="s">
        <v>353</v>
      </c>
      <c r="BN108" s="17" t="s">
        <v>351</v>
      </c>
      <c r="BO108" s="17" t="s">
        <v>356</v>
      </c>
      <c r="BP108" s="17" t="s">
        <v>391</v>
      </c>
      <c r="BQ108" s="17" t="s">
        <v>358</v>
      </c>
      <c r="BR108" s="17" t="s">
        <v>429</v>
      </c>
      <c r="BS108" s="17" t="s">
        <v>353</v>
      </c>
      <c r="BT108" s="17" t="s">
        <v>391</v>
      </c>
      <c r="BU108" s="17" t="s">
        <v>355</v>
      </c>
      <c r="BV108" s="17" t="s">
        <v>351</v>
      </c>
      <c r="BW108" s="17" t="s">
        <v>391</v>
      </c>
      <c r="BX108" s="17" t="s">
        <v>391</v>
      </c>
      <c r="BY108" s="17" t="s">
        <v>391</v>
      </c>
      <c r="BZ108" s="17" t="s">
        <v>357</v>
      </c>
      <c r="CA108" s="17" t="s">
        <v>353</v>
      </c>
      <c r="CB108" s="17" t="s">
        <v>352</v>
      </c>
      <c r="CC108" s="17" t="s">
        <v>356</v>
      </c>
      <c r="CD108" s="17" t="s">
        <v>355</v>
      </c>
      <c r="CE108" s="17" t="s">
        <v>352</v>
      </c>
      <c r="CF108" s="17" t="s">
        <v>356</v>
      </c>
      <c r="CG108" s="17" t="s">
        <v>420</v>
      </c>
      <c r="CH108" s="17" t="s">
        <v>420</v>
      </c>
      <c r="CI108" s="17" t="s">
        <v>392</v>
      </c>
      <c r="CJ108" s="17" t="s">
        <v>392</v>
      </c>
      <c r="CK108" s="17" t="s">
        <v>717</v>
      </c>
      <c r="CL108" s="17" t="s">
        <v>344</v>
      </c>
      <c r="CM108" s="17" t="s">
        <v>344</v>
      </c>
      <c r="CN108" s="17" t="s">
        <v>344</v>
      </c>
      <c r="CO108" s="17" t="s">
        <v>345</v>
      </c>
      <c r="CP108" s="17" t="s">
        <v>345</v>
      </c>
      <c r="CQ108" s="17" t="s">
        <v>344</v>
      </c>
      <c r="CR108" s="17" t="s">
        <v>667</v>
      </c>
      <c r="CS108" s="17">
        <v>77</v>
      </c>
      <c r="CT108" s="17">
        <v>85</v>
      </c>
      <c r="CU108" s="17">
        <v>76</v>
      </c>
      <c r="CV108" s="17">
        <v>63</v>
      </c>
      <c r="CW108" s="17" t="s">
        <v>363</v>
      </c>
      <c r="CX108" s="17" t="s">
        <v>395</v>
      </c>
      <c r="CY108" s="17" t="s">
        <v>396</v>
      </c>
      <c r="CZ108" s="17" t="s">
        <v>397</v>
      </c>
      <c r="DA108" s="17" t="s">
        <v>397</v>
      </c>
      <c r="DB108" s="17" t="s">
        <v>397</v>
      </c>
      <c r="DC108" s="17" t="s">
        <v>397</v>
      </c>
      <c r="DD108" s="17" t="s">
        <v>397</v>
      </c>
      <c r="DE108" s="17" t="s">
        <v>366</v>
      </c>
      <c r="DF108" s="17" t="s">
        <v>397</v>
      </c>
      <c r="DG108" s="17" t="s">
        <v>397</v>
      </c>
      <c r="DH108" s="17" t="s">
        <v>397</v>
      </c>
      <c r="DI108" s="17" t="s">
        <v>366</v>
      </c>
      <c r="DJ108" s="17" t="s">
        <v>880</v>
      </c>
      <c r="DK108" s="17" t="s">
        <v>806</v>
      </c>
      <c r="DL108" s="17" t="s">
        <v>368</v>
      </c>
      <c r="DM108" s="17" t="s">
        <v>368</v>
      </c>
      <c r="DN108" s="17" t="s">
        <v>368</v>
      </c>
      <c r="DO108" s="17" t="s">
        <v>345</v>
      </c>
      <c r="DP108" s="17" t="s">
        <v>345</v>
      </c>
      <c r="DQ108" s="17" t="s">
        <v>344</v>
      </c>
      <c r="DR108" s="17" t="s">
        <v>344</v>
      </c>
      <c r="DS108" s="17" t="s">
        <v>344</v>
      </c>
      <c r="DT108" s="17" t="s">
        <v>345</v>
      </c>
      <c r="DU108" s="17" t="s">
        <v>344</v>
      </c>
      <c r="DV108" s="17" t="s">
        <v>344</v>
      </c>
      <c r="DW108" s="17" t="s">
        <v>344</v>
      </c>
      <c r="DX108" s="17" t="s">
        <v>370</v>
      </c>
      <c r="DY108" s="17" t="s">
        <v>370</v>
      </c>
      <c r="DZ108" s="17" t="s">
        <v>371</v>
      </c>
      <c r="EA108" s="17" t="s">
        <v>370</v>
      </c>
      <c r="EB108" s="17" t="s">
        <v>369</v>
      </c>
      <c r="EC108" s="17" t="s">
        <v>370</v>
      </c>
      <c r="ED108" s="17" t="s">
        <v>370</v>
      </c>
      <c r="EE108" s="17" t="s">
        <v>370</v>
      </c>
      <c r="EF108" s="17" t="s">
        <v>398</v>
      </c>
      <c r="EG108" s="17" t="s">
        <v>370</v>
      </c>
      <c r="EH108" s="17" t="s">
        <v>371</v>
      </c>
      <c r="EI108" s="17" t="s">
        <v>369</v>
      </c>
      <c r="EJ108" s="17" t="s">
        <v>370</v>
      </c>
      <c r="EK108" s="17" t="s">
        <v>370</v>
      </c>
      <c r="EL108" s="17" t="s">
        <v>373</v>
      </c>
      <c r="EM108" s="17" t="s">
        <v>440</v>
      </c>
      <c r="EN108" s="17" t="s">
        <v>374</v>
      </c>
      <c r="EO108" s="17"/>
      <c r="EP108" s="17"/>
      <c r="EQ108" s="17" t="s">
        <v>378</v>
      </c>
      <c r="ER108" s="17" t="s">
        <v>378</v>
      </c>
      <c r="ES108" s="17" t="s">
        <v>376</v>
      </c>
      <c r="ET108" s="17" t="s">
        <v>378</v>
      </c>
      <c r="EU108" s="17" t="s">
        <v>375</v>
      </c>
      <c r="EV108" s="17" t="s">
        <v>379</v>
      </c>
      <c r="EW108" s="17"/>
      <c r="EX108" s="17" t="s">
        <v>368</v>
      </c>
      <c r="EY108" s="17" t="s">
        <v>368</v>
      </c>
      <c r="EZ108" s="17" t="s">
        <v>368</v>
      </c>
      <c r="FA108" s="17" t="s">
        <v>345</v>
      </c>
      <c r="FB108" s="17" t="s">
        <v>381</v>
      </c>
      <c r="FC108" s="17"/>
      <c r="FD108" s="17" t="s">
        <v>381</v>
      </c>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t="s">
        <v>368</v>
      </c>
      <c r="GB108" s="17" t="s">
        <v>368</v>
      </c>
      <c r="GC108" s="17" t="s">
        <v>368</v>
      </c>
      <c r="GD108" s="17" t="s">
        <v>368</v>
      </c>
      <c r="GE108" s="17" t="s">
        <v>368</v>
      </c>
      <c r="GF108" s="17" t="s">
        <v>368</v>
      </c>
      <c r="GG108" s="17"/>
      <c r="GH108" s="17"/>
      <c r="GI108" s="17"/>
      <c r="GJ108" s="17"/>
      <c r="GK108" s="17"/>
      <c r="GL108" s="17" t="s">
        <v>344</v>
      </c>
      <c r="GM108" s="17" t="s">
        <v>344</v>
      </c>
      <c r="GN108" s="17" t="s">
        <v>344</v>
      </c>
      <c r="GO108" s="17" t="s">
        <v>344</v>
      </c>
      <c r="GP108" s="17" t="s">
        <v>344</v>
      </c>
      <c r="GQ108" s="17" t="s">
        <v>344</v>
      </c>
      <c r="GR108" s="17" t="s">
        <v>344</v>
      </c>
      <c r="GS108" s="17" t="s">
        <v>344</v>
      </c>
      <c r="GT108" s="17" t="s">
        <v>344</v>
      </c>
      <c r="GU108" s="17" t="s">
        <v>344</v>
      </c>
      <c r="GV108" s="17" t="s">
        <v>344</v>
      </c>
      <c r="GW108" s="17" t="s">
        <v>345</v>
      </c>
      <c r="GX108" s="17" t="s">
        <v>344</v>
      </c>
      <c r="GY108" s="17" t="s">
        <v>344</v>
      </c>
      <c r="GZ108" s="17" t="s">
        <v>344</v>
      </c>
      <c r="HA108" s="17"/>
      <c r="HB108" s="17" t="s">
        <v>344</v>
      </c>
      <c r="HC108" s="17"/>
      <c r="HD108" s="17" t="s">
        <v>344</v>
      </c>
      <c r="HE108" s="17"/>
      <c r="HF108" s="17" t="s">
        <v>344</v>
      </c>
      <c r="HG108" s="17"/>
      <c r="HH108" s="17" t="s">
        <v>344</v>
      </c>
      <c r="HI108" s="17"/>
      <c r="HJ108" s="17" t="s">
        <v>344</v>
      </c>
      <c r="HK108" s="17" t="s">
        <v>344</v>
      </c>
      <c r="HL108" s="17" t="s">
        <v>344</v>
      </c>
      <c r="HM108" s="17" t="s">
        <v>344</v>
      </c>
      <c r="HN108" s="17" t="s">
        <v>344</v>
      </c>
      <c r="HO108" s="17" t="s">
        <v>344</v>
      </c>
      <c r="HP108" s="17" t="s">
        <v>345</v>
      </c>
      <c r="HQ108" s="17" t="s">
        <v>344</v>
      </c>
      <c r="HR108" s="17" t="s">
        <v>344</v>
      </c>
      <c r="HS108" s="17" t="s">
        <v>344</v>
      </c>
      <c r="HT108" s="17" t="s">
        <v>344</v>
      </c>
      <c r="HU108" s="17" t="s">
        <v>345</v>
      </c>
      <c r="HV108" s="17" t="s">
        <v>344</v>
      </c>
      <c r="HW108" s="17" t="s">
        <v>344</v>
      </c>
      <c r="HX108" s="17" t="s">
        <v>344</v>
      </c>
      <c r="HY108" s="17"/>
      <c r="HZ108" s="17" t="s">
        <v>344</v>
      </c>
      <c r="IA108" s="17"/>
      <c r="IB108" s="17" t="s">
        <v>344</v>
      </c>
      <c r="IC108" s="17"/>
      <c r="ID108" s="17" t="s">
        <v>344</v>
      </c>
      <c r="IE108" s="17"/>
      <c r="IF108" s="17" t="s">
        <v>344</v>
      </c>
      <c r="IG108" s="17"/>
      <c r="IH108" s="17" t="s">
        <v>345</v>
      </c>
      <c r="II108" s="17" t="s">
        <v>345</v>
      </c>
      <c r="IJ108" s="17" t="s">
        <v>344</v>
      </c>
      <c r="IK108" s="17" t="s">
        <v>344</v>
      </c>
      <c r="IL108" s="17" t="s">
        <v>345</v>
      </c>
      <c r="IM108" s="17" t="s">
        <v>345</v>
      </c>
      <c r="IN108" s="17" t="s">
        <v>344</v>
      </c>
      <c r="IO108" s="17" t="s">
        <v>345</v>
      </c>
      <c r="IP108" s="17" t="s">
        <v>344</v>
      </c>
      <c r="IQ108" s="17" t="s">
        <v>344</v>
      </c>
      <c r="IR108" s="17" t="s">
        <v>344</v>
      </c>
      <c r="IS108" s="17" t="s">
        <v>344</v>
      </c>
      <c r="IT108" s="17"/>
      <c r="IU108" s="17"/>
      <c r="IV108" s="17"/>
      <c r="IW108" s="17"/>
      <c r="IX108" s="17"/>
      <c r="IY108" s="17"/>
      <c r="IZ108" s="17"/>
      <c r="JA108" s="17"/>
      <c r="JB108" s="17"/>
      <c r="JC108" s="17"/>
      <c r="JD108" s="17"/>
      <c r="JE108" s="17"/>
      <c r="JF108" s="17"/>
      <c r="JG108" s="17"/>
      <c r="JH108" s="17"/>
    </row>
    <row r="109" spans="1:268" x14ac:dyDescent="0.3">
      <c r="A109" s="17" t="s">
        <v>813</v>
      </c>
      <c r="B109" s="17">
        <v>190</v>
      </c>
      <c r="C109" s="17" t="s">
        <v>881</v>
      </c>
      <c r="D109" s="17">
        <v>14</v>
      </c>
      <c r="E109" s="17" t="s">
        <v>340</v>
      </c>
      <c r="F109" s="17">
        <v>1951765859</v>
      </c>
      <c r="G109" s="17" t="s">
        <v>882</v>
      </c>
      <c r="H109" s="17" t="s">
        <v>881</v>
      </c>
      <c r="I109" s="17" t="s">
        <v>883</v>
      </c>
      <c r="J109" s="17">
        <v>20</v>
      </c>
      <c r="K109" s="17" t="s">
        <v>389</v>
      </c>
      <c r="L109" s="17"/>
      <c r="M109" s="17" t="s">
        <v>345</v>
      </c>
      <c r="N109" s="17" t="s">
        <v>345</v>
      </c>
      <c r="O109" s="17" t="s">
        <v>345</v>
      </c>
      <c r="P109" s="17" t="s">
        <v>344</v>
      </c>
      <c r="Q109" s="17" t="s">
        <v>344</v>
      </c>
      <c r="R109" s="17"/>
      <c r="S109" s="17" t="s">
        <v>475</v>
      </c>
      <c r="T109" s="17"/>
      <c r="U109" s="17" t="s">
        <v>347</v>
      </c>
      <c r="V109" s="17"/>
      <c r="W109" s="17" t="s">
        <v>344</v>
      </c>
      <c r="X109" s="17" t="s">
        <v>344</v>
      </c>
      <c r="Y109" s="17" t="s">
        <v>345</v>
      </c>
      <c r="Z109" s="17" t="s">
        <v>344</v>
      </c>
      <c r="AA109" s="17" t="s">
        <v>345</v>
      </c>
      <c r="AB109" s="17" t="s">
        <v>345</v>
      </c>
      <c r="AC109" s="17" t="s">
        <v>344</v>
      </c>
      <c r="AD109" s="17" t="s">
        <v>344</v>
      </c>
      <c r="AE109" s="17" t="s">
        <v>345</v>
      </c>
      <c r="AF109" s="17" t="s">
        <v>345</v>
      </c>
      <c r="AG109" s="17" t="s">
        <v>344</v>
      </c>
      <c r="AH109" s="17" t="s">
        <v>345</v>
      </c>
      <c r="AI109" s="17" t="s">
        <v>344</v>
      </c>
      <c r="AJ109" s="17" t="s">
        <v>344</v>
      </c>
      <c r="AK109" s="17" t="s">
        <v>344</v>
      </c>
      <c r="AL109" s="17" t="s">
        <v>345</v>
      </c>
      <c r="AM109" s="17" t="s">
        <v>344</v>
      </c>
      <c r="AN109" s="17" t="s">
        <v>344</v>
      </c>
      <c r="AO109" s="17" t="s">
        <v>344</v>
      </c>
      <c r="AP109" s="17" t="s">
        <v>345</v>
      </c>
      <c r="AQ109" s="17" t="s">
        <v>344</v>
      </c>
      <c r="AR109" s="17" t="s">
        <v>344</v>
      </c>
      <c r="AS109" s="17" t="s">
        <v>344</v>
      </c>
      <c r="AT109" s="17" t="s">
        <v>345</v>
      </c>
      <c r="AU109" s="17" t="s">
        <v>345</v>
      </c>
      <c r="AV109" s="17" t="s">
        <v>345</v>
      </c>
      <c r="AW109" s="17" t="s">
        <v>344</v>
      </c>
      <c r="AX109" s="17" t="s">
        <v>344</v>
      </c>
      <c r="AY109" s="17" t="s">
        <v>732</v>
      </c>
      <c r="AZ109" s="17" t="s">
        <v>733</v>
      </c>
      <c r="BA109" s="17" t="s">
        <v>731</v>
      </c>
      <c r="BB109" s="17" t="s">
        <v>732</v>
      </c>
      <c r="BC109" s="17" t="s">
        <v>731</v>
      </c>
      <c r="BD109" s="17" t="s">
        <v>733</v>
      </c>
      <c r="BE109" s="17" t="s">
        <v>390</v>
      </c>
      <c r="BF109" s="17" t="s">
        <v>348</v>
      </c>
      <c r="BG109" s="17" t="s">
        <v>390</v>
      </c>
      <c r="BH109" s="17" t="s">
        <v>349</v>
      </c>
      <c r="BI109" s="17" t="s">
        <v>390</v>
      </c>
      <c r="BJ109" s="17" t="s">
        <v>354</v>
      </c>
      <c r="BK109" s="17" t="s">
        <v>356</v>
      </c>
      <c r="BL109" s="17" t="s">
        <v>353</v>
      </c>
      <c r="BM109" s="17" t="s">
        <v>357</v>
      </c>
      <c r="BN109" s="17" t="s">
        <v>391</v>
      </c>
      <c r="BO109" s="17" t="s">
        <v>355</v>
      </c>
      <c r="BP109" s="17" t="s">
        <v>353</v>
      </c>
      <c r="BQ109" s="17" t="s">
        <v>419</v>
      </c>
      <c r="BR109" s="17" t="s">
        <v>408</v>
      </c>
      <c r="BS109" s="17" t="s">
        <v>351</v>
      </c>
      <c r="BT109" s="17" t="s">
        <v>357</v>
      </c>
      <c r="BU109" s="17" t="s">
        <v>352</v>
      </c>
      <c r="BV109" s="17" t="s">
        <v>352</v>
      </c>
      <c r="BW109" s="17" t="s">
        <v>357</v>
      </c>
      <c r="BX109" s="17" t="s">
        <v>351</v>
      </c>
      <c r="BY109" s="17" t="s">
        <v>353</v>
      </c>
      <c r="BZ109" s="17" t="s">
        <v>354</v>
      </c>
      <c r="CA109" s="17" t="s">
        <v>356</v>
      </c>
      <c r="CB109" s="17" t="s">
        <v>357</v>
      </c>
      <c r="CC109" s="17" t="s">
        <v>353</v>
      </c>
      <c r="CD109" s="17" t="s">
        <v>356</v>
      </c>
      <c r="CE109" s="17" t="s">
        <v>353</v>
      </c>
      <c r="CF109" s="17" t="s">
        <v>352</v>
      </c>
      <c r="CG109" s="17" t="s">
        <v>420</v>
      </c>
      <c r="CH109" s="17" t="s">
        <v>393</v>
      </c>
      <c r="CI109" s="17" t="s">
        <v>420</v>
      </c>
      <c r="CJ109" s="17" t="s">
        <v>420</v>
      </c>
      <c r="CK109" s="17" t="s">
        <v>884</v>
      </c>
      <c r="CL109" s="17" t="s">
        <v>344</v>
      </c>
      <c r="CM109" s="17" t="s">
        <v>344</v>
      </c>
      <c r="CN109" s="17" t="s">
        <v>344</v>
      </c>
      <c r="CO109" s="17" t="s">
        <v>345</v>
      </c>
      <c r="CP109" s="17" t="s">
        <v>345</v>
      </c>
      <c r="CQ109" s="17" t="s">
        <v>344</v>
      </c>
      <c r="CR109" s="17" t="s">
        <v>655</v>
      </c>
      <c r="CS109" s="17">
        <v>23</v>
      </c>
      <c r="CT109" s="17">
        <v>70</v>
      </c>
      <c r="CU109" s="17">
        <v>70</v>
      </c>
      <c r="CV109" s="17">
        <v>24</v>
      </c>
      <c r="CW109" s="17" t="s">
        <v>395</v>
      </c>
      <c r="CX109" s="17" t="s">
        <v>396</v>
      </c>
      <c r="CY109" s="17" t="s">
        <v>396</v>
      </c>
      <c r="CZ109" s="17" t="s">
        <v>397</v>
      </c>
      <c r="DA109" s="17" t="s">
        <v>397</v>
      </c>
      <c r="DB109" s="17" t="s">
        <v>397</v>
      </c>
      <c r="DC109" s="17" t="s">
        <v>397</v>
      </c>
      <c r="DD109" s="17" t="s">
        <v>366</v>
      </c>
      <c r="DE109" s="17" t="s">
        <v>366</v>
      </c>
      <c r="DF109" s="17" t="s">
        <v>366</v>
      </c>
      <c r="DG109" s="17" t="s">
        <v>366</v>
      </c>
      <c r="DH109" s="17" t="s">
        <v>397</v>
      </c>
      <c r="DI109" s="17" t="s">
        <v>366</v>
      </c>
      <c r="DJ109" s="17" t="s">
        <v>885</v>
      </c>
      <c r="DK109" s="17" t="s">
        <v>367</v>
      </c>
      <c r="DL109" s="17" t="s">
        <v>368</v>
      </c>
      <c r="DM109" s="17" t="s">
        <v>368</v>
      </c>
      <c r="DN109" s="17" t="s">
        <v>368</v>
      </c>
      <c r="DO109" s="17" t="s">
        <v>368</v>
      </c>
      <c r="DP109" s="17" t="s">
        <v>345</v>
      </c>
      <c r="DQ109" s="17" t="s">
        <v>344</v>
      </c>
      <c r="DR109" s="17" t="s">
        <v>345</v>
      </c>
      <c r="DS109" s="17" t="s">
        <v>344</v>
      </c>
      <c r="DT109" s="17" t="s">
        <v>345</v>
      </c>
      <c r="DU109" s="17" t="s">
        <v>344</v>
      </c>
      <c r="DV109" s="17" t="s">
        <v>345</v>
      </c>
      <c r="DW109" s="17" t="s">
        <v>344</v>
      </c>
      <c r="DX109" s="17" t="s">
        <v>371</v>
      </c>
      <c r="DY109" s="17" t="s">
        <v>371</v>
      </c>
      <c r="DZ109" s="17" t="s">
        <v>370</v>
      </c>
      <c r="EA109" s="17" t="s">
        <v>371</v>
      </c>
      <c r="EB109" s="17" t="s">
        <v>370</v>
      </c>
      <c r="EC109" s="17" t="s">
        <v>369</v>
      </c>
      <c r="ED109" s="17" t="s">
        <v>371</v>
      </c>
      <c r="EE109" s="17" t="s">
        <v>370</v>
      </c>
      <c r="EF109" s="17" t="s">
        <v>370</v>
      </c>
      <c r="EG109" s="17" t="s">
        <v>371</v>
      </c>
      <c r="EH109" s="17" t="s">
        <v>370</v>
      </c>
      <c r="EI109" s="17" t="s">
        <v>371</v>
      </c>
      <c r="EJ109" s="17" t="s">
        <v>369</v>
      </c>
      <c r="EK109" s="17" t="s">
        <v>371</v>
      </c>
      <c r="EL109" s="17" t="s">
        <v>373</v>
      </c>
      <c r="EM109" s="17" t="s">
        <v>374</v>
      </c>
      <c r="EN109" s="17" t="s">
        <v>440</v>
      </c>
      <c r="EO109" s="17"/>
      <c r="EP109" s="17"/>
      <c r="EQ109" s="17" t="s">
        <v>376</v>
      </c>
      <c r="ER109" s="17" t="s">
        <v>375</v>
      </c>
      <c r="ES109" s="17" t="s">
        <v>375</v>
      </c>
      <c r="ET109" s="17" t="s">
        <v>376</v>
      </c>
      <c r="EU109" s="17" t="s">
        <v>375</v>
      </c>
      <c r="EV109" s="17" t="s">
        <v>379</v>
      </c>
      <c r="EW109" s="17"/>
      <c r="EX109" s="17" t="s">
        <v>368</v>
      </c>
      <c r="EY109" s="17" t="s">
        <v>368</v>
      </c>
      <c r="EZ109" s="17" t="s">
        <v>368</v>
      </c>
      <c r="FA109" s="17" t="s">
        <v>345</v>
      </c>
      <c r="FB109" s="17" t="s">
        <v>381</v>
      </c>
      <c r="FC109" s="17"/>
      <c r="FD109" s="17" t="s">
        <v>381</v>
      </c>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t="s">
        <v>368</v>
      </c>
      <c r="GB109" s="17" t="s">
        <v>368</v>
      </c>
      <c r="GC109" s="17" t="s">
        <v>368</v>
      </c>
      <c r="GD109" s="17" t="s">
        <v>368</v>
      </c>
      <c r="GE109" s="17" t="s">
        <v>368</v>
      </c>
      <c r="GF109" s="17" t="s">
        <v>368</v>
      </c>
      <c r="GG109" s="17"/>
      <c r="GH109" s="17"/>
      <c r="GI109" s="17"/>
      <c r="GJ109" s="17"/>
      <c r="GK109" s="17"/>
      <c r="GL109" s="17" t="s">
        <v>344</v>
      </c>
      <c r="GM109" s="17" t="s">
        <v>344</v>
      </c>
      <c r="GN109" s="17" t="s">
        <v>344</v>
      </c>
      <c r="GO109" s="17" t="s">
        <v>344</v>
      </c>
      <c r="GP109" s="17" t="s">
        <v>344</v>
      </c>
      <c r="GQ109" s="17" t="s">
        <v>344</v>
      </c>
      <c r="GR109" s="17" t="s">
        <v>344</v>
      </c>
      <c r="GS109" s="17" t="s">
        <v>344</v>
      </c>
      <c r="GT109" s="17" t="s">
        <v>344</v>
      </c>
      <c r="GU109" s="17" t="s">
        <v>344</v>
      </c>
      <c r="GV109" s="17" t="s">
        <v>345</v>
      </c>
      <c r="GW109" s="17" t="s">
        <v>344</v>
      </c>
      <c r="GX109" s="17" t="s">
        <v>344</v>
      </c>
      <c r="GY109" s="17" t="s">
        <v>345</v>
      </c>
      <c r="GZ109" s="17" t="s">
        <v>344</v>
      </c>
      <c r="HA109" s="17"/>
      <c r="HB109" s="17" t="s">
        <v>344</v>
      </c>
      <c r="HC109" s="17"/>
      <c r="HD109" s="17" t="s">
        <v>344</v>
      </c>
      <c r="HE109" s="17"/>
      <c r="HF109" s="17" t="s">
        <v>344</v>
      </c>
      <c r="HG109" s="17"/>
      <c r="HH109" s="17" t="s">
        <v>344</v>
      </c>
      <c r="HI109" s="17"/>
      <c r="HJ109" s="17" t="s">
        <v>345</v>
      </c>
      <c r="HK109" s="17" t="s">
        <v>344</v>
      </c>
      <c r="HL109" s="17" t="s">
        <v>344</v>
      </c>
      <c r="HM109" s="17" t="s">
        <v>344</v>
      </c>
      <c r="HN109" s="17" t="s">
        <v>345</v>
      </c>
      <c r="HO109" s="17" t="s">
        <v>344</v>
      </c>
      <c r="HP109" s="17" t="s">
        <v>344</v>
      </c>
      <c r="HQ109" s="17" t="s">
        <v>344</v>
      </c>
      <c r="HR109" s="17" t="s">
        <v>344</v>
      </c>
      <c r="HS109" s="17" t="s">
        <v>344</v>
      </c>
      <c r="HT109" s="17" t="s">
        <v>344</v>
      </c>
      <c r="HU109" s="17" t="s">
        <v>344</v>
      </c>
      <c r="HV109" s="17" t="s">
        <v>344</v>
      </c>
      <c r="HW109" s="17" t="s">
        <v>344</v>
      </c>
      <c r="HX109" s="17" t="s">
        <v>344</v>
      </c>
      <c r="HY109" s="17"/>
      <c r="HZ109" s="17" t="s">
        <v>344</v>
      </c>
      <c r="IA109" s="17"/>
      <c r="IB109" s="17" t="s">
        <v>344</v>
      </c>
      <c r="IC109" s="17"/>
      <c r="ID109" s="17" t="s">
        <v>344</v>
      </c>
      <c r="IE109" s="17"/>
      <c r="IF109" s="17" t="s">
        <v>344</v>
      </c>
      <c r="IG109" s="17"/>
      <c r="IH109" s="17" t="s">
        <v>344</v>
      </c>
      <c r="II109" s="17" t="s">
        <v>345</v>
      </c>
      <c r="IJ109" s="17" t="s">
        <v>345</v>
      </c>
      <c r="IK109" s="17" t="s">
        <v>344</v>
      </c>
      <c r="IL109" s="17" t="s">
        <v>345</v>
      </c>
      <c r="IM109" s="17" t="s">
        <v>345</v>
      </c>
      <c r="IN109" s="17" t="s">
        <v>344</v>
      </c>
      <c r="IO109" s="17" t="s">
        <v>345</v>
      </c>
      <c r="IP109" s="17" t="s">
        <v>344</v>
      </c>
      <c r="IQ109" s="17" t="s">
        <v>344</v>
      </c>
      <c r="IR109" s="17" t="s">
        <v>344</v>
      </c>
      <c r="IS109" s="17" t="s">
        <v>344</v>
      </c>
      <c r="IT109" s="17"/>
      <c r="IU109" s="17"/>
      <c r="IV109" s="17"/>
      <c r="IW109" s="17"/>
      <c r="IX109" s="17"/>
      <c r="IY109" s="17"/>
      <c r="IZ109" s="17"/>
      <c r="JA109" s="17"/>
      <c r="JB109" s="17"/>
      <c r="JC109" s="17"/>
      <c r="JD109" s="17"/>
      <c r="JE109" s="17"/>
      <c r="JF109" s="17"/>
      <c r="JG109" s="17"/>
      <c r="JH109" s="17"/>
    </row>
    <row r="110" spans="1:268" x14ac:dyDescent="0.3">
      <c r="A110" s="17" t="s">
        <v>813</v>
      </c>
      <c r="B110" s="17">
        <v>191</v>
      </c>
      <c r="C110" s="17" t="s">
        <v>886</v>
      </c>
      <c r="D110" s="17">
        <v>14</v>
      </c>
      <c r="E110" s="17" t="s">
        <v>387</v>
      </c>
      <c r="F110" s="17">
        <v>363856132</v>
      </c>
      <c r="G110" s="17" t="s">
        <v>887</v>
      </c>
      <c r="H110" s="17" t="s">
        <v>886</v>
      </c>
      <c r="I110" s="17" t="s">
        <v>867</v>
      </c>
      <c r="J110" s="17">
        <v>27</v>
      </c>
      <c r="K110" s="17" t="s">
        <v>389</v>
      </c>
      <c r="L110" s="17"/>
      <c r="M110" s="17" t="s">
        <v>345</v>
      </c>
      <c r="N110" s="17" t="s">
        <v>345</v>
      </c>
      <c r="O110" s="17" t="s">
        <v>344</v>
      </c>
      <c r="P110" s="17" t="s">
        <v>344</v>
      </c>
      <c r="Q110" s="17" t="s">
        <v>344</v>
      </c>
      <c r="R110" s="17"/>
      <c r="S110" s="17" t="s">
        <v>888</v>
      </c>
      <c r="T110" s="17"/>
      <c r="U110" s="17" t="s">
        <v>347</v>
      </c>
      <c r="V110" s="17"/>
      <c r="W110" s="17" t="s">
        <v>345</v>
      </c>
      <c r="X110" s="17" t="s">
        <v>345</v>
      </c>
      <c r="Y110" s="17" t="s">
        <v>344</v>
      </c>
      <c r="Z110" s="17" t="s">
        <v>344</v>
      </c>
      <c r="AA110" s="17" t="s">
        <v>345</v>
      </c>
      <c r="AB110" s="17" t="s">
        <v>344</v>
      </c>
      <c r="AC110" s="17" t="s">
        <v>344</v>
      </c>
      <c r="AD110" s="17" t="s">
        <v>345</v>
      </c>
      <c r="AE110" s="17" t="s">
        <v>344</v>
      </c>
      <c r="AF110" s="17" t="s">
        <v>344</v>
      </c>
      <c r="AG110" s="17" t="s">
        <v>345</v>
      </c>
      <c r="AH110" s="17" t="s">
        <v>345</v>
      </c>
      <c r="AI110" s="17" t="s">
        <v>344</v>
      </c>
      <c r="AJ110" s="17" t="s">
        <v>344</v>
      </c>
      <c r="AK110" s="17" t="s">
        <v>344</v>
      </c>
      <c r="AL110" s="17" t="s">
        <v>344</v>
      </c>
      <c r="AM110" s="17" t="s">
        <v>345</v>
      </c>
      <c r="AN110" s="17" t="s">
        <v>344</v>
      </c>
      <c r="AO110" s="17" t="s">
        <v>345</v>
      </c>
      <c r="AP110" s="17" t="s">
        <v>344</v>
      </c>
      <c r="AQ110" s="17" t="s">
        <v>344</v>
      </c>
      <c r="AR110" s="17" t="s">
        <v>345</v>
      </c>
      <c r="AS110" s="17" t="s">
        <v>345</v>
      </c>
      <c r="AT110" s="17" t="s">
        <v>345</v>
      </c>
      <c r="AU110" s="17" t="s">
        <v>345</v>
      </c>
      <c r="AV110" s="17" t="s">
        <v>345</v>
      </c>
      <c r="AW110" s="17" t="s">
        <v>345</v>
      </c>
      <c r="AX110" s="17" t="s">
        <v>344</v>
      </c>
      <c r="AY110" s="17" t="s">
        <v>732</v>
      </c>
      <c r="AZ110" s="17" t="s">
        <v>733</v>
      </c>
      <c r="BA110" s="17" t="s">
        <v>732</v>
      </c>
      <c r="BB110" s="17" t="s">
        <v>733</v>
      </c>
      <c r="BC110" s="17" t="s">
        <v>732</v>
      </c>
      <c r="BD110" s="17" t="s">
        <v>733</v>
      </c>
      <c r="BE110" s="17" t="s">
        <v>348</v>
      </c>
      <c r="BF110" s="17" t="s">
        <v>348</v>
      </c>
      <c r="BG110" s="17" t="s">
        <v>390</v>
      </c>
      <c r="BH110" s="17" t="s">
        <v>350</v>
      </c>
      <c r="BI110" s="17" t="s">
        <v>390</v>
      </c>
      <c r="BJ110" s="17" t="s">
        <v>352</v>
      </c>
      <c r="BK110" s="17" t="s">
        <v>354</v>
      </c>
      <c r="BL110" s="17" t="s">
        <v>352</v>
      </c>
      <c r="BM110" s="17" t="s">
        <v>357</v>
      </c>
      <c r="BN110" s="17" t="s">
        <v>355</v>
      </c>
      <c r="BO110" s="17" t="s">
        <v>354</v>
      </c>
      <c r="BP110" s="17" t="s">
        <v>357</v>
      </c>
      <c r="BQ110" s="17" t="s">
        <v>358</v>
      </c>
      <c r="BR110" s="17" t="s">
        <v>408</v>
      </c>
      <c r="BS110" s="17" t="s">
        <v>355</v>
      </c>
      <c r="BT110" s="17" t="s">
        <v>351</v>
      </c>
      <c r="BU110" s="17" t="s">
        <v>354</v>
      </c>
      <c r="BV110" s="17" t="s">
        <v>357</v>
      </c>
      <c r="BW110" s="17" t="s">
        <v>353</v>
      </c>
      <c r="BX110" s="17" t="s">
        <v>356</v>
      </c>
      <c r="BY110" s="17" t="s">
        <v>352</v>
      </c>
      <c r="BZ110" s="17" t="s">
        <v>357</v>
      </c>
      <c r="CA110" s="17" t="s">
        <v>352</v>
      </c>
      <c r="CB110" s="17" t="s">
        <v>353</v>
      </c>
      <c r="CC110" s="17" t="s">
        <v>356</v>
      </c>
      <c r="CD110" s="17" t="s">
        <v>355</v>
      </c>
      <c r="CE110" s="17" t="s">
        <v>351</v>
      </c>
      <c r="CF110" s="17" t="s">
        <v>354</v>
      </c>
      <c r="CG110" s="17" t="s">
        <v>393</v>
      </c>
      <c r="CH110" s="17" t="s">
        <v>421</v>
      </c>
      <c r="CI110" s="17" t="s">
        <v>392</v>
      </c>
      <c r="CJ110" s="17" t="s">
        <v>420</v>
      </c>
      <c r="CK110" s="17" t="s">
        <v>889</v>
      </c>
      <c r="CL110" s="17" t="s">
        <v>344</v>
      </c>
      <c r="CM110" s="17" t="s">
        <v>344</v>
      </c>
      <c r="CN110" s="17" t="s">
        <v>344</v>
      </c>
      <c r="CO110" s="17" t="s">
        <v>345</v>
      </c>
      <c r="CP110" s="17" t="s">
        <v>345</v>
      </c>
      <c r="CQ110" s="17" t="s">
        <v>344</v>
      </c>
      <c r="CR110" s="17" t="s">
        <v>655</v>
      </c>
      <c r="CS110" s="17">
        <v>1</v>
      </c>
      <c r="CT110" s="17">
        <v>24</v>
      </c>
      <c r="CU110" s="17">
        <v>82</v>
      </c>
      <c r="CV110" s="17">
        <v>24</v>
      </c>
      <c r="CW110" s="17" t="s">
        <v>364</v>
      </c>
      <c r="CX110" s="17" t="s">
        <v>396</v>
      </c>
      <c r="CY110" s="17" t="s">
        <v>396</v>
      </c>
      <c r="CZ110" s="17" t="s">
        <v>397</v>
      </c>
      <c r="DA110" s="17" t="s">
        <v>365</v>
      </c>
      <c r="DB110" s="17" t="s">
        <v>397</v>
      </c>
      <c r="DC110" s="17" t="s">
        <v>397</v>
      </c>
      <c r="DD110" s="17" t="s">
        <v>397</v>
      </c>
      <c r="DE110" s="17" t="s">
        <v>397</v>
      </c>
      <c r="DF110" s="17" t="s">
        <v>365</v>
      </c>
      <c r="DG110" s="17" t="s">
        <v>397</v>
      </c>
      <c r="DH110" s="17" t="s">
        <v>397</v>
      </c>
      <c r="DI110" s="17" t="s">
        <v>397</v>
      </c>
      <c r="DJ110" s="17" t="s">
        <v>890</v>
      </c>
      <c r="DK110" s="17" t="s">
        <v>492</v>
      </c>
      <c r="DL110" s="17" t="s">
        <v>368</v>
      </c>
      <c r="DM110" s="17" t="s">
        <v>368</v>
      </c>
      <c r="DN110" s="17" t="s">
        <v>368</v>
      </c>
      <c r="DO110" s="17" t="s">
        <v>345</v>
      </c>
      <c r="DP110" s="17" t="s">
        <v>368</v>
      </c>
      <c r="DQ110" s="17" t="s">
        <v>368</v>
      </c>
      <c r="DR110" s="17" t="s">
        <v>368</v>
      </c>
      <c r="DS110" s="17" t="s">
        <v>345</v>
      </c>
      <c r="DT110" s="17" t="s">
        <v>344</v>
      </c>
      <c r="DU110" s="17" t="s">
        <v>344</v>
      </c>
      <c r="DV110" s="17" t="s">
        <v>345</v>
      </c>
      <c r="DW110" s="17" t="s">
        <v>344</v>
      </c>
      <c r="DX110" s="17" t="s">
        <v>371</v>
      </c>
      <c r="DY110" s="17" t="s">
        <v>371</v>
      </c>
      <c r="DZ110" s="17" t="s">
        <v>370</v>
      </c>
      <c r="EA110" s="17" t="s">
        <v>371</v>
      </c>
      <c r="EB110" s="17" t="s">
        <v>369</v>
      </c>
      <c r="EC110" s="17" t="s">
        <v>399</v>
      </c>
      <c r="ED110" s="17" t="s">
        <v>370</v>
      </c>
      <c r="EE110" s="17" t="s">
        <v>370</v>
      </c>
      <c r="EF110" s="17" t="s">
        <v>371</v>
      </c>
      <c r="EG110" s="17" t="s">
        <v>369</v>
      </c>
      <c r="EH110" s="17" t="s">
        <v>371</v>
      </c>
      <c r="EI110" s="17" t="s">
        <v>369</v>
      </c>
      <c r="EJ110" s="17" t="s">
        <v>371</v>
      </c>
      <c r="EK110" s="17" t="s">
        <v>369</v>
      </c>
      <c r="EL110" s="17" t="s">
        <v>373</v>
      </c>
      <c r="EM110" s="17" t="s">
        <v>440</v>
      </c>
      <c r="EN110" s="17" t="s">
        <v>374</v>
      </c>
      <c r="EO110" s="17"/>
      <c r="EP110" s="17"/>
      <c r="EQ110" s="17" t="s">
        <v>391</v>
      </c>
      <c r="ER110" s="17" t="s">
        <v>377</v>
      </c>
      <c r="ES110" s="17" t="s">
        <v>378</v>
      </c>
      <c r="ET110" s="17" t="s">
        <v>391</v>
      </c>
      <c r="EU110" s="17" t="s">
        <v>377</v>
      </c>
      <c r="EV110" s="17" t="s">
        <v>762</v>
      </c>
      <c r="EW110" s="17"/>
      <c r="EX110" s="17" t="s">
        <v>368</v>
      </c>
      <c r="EY110" s="17" t="s">
        <v>368</v>
      </c>
      <c r="EZ110" s="17" t="s">
        <v>368</v>
      </c>
      <c r="FA110" s="17" t="s">
        <v>345</v>
      </c>
      <c r="FB110" s="17" t="s">
        <v>401</v>
      </c>
      <c r="FC110" s="17"/>
      <c r="FD110" s="17" t="s">
        <v>401</v>
      </c>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t="s">
        <v>368</v>
      </c>
      <c r="GB110" s="17" t="s">
        <v>368</v>
      </c>
      <c r="GC110" s="17" t="s">
        <v>368</v>
      </c>
      <c r="GD110" s="17" t="s">
        <v>368</v>
      </c>
      <c r="GE110" s="17" t="s">
        <v>368</v>
      </c>
      <c r="GF110" s="17" t="s">
        <v>368</v>
      </c>
      <c r="GG110" s="17"/>
      <c r="GH110" s="17"/>
      <c r="GI110" s="17"/>
      <c r="GJ110" s="17"/>
      <c r="GK110" s="17"/>
      <c r="GL110" s="17" t="s">
        <v>344</v>
      </c>
      <c r="GM110" s="17" t="s">
        <v>344</v>
      </c>
      <c r="GN110" s="17" t="s">
        <v>345</v>
      </c>
      <c r="GO110" s="17" t="s">
        <v>344</v>
      </c>
      <c r="GP110" s="17" t="s">
        <v>344</v>
      </c>
      <c r="GQ110" s="17" t="s">
        <v>344</v>
      </c>
      <c r="GR110" s="17" t="s">
        <v>344</v>
      </c>
      <c r="GS110" s="17" t="s">
        <v>344</v>
      </c>
      <c r="GT110" s="17" t="s">
        <v>344</v>
      </c>
      <c r="GU110" s="17" t="s">
        <v>344</v>
      </c>
      <c r="GV110" s="17" t="s">
        <v>344</v>
      </c>
      <c r="GW110" s="17" t="s">
        <v>344</v>
      </c>
      <c r="GX110" s="17" t="s">
        <v>344</v>
      </c>
      <c r="GY110" s="17" t="s">
        <v>345</v>
      </c>
      <c r="GZ110" s="17" t="s">
        <v>344</v>
      </c>
      <c r="HA110" s="17"/>
      <c r="HB110" s="17" t="s">
        <v>344</v>
      </c>
      <c r="HC110" s="17"/>
      <c r="HD110" s="17" t="s">
        <v>345</v>
      </c>
      <c r="HE110" s="17" t="s">
        <v>891</v>
      </c>
      <c r="HF110" s="17" t="s">
        <v>344</v>
      </c>
      <c r="HG110" s="17"/>
      <c r="HH110" s="17" t="s">
        <v>344</v>
      </c>
      <c r="HI110" s="17"/>
      <c r="HJ110" s="17" t="s">
        <v>344</v>
      </c>
      <c r="HK110" s="17" t="s">
        <v>344</v>
      </c>
      <c r="HL110" s="17" t="s">
        <v>344</v>
      </c>
      <c r="HM110" s="17" t="s">
        <v>344</v>
      </c>
      <c r="HN110" s="17" t="s">
        <v>344</v>
      </c>
      <c r="HO110" s="17" t="s">
        <v>344</v>
      </c>
      <c r="HP110" s="17" t="s">
        <v>344</v>
      </c>
      <c r="HQ110" s="17" t="s">
        <v>344</v>
      </c>
      <c r="HR110" s="17" t="s">
        <v>344</v>
      </c>
      <c r="HS110" s="17" t="s">
        <v>344</v>
      </c>
      <c r="HT110" s="17" t="s">
        <v>344</v>
      </c>
      <c r="HU110" s="17" t="s">
        <v>344</v>
      </c>
      <c r="HV110" s="17" t="s">
        <v>344</v>
      </c>
      <c r="HW110" s="17" t="s">
        <v>344</v>
      </c>
      <c r="HX110" s="17" t="s">
        <v>345</v>
      </c>
      <c r="HY110" s="17"/>
      <c r="HZ110" s="17" t="s">
        <v>344</v>
      </c>
      <c r="IA110" s="17"/>
      <c r="IB110" s="17" t="s">
        <v>344</v>
      </c>
      <c r="IC110" s="17"/>
      <c r="ID110" s="17" t="s">
        <v>344</v>
      </c>
      <c r="IE110" s="17"/>
      <c r="IF110" s="17" t="s">
        <v>344</v>
      </c>
      <c r="IG110" s="17"/>
      <c r="IH110" s="17" t="s">
        <v>344</v>
      </c>
      <c r="II110" s="17" t="s">
        <v>344</v>
      </c>
      <c r="IJ110" s="17" t="s">
        <v>345</v>
      </c>
      <c r="IK110" s="17" t="s">
        <v>344</v>
      </c>
      <c r="IL110" s="17" t="s">
        <v>345</v>
      </c>
      <c r="IM110" s="17" t="s">
        <v>344</v>
      </c>
      <c r="IN110" s="17" t="s">
        <v>344</v>
      </c>
      <c r="IO110" s="17" t="s">
        <v>345</v>
      </c>
      <c r="IP110" s="17" t="s">
        <v>344</v>
      </c>
      <c r="IQ110" s="17" t="s">
        <v>344</v>
      </c>
      <c r="IR110" s="17" t="s">
        <v>344</v>
      </c>
      <c r="IS110" s="17" t="s">
        <v>344</v>
      </c>
      <c r="IT110" s="17"/>
      <c r="IU110" s="17"/>
      <c r="IV110" s="17"/>
      <c r="IW110" s="17"/>
      <c r="IX110" s="17"/>
      <c r="IY110" s="17"/>
      <c r="IZ110" s="17"/>
      <c r="JA110" s="17"/>
      <c r="JB110" s="17"/>
      <c r="JC110" s="17"/>
      <c r="JD110" s="17"/>
      <c r="JE110" s="17"/>
      <c r="JF110" s="17"/>
      <c r="JG110" s="17"/>
      <c r="JH110" s="17"/>
    </row>
    <row r="111" spans="1:268" x14ac:dyDescent="0.3">
      <c r="A111" s="17" t="s">
        <v>813</v>
      </c>
      <c r="B111" s="17">
        <v>192</v>
      </c>
      <c r="C111" s="17" t="s">
        <v>892</v>
      </c>
      <c r="D111" s="17">
        <v>14</v>
      </c>
      <c r="E111" s="17" t="s">
        <v>387</v>
      </c>
      <c r="F111" s="17">
        <v>2102045357</v>
      </c>
      <c r="G111" s="17" t="s">
        <v>893</v>
      </c>
      <c r="H111" s="17" t="s">
        <v>892</v>
      </c>
      <c r="I111" s="17" t="s">
        <v>867</v>
      </c>
      <c r="J111" s="17">
        <v>20</v>
      </c>
      <c r="K111" s="17" t="s">
        <v>406</v>
      </c>
      <c r="L111" s="17"/>
      <c r="M111" s="17" t="s">
        <v>344</v>
      </c>
      <c r="N111" s="17" t="s">
        <v>345</v>
      </c>
      <c r="O111" s="17" t="s">
        <v>344</v>
      </c>
      <c r="P111" s="17" t="s">
        <v>344</v>
      </c>
      <c r="Q111" s="17" t="s">
        <v>344</v>
      </c>
      <c r="R111" s="17"/>
      <c r="S111" s="17" t="s">
        <v>522</v>
      </c>
      <c r="T111" s="17"/>
      <c r="U111" s="17" t="s">
        <v>418</v>
      </c>
      <c r="V111" s="17"/>
      <c r="W111" s="17" t="s">
        <v>368</v>
      </c>
      <c r="X111" s="17" t="s">
        <v>368</v>
      </c>
      <c r="Y111" s="17" t="s">
        <v>368</v>
      </c>
      <c r="Z111" s="17" t="s">
        <v>368</v>
      </c>
      <c r="AA111" s="17" t="s">
        <v>368</v>
      </c>
      <c r="AB111" s="17" t="s">
        <v>368</v>
      </c>
      <c r="AC111" s="17" t="s">
        <v>345</v>
      </c>
      <c r="AD111" s="17" t="s">
        <v>345</v>
      </c>
      <c r="AE111" s="17" t="s">
        <v>345</v>
      </c>
      <c r="AF111" s="17" t="s">
        <v>344</v>
      </c>
      <c r="AG111" s="17" t="s">
        <v>344</v>
      </c>
      <c r="AH111" s="17" t="s">
        <v>344</v>
      </c>
      <c r="AI111" s="17" t="s">
        <v>344</v>
      </c>
      <c r="AJ111" s="17" t="s">
        <v>344</v>
      </c>
      <c r="AK111" s="17" t="s">
        <v>345</v>
      </c>
      <c r="AL111" s="17" t="s">
        <v>344</v>
      </c>
      <c r="AM111" s="17" t="s">
        <v>344</v>
      </c>
      <c r="AN111" s="17" t="s">
        <v>344</v>
      </c>
      <c r="AO111" s="17" t="s">
        <v>344</v>
      </c>
      <c r="AP111" s="17" t="s">
        <v>344</v>
      </c>
      <c r="AQ111" s="17" t="s">
        <v>344</v>
      </c>
      <c r="AR111" s="17" t="s">
        <v>368</v>
      </c>
      <c r="AS111" s="17" t="s">
        <v>368</v>
      </c>
      <c r="AT111" s="17" t="s">
        <v>368</v>
      </c>
      <c r="AU111" s="17" t="s">
        <v>368</v>
      </c>
      <c r="AV111" s="17" t="s">
        <v>368</v>
      </c>
      <c r="AW111" s="17" t="s">
        <v>368</v>
      </c>
      <c r="AX111" s="17" t="s">
        <v>345</v>
      </c>
      <c r="AY111" s="17" t="s">
        <v>732</v>
      </c>
      <c r="AZ111" s="17" t="s">
        <v>732</v>
      </c>
      <c r="BA111" s="17" t="s">
        <v>732</v>
      </c>
      <c r="BB111" s="17" t="s">
        <v>391</v>
      </c>
      <c r="BC111" s="17" t="s">
        <v>731</v>
      </c>
      <c r="BD111" s="17" t="s">
        <v>732</v>
      </c>
      <c r="BE111" s="17" t="s">
        <v>390</v>
      </c>
      <c r="BF111" s="17" t="s">
        <v>349</v>
      </c>
      <c r="BG111" s="17" t="s">
        <v>390</v>
      </c>
      <c r="BH111" s="17" t="s">
        <v>349</v>
      </c>
      <c r="BI111" s="17" t="s">
        <v>390</v>
      </c>
      <c r="BJ111" s="17" t="s">
        <v>391</v>
      </c>
      <c r="BK111" s="17" t="s">
        <v>391</v>
      </c>
      <c r="BL111" s="17" t="s">
        <v>391</v>
      </c>
      <c r="BM111" s="17" t="s">
        <v>391</v>
      </c>
      <c r="BN111" s="17" t="s">
        <v>391</v>
      </c>
      <c r="BO111" s="17" t="s">
        <v>391</v>
      </c>
      <c r="BP111" s="17" t="s">
        <v>391</v>
      </c>
      <c r="BQ111" s="17" t="s">
        <v>358</v>
      </c>
      <c r="BR111" s="17" t="s">
        <v>429</v>
      </c>
      <c r="BS111" s="17" t="s">
        <v>391</v>
      </c>
      <c r="BT111" s="17" t="s">
        <v>391</v>
      </c>
      <c r="BU111" s="17" t="s">
        <v>391</v>
      </c>
      <c r="BV111" s="17" t="s">
        <v>391</v>
      </c>
      <c r="BW111" s="17" t="s">
        <v>391</v>
      </c>
      <c r="BX111" s="17" t="s">
        <v>391</v>
      </c>
      <c r="BY111" s="17" t="s">
        <v>391</v>
      </c>
      <c r="BZ111" s="17" t="s">
        <v>391</v>
      </c>
      <c r="CA111" s="17" t="s">
        <v>391</v>
      </c>
      <c r="CB111" s="17" t="s">
        <v>391</v>
      </c>
      <c r="CC111" s="17" t="s">
        <v>391</v>
      </c>
      <c r="CD111" s="17" t="s">
        <v>391</v>
      </c>
      <c r="CE111" s="17" t="s">
        <v>391</v>
      </c>
      <c r="CF111" s="17" t="s">
        <v>391</v>
      </c>
      <c r="CG111" s="17" t="s">
        <v>392</v>
      </c>
      <c r="CH111" s="17" t="s">
        <v>421</v>
      </c>
      <c r="CI111" s="17" t="s">
        <v>420</v>
      </c>
      <c r="CJ111" s="17" t="s">
        <v>392</v>
      </c>
      <c r="CK111" s="17" t="s">
        <v>391</v>
      </c>
      <c r="CL111" s="17" t="s">
        <v>344</v>
      </c>
      <c r="CM111" s="17" t="s">
        <v>344</v>
      </c>
      <c r="CN111" s="17" t="s">
        <v>344</v>
      </c>
      <c r="CO111" s="17" t="s">
        <v>345</v>
      </c>
      <c r="CP111" s="17" t="s">
        <v>345</v>
      </c>
      <c r="CQ111" s="17" t="s">
        <v>345</v>
      </c>
      <c r="CR111" s="17" t="s">
        <v>655</v>
      </c>
      <c r="CS111" s="17">
        <v>37</v>
      </c>
      <c r="CT111" s="17">
        <v>51</v>
      </c>
      <c r="CU111" s="17">
        <v>51</v>
      </c>
      <c r="CV111" s="17">
        <v>8</v>
      </c>
      <c r="CW111" s="17" t="s">
        <v>363</v>
      </c>
      <c r="CX111" s="17" t="s">
        <v>395</v>
      </c>
      <c r="CY111" s="17" t="s">
        <v>396</v>
      </c>
      <c r="CZ111" s="17" t="s">
        <v>397</v>
      </c>
      <c r="DA111" s="17" t="s">
        <v>397</v>
      </c>
      <c r="DB111" s="17" t="s">
        <v>397</v>
      </c>
      <c r="DC111" s="17" t="s">
        <v>397</v>
      </c>
      <c r="DD111" s="17" t="s">
        <v>397</v>
      </c>
      <c r="DE111" s="17" t="s">
        <v>397</v>
      </c>
      <c r="DF111" s="17" t="s">
        <v>366</v>
      </c>
      <c r="DG111" s="17" t="s">
        <v>397</v>
      </c>
      <c r="DH111" s="17" t="s">
        <v>397</v>
      </c>
      <c r="DI111" s="17" t="s">
        <v>365</v>
      </c>
      <c r="DJ111" s="17" t="s">
        <v>894</v>
      </c>
      <c r="DK111" s="17" t="s">
        <v>515</v>
      </c>
      <c r="DL111" s="17" t="s">
        <v>368</v>
      </c>
      <c r="DM111" s="17" t="s">
        <v>368</v>
      </c>
      <c r="DN111" s="17" t="s">
        <v>368</v>
      </c>
      <c r="DO111" s="17" t="s">
        <v>345</v>
      </c>
      <c r="DP111" s="17" t="s">
        <v>368</v>
      </c>
      <c r="DQ111" s="17" t="s">
        <v>368</v>
      </c>
      <c r="DR111" s="17" t="s">
        <v>368</v>
      </c>
      <c r="DS111" s="17" t="s">
        <v>345</v>
      </c>
      <c r="DT111" s="17" t="s">
        <v>368</v>
      </c>
      <c r="DU111" s="17" t="s">
        <v>368</v>
      </c>
      <c r="DV111" s="17" t="s">
        <v>368</v>
      </c>
      <c r="DW111" s="17" t="s">
        <v>345</v>
      </c>
      <c r="DX111" s="17" t="s">
        <v>369</v>
      </c>
      <c r="DY111" s="17" t="s">
        <v>371</v>
      </c>
      <c r="DZ111" s="17" t="s">
        <v>370</v>
      </c>
      <c r="EA111" s="17" t="s">
        <v>370</v>
      </c>
      <c r="EB111" s="17" t="s">
        <v>369</v>
      </c>
      <c r="EC111" s="17" t="s">
        <v>369</v>
      </c>
      <c r="ED111" s="17" t="s">
        <v>371</v>
      </c>
      <c r="EE111" s="17" t="s">
        <v>370</v>
      </c>
      <c r="EF111" s="17" t="s">
        <v>370</v>
      </c>
      <c r="EG111" s="17" t="s">
        <v>370</v>
      </c>
      <c r="EH111" s="17" t="s">
        <v>370</v>
      </c>
      <c r="EI111" s="17" t="s">
        <v>370</v>
      </c>
      <c r="EJ111" s="17" t="s">
        <v>370</v>
      </c>
      <c r="EK111" s="17" t="s">
        <v>370</v>
      </c>
      <c r="EL111" s="17" t="s">
        <v>374</v>
      </c>
      <c r="EM111" s="17" t="s">
        <v>373</v>
      </c>
      <c r="EN111" s="17" t="s">
        <v>440</v>
      </c>
      <c r="EO111" s="17"/>
      <c r="EP111" s="17"/>
      <c r="EQ111" s="17" t="s">
        <v>391</v>
      </c>
      <c r="ER111" s="17" t="s">
        <v>375</v>
      </c>
      <c r="ES111" s="17" t="s">
        <v>375</v>
      </c>
      <c r="ET111" s="17" t="s">
        <v>391</v>
      </c>
      <c r="EU111" s="17" t="s">
        <v>375</v>
      </c>
      <c r="EV111" s="17" t="s">
        <v>379</v>
      </c>
      <c r="EW111" s="17"/>
      <c r="EX111" s="17" t="s">
        <v>368</v>
      </c>
      <c r="EY111" s="17" t="s">
        <v>368</v>
      </c>
      <c r="EZ111" s="17" t="s">
        <v>368</v>
      </c>
      <c r="FA111" s="17" t="s">
        <v>345</v>
      </c>
      <c r="FB111" s="17" t="s">
        <v>401</v>
      </c>
      <c r="FC111" s="17"/>
      <c r="FD111" s="17" t="s">
        <v>401</v>
      </c>
      <c r="FE111" s="17"/>
      <c r="FF111" s="17" t="s">
        <v>412</v>
      </c>
      <c r="FG111" s="17" t="s">
        <v>413</v>
      </c>
      <c r="FH111" s="17" t="s">
        <v>384</v>
      </c>
      <c r="FI111" s="17" t="s">
        <v>385</v>
      </c>
      <c r="FJ111" s="17"/>
      <c r="FK111" s="17"/>
      <c r="FL111" s="17"/>
      <c r="FM111" s="17"/>
      <c r="FN111" s="17"/>
      <c r="FO111" s="17"/>
      <c r="FP111" s="17"/>
      <c r="FQ111" s="17"/>
      <c r="FR111" s="17"/>
      <c r="FS111" s="17"/>
      <c r="FT111" s="17"/>
      <c r="FU111" s="17"/>
      <c r="FV111" s="17"/>
      <c r="FW111" s="17"/>
      <c r="FX111" s="17"/>
      <c r="FY111" s="17"/>
      <c r="FZ111" s="17"/>
      <c r="GA111" s="17" t="s">
        <v>368</v>
      </c>
      <c r="GB111" s="17" t="s">
        <v>368</v>
      </c>
      <c r="GC111" s="17" t="s">
        <v>368</v>
      </c>
      <c r="GD111" s="17" t="s">
        <v>368</v>
      </c>
      <c r="GE111" s="17" t="s">
        <v>368</v>
      </c>
      <c r="GF111" s="17" t="s">
        <v>368</v>
      </c>
      <c r="GG111" s="17"/>
      <c r="GH111" s="17"/>
      <c r="GI111" s="17"/>
      <c r="GJ111" s="17"/>
      <c r="GK111" s="17"/>
      <c r="GL111" s="17" t="s">
        <v>344</v>
      </c>
      <c r="GM111" s="17" t="s">
        <v>344</v>
      </c>
      <c r="GN111" s="17" t="s">
        <v>344</v>
      </c>
      <c r="GO111" s="17" t="s">
        <v>344</v>
      </c>
      <c r="GP111" s="17" t="s">
        <v>344</v>
      </c>
      <c r="GQ111" s="17" t="s">
        <v>344</v>
      </c>
      <c r="GR111" s="17" t="s">
        <v>344</v>
      </c>
      <c r="GS111" s="17" t="s">
        <v>344</v>
      </c>
      <c r="GT111" s="17" t="s">
        <v>344</v>
      </c>
      <c r="GU111" s="17" t="s">
        <v>344</v>
      </c>
      <c r="GV111" s="17" t="s">
        <v>344</v>
      </c>
      <c r="GW111" s="17" t="s">
        <v>344</v>
      </c>
      <c r="GX111" s="17" t="s">
        <v>344</v>
      </c>
      <c r="GY111" s="17" t="s">
        <v>344</v>
      </c>
      <c r="GZ111" s="17" t="s">
        <v>345</v>
      </c>
      <c r="HA111" s="17"/>
      <c r="HB111" s="17" t="s">
        <v>344</v>
      </c>
      <c r="HC111" s="17"/>
      <c r="HD111" s="17" t="s">
        <v>344</v>
      </c>
      <c r="HE111" s="17"/>
      <c r="HF111" s="17" t="s">
        <v>344</v>
      </c>
      <c r="HG111" s="17"/>
      <c r="HH111" s="17" t="s">
        <v>344</v>
      </c>
      <c r="HI111" s="17"/>
      <c r="HJ111" s="17" t="s">
        <v>344</v>
      </c>
      <c r="HK111" s="17" t="s">
        <v>344</v>
      </c>
      <c r="HL111" s="17" t="s">
        <v>344</v>
      </c>
      <c r="HM111" s="17" t="s">
        <v>344</v>
      </c>
      <c r="HN111" s="17" t="s">
        <v>344</v>
      </c>
      <c r="HO111" s="17" t="s">
        <v>344</v>
      </c>
      <c r="HP111" s="17" t="s">
        <v>344</v>
      </c>
      <c r="HQ111" s="17" t="s">
        <v>344</v>
      </c>
      <c r="HR111" s="17" t="s">
        <v>344</v>
      </c>
      <c r="HS111" s="17" t="s">
        <v>344</v>
      </c>
      <c r="HT111" s="17" t="s">
        <v>344</v>
      </c>
      <c r="HU111" s="17" t="s">
        <v>344</v>
      </c>
      <c r="HV111" s="17" t="s">
        <v>344</v>
      </c>
      <c r="HW111" s="17" t="s">
        <v>344</v>
      </c>
      <c r="HX111" s="17" t="s">
        <v>344</v>
      </c>
      <c r="HY111" s="17" t="s">
        <v>895</v>
      </c>
      <c r="HZ111" s="17" t="s">
        <v>344</v>
      </c>
      <c r="IA111" s="17"/>
      <c r="IB111" s="17" t="s">
        <v>344</v>
      </c>
      <c r="IC111" s="17"/>
      <c r="ID111" s="17" t="s">
        <v>344</v>
      </c>
      <c r="IE111" s="17"/>
      <c r="IF111" s="17" t="s">
        <v>344</v>
      </c>
      <c r="IG111" s="17"/>
      <c r="IH111" s="17" t="s">
        <v>344</v>
      </c>
      <c r="II111" s="17" t="s">
        <v>344</v>
      </c>
      <c r="IJ111" s="17" t="s">
        <v>345</v>
      </c>
      <c r="IK111" s="17" t="s">
        <v>345</v>
      </c>
      <c r="IL111" s="17" t="s">
        <v>345</v>
      </c>
      <c r="IM111" s="17" t="s">
        <v>345</v>
      </c>
      <c r="IN111" s="17" t="s">
        <v>344</v>
      </c>
      <c r="IO111" s="17" t="s">
        <v>345</v>
      </c>
      <c r="IP111" s="17" t="s">
        <v>344</v>
      </c>
      <c r="IQ111" s="17" t="s">
        <v>344</v>
      </c>
      <c r="IR111" s="17" t="s">
        <v>344</v>
      </c>
      <c r="IS111" s="17" t="s">
        <v>344</v>
      </c>
      <c r="IT111" s="17"/>
      <c r="IU111" s="17"/>
      <c r="IV111" s="17"/>
      <c r="IW111" s="17"/>
      <c r="IX111" s="17"/>
      <c r="IY111" s="17"/>
      <c r="IZ111" s="17"/>
      <c r="JA111" s="17"/>
      <c r="JB111" s="17"/>
      <c r="JC111" s="17"/>
      <c r="JD111" s="17"/>
      <c r="JE111" s="17"/>
      <c r="JF111" s="17"/>
      <c r="JG111" s="17"/>
      <c r="JH111" s="17"/>
    </row>
    <row r="112" spans="1:268" x14ac:dyDescent="0.3">
      <c r="A112" s="17" t="s">
        <v>813</v>
      </c>
      <c r="B112" s="17">
        <v>193</v>
      </c>
      <c r="C112" s="17" t="s">
        <v>896</v>
      </c>
      <c r="D112" s="17">
        <v>14</v>
      </c>
      <c r="E112" s="17" t="s">
        <v>387</v>
      </c>
      <c r="F112" s="17">
        <v>2098775314</v>
      </c>
      <c r="G112" s="17" t="s">
        <v>897</v>
      </c>
      <c r="H112" s="17" t="s">
        <v>896</v>
      </c>
      <c r="I112" s="17" t="s">
        <v>867</v>
      </c>
      <c r="J112" s="17">
        <v>20</v>
      </c>
      <c r="K112" s="17" t="s">
        <v>389</v>
      </c>
      <c r="L112" s="17"/>
      <c r="M112" s="17" t="s">
        <v>344</v>
      </c>
      <c r="N112" s="17" t="s">
        <v>345</v>
      </c>
      <c r="O112" s="17" t="s">
        <v>344</v>
      </c>
      <c r="P112" s="17" t="s">
        <v>344</v>
      </c>
      <c r="Q112" s="17" t="s">
        <v>344</v>
      </c>
      <c r="R112" s="17"/>
      <c r="S112" s="17" t="s">
        <v>522</v>
      </c>
      <c r="T112" s="17"/>
      <c r="U112" s="17" t="s">
        <v>347</v>
      </c>
      <c r="V112" s="17"/>
      <c r="W112" s="17" t="s">
        <v>345</v>
      </c>
      <c r="X112" s="17" t="s">
        <v>345</v>
      </c>
      <c r="Y112" s="17" t="s">
        <v>344</v>
      </c>
      <c r="Z112" s="17" t="s">
        <v>344</v>
      </c>
      <c r="AA112" s="17" t="s">
        <v>344</v>
      </c>
      <c r="AB112" s="17" t="s">
        <v>344</v>
      </c>
      <c r="AC112" s="17" t="s">
        <v>344</v>
      </c>
      <c r="AD112" s="17" t="s">
        <v>344</v>
      </c>
      <c r="AE112" s="17" t="s">
        <v>345</v>
      </c>
      <c r="AF112" s="17" t="s">
        <v>344</v>
      </c>
      <c r="AG112" s="17" t="s">
        <v>344</v>
      </c>
      <c r="AH112" s="17" t="s">
        <v>344</v>
      </c>
      <c r="AI112" s="17" t="s">
        <v>344</v>
      </c>
      <c r="AJ112" s="17" t="s">
        <v>344</v>
      </c>
      <c r="AK112" s="17" t="s">
        <v>345</v>
      </c>
      <c r="AL112" s="17" t="s">
        <v>344</v>
      </c>
      <c r="AM112" s="17" t="s">
        <v>344</v>
      </c>
      <c r="AN112" s="17" t="s">
        <v>344</v>
      </c>
      <c r="AO112" s="17" t="s">
        <v>344</v>
      </c>
      <c r="AP112" s="17" t="s">
        <v>344</v>
      </c>
      <c r="AQ112" s="17" t="s">
        <v>344</v>
      </c>
      <c r="AR112" s="17" t="s">
        <v>344</v>
      </c>
      <c r="AS112" s="17" t="s">
        <v>344</v>
      </c>
      <c r="AT112" s="17" t="s">
        <v>345</v>
      </c>
      <c r="AU112" s="17" t="s">
        <v>344</v>
      </c>
      <c r="AV112" s="17" t="s">
        <v>345</v>
      </c>
      <c r="AW112" s="17" t="s">
        <v>344</v>
      </c>
      <c r="AX112" s="17" t="s">
        <v>344</v>
      </c>
      <c r="AY112" s="17" t="s">
        <v>733</v>
      </c>
      <c r="AZ112" s="17" t="s">
        <v>733</v>
      </c>
      <c r="BA112" s="17" t="s">
        <v>733</v>
      </c>
      <c r="BB112" s="17" t="s">
        <v>732</v>
      </c>
      <c r="BC112" s="17" t="s">
        <v>732</v>
      </c>
      <c r="BD112" s="17" t="s">
        <v>733</v>
      </c>
      <c r="BE112" s="17" t="s">
        <v>349</v>
      </c>
      <c r="BF112" s="17" t="s">
        <v>390</v>
      </c>
      <c r="BG112" s="17" t="s">
        <v>390</v>
      </c>
      <c r="BH112" s="17" t="s">
        <v>348</v>
      </c>
      <c r="BI112" s="17" t="s">
        <v>349</v>
      </c>
      <c r="BJ112" s="17" t="s">
        <v>391</v>
      </c>
      <c r="BK112" s="17" t="s">
        <v>391</v>
      </c>
      <c r="BL112" s="17" t="s">
        <v>391</v>
      </c>
      <c r="BM112" s="17" t="s">
        <v>391</v>
      </c>
      <c r="BN112" s="17" t="s">
        <v>391</v>
      </c>
      <c r="BO112" s="17" t="s">
        <v>391</v>
      </c>
      <c r="BP112" s="17" t="s">
        <v>391</v>
      </c>
      <c r="BQ112" s="17" t="s">
        <v>358</v>
      </c>
      <c r="BR112" s="17" t="s">
        <v>359</v>
      </c>
      <c r="BS112" s="17" t="s">
        <v>391</v>
      </c>
      <c r="BT112" s="17" t="s">
        <v>391</v>
      </c>
      <c r="BU112" s="17" t="s">
        <v>391</v>
      </c>
      <c r="BV112" s="17" t="s">
        <v>391</v>
      </c>
      <c r="BW112" s="17" t="s">
        <v>391</v>
      </c>
      <c r="BX112" s="17" t="s">
        <v>391</v>
      </c>
      <c r="BY112" s="17" t="s">
        <v>391</v>
      </c>
      <c r="BZ112" s="17" t="s">
        <v>391</v>
      </c>
      <c r="CA112" s="17" t="s">
        <v>391</v>
      </c>
      <c r="CB112" s="17" t="s">
        <v>391</v>
      </c>
      <c r="CC112" s="17" t="s">
        <v>391</v>
      </c>
      <c r="CD112" s="17" t="s">
        <v>391</v>
      </c>
      <c r="CE112" s="17" t="s">
        <v>391</v>
      </c>
      <c r="CF112" s="17" t="s">
        <v>391</v>
      </c>
      <c r="CG112" s="17" t="s">
        <v>360</v>
      </c>
      <c r="CH112" s="17" t="s">
        <v>360</v>
      </c>
      <c r="CI112" s="17" t="s">
        <v>360</v>
      </c>
      <c r="CJ112" s="17" t="s">
        <v>360</v>
      </c>
      <c r="CK112" s="17" t="s">
        <v>898</v>
      </c>
      <c r="CL112" s="17" t="s">
        <v>344</v>
      </c>
      <c r="CM112" s="17" t="s">
        <v>344</v>
      </c>
      <c r="CN112" s="17" t="s">
        <v>344</v>
      </c>
      <c r="CO112" s="17" t="s">
        <v>345</v>
      </c>
      <c r="CP112" s="17" t="s">
        <v>344</v>
      </c>
      <c r="CQ112" s="17" t="s">
        <v>344</v>
      </c>
      <c r="CR112" s="17" t="s">
        <v>655</v>
      </c>
      <c r="CS112" s="17">
        <v>36</v>
      </c>
      <c r="CT112" s="17">
        <v>51</v>
      </c>
      <c r="CU112" s="17">
        <v>74</v>
      </c>
      <c r="CV112" s="17">
        <v>20</v>
      </c>
      <c r="CW112" s="17" t="s">
        <v>396</v>
      </c>
      <c r="CX112" s="17" t="s">
        <v>396</v>
      </c>
      <c r="CY112" s="17" t="s">
        <v>396</v>
      </c>
      <c r="CZ112" s="17" t="s">
        <v>397</v>
      </c>
      <c r="DA112" s="17" t="s">
        <v>397</v>
      </c>
      <c r="DB112" s="17" t="s">
        <v>397</v>
      </c>
      <c r="DC112" s="17" t="s">
        <v>397</v>
      </c>
      <c r="DD112" s="17" t="s">
        <v>397</v>
      </c>
      <c r="DE112" s="17" t="s">
        <v>397</v>
      </c>
      <c r="DF112" s="17" t="s">
        <v>397</v>
      </c>
      <c r="DG112" s="17" t="s">
        <v>397</v>
      </c>
      <c r="DH112" s="17" t="s">
        <v>397</v>
      </c>
      <c r="DI112" s="17" t="s">
        <v>397</v>
      </c>
      <c r="DJ112" s="17"/>
      <c r="DK112" s="17" t="s">
        <v>367</v>
      </c>
      <c r="DL112" s="17" t="s">
        <v>368</v>
      </c>
      <c r="DM112" s="17" t="s">
        <v>368</v>
      </c>
      <c r="DN112" s="17" t="s">
        <v>368</v>
      </c>
      <c r="DO112" s="17" t="s">
        <v>368</v>
      </c>
      <c r="DP112" s="17" t="s">
        <v>345</v>
      </c>
      <c r="DQ112" s="17" t="s">
        <v>345</v>
      </c>
      <c r="DR112" s="17" t="s">
        <v>345</v>
      </c>
      <c r="DS112" s="17" t="s">
        <v>344</v>
      </c>
      <c r="DT112" s="17" t="s">
        <v>345</v>
      </c>
      <c r="DU112" s="17" t="s">
        <v>344</v>
      </c>
      <c r="DV112" s="17" t="s">
        <v>344</v>
      </c>
      <c r="DW112" s="17" t="s">
        <v>344</v>
      </c>
      <c r="DX112" s="17" t="s">
        <v>369</v>
      </c>
      <c r="DY112" s="17" t="s">
        <v>370</v>
      </c>
      <c r="DZ112" s="17" t="s">
        <v>370</v>
      </c>
      <c r="EA112" s="17" t="s">
        <v>369</v>
      </c>
      <c r="EB112" s="17" t="s">
        <v>369</v>
      </c>
      <c r="EC112" s="17" t="s">
        <v>369</v>
      </c>
      <c r="ED112" s="17" t="s">
        <v>369</v>
      </c>
      <c r="EE112" s="17" t="s">
        <v>370</v>
      </c>
      <c r="EF112" s="17" t="s">
        <v>370</v>
      </c>
      <c r="EG112" s="17" t="s">
        <v>370</v>
      </c>
      <c r="EH112" s="17" t="s">
        <v>370</v>
      </c>
      <c r="EI112" s="17" t="s">
        <v>370</v>
      </c>
      <c r="EJ112" s="17" t="s">
        <v>370</v>
      </c>
      <c r="EK112" s="17" t="s">
        <v>370</v>
      </c>
      <c r="EL112" s="17" t="s">
        <v>374</v>
      </c>
      <c r="EM112" s="17" t="s">
        <v>424</v>
      </c>
      <c r="EN112" s="17" t="s">
        <v>440</v>
      </c>
      <c r="EO112" s="17"/>
      <c r="EP112" s="17"/>
      <c r="EQ112" s="17" t="s">
        <v>375</v>
      </c>
      <c r="ER112" s="17" t="s">
        <v>378</v>
      </c>
      <c r="ES112" s="17" t="s">
        <v>378</v>
      </c>
      <c r="ET112" s="17" t="s">
        <v>378</v>
      </c>
      <c r="EU112" s="17" t="s">
        <v>375</v>
      </c>
      <c r="EV112" s="17" t="s">
        <v>379</v>
      </c>
      <c r="EW112" s="17"/>
      <c r="EX112" s="17" t="s">
        <v>368</v>
      </c>
      <c r="EY112" s="17" t="s">
        <v>368</v>
      </c>
      <c r="EZ112" s="17" t="s">
        <v>368</v>
      </c>
      <c r="FA112" s="17" t="s">
        <v>345</v>
      </c>
      <c r="FB112" s="17" t="s">
        <v>401</v>
      </c>
      <c r="FC112" s="17"/>
      <c r="FD112" s="17" t="s">
        <v>401</v>
      </c>
      <c r="FE112" s="17"/>
      <c r="FF112" s="17" t="s">
        <v>382</v>
      </c>
      <c r="FG112" s="17" t="s">
        <v>383</v>
      </c>
      <c r="FH112" s="17" t="s">
        <v>451</v>
      </c>
      <c r="FI112" s="17" t="s">
        <v>385</v>
      </c>
      <c r="FJ112" s="17"/>
      <c r="FK112" s="17"/>
      <c r="FL112" s="17"/>
      <c r="FM112" s="17"/>
      <c r="FN112" s="17"/>
      <c r="FO112" s="17"/>
      <c r="FP112" s="17"/>
      <c r="FQ112" s="17"/>
      <c r="FR112" s="17"/>
      <c r="FS112" s="17"/>
      <c r="FT112" s="17"/>
      <c r="FU112" s="17"/>
      <c r="FV112" s="17"/>
      <c r="FW112" s="17"/>
      <c r="FX112" s="17"/>
      <c r="FY112" s="17"/>
      <c r="FZ112" s="17"/>
      <c r="GA112" s="17" t="s">
        <v>368</v>
      </c>
      <c r="GB112" s="17" t="s">
        <v>368</v>
      </c>
      <c r="GC112" s="17" t="s">
        <v>368</v>
      </c>
      <c r="GD112" s="17" t="s">
        <v>368</v>
      </c>
      <c r="GE112" s="17" t="s">
        <v>368</v>
      </c>
      <c r="GF112" s="17" t="s">
        <v>368</v>
      </c>
      <c r="GG112" s="17"/>
      <c r="GH112" s="17"/>
      <c r="GI112" s="17"/>
      <c r="GJ112" s="17"/>
      <c r="GK112" s="17"/>
      <c r="GL112" s="17" t="s">
        <v>344</v>
      </c>
      <c r="GM112" s="17" t="s">
        <v>344</v>
      </c>
      <c r="GN112" s="17" t="s">
        <v>344</v>
      </c>
      <c r="GO112" s="17" t="s">
        <v>345</v>
      </c>
      <c r="GP112" s="17" t="s">
        <v>344</v>
      </c>
      <c r="GQ112" s="17" t="s">
        <v>344</v>
      </c>
      <c r="GR112" s="17" t="s">
        <v>344</v>
      </c>
      <c r="GS112" s="17" t="s">
        <v>344</v>
      </c>
      <c r="GT112" s="17" t="s">
        <v>344</v>
      </c>
      <c r="GU112" s="17" t="s">
        <v>344</v>
      </c>
      <c r="GV112" s="17" t="s">
        <v>344</v>
      </c>
      <c r="GW112" s="17" t="s">
        <v>345</v>
      </c>
      <c r="GX112" s="17" t="s">
        <v>344</v>
      </c>
      <c r="GY112" s="17" t="s">
        <v>345</v>
      </c>
      <c r="GZ112" s="17" t="s">
        <v>344</v>
      </c>
      <c r="HA112" s="17"/>
      <c r="HB112" s="17" t="s">
        <v>344</v>
      </c>
      <c r="HC112" s="17"/>
      <c r="HD112" s="17" t="s">
        <v>344</v>
      </c>
      <c r="HE112" s="17"/>
      <c r="HF112" s="17" t="s">
        <v>344</v>
      </c>
      <c r="HG112" s="17"/>
      <c r="HH112" s="17" t="s">
        <v>344</v>
      </c>
      <c r="HI112" s="17"/>
      <c r="HJ112" s="17" t="s">
        <v>345</v>
      </c>
      <c r="HK112" s="17" t="s">
        <v>345</v>
      </c>
      <c r="HL112" s="17" t="s">
        <v>344</v>
      </c>
      <c r="HM112" s="17" t="s">
        <v>344</v>
      </c>
      <c r="HN112" s="17" t="s">
        <v>344</v>
      </c>
      <c r="HO112" s="17" t="s">
        <v>344</v>
      </c>
      <c r="HP112" s="17" t="s">
        <v>344</v>
      </c>
      <c r="HQ112" s="17" t="s">
        <v>344</v>
      </c>
      <c r="HR112" s="17" t="s">
        <v>344</v>
      </c>
      <c r="HS112" s="17" t="s">
        <v>344</v>
      </c>
      <c r="HT112" s="17" t="s">
        <v>344</v>
      </c>
      <c r="HU112" s="17" t="s">
        <v>345</v>
      </c>
      <c r="HV112" s="17" t="s">
        <v>345</v>
      </c>
      <c r="HW112" s="17" t="s">
        <v>344</v>
      </c>
      <c r="HX112" s="17" t="s">
        <v>344</v>
      </c>
      <c r="HY112" s="17"/>
      <c r="HZ112" s="17" t="s">
        <v>344</v>
      </c>
      <c r="IA112" s="17"/>
      <c r="IB112" s="17" t="s">
        <v>344</v>
      </c>
      <c r="IC112" s="17"/>
      <c r="ID112" s="17" t="s">
        <v>344</v>
      </c>
      <c r="IE112" s="17"/>
      <c r="IF112" s="17" t="s">
        <v>344</v>
      </c>
      <c r="IG112" s="17"/>
      <c r="IH112" s="17" t="s">
        <v>344</v>
      </c>
      <c r="II112" s="17" t="s">
        <v>345</v>
      </c>
      <c r="IJ112" s="17" t="s">
        <v>344</v>
      </c>
      <c r="IK112" s="17" t="s">
        <v>344</v>
      </c>
      <c r="IL112" s="17" t="s">
        <v>345</v>
      </c>
      <c r="IM112" s="17" t="s">
        <v>345</v>
      </c>
      <c r="IN112" s="17" t="s">
        <v>344</v>
      </c>
      <c r="IO112" s="17" t="s">
        <v>345</v>
      </c>
      <c r="IP112" s="17" t="s">
        <v>344</v>
      </c>
      <c r="IQ112" s="17" t="s">
        <v>344</v>
      </c>
      <c r="IR112" s="17" t="s">
        <v>344</v>
      </c>
      <c r="IS112" s="17" t="s">
        <v>344</v>
      </c>
      <c r="IT112" s="17"/>
      <c r="IU112" s="17"/>
      <c r="IV112" s="17"/>
      <c r="IW112" s="17"/>
      <c r="IX112" s="17"/>
      <c r="IY112" s="17"/>
      <c r="IZ112" s="17"/>
      <c r="JA112" s="17"/>
      <c r="JB112" s="17"/>
      <c r="JC112" s="17"/>
      <c r="JD112" s="17"/>
      <c r="JE112" s="17"/>
      <c r="JF112" s="17"/>
      <c r="JG112" s="17"/>
      <c r="JH112" s="17"/>
    </row>
    <row r="113" spans="1:268" x14ac:dyDescent="0.3">
      <c r="A113" s="17" t="s">
        <v>813</v>
      </c>
      <c r="B113" s="17">
        <v>194</v>
      </c>
      <c r="C113" s="17" t="s">
        <v>899</v>
      </c>
      <c r="D113" s="17">
        <v>14</v>
      </c>
      <c r="E113" s="17" t="s">
        <v>340</v>
      </c>
      <c r="F113" s="17">
        <v>38975850</v>
      </c>
      <c r="G113" s="17" t="s">
        <v>900</v>
      </c>
      <c r="H113" s="17" t="s">
        <v>899</v>
      </c>
      <c r="I113" s="17" t="s">
        <v>883</v>
      </c>
      <c r="J113" s="17">
        <v>19</v>
      </c>
      <c r="K113" s="17" t="s">
        <v>406</v>
      </c>
      <c r="L113" s="17"/>
      <c r="M113" s="17" t="s">
        <v>344</v>
      </c>
      <c r="N113" s="17" t="s">
        <v>345</v>
      </c>
      <c r="O113" s="17" t="s">
        <v>344</v>
      </c>
      <c r="P113" s="17" t="s">
        <v>344</v>
      </c>
      <c r="Q113" s="17" t="s">
        <v>344</v>
      </c>
      <c r="R113" s="18" t="s">
        <v>901</v>
      </c>
      <c r="S113" s="17" t="s">
        <v>522</v>
      </c>
      <c r="T113" s="17"/>
      <c r="U113" s="17" t="s">
        <v>347</v>
      </c>
      <c r="V113" s="17"/>
      <c r="W113" s="17" t="s">
        <v>345</v>
      </c>
      <c r="X113" s="17" t="s">
        <v>344</v>
      </c>
      <c r="Y113" s="17" t="s">
        <v>344</v>
      </c>
      <c r="Z113" s="17" t="s">
        <v>344</v>
      </c>
      <c r="AA113" s="17" t="s">
        <v>344</v>
      </c>
      <c r="AB113" s="17" t="s">
        <v>344</v>
      </c>
      <c r="AC113" s="17" t="s">
        <v>344</v>
      </c>
      <c r="AD113" s="17" t="s">
        <v>344</v>
      </c>
      <c r="AE113" s="17" t="s">
        <v>344</v>
      </c>
      <c r="AF113" s="17" t="s">
        <v>344</v>
      </c>
      <c r="AG113" s="17" t="s">
        <v>344</v>
      </c>
      <c r="AH113" s="17" t="s">
        <v>344</v>
      </c>
      <c r="AI113" s="17" t="s">
        <v>345</v>
      </c>
      <c r="AJ113" s="17" t="s">
        <v>344</v>
      </c>
      <c r="AK113" s="17" t="s">
        <v>345</v>
      </c>
      <c r="AL113" s="17" t="s">
        <v>344</v>
      </c>
      <c r="AM113" s="17" t="s">
        <v>344</v>
      </c>
      <c r="AN113" s="17" t="s">
        <v>344</v>
      </c>
      <c r="AO113" s="17" t="s">
        <v>344</v>
      </c>
      <c r="AP113" s="17" t="s">
        <v>344</v>
      </c>
      <c r="AQ113" s="17" t="s">
        <v>344</v>
      </c>
      <c r="AR113" s="17" t="s">
        <v>344</v>
      </c>
      <c r="AS113" s="17" t="s">
        <v>344</v>
      </c>
      <c r="AT113" s="17" t="s">
        <v>344</v>
      </c>
      <c r="AU113" s="17" t="s">
        <v>344</v>
      </c>
      <c r="AV113" s="17" t="s">
        <v>344</v>
      </c>
      <c r="AW113" s="17" t="s">
        <v>345</v>
      </c>
      <c r="AX113" s="17" t="s">
        <v>344</v>
      </c>
      <c r="AY113" s="17" t="s">
        <v>733</v>
      </c>
      <c r="AZ113" s="17" t="s">
        <v>731</v>
      </c>
      <c r="BA113" s="17" t="s">
        <v>733</v>
      </c>
      <c r="BB113" s="17" t="s">
        <v>731</v>
      </c>
      <c r="BC113" s="17" t="s">
        <v>731</v>
      </c>
      <c r="BD113" s="17" t="s">
        <v>733</v>
      </c>
      <c r="BE113" s="17" t="s">
        <v>349</v>
      </c>
      <c r="BF113" s="17" t="s">
        <v>349</v>
      </c>
      <c r="BG113" s="17" t="s">
        <v>349</v>
      </c>
      <c r="BH113" s="17" t="s">
        <v>390</v>
      </c>
      <c r="BI113" s="17" t="s">
        <v>349</v>
      </c>
      <c r="BJ113" s="17" t="s">
        <v>391</v>
      </c>
      <c r="BK113" s="17" t="s">
        <v>391</v>
      </c>
      <c r="BL113" s="17" t="s">
        <v>391</v>
      </c>
      <c r="BM113" s="17" t="s">
        <v>356</v>
      </c>
      <c r="BN113" s="17" t="s">
        <v>356</v>
      </c>
      <c r="BO113" s="17" t="s">
        <v>354</v>
      </c>
      <c r="BP113" s="17" t="s">
        <v>391</v>
      </c>
      <c r="BQ113" s="17" t="s">
        <v>358</v>
      </c>
      <c r="BR113" s="17" t="s">
        <v>359</v>
      </c>
      <c r="BS113" s="17" t="s">
        <v>391</v>
      </c>
      <c r="BT113" s="17" t="s">
        <v>391</v>
      </c>
      <c r="BU113" s="17" t="s">
        <v>391</v>
      </c>
      <c r="BV113" s="17" t="s">
        <v>391</v>
      </c>
      <c r="BW113" s="17" t="s">
        <v>391</v>
      </c>
      <c r="BX113" s="17" t="s">
        <v>391</v>
      </c>
      <c r="BY113" s="17" t="s">
        <v>391</v>
      </c>
      <c r="BZ113" s="17" t="s">
        <v>391</v>
      </c>
      <c r="CA113" s="17" t="s">
        <v>391</v>
      </c>
      <c r="CB113" s="17" t="s">
        <v>391</v>
      </c>
      <c r="CC113" s="17" t="s">
        <v>391</v>
      </c>
      <c r="CD113" s="17" t="s">
        <v>391</v>
      </c>
      <c r="CE113" s="17" t="s">
        <v>391</v>
      </c>
      <c r="CF113" s="17" t="s">
        <v>391</v>
      </c>
      <c r="CG113" s="17" t="s">
        <v>392</v>
      </c>
      <c r="CH113" s="17" t="s">
        <v>420</v>
      </c>
      <c r="CI113" s="17" t="s">
        <v>393</v>
      </c>
      <c r="CJ113" s="17" t="s">
        <v>392</v>
      </c>
      <c r="CK113" s="17" t="s">
        <v>835</v>
      </c>
      <c r="CL113" s="17" t="s">
        <v>344</v>
      </c>
      <c r="CM113" s="17" t="s">
        <v>344</v>
      </c>
      <c r="CN113" s="17" t="s">
        <v>344</v>
      </c>
      <c r="CO113" s="17" t="s">
        <v>344</v>
      </c>
      <c r="CP113" s="17" t="s">
        <v>345</v>
      </c>
      <c r="CQ113" s="17" t="s">
        <v>345</v>
      </c>
      <c r="CR113" s="17" t="s">
        <v>667</v>
      </c>
      <c r="CS113" s="17">
        <v>17</v>
      </c>
      <c r="CT113" s="17">
        <v>55</v>
      </c>
      <c r="CU113" s="17">
        <v>87</v>
      </c>
      <c r="CV113" s="17">
        <v>13</v>
      </c>
      <c r="CW113" s="17" t="s">
        <v>363</v>
      </c>
      <c r="CX113" s="17" t="s">
        <v>396</v>
      </c>
      <c r="CY113" s="17" t="s">
        <v>396</v>
      </c>
      <c r="CZ113" s="17" t="s">
        <v>397</v>
      </c>
      <c r="DA113" s="17" t="s">
        <v>397</v>
      </c>
      <c r="DB113" s="17" t="s">
        <v>397</v>
      </c>
      <c r="DC113" s="17" t="s">
        <v>397</v>
      </c>
      <c r="DD113" s="17" t="s">
        <v>397</v>
      </c>
      <c r="DE113" s="17" t="s">
        <v>397</v>
      </c>
      <c r="DF113" s="17" t="s">
        <v>366</v>
      </c>
      <c r="DG113" s="17" t="s">
        <v>397</v>
      </c>
      <c r="DH113" s="17" t="s">
        <v>366</v>
      </c>
      <c r="DI113" s="17" t="s">
        <v>397</v>
      </c>
      <c r="DJ113" s="17" t="s">
        <v>902</v>
      </c>
      <c r="DK113" s="17" t="s">
        <v>492</v>
      </c>
      <c r="DL113" s="17" t="s">
        <v>368</v>
      </c>
      <c r="DM113" s="17" t="s">
        <v>368</v>
      </c>
      <c r="DN113" s="17" t="s">
        <v>368</v>
      </c>
      <c r="DO113" s="17" t="s">
        <v>345</v>
      </c>
      <c r="DP113" s="17" t="s">
        <v>345</v>
      </c>
      <c r="DQ113" s="17" t="s">
        <v>344</v>
      </c>
      <c r="DR113" s="17" t="s">
        <v>344</v>
      </c>
      <c r="DS113" s="17" t="s">
        <v>344</v>
      </c>
      <c r="DT113" s="17" t="s">
        <v>345</v>
      </c>
      <c r="DU113" s="17" t="s">
        <v>345</v>
      </c>
      <c r="DV113" s="17" t="s">
        <v>345</v>
      </c>
      <c r="DW113" s="17" t="s">
        <v>344</v>
      </c>
      <c r="DX113" s="17" t="s">
        <v>369</v>
      </c>
      <c r="DY113" s="17" t="s">
        <v>371</v>
      </c>
      <c r="DZ113" s="17" t="s">
        <v>370</v>
      </c>
      <c r="EA113" s="17" t="s">
        <v>399</v>
      </c>
      <c r="EB113" s="17" t="s">
        <v>369</v>
      </c>
      <c r="EC113" s="17" t="s">
        <v>369</v>
      </c>
      <c r="ED113" s="17" t="s">
        <v>371</v>
      </c>
      <c r="EE113" s="17" t="s">
        <v>370</v>
      </c>
      <c r="EF113" s="17" t="s">
        <v>370</v>
      </c>
      <c r="EG113" s="17" t="s">
        <v>370</v>
      </c>
      <c r="EH113" s="17" t="s">
        <v>370</v>
      </c>
      <c r="EI113" s="17" t="s">
        <v>370</v>
      </c>
      <c r="EJ113" s="17" t="s">
        <v>370</v>
      </c>
      <c r="EK113" s="17" t="s">
        <v>370</v>
      </c>
      <c r="EL113" s="17" t="s">
        <v>373</v>
      </c>
      <c r="EM113" s="17" t="s">
        <v>374</v>
      </c>
      <c r="EN113" s="17" t="s">
        <v>424</v>
      </c>
      <c r="EO113" s="17"/>
      <c r="EP113" s="17"/>
      <c r="EQ113" s="17" t="s">
        <v>376</v>
      </c>
      <c r="ER113" s="17" t="s">
        <v>391</v>
      </c>
      <c r="ES113" s="17" t="s">
        <v>376</v>
      </c>
      <c r="ET113" s="17" t="s">
        <v>375</v>
      </c>
      <c r="EU113" s="17" t="s">
        <v>375</v>
      </c>
      <c r="EV113" s="17" t="s">
        <v>379</v>
      </c>
      <c r="EW113" s="17"/>
      <c r="EX113" s="17" t="s">
        <v>368</v>
      </c>
      <c r="EY113" s="17" t="s">
        <v>368</v>
      </c>
      <c r="EZ113" s="17" t="s">
        <v>368</v>
      </c>
      <c r="FA113" s="17" t="s">
        <v>345</v>
      </c>
      <c r="FB113" s="17" t="s">
        <v>401</v>
      </c>
      <c r="FC113" s="17"/>
      <c r="FD113" s="17" t="s">
        <v>401</v>
      </c>
      <c r="FE113" s="17"/>
      <c r="FF113" s="17" t="s">
        <v>412</v>
      </c>
      <c r="FG113" s="17" t="s">
        <v>413</v>
      </c>
      <c r="FH113" s="17" t="s">
        <v>384</v>
      </c>
      <c r="FI113" s="17" t="s">
        <v>385</v>
      </c>
      <c r="FJ113" s="17"/>
      <c r="FK113" s="17"/>
      <c r="FL113" s="17"/>
      <c r="FM113" s="17"/>
      <c r="FN113" s="17"/>
      <c r="FO113" s="17"/>
      <c r="FP113" s="17"/>
      <c r="FQ113" s="17"/>
      <c r="FR113" s="17"/>
      <c r="FS113" s="17"/>
      <c r="FT113" s="17"/>
      <c r="FU113" s="17"/>
      <c r="FV113" s="17"/>
      <c r="FW113" s="17"/>
      <c r="FX113" s="17"/>
      <c r="FY113" s="17"/>
      <c r="FZ113" s="17"/>
      <c r="GA113" s="17" t="s">
        <v>368</v>
      </c>
      <c r="GB113" s="17" t="s">
        <v>368</v>
      </c>
      <c r="GC113" s="17" t="s">
        <v>368</v>
      </c>
      <c r="GD113" s="17" t="s">
        <v>368</v>
      </c>
      <c r="GE113" s="17" t="s">
        <v>368</v>
      </c>
      <c r="GF113" s="17" t="s">
        <v>368</v>
      </c>
      <c r="GG113" s="17"/>
      <c r="GH113" s="17"/>
      <c r="GI113" s="17"/>
      <c r="GJ113" s="17"/>
      <c r="GK113" s="17"/>
      <c r="GL113" s="17" t="s">
        <v>344</v>
      </c>
      <c r="GM113" s="17" t="s">
        <v>344</v>
      </c>
      <c r="GN113" s="17" t="s">
        <v>344</v>
      </c>
      <c r="GO113" s="17" t="s">
        <v>344</v>
      </c>
      <c r="GP113" s="17" t="s">
        <v>344</v>
      </c>
      <c r="GQ113" s="17" t="s">
        <v>344</v>
      </c>
      <c r="GR113" s="17" t="s">
        <v>344</v>
      </c>
      <c r="GS113" s="17" t="s">
        <v>344</v>
      </c>
      <c r="GT113" s="17" t="s">
        <v>344</v>
      </c>
      <c r="GU113" s="17" t="s">
        <v>344</v>
      </c>
      <c r="GV113" s="17" t="s">
        <v>345</v>
      </c>
      <c r="GW113" s="17" t="s">
        <v>344</v>
      </c>
      <c r="GX113" s="17" t="s">
        <v>345</v>
      </c>
      <c r="GY113" s="17" t="s">
        <v>344</v>
      </c>
      <c r="GZ113" s="17" t="s">
        <v>344</v>
      </c>
      <c r="HA113" s="17"/>
      <c r="HB113" s="17" t="s">
        <v>344</v>
      </c>
      <c r="HC113" s="17"/>
      <c r="HD113" s="17" t="s">
        <v>344</v>
      </c>
      <c r="HE113" s="17"/>
      <c r="HF113" s="17" t="s">
        <v>344</v>
      </c>
      <c r="HG113" s="17"/>
      <c r="HH113" s="17" t="s">
        <v>345</v>
      </c>
      <c r="HI113" s="17" t="s">
        <v>903</v>
      </c>
      <c r="HJ113" s="17" t="s">
        <v>344</v>
      </c>
      <c r="HK113" s="17" t="s">
        <v>344</v>
      </c>
      <c r="HL113" s="17" t="s">
        <v>344</v>
      </c>
      <c r="HM113" s="17" t="s">
        <v>344</v>
      </c>
      <c r="HN113" s="17" t="s">
        <v>344</v>
      </c>
      <c r="HO113" s="17" t="s">
        <v>344</v>
      </c>
      <c r="HP113" s="17" t="s">
        <v>344</v>
      </c>
      <c r="HQ113" s="17" t="s">
        <v>344</v>
      </c>
      <c r="HR113" s="17" t="s">
        <v>344</v>
      </c>
      <c r="HS113" s="17" t="s">
        <v>344</v>
      </c>
      <c r="HT113" s="17" t="s">
        <v>344</v>
      </c>
      <c r="HU113" s="17" t="s">
        <v>344</v>
      </c>
      <c r="HV113" s="17" t="s">
        <v>344</v>
      </c>
      <c r="HW113" s="17" t="s">
        <v>344</v>
      </c>
      <c r="HX113" s="17" t="s">
        <v>345</v>
      </c>
      <c r="HY113" s="17"/>
      <c r="HZ113" s="17" t="s">
        <v>344</v>
      </c>
      <c r="IA113" s="17"/>
      <c r="IB113" s="17" t="s">
        <v>344</v>
      </c>
      <c r="IC113" s="17"/>
      <c r="ID113" s="17" t="s">
        <v>344</v>
      </c>
      <c r="IE113" s="17"/>
      <c r="IF113" s="17" t="s">
        <v>344</v>
      </c>
      <c r="IG113" s="17"/>
      <c r="IH113" s="17" t="s">
        <v>344</v>
      </c>
      <c r="II113" s="17" t="s">
        <v>345</v>
      </c>
      <c r="IJ113" s="17" t="s">
        <v>344</v>
      </c>
      <c r="IK113" s="17" t="s">
        <v>344</v>
      </c>
      <c r="IL113" s="17" t="s">
        <v>344</v>
      </c>
      <c r="IM113" s="17" t="s">
        <v>345</v>
      </c>
      <c r="IN113" s="17" t="s">
        <v>344</v>
      </c>
      <c r="IO113" s="17" t="s">
        <v>345</v>
      </c>
      <c r="IP113" s="17" t="s">
        <v>344</v>
      </c>
      <c r="IQ113" s="17" t="s">
        <v>344</v>
      </c>
      <c r="IR113" s="17" t="s">
        <v>344</v>
      </c>
      <c r="IS113" s="17" t="s">
        <v>344</v>
      </c>
      <c r="IT113" s="17"/>
      <c r="IU113" s="17"/>
      <c r="IV113" s="17"/>
      <c r="IW113" s="17"/>
      <c r="IX113" s="17"/>
      <c r="IY113" s="17"/>
      <c r="IZ113" s="17"/>
      <c r="JA113" s="17"/>
      <c r="JB113" s="17"/>
      <c r="JC113" s="17"/>
      <c r="JD113" s="17"/>
      <c r="JE113" s="17"/>
      <c r="JF113" s="17"/>
      <c r="JG113" s="17"/>
      <c r="JH113" s="17"/>
    </row>
    <row r="114" spans="1:268" x14ac:dyDescent="0.3">
      <c r="A114" s="17" t="s">
        <v>813</v>
      </c>
      <c r="B114" s="17">
        <v>195</v>
      </c>
      <c r="C114" s="17" t="s">
        <v>904</v>
      </c>
      <c r="D114" s="17">
        <v>14</v>
      </c>
      <c r="E114" s="17" t="s">
        <v>340</v>
      </c>
      <c r="F114" s="17">
        <v>1148754694</v>
      </c>
      <c r="G114" s="17" t="s">
        <v>905</v>
      </c>
      <c r="H114" s="17" t="s">
        <v>904</v>
      </c>
      <c r="I114" s="17" t="s">
        <v>883</v>
      </c>
      <c r="J114" s="17">
        <v>35</v>
      </c>
      <c r="K114" s="17" t="s">
        <v>406</v>
      </c>
      <c r="L114" s="17"/>
      <c r="M114" s="17" t="s">
        <v>344</v>
      </c>
      <c r="N114" s="17" t="s">
        <v>345</v>
      </c>
      <c r="O114" s="17" t="s">
        <v>344</v>
      </c>
      <c r="P114" s="17" t="s">
        <v>344</v>
      </c>
      <c r="Q114" s="17" t="s">
        <v>344</v>
      </c>
      <c r="R114" s="17"/>
      <c r="S114" s="17" t="s">
        <v>522</v>
      </c>
      <c r="T114" s="17"/>
      <c r="U114" s="17" t="s">
        <v>418</v>
      </c>
      <c r="V114" s="17"/>
      <c r="W114" s="17" t="s">
        <v>344</v>
      </c>
      <c r="X114" s="17" t="s">
        <v>344</v>
      </c>
      <c r="Y114" s="17" t="s">
        <v>345</v>
      </c>
      <c r="Z114" s="17" t="s">
        <v>344</v>
      </c>
      <c r="AA114" s="17" t="s">
        <v>344</v>
      </c>
      <c r="AB114" s="17" t="s">
        <v>344</v>
      </c>
      <c r="AC114" s="17" t="s">
        <v>344</v>
      </c>
      <c r="AD114" s="17" t="s">
        <v>344</v>
      </c>
      <c r="AE114" s="17" t="s">
        <v>344</v>
      </c>
      <c r="AF114" s="17" t="s">
        <v>344</v>
      </c>
      <c r="AG114" s="17" t="s">
        <v>345</v>
      </c>
      <c r="AH114" s="17" t="s">
        <v>344</v>
      </c>
      <c r="AI114" s="17" t="s">
        <v>344</v>
      </c>
      <c r="AJ114" s="17" t="s">
        <v>344</v>
      </c>
      <c r="AK114" s="17" t="s">
        <v>344</v>
      </c>
      <c r="AL114" s="17" t="s">
        <v>344</v>
      </c>
      <c r="AM114" s="17" t="s">
        <v>345</v>
      </c>
      <c r="AN114" s="17" t="s">
        <v>344</v>
      </c>
      <c r="AO114" s="17" t="s">
        <v>344</v>
      </c>
      <c r="AP114" s="17" t="s">
        <v>344</v>
      </c>
      <c r="AQ114" s="17" t="s">
        <v>344</v>
      </c>
      <c r="AR114" s="17" t="s">
        <v>344</v>
      </c>
      <c r="AS114" s="17" t="s">
        <v>344</v>
      </c>
      <c r="AT114" s="17" t="s">
        <v>344</v>
      </c>
      <c r="AU114" s="17" t="s">
        <v>344</v>
      </c>
      <c r="AV114" s="17" t="s">
        <v>345</v>
      </c>
      <c r="AW114" s="17" t="s">
        <v>344</v>
      </c>
      <c r="AX114" s="17" t="s">
        <v>344</v>
      </c>
      <c r="AY114" s="17" t="s">
        <v>732</v>
      </c>
      <c r="AZ114" s="17" t="s">
        <v>733</v>
      </c>
      <c r="BA114" s="17" t="s">
        <v>731</v>
      </c>
      <c r="BB114" s="17" t="s">
        <v>731</v>
      </c>
      <c r="BC114" s="17" t="s">
        <v>731</v>
      </c>
      <c r="BD114" s="17" t="s">
        <v>731</v>
      </c>
      <c r="BE114" s="17" t="s">
        <v>349</v>
      </c>
      <c r="BF114" s="17" t="s">
        <v>349</v>
      </c>
      <c r="BG114" s="17" t="s">
        <v>349</v>
      </c>
      <c r="BH114" s="17" t="s">
        <v>349</v>
      </c>
      <c r="BI114" s="17" t="s">
        <v>349</v>
      </c>
      <c r="BJ114" s="17" t="s">
        <v>356</v>
      </c>
      <c r="BK114" s="17" t="s">
        <v>355</v>
      </c>
      <c r="BL114" s="17" t="s">
        <v>353</v>
      </c>
      <c r="BM114" s="17" t="s">
        <v>352</v>
      </c>
      <c r="BN114" s="17" t="s">
        <v>351</v>
      </c>
      <c r="BO114" s="17" t="s">
        <v>354</v>
      </c>
      <c r="BP114" s="17" t="s">
        <v>357</v>
      </c>
      <c r="BQ114" s="17" t="s">
        <v>358</v>
      </c>
      <c r="BR114" s="17" t="s">
        <v>429</v>
      </c>
      <c r="BS114" s="17" t="s">
        <v>356</v>
      </c>
      <c r="BT114" s="17" t="s">
        <v>354</v>
      </c>
      <c r="BU114" s="17" t="s">
        <v>352</v>
      </c>
      <c r="BV114" s="17" t="s">
        <v>353</v>
      </c>
      <c r="BW114" s="17" t="s">
        <v>357</v>
      </c>
      <c r="BX114" s="17" t="s">
        <v>351</v>
      </c>
      <c r="BY114" s="17" t="s">
        <v>356</v>
      </c>
      <c r="BZ114" s="17" t="s">
        <v>352</v>
      </c>
      <c r="CA114" s="17" t="s">
        <v>356</v>
      </c>
      <c r="CB114" s="17" t="s">
        <v>355</v>
      </c>
      <c r="CC114" s="17" t="s">
        <v>357</v>
      </c>
      <c r="CD114" s="17" t="s">
        <v>353</v>
      </c>
      <c r="CE114" s="17" t="s">
        <v>351</v>
      </c>
      <c r="CF114" s="17" t="s">
        <v>354</v>
      </c>
      <c r="CG114" s="17" t="s">
        <v>392</v>
      </c>
      <c r="CH114" s="17" t="s">
        <v>360</v>
      </c>
      <c r="CI114" s="17" t="s">
        <v>420</v>
      </c>
      <c r="CJ114" s="17" t="s">
        <v>393</v>
      </c>
      <c r="CK114" s="17" t="s">
        <v>906</v>
      </c>
      <c r="CL114" s="17" t="s">
        <v>344</v>
      </c>
      <c r="CM114" s="17" t="s">
        <v>344</v>
      </c>
      <c r="CN114" s="17" t="s">
        <v>345</v>
      </c>
      <c r="CO114" s="17" t="s">
        <v>345</v>
      </c>
      <c r="CP114" s="17" t="s">
        <v>345</v>
      </c>
      <c r="CQ114" s="17" t="s">
        <v>344</v>
      </c>
      <c r="CR114" s="17" t="s">
        <v>667</v>
      </c>
      <c r="CS114" s="17">
        <v>90</v>
      </c>
      <c r="CT114" s="17">
        <v>1</v>
      </c>
      <c r="CU114" s="17">
        <v>100</v>
      </c>
      <c r="CV114" s="17">
        <v>1</v>
      </c>
      <c r="CW114" s="17" t="s">
        <v>395</v>
      </c>
      <c r="CX114" s="17" t="s">
        <v>363</v>
      </c>
      <c r="CY114" s="17" t="s">
        <v>364</v>
      </c>
      <c r="CZ114" s="17" t="s">
        <v>397</v>
      </c>
      <c r="DA114" s="17" t="s">
        <v>397</v>
      </c>
      <c r="DB114" s="17" t="s">
        <v>397</v>
      </c>
      <c r="DC114" s="17" t="s">
        <v>397</v>
      </c>
      <c r="DD114" s="17" t="s">
        <v>397</v>
      </c>
      <c r="DE114" s="17" t="s">
        <v>397</v>
      </c>
      <c r="DF114" s="17" t="s">
        <v>397</v>
      </c>
      <c r="DG114" s="17" t="s">
        <v>366</v>
      </c>
      <c r="DH114" s="17" t="s">
        <v>365</v>
      </c>
      <c r="DI114" s="17" t="s">
        <v>365</v>
      </c>
      <c r="DJ114" s="17" t="s">
        <v>907</v>
      </c>
      <c r="DK114" s="17" t="s">
        <v>806</v>
      </c>
      <c r="DL114" s="17" t="s">
        <v>345</v>
      </c>
      <c r="DM114" s="17" t="s">
        <v>344</v>
      </c>
      <c r="DN114" s="17" t="s">
        <v>345</v>
      </c>
      <c r="DO114" s="17" t="s">
        <v>344</v>
      </c>
      <c r="DP114" s="17" t="s">
        <v>368</v>
      </c>
      <c r="DQ114" s="17" t="s">
        <v>368</v>
      </c>
      <c r="DR114" s="17" t="s">
        <v>368</v>
      </c>
      <c r="DS114" s="17" t="s">
        <v>345</v>
      </c>
      <c r="DT114" s="17" t="s">
        <v>345</v>
      </c>
      <c r="DU114" s="17" t="s">
        <v>344</v>
      </c>
      <c r="DV114" s="17" t="s">
        <v>345</v>
      </c>
      <c r="DW114" s="17" t="s">
        <v>344</v>
      </c>
      <c r="DX114" s="17" t="s">
        <v>369</v>
      </c>
      <c r="DY114" s="17" t="s">
        <v>369</v>
      </c>
      <c r="DZ114" s="17" t="s">
        <v>370</v>
      </c>
      <c r="EA114" s="17" t="s">
        <v>371</v>
      </c>
      <c r="EB114" s="17" t="s">
        <v>369</v>
      </c>
      <c r="EC114" s="17" t="s">
        <v>369</v>
      </c>
      <c r="ED114" s="17" t="s">
        <v>399</v>
      </c>
      <c r="EE114" s="17" t="s">
        <v>370</v>
      </c>
      <c r="EF114" s="17" t="s">
        <v>370</v>
      </c>
      <c r="EG114" s="17" t="s">
        <v>370</v>
      </c>
      <c r="EH114" s="17" t="s">
        <v>370</v>
      </c>
      <c r="EI114" s="17" t="s">
        <v>369</v>
      </c>
      <c r="EJ114" s="17" t="s">
        <v>370</v>
      </c>
      <c r="EK114" s="17" t="s">
        <v>370</v>
      </c>
      <c r="EL114" s="17" t="s">
        <v>373</v>
      </c>
      <c r="EM114" s="17" t="s">
        <v>374</v>
      </c>
      <c r="EN114" s="17" t="s">
        <v>372</v>
      </c>
      <c r="EO114" s="17"/>
      <c r="EP114" s="17"/>
      <c r="EQ114" s="17" t="s">
        <v>375</v>
      </c>
      <c r="ER114" s="17" t="s">
        <v>377</v>
      </c>
      <c r="ES114" s="17" t="s">
        <v>378</v>
      </c>
      <c r="ET114" s="17" t="s">
        <v>378</v>
      </c>
      <c r="EU114" s="17" t="s">
        <v>375</v>
      </c>
      <c r="EV114" s="17" t="s">
        <v>762</v>
      </c>
      <c r="EW114" s="17"/>
      <c r="EX114" s="17" t="s">
        <v>368</v>
      </c>
      <c r="EY114" s="17" t="s">
        <v>368</v>
      </c>
      <c r="EZ114" s="17" t="s">
        <v>368</v>
      </c>
      <c r="FA114" s="17" t="s">
        <v>345</v>
      </c>
      <c r="FB114" s="17" t="s">
        <v>380</v>
      </c>
      <c r="FC114" s="17"/>
      <c r="FD114" s="17" t="s">
        <v>381</v>
      </c>
      <c r="FE114" s="17"/>
      <c r="FF114" s="17" t="s">
        <v>412</v>
      </c>
      <c r="FG114" s="17" t="s">
        <v>413</v>
      </c>
      <c r="FH114" s="17" t="s">
        <v>384</v>
      </c>
      <c r="FI114" s="17" t="s">
        <v>385</v>
      </c>
      <c r="FJ114" s="17"/>
      <c r="FK114" s="17"/>
      <c r="FL114" s="17"/>
      <c r="FM114" s="17"/>
      <c r="FN114" s="17"/>
      <c r="FO114" s="17"/>
      <c r="FP114" s="17"/>
      <c r="FQ114" s="17"/>
      <c r="FR114" s="17"/>
      <c r="FS114" s="17"/>
      <c r="FT114" s="17"/>
      <c r="FU114" s="17"/>
      <c r="FV114" s="17"/>
      <c r="FW114" s="17"/>
      <c r="FX114" s="17"/>
      <c r="FY114" s="17"/>
      <c r="FZ114" s="17"/>
      <c r="GA114" s="17" t="s">
        <v>368</v>
      </c>
      <c r="GB114" s="17" t="s">
        <v>368</v>
      </c>
      <c r="GC114" s="17" t="s">
        <v>368</v>
      </c>
      <c r="GD114" s="17" t="s">
        <v>368</v>
      </c>
      <c r="GE114" s="17" t="s">
        <v>368</v>
      </c>
      <c r="GF114" s="17" t="s">
        <v>368</v>
      </c>
      <c r="GG114" s="17"/>
      <c r="GH114" s="17"/>
      <c r="GI114" s="17"/>
      <c r="GJ114" s="17"/>
      <c r="GK114" s="17"/>
      <c r="GL114" s="17" t="s">
        <v>344</v>
      </c>
      <c r="GM114" s="17" t="s">
        <v>344</v>
      </c>
      <c r="GN114" s="17" t="s">
        <v>344</v>
      </c>
      <c r="GO114" s="17" t="s">
        <v>344</v>
      </c>
      <c r="GP114" s="17" t="s">
        <v>344</v>
      </c>
      <c r="GQ114" s="17" t="s">
        <v>344</v>
      </c>
      <c r="GR114" s="17" t="s">
        <v>344</v>
      </c>
      <c r="GS114" s="17" t="s">
        <v>344</v>
      </c>
      <c r="GT114" s="17" t="s">
        <v>344</v>
      </c>
      <c r="GU114" s="17" t="s">
        <v>344</v>
      </c>
      <c r="GV114" s="17" t="s">
        <v>344</v>
      </c>
      <c r="GW114" s="17" t="s">
        <v>344</v>
      </c>
      <c r="GX114" s="17" t="s">
        <v>344</v>
      </c>
      <c r="GY114" s="17" t="s">
        <v>344</v>
      </c>
      <c r="GZ114" s="17" t="s">
        <v>344</v>
      </c>
      <c r="HA114" s="17" t="s">
        <v>908</v>
      </c>
      <c r="HB114" s="17" t="s">
        <v>344</v>
      </c>
      <c r="HC114" s="17"/>
      <c r="HD114" s="17" t="s">
        <v>344</v>
      </c>
      <c r="HE114" s="17"/>
      <c r="HF114" s="17" t="s">
        <v>345</v>
      </c>
      <c r="HG114" s="17" t="s">
        <v>909</v>
      </c>
      <c r="HH114" s="17" t="s">
        <v>344</v>
      </c>
      <c r="HI114" s="17"/>
      <c r="HJ114" s="17" t="s">
        <v>345</v>
      </c>
      <c r="HK114" s="17" t="s">
        <v>344</v>
      </c>
      <c r="HL114" s="17" t="s">
        <v>344</v>
      </c>
      <c r="HM114" s="17" t="s">
        <v>344</v>
      </c>
      <c r="HN114" s="17" t="s">
        <v>344</v>
      </c>
      <c r="HO114" s="17" t="s">
        <v>344</v>
      </c>
      <c r="HP114" s="17" t="s">
        <v>344</v>
      </c>
      <c r="HQ114" s="17" t="s">
        <v>344</v>
      </c>
      <c r="HR114" s="17" t="s">
        <v>344</v>
      </c>
      <c r="HS114" s="17" t="s">
        <v>344</v>
      </c>
      <c r="HT114" s="17" t="s">
        <v>344</v>
      </c>
      <c r="HU114" s="17" t="s">
        <v>344</v>
      </c>
      <c r="HV114" s="17" t="s">
        <v>344</v>
      </c>
      <c r="HW114" s="17" t="s">
        <v>344</v>
      </c>
      <c r="HX114" s="17" t="s">
        <v>344</v>
      </c>
      <c r="HY114" s="17" t="s">
        <v>910</v>
      </c>
      <c r="HZ114" s="17" t="s">
        <v>344</v>
      </c>
      <c r="IA114" s="17"/>
      <c r="IB114" s="17" t="s">
        <v>344</v>
      </c>
      <c r="IC114" s="17"/>
      <c r="ID114" s="17" t="s">
        <v>344</v>
      </c>
      <c r="IE114" s="17"/>
      <c r="IF114" s="17" t="s">
        <v>344</v>
      </c>
      <c r="IG114" s="17"/>
      <c r="IH114" s="17" t="s">
        <v>344</v>
      </c>
      <c r="II114" s="17" t="s">
        <v>345</v>
      </c>
      <c r="IJ114" s="17" t="s">
        <v>345</v>
      </c>
      <c r="IK114" s="17" t="s">
        <v>344</v>
      </c>
      <c r="IL114" s="17" t="s">
        <v>345</v>
      </c>
      <c r="IM114" s="17" t="s">
        <v>344</v>
      </c>
      <c r="IN114" s="17" t="s">
        <v>344</v>
      </c>
      <c r="IO114" s="17" t="s">
        <v>345</v>
      </c>
      <c r="IP114" s="17" t="s">
        <v>344</v>
      </c>
      <c r="IQ114" s="17" t="s">
        <v>344</v>
      </c>
      <c r="IR114" s="17" t="s">
        <v>344</v>
      </c>
      <c r="IS114" s="17" t="s">
        <v>344</v>
      </c>
      <c r="IT114" s="17"/>
      <c r="IU114" s="17" t="s">
        <v>911</v>
      </c>
      <c r="IV114" s="17"/>
      <c r="IW114" s="17"/>
      <c r="IX114" s="17"/>
      <c r="IY114" s="17"/>
      <c r="IZ114" s="17"/>
      <c r="JA114" s="17"/>
      <c r="JB114" s="17"/>
      <c r="JC114" s="17"/>
      <c r="JD114" s="17"/>
      <c r="JE114" s="17"/>
      <c r="JF114" s="17"/>
      <c r="JG114" s="17"/>
      <c r="JH114" s="17"/>
    </row>
    <row r="115" spans="1:268" x14ac:dyDescent="0.3">
      <c r="A115" s="17" t="s">
        <v>813</v>
      </c>
      <c r="B115" s="17">
        <v>196</v>
      </c>
      <c r="C115" s="17" t="s">
        <v>912</v>
      </c>
      <c r="D115" s="17">
        <v>14</v>
      </c>
      <c r="E115" s="17" t="s">
        <v>387</v>
      </c>
      <c r="F115" s="17">
        <v>2071545722</v>
      </c>
      <c r="G115" s="17" t="s">
        <v>913</v>
      </c>
      <c r="H115" s="17" t="s">
        <v>912</v>
      </c>
      <c r="I115" s="17" t="s">
        <v>867</v>
      </c>
      <c r="J115" s="17">
        <v>20</v>
      </c>
      <c r="K115" s="17" t="s">
        <v>389</v>
      </c>
      <c r="L115" s="17"/>
      <c r="M115" s="17" t="s">
        <v>345</v>
      </c>
      <c r="N115" s="17" t="s">
        <v>345</v>
      </c>
      <c r="O115" s="17" t="s">
        <v>344</v>
      </c>
      <c r="P115" s="17" t="s">
        <v>344</v>
      </c>
      <c r="Q115" s="17" t="s">
        <v>344</v>
      </c>
      <c r="R115" s="17"/>
      <c r="S115" s="17" t="s">
        <v>522</v>
      </c>
      <c r="T115" s="17"/>
      <c r="U115" s="17" t="s">
        <v>347</v>
      </c>
      <c r="V115" s="17"/>
      <c r="W115" s="17" t="s">
        <v>345</v>
      </c>
      <c r="X115" s="17" t="s">
        <v>345</v>
      </c>
      <c r="Y115" s="17" t="s">
        <v>344</v>
      </c>
      <c r="Z115" s="17" t="s">
        <v>344</v>
      </c>
      <c r="AA115" s="17" t="s">
        <v>344</v>
      </c>
      <c r="AB115" s="17" t="s">
        <v>344</v>
      </c>
      <c r="AC115" s="17" t="s">
        <v>344</v>
      </c>
      <c r="AD115" s="17" t="s">
        <v>344</v>
      </c>
      <c r="AE115" s="17" t="s">
        <v>345</v>
      </c>
      <c r="AF115" s="17" t="s">
        <v>344</v>
      </c>
      <c r="AG115" s="17" t="s">
        <v>344</v>
      </c>
      <c r="AH115" s="17" t="s">
        <v>344</v>
      </c>
      <c r="AI115" s="17" t="s">
        <v>344</v>
      </c>
      <c r="AJ115" s="17" t="s">
        <v>344</v>
      </c>
      <c r="AK115" s="17" t="s">
        <v>345</v>
      </c>
      <c r="AL115" s="17" t="s">
        <v>344</v>
      </c>
      <c r="AM115" s="17" t="s">
        <v>345</v>
      </c>
      <c r="AN115" s="17" t="s">
        <v>345</v>
      </c>
      <c r="AO115" s="17" t="s">
        <v>344</v>
      </c>
      <c r="AP115" s="17" t="s">
        <v>344</v>
      </c>
      <c r="AQ115" s="17" t="s">
        <v>344</v>
      </c>
      <c r="AR115" s="17" t="s">
        <v>345</v>
      </c>
      <c r="AS115" s="17" t="s">
        <v>345</v>
      </c>
      <c r="AT115" s="17" t="s">
        <v>344</v>
      </c>
      <c r="AU115" s="17" t="s">
        <v>344</v>
      </c>
      <c r="AV115" s="17" t="s">
        <v>344</v>
      </c>
      <c r="AW115" s="17" t="s">
        <v>344</v>
      </c>
      <c r="AX115" s="17" t="s">
        <v>344</v>
      </c>
      <c r="AY115" s="17" t="s">
        <v>391</v>
      </c>
      <c r="AZ115" s="17" t="s">
        <v>733</v>
      </c>
      <c r="BA115" s="17" t="s">
        <v>737</v>
      </c>
      <c r="BB115" s="17" t="s">
        <v>732</v>
      </c>
      <c r="BC115" s="17" t="s">
        <v>732</v>
      </c>
      <c r="BD115" s="17" t="s">
        <v>733</v>
      </c>
      <c r="BE115" s="17" t="s">
        <v>348</v>
      </c>
      <c r="BF115" s="17" t="s">
        <v>348</v>
      </c>
      <c r="BG115" s="17" t="s">
        <v>349</v>
      </c>
      <c r="BH115" s="17" t="s">
        <v>348</v>
      </c>
      <c r="BI115" s="17" t="s">
        <v>348</v>
      </c>
      <c r="BJ115" s="17" t="s">
        <v>357</v>
      </c>
      <c r="BK115" s="17" t="s">
        <v>354</v>
      </c>
      <c r="BL115" s="17" t="s">
        <v>352</v>
      </c>
      <c r="BM115" s="17" t="s">
        <v>353</v>
      </c>
      <c r="BN115" s="17" t="s">
        <v>351</v>
      </c>
      <c r="BO115" s="17" t="s">
        <v>356</v>
      </c>
      <c r="BP115" s="17" t="s">
        <v>355</v>
      </c>
      <c r="BQ115" s="17" t="s">
        <v>358</v>
      </c>
      <c r="BR115" s="17" t="s">
        <v>408</v>
      </c>
      <c r="BS115" s="17" t="s">
        <v>354</v>
      </c>
      <c r="BT115" s="17" t="s">
        <v>351</v>
      </c>
      <c r="BU115" s="17" t="s">
        <v>356</v>
      </c>
      <c r="BV115" s="17" t="s">
        <v>357</v>
      </c>
      <c r="BW115" s="17" t="s">
        <v>353</v>
      </c>
      <c r="BX115" s="17" t="s">
        <v>352</v>
      </c>
      <c r="BY115" s="17" t="s">
        <v>353</v>
      </c>
      <c r="BZ115" s="17" t="s">
        <v>354</v>
      </c>
      <c r="CA115" s="17" t="s">
        <v>356</v>
      </c>
      <c r="CB115" s="17" t="s">
        <v>357</v>
      </c>
      <c r="CC115" s="17" t="s">
        <v>352</v>
      </c>
      <c r="CD115" s="17" t="s">
        <v>351</v>
      </c>
      <c r="CE115" s="17" t="s">
        <v>353</v>
      </c>
      <c r="CF115" s="17" t="s">
        <v>355</v>
      </c>
      <c r="CG115" s="17" t="s">
        <v>392</v>
      </c>
      <c r="CH115" s="17" t="s">
        <v>392</v>
      </c>
      <c r="CI115" s="17" t="s">
        <v>392</v>
      </c>
      <c r="CJ115" s="17" t="s">
        <v>392</v>
      </c>
      <c r="CK115" s="17" t="s">
        <v>914</v>
      </c>
      <c r="CL115" s="17" t="s">
        <v>345</v>
      </c>
      <c r="CM115" s="17" t="s">
        <v>344</v>
      </c>
      <c r="CN115" s="17" t="s">
        <v>344</v>
      </c>
      <c r="CO115" s="17" t="s">
        <v>344</v>
      </c>
      <c r="CP115" s="17" t="s">
        <v>344</v>
      </c>
      <c r="CQ115" s="17" t="s">
        <v>344</v>
      </c>
      <c r="CR115" s="17" t="s">
        <v>667</v>
      </c>
      <c r="CS115" s="17">
        <v>50</v>
      </c>
      <c r="CT115" s="17">
        <v>55</v>
      </c>
      <c r="CU115" s="17">
        <v>33</v>
      </c>
      <c r="CV115" s="17">
        <v>10</v>
      </c>
      <c r="CW115" s="17" t="s">
        <v>363</v>
      </c>
      <c r="CX115" s="17" t="s">
        <v>363</v>
      </c>
      <c r="CY115" s="17" t="s">
        <v>396</v>
      </c>
      <c r="CZ115" s="17" t="s">
        <v>397</v>
      </c>
      <c r="DA115" s="17" t="s">
        <v>397</v>
      </c>
      <c r="DB115" s="17" t="s">
        <v>397</v>
      </c>
      <c r="DC115" s="17" t="s">
        <v>397</v>
      </c>
      <c r="DD115" s="17" t="s">
        <v>397</v>
      </c>
      <c r="DE115" s="17" t="s">
        <v>397</v>
      </c>
      <c r="DF115" s="17" t="s">
        <v>397</v>
      </c>
      <c r="DG115" s="17" t="s">
        <v>397</v>
      </c>
      <c r="DH115" s="17" t="s">
        <v>397</v>
      </c>
      <c r="DI115" s="17" t="s">
        <v>397</v>
      </c>
      <c r="DJ115" s="17"/>
      <c r="DK115" s="17" t="s">
        <v>367</v>
      </c>
      <c r="DL115" s="17" t="s">
        <v>368</v>
      </c>
      <c r="DM115" s="17" t="s">
        <v>368</v>
      </c>
      <c r="DN115" s="17" t="s">
        <v>368</v>
      </c>
      <c r="DO115" s="17" t="s">
        <v>368</v>
      </c>
      <c r="DP115" s="17" t="s">
        <v>345</v>
      </c>
      <c r="DQ115" s="17" t="s">
        <v>344</v>
      </c>
      <c r="DR115" s="17" t="s">
        <v>345</v>
      </c>
      <c r="DS115" s="17" t="s">
        <v>344</v>
      </c>
      <c r="DT115" s="17" t="s">
        <v>344</v>
      </c>
      <c r="DU115" s="17" t="s">
        <v>345</v>
      </c>
      <c r="DV115" s="17" t="s">
        <v>344</v>
      </c>
      <c r="DW115" s="17" t="s">
        <v>344</v>
      </c>
      <c r="DX115" s="17" t="s">
        <v>369</v>
      </c>
      <c r="DY115" s="17" t="s">
        <v>370</v>
      </c>
      <c r="DZ115" s="17" t="s">
        <v>369</v>
      </c>
      <c r="EA115" s="17" t="s">
        <v>369</v>
      </c>
      <c r="EB115" s="17" t="s">
        <v>369</v>
      </c>
      <c r="EC115" s="17" t="s">
        <v>371</v>
      </c>
      <c r="ED115" s="17" t="s">
        <v>371</v>
      </c>
      <c r="EE115" s="17" t="s">
        <v>370</v>
      </c>
      <c r="EF115" s="17" t="s">
        <v>371</v>
      </c>
      <c r="EG115" s="17" t="s">
        <v>369</v>
      </c>
      <c r="EH115" s="17" t="s">
        <v>370</v>
      </c>
      <c r="EI115" s="17" t="s">
        <v>370</v>
      </c>
      <c r="EJ115" s="17" t="s">
        <v>370</v>
      </c>
      <c r="EK115" s="17" t="s">
        <v>371</v>
      </c>
      <c r="EL115" s="17" t="s">
        <v>372</v>
      </c>
      <c r="EM115" s="17" t="s">
        <v>373</v>
      </c>
      <c r="EN115" s="17" t="s">
        <v>374</v>
      </c>
      <c r="EO115" s="17"/>
      <c r="EP115" s="17"/>
      <c r="EQ115" s="17" t="s">
        <v>376</v>
      </c>
      <c r="ER115" s="17" t="s">
        <v>375</v>
      </c>
      <c r="ES115" s="17" t="s">
        <v>378</v>
      </c>
      <c r="ET115" s="17" t="s">
        <v>375</v>
      </c>
      <c r="EU115" s="17" t="s">
        <v>375</v>
      </c>
      <c r="EV115" s="17" t="s">
        <v>379</v>
      </c>
      <c r="EW115" s="17"/>
      <c r="EX115" s="163" t="s">
        <v>344</v>
      </c>
      <c r="EY115" s="163" t="s">
        <v>345</v>
      </c>
      <c r="EZ115" s="163" t="s">
        <v>344</v>
      </c>
      <c r="FA115" s="17" t="s">
        <v>344</v>
      </c>
      <c r="FB115" s="17" t="s">
        <v>381</v>
      </c>
      <c r="FC115" s="17"/>
      <c r="FD115" s="17" t="s">
        <v>401</v>
      </c>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t="s">
        <v>368</v>
      </c>
      <c r="GB115" s="17" t="s">
        <v>368</v>
      </c>
      <c r="GC115" s="17" t="s">
        <v>368</v>
      </c>
      <c r="GD115" s="17" t="s">
        <v>368</v>
      </c>
      <c r="GE115" s="17" t="s">
        <v>368</v>
      </c>
      <c r="GF115" s="17" t="s">
        <v>368</v>
      </c>
      <c r="GG115" s="17"/>
      <c r="GH115" s="17"/>
      <c r="GI115" s="17"/>
      <c r="GJ115" s="17"/>
      <c r="GK115" s="17"/>
      <c r="GL115" s="17" t="s">
        <v>344</v>
      </c>
      <c r="GM115" s="17" t="s">
        <v>344</v>
      </c>
      <c r="GN115" s="17" t="s">
        <v>344</v>
      </c>
      <c r="GO115" s="17" t="s">
        <v>345</v>
      </c>
      <c r="GP115" s="17" t="s">
        <v>344</v>
      </c>
      <c r="GQ115" s="17" t="s">
        <v>344</v>
      </c>
      <c r="GR115" s="17" t="s">
        <v>344</v>
      </c>
      <c r="GS115" s="17" t="s">
        <v>344</v>
      </c>
      <c r="GT115" s="17" t="s">
        <v>344</v>
      </c>
      <c r="GU115" s="17" t="s">
        <v>344</v>
      </c>
      <c r="GV115" s="17" t="s">
        <v>344</v>
      </c>
      <c r="GW115" s="17" t="s">
        <v>344</v>
      </c>
      <c r="GX115" s="17" t="s">
        <v>344</v>
      </c>
      <c r="GY115" s="17" t="s">
        <v>344</v>
      </c>
      <c r="GZ115" s="17" t="s">
        <v>344</v>
      </c>
      <c r="HA115" s="17"/>
      <c r="HB115" s="17" t="s">
        <v>344</v>
      </c>
      <c r="HC115" s="17"/>
      <c r="HD115" s="17" t="s">
        <v>344</v>
      </c>
      <c r="HE115" s="17"/>
      <c r="HF115" s="17" t="s">
        <v>345</v>
      </c>
      <c r="HG115" s="17" t="s">
        <v>915</v>
      </c>
      <c r="HH115" s="17" t="s">
        <v>344</v>
      </c>
      <c r="HI115" s="17"/>
      <c r="HJ115" s="17" t="s">
        <v>345</v>
      </c>
      <c r="HK115" s="17" t="s">
        <v>344</v>
      </c>
      <c r="HL115" s="17" t="s">
        <v>344</v>
      </c>
      <c r="HM115" s="17" t="s">
        <v>345</v>
      </c>
      <c r="HN115" s="17" t="s">
        <v>344</v>
      </c>
      <c r="HO115" s="17" t="s">
        <v>344</v>
      </c>
      <c r="HP115" s="17" t="s">
        <v>344</v>
      </c>
      <c r="HQ115" s="17" t="s">
        <v>344</v>
      </c>
      <c r="HR115" s="17" t="s">
        <v>344</v>
      </c>
      <c r="HS115" s="17" t="s">
        <v>344</v>
      </c>
      <c r="HT115" s="17" t="s">
        <v>344</v>
      </c>
      <c r="HU115" s="17" t="s">
        <v>344</v>
      </c>
      <c r="HV115" s="17" t="s">
        <v>345</v>
      </c>
      <c r="HW115" s="17" t="s">
        <v>344</v>
      </c>
      <c r="HX115" s="17" t="s">
        <v>344</v>
      </c>
      <c r="HY115" s="17"/>
      <c r="HZ115" s="17" t="s">
        <v>344</v>
      </c>
      <c r="IA115" s="17"/>
      <c r="IB115" s="17" t="s">
        <v>344</v>
      </c>
      <c r="IC115" s="17"/>
      <c r="ID115" s="17" t="s">
        <v>344</v>
      </c>
      <c r="IE115" s="17"/>
      <c r="IF115" s="17" t="s">
        <v>344</v>
      </c>
      <c r="IG115" s="17"/>
      <c r="IH115" s="17" t="s">
        <v>344</v>
      </c>
      <c r="II115" s="17" t="s">
        <v>345</v>
      </c>
      <c r="IJ115" s="17" t="s">
        <v>345</v>
      </c>
      <c r="IK115" s="17" t="s">
        <v>344</v>
      </c>
      <c r="IL115" s="17" t="s">
        <v>345</v>
      </c>
      <c r="IM115" s="17" t="s">
        <v>345</v>
      </c>
      <c r="IN115" s="17" t="s">
        <v>344</v>
      </c>
      <c r="IO115" s="17" t="s">
        <v>345</v>
      </c>
      <c r="IP115" s="17" t="s">
        <v>344</v>
      </c>
      <c r="IQ115" s="17" t="s">
        <v>344</v>
      </c>
      <c r="IR115" s="17" t="s">
        <v>345</v>
      </c>
      <c r="IS115" s="17" t="s">
        <v>344</v>
      </c>
      <c r="IT115" s="17"/>
      <c r="IU115" s="17"/>
      <c r="IV115" s="17"/>
      <c r="IW115" s="17"/>
      <c r="IX115" s="17"/>
      <c r="IY115" s="17"/>
      <c r="IZ115" s="17"/>
      <c r="JA115" s="17"/>
      <c r="JB115" s="17"/>
      <c r="JC115" s="17"/>
      <c r="JD115" s="17"/>
      <c r="JE115" s="17"/>
      <c r="JF115" s="17"/>
      <c r="JG115" s="17"/>
      <c r="JH115" s="17"/>
    </row>
    <row r="116" spans="1:268" x14ac:dyDescent="0.3">
      <c r="A116" s="17" t="s">
        <v>813</v>
      </c>
      <c r="B116" s="17">
        <v>197</v>
      </c>
      <c r="C116" s="17" t="s">
        <v>916</v>
      </c>
      <c r="D116" s="17">
        <v>14</v>
      </c>
      <c r="E116" s="17" t="s">
        <v>387</v>
      </c>
      <c r="F116" s="17">
        <v>285257263</v>
      </c>
      <c r="G116" s="17" t="s">
        <v>917</v>
      </c>
      <c r="H116" s="17" t="s">
        <v>916</v>
      </c>
      <c r="I116" s="17" t="s">
        <v>867</v>
      </c>
      <c r="J116" s="17">
        <v>39</v>
      </c>
      <c r="K116" s="17" t="s">
        <v>389</v>
      </c>
      <c r="L116" s="17"/>
      <c r="M116" s="17" t="s">
        <v>345</v>
      </c>
      <c r="N116" s="17" t="s">
        <v>345</v>
      </c>
      <c r="O116" s="17" t="s">
        <v>344</v>
      </c>
      <c r="P116" s="17" t="s">
        <v>345</v>
      </c>
      <c r="Q116" s="17" t="s">
        <v>344</v>
      </c>
      <c r="R116" s="18"/>
      <c r="S116" s="17" t="s">
        <v>522</v>
      </c>
      <c r="T116" s="17"/>
      <c r="U116" s="17" t="s">
        <v>428</v>
      </c>
      <c r="V116" s="17"/>
      <c r="W116" s="17" t="s">
        <v>345</v>
      </c>
      <c r="X116" s="17" t="s">
        <v>344</v>
      </c>
      <c r="Y116" s="17" t="s">
        <v>344</v>
      </c>
      <c r="Z116" s="17" t="s">
        <v>344</v>
      </c>
      <c r="AA116" s="17" t="s">
        <v>344</v>
      </c>
      <c r="AB116" s="17" t="s">
        <v>344</v>
      </c>
      <c r="AC116" s="17" t="s">
        <v>344</v>
      </c>
      <c r="AD116" s="17" t="s">
        <v>344</v>
      </c>
      <c r="AE116" s="17" t="s">
        <v>345</v>
      </c>
      <c r="AF116" s="17" t="s">
        <v>344</v>
      </c>
      <c r="AG116" s="17" t="s">
        <v>344</v>
      </c>
      <c r="AH116" s="17" t="s">
        <v>344</v>
      </c>
      <c r="AI116" s="17" t="s">
        <v>344</v>
      </c>
      <c r="AJ116" s="17" t="s">
        <v>344</v>
      </c>
      <c r="AK116" s="17" t="s">
        <v>368</v>
      </c>
      <c r="AL116" s="17" t="s">
        <v>368</v>
      </c>
      <c r="AM116" s="17" t="s">
        <v>368</v>
      </c>
      <c r="AN116" s="17" t="s">
        <v>368</v>
      </c>
      <c r="AO116" s="17" t="s">
        <v>368</v>
      </c>
      <c r="AP116" s="17" t="s">
        <v>368</v>
      </c>
      <c r="AQ116" s="17" t="s">
        <v>345</v>
      </c>
      <c r="AR116" s="17" t="s">
        <v>344</v>
      </c>
      <c r="AS116" s="17" t="s">
        <v>344</v>
      </c>
      <c r="AT116" s="17" t="s">
        <v>344</v>
      </c>
      <c r="AU116" s="17" t="s">
        <v>345</v>
      </c>
      <c r="AV116" s="17" t="s">
        <v>344</v>
      </c>
      <c r="AW116" s="17" t="s">
        <v>344</v>
      </c>
      <c r="AX116" s="17" t="s">
        <v>344</v>
      </c>
      <c r="AY116" s="17" t="s">
        <v>737</v>
      </c>
      <c r="AZ116" s="17" t="s">
        <v>737</v>
      </c>
      <c r="BA116" s="17" t="s">
        <v>737</v>
      </c>
      <c r="BB116" s="17" t="s">
        <v>731</v>
      </c>
      <c r="BC116" s="17" t="s">
        <v>737</v>
      </c>
      <c r="BD116" s="17" t="s">
        <v>733</v>
      </c>
      <c r="BE116" s="17" t="s">
        <v>390</v>
      </c>
      <c r="BF116" s="17" t="s">
        <v>349</v>
      </c>
      <c r="BG116" s="17" t="s">
        <v>390</v>
      </c>
      <c r="BH116" s="17" t="s">
        <v>390</v>
      </c>
      <c r="BI116" s="17" t="s">
        <v>390</v>
      </c>
      <c r="BJ116" s="17" t="s">
        <v>391</v>
      </c>
      <c r="BK116" s="17" t="s">
        <v>354</v>
      </c>
      <c r="BL116" s="17" t="s">
        <v>357</v>
      </c>
      <c r="BM116" s="17" t="s">
        <v>357</v>
      </c>
      <c r="BN116" s="17" t="s">
        <v>357</v>
      </c>
      <c r="BO116" s="17" t="s">
        <v>354</v>
      </c>
      <c r="BP116" s="17" t="s">
        <v>357</v>
      </c>
      <c r="BQ116" s="17" t="s">
        <v>358</v>
      </c>
      <c r="BR116" s="17" t="s">
        <v>359</v>
      </c>
      <c r="BS116" s="17" t="s">
        <v>351</v>
      </c>
      <c r="BT116" s="17" t="s">
        <v>356</v>
      </c>
      <c r="BU116" s="17" t="s">
        <v>356</v>
      </c>
      <c r="BV116" s="17" t="s">
        <v>357</v>
      </c>
      <c r="BW116" s="17" t="s">
        <v>355</v>
      </c>
      <c r="BX116" s="17" t="s">
        <v>351</v>
      </c>
      <c r="BY116" s="17" t="s">
        <v>391</v>
      </c>
      <c r="BZ116" s="17" t="s">
        <v>354</v>
      </c>
      <c r="CA116" s="17" t="s">
        <v>354</v>
      </c>
      <c r="CB116" s="17" t="s">
        <v>357</v>
      </c>
      <c r="CC116" s="17" t="s">
        <v>354</v>
      </c>
      <c r="CD116" s="17" t="s">
        <v>356</v>
      </c>
      <c r="CE116" s="17" t="s">
        <v>357</v>
      </c>
      <c r="CF116" s="17" t="s">
        <v>356</v>
      </c>
      <c r="CG116" s="17" t="s">
        <v>392</v>
      </c>
      <c r="CH116" s="17" t="s">
        <v>420</v>
      </c>
      <c r="CI116" s="17" t="s">
        <v>392</v>
      </c>
      <c r="CJ116" s="17" t="s">
        <v>392</v>
      </c>
      <c r="CK116" s="17" t="s">
        <v>918</v>
      </c>
      <c r="CL116" s="17" t="s">
        <v>344</v>
      </c>
      <c r="CM116" s="17" t="s">
        <v>344</v>
      </c>
      <c r="CN116" s="17" t="s">
        <v>344</v>
      </c>
      <c r="CO116" s="17" t="s">
        <v>344</v>
      </c>
      <c r="CP116" s="17" t="s">
        <v>345</v>
      </c>
      <c r="CQ116" s="17" t="s">
        <v>344</v>
      </c>
      <c r="CR116" s="17" t="s">
        <v>655</v>
      </c>
      <c r="CS116" s="17">
        <v>1</v>
      </c>
      <c r="CT116" s="17">
        <v>78</v>
      </c>
      <c r="CU116" s="17">
        <v>76</v>
      </c>
      <c r="CV116" s="17">
        <v>59</v>
      </c>
      <c r="CW116" s="17" t="s">
        <v>395</v>
      </c>
      <c r="CX116" s="17" t="s">
        <v>396</v>
      </c>
      <c r="CY116" s="17" t="s">
        <v>396</v>
      </c>
      <c r="CZ116" s="17" t="s">
        <v>397</v>
      </c>
      <c r="DA116" s="17" t="s">
        <v>397</v>
      </c>
      <c r="DB116" s="17" t="s">
        <v>397</v>
      </c>
      <c r="DC116" s="17" t="s">
        <v>397</v>
      </c>
      <c r="DD116" s="17" t="s">
        <v>397</v>
      </c>
      <c r="DE116" s="17" t="s">
        <v>397</v>
      </c>
      <c r="DF116" s="17" t="s">
        <v>397</v>
      </c>
      <c r="DG116" s="17" t="s">
        <v>397</v>
      </c>
      <c r="DH116" s="17" t="s">
        <v>397</v>
      </c>
      <c r="DI116" s="17" t="s">
        <v>397</v>
      </c>
      <c r="DJ116" s="17"/>
      <c r="DK116" s="17" t="s">
        <v>367</v>
      </c>
      <c r="DL116" s="17" t="s">
        <v>368</v>
      </c>
      <c r="DM116" s="17" t="s">
        <v>368</v>
      </c>
      <c r="DN116" s="17" t="s">
        <v>368</v>
      </c>
      <c r="DO116" s="17" t="s">
        <v>368</v>
      </c>
      <c r="DP116" s="17" t="s">
        <v>345</v>
      </c>
      <c r="DQ116" s="17" t="s">
        <v>344</v>
      </c>
      <c r="DR116" s="17" t="s">
        <v>344</v>
      </c>
      <c r="DS116" s="17" t="s">
        <v>344</v>
      </c>
      <c r="DT116" s="17" t="s">
        <v>345</v>
      </c>
      <c r="DU116" s="17" t="s">
        <v>344</v>
      </c>
      <c r="DV116" s="17" t="s">
        <v>345</v>
      </c>
      <c r="DW116" s="17" t="s">
        <v>344</v>
      </c>
      <c r="DX116" s="17" t="s">
        <v>371</v>
      </c>
      <c r="DY116" s="17" t="s">
        <v>370</v>
      </c>
      <c r="DZ116" s="17" t="s">
        <v>370</v>
      </c>
      <c r="EA116" s="17" t="s">
        <v>398</v>
      </c>
      <c r="EB116" s="17" t="s">
        <v>398</v>
      </c>
      <c r="EC116" s="17" t="s">
        <v>371</v>
      </c>
      <c r="ED116" s="17" t="s">
        <v>371</v>
      </c>
      <c r="EE116" s="17" t="s">
        <v>370</v>
      </c>
      <c r="EF116" s="17" t="s">
        <v>398</v>
      </c>
      <c r="EG116" s="17" t="s">
        <v>370</v>
      </c>
      <c r="EH116" s="17" t="s">
        <v>370</v>
      </c>
      <c r="EI116" s="17" t="s">
        <v>370</v>
      </c>
      <c r="EJ116" s="17" t="s">
        <v>370</v>
      </c>
      <c r="EK116" s="17" t="s">
        <v>370</v>
      </c>
      <c r="EL116" s="17" t="s">
        <v>373</v>
      </c>
      <c r="EM116" s="17" t="s">
        <v>372</v>
      </c>
      <c r="EN116" s="17" t="s">
        <v>424</v>
      </c>
      <c r="EO116" s="17"/>
      <c r="EP116" s="17"/>
      <c r="EQ116" s="17" t="s">
        <v>376</v>
      </c>
      <c r="ER116" s="17" t="s">
        <v>376</v>
      </c>
      <c r="ES116" s="17" t="s">
        <v>375</v>
      </c>
      <c r="ET116" s="17" t="s">
        <v>375</v>
      </c>
      <c r="EU116" s="17" t="s">
        <v>375</v>
      </c>
      <c r="EV116" s="17" t="s">
        <v>484</v>
      </c>
      <c r="EW116" s="17"/>
      <c r="EX116" s="17" t="s">
        <v>368</v>
      </c>
      <c r="EY116" s="17" t="s">
        <v>368</v>
      </c>
      <c r="EZ116" s="17" t="s">
        <v>368</v>
      </c>
      <c r="FA116" s="17" t="s">
        <v>345</v>
      </c>
      <c r="FB116" s="17" t="s">
        <v>401</v>
      </c>
      <c r="FC116" s="17"/>
      <c r="FD116" s="17" t="s">
        <v>401</v>
      </c>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t="s">
        <v>368</v>
      </c>
      <c r="GB116" s="17" t="s">
        <v>368</v>
      </c>
      <c r="GC116" s="17" t="s">
        <v>368</v>
      </c>
      <c r="GD116" s="17" t="s">
        <v>368</v>
      </c>
      <c r="GE116" s="17" t="s">
        <v>368</v>
      </c>
      <c r="GF116" s="17" t="s">
        <v>368</v>
      </c>
      <c r="GG116" s="17"/>
      <c r="GH116" s="17"/>
      <c r="GI116" s="17"/>
      <c r="GJ116" s="17"/>
      <c r="GK116" s="17"/>
      <c r="GL116" s="17" t="s">
        <v>344</v>
      </c>
      <c r="GM116" s="17" t="s">
        <v>344</v>
      </c>
      <c r="GN116" s="17" t="s">
        <v>344</v>
      </c>
      <c r="GO116" s="17" t="s">
        <v>344</v>
      </c>
      <c r="GP116" s="17" t="s">
        <v>344</v>
      </c>
      <c r="GQ116" s="17" t="s">
        <v>344</v>
      </c>
      <c r="GR116" s="17" t="s">
        <v>344</v>
      </c>
      <c r="GS116" s="17" t="s">
        <v>344</v>
      </c>
      <c r="GT116" s="17" t="s">
        <v>344</v>
      </c>
      <c r="GU116" s="17" t="s">
        <v>344</v>
      </c>
      <c r="GV116" s="17" t="s">
        <v>344</v>
      </c>
      <c r="GW116" s="17" t="s">
        <v>344</v>
      </c>
      <c r="GX116" s="17" t="s">
        <v>344</v>
      </c>
      <c r="GY116" s="17" t="s">
        <v>344</v>
      </c>
      <c r="GZ116" s="17" t="s">
        <v>345</v>
      </c>
      <c r="HA116" s="17"/>
      <c r="HB116" s="17" t="s">
        <v>344</v>
      </c>
      <c r="HC116" s="17"/>
      <c r="HD116" s="17" t="s">
        <v>344</v>
      </c>
      <c r="HE116" s="17"/>
      <c r="HF116" s="17" t="s">
        <v>344</v>
      </c>
      <c r="HG116" s="17"/>
      <c r="HH116" s="17" t="s">
        <v>344</v>
      </c>
      <c r="HI116" s="17"/>
      <c r="HJ116" s="17" t="s">
        <v>344</v>
      </c>
      <c r="HK116" s="17" t="s">
        <v>344</v>
      </c>
      <c r="HL116" s="17" t="s">
        <v>344</v>
      </c>
      <c r="HM116" s="17" t="s">
        <v>345</v>
      </c>
      <c r="HN116" s="17" t="s">
        <v>345</v>
      </c>
      <c r="HO116" s="17" t="s">
        <v>344</v>
      </c>
      <c r="HP116" s="17" t="s">
        <v>345</v>
      </c>
      <c r="HQ116" s="17" t="s">
        <v>344</v>
      </c>
      <c r="HR116" s="17" t="s">
        <v>344</v>
      </c>
      <c r="HS116" s="17" t="s">
        <v>344</v>
      </c>
      <c r="HT116" s="17" t="s">
        <v>344</v>
      </c>
      <c r="HU116" s="17" t="s">
        <v>345</v>
      </c>
      <c r="HV116" s="17" t="s">
        <v>344</v>
      </c>
      <c r="HW116" s="17" t="s">
        <v>344</v>
      </c>
      <c r="HX116" s="17" t="s">
        <v>344</v>
      </c>
      <c r="HY116" s="17"/>
      <c r="HZ116" s="17" t="s">
        <v>344</v>
      </c>
      <c r="IA116" s="17"/>
      <c r="IB116" s="17" t="s">
        <v>344</v>
      </c>
      <c r="IC116" s="17"/>
      <c r="ID116" s="17" t="s">
        <v>344</v>
      </c>
      <c r="IE116" s="17"/>
      <c r="IF116" s="17" t="s">
        <v>344</v>
      </c>
      <c r="IG116" s="17"/>
      <c r="IH116" s="17" t="s">
        <v>344</v>
      </c>
      <c r="II116" s="17" t="s">
        <v>344</v>
      </c>
      <c r="IJ116" s="17" t="s">
        <v>344</v>
      </c>
      <c r="IK116" s="17" t="s">
        <v>344</v>
      </c>
      <c r="IL116" s="17" t="s">
        <v>345</v>
      </c>
      <c r="IM116" s="17" t="s">
        <v>344</v>
      </c>
      <c r="IN116" s="17" t="s">
        <v>344</v>
      </c>
      <c r="IO116" s="17" t="s">
        <v>345</v>
      </c>
      <c r="IP116" s="17" t="s">
        <v>344</v>
      </c>
      <c r="IQ116" s="17" t="s">
        <v>344</v>
      </c>
      <c r="IR116" s="17" t="s">
        <v>344</v>
      </c>
      <c r="IS116" s="17" t="s">
        <v>344</v>
      </c>
      <c r="IT116" s="17"/>
      <c r="IU116" s="17"/>
      <c r="IV116" s="17"/>
      <c r="IW116" s="17"/>
      <c r="IX116" s="17"/>
      <c r="IY116" s="17"/>
      <c r="IZ116" s="17"/>
      <c r="JA116" s="17"/>
      <c r="JB116" s="17"/>
      <c r="JC116" s="17"/>
      <c r="JD116" s="17"/>
      <c r="JE116" s="17"/>
      <c r="JF116" s="17"/>
      <c r="JG116" s="17"/>
      <c r="JH116" s="17"/>
    </row>
    <row r="117" spans="1:268" x14ac:dyDescent="0.3">
      <c r="A117" s="17" t="s">
        <v>813</v>
      </c>
      <c r="B117" s="17">
        <v>199</v>
      </c>
      <c r="C117" s="17" t="s">
        <v>919</v>
      </c>
      <c r="D117" s="17">
        <v>14</v>
      </c>
      <c r="E117" s="17" t="s">
        <v>387</v>
      </c>
      <c r="F117" s="17">
        <v>88183043</v>
      </c>
      <c r="G117" s="17" t="s">
        <v>920</v>
      </c>
      <c r="H117" s="17" t="s">
        <v>919</v>
      </c>
      <c r="I117" s="17" t="s">
        <v>883</v>
      </c>
      <c r="J117" s="17">
        <v>20</v>
      </c>
      <c r="K117" s="17" t="s">
        <v>389</v>
      </c>
      <c r="L117" s="17"/>
      <c r="M117" s="17" t="s">
        <v>345</v>
      </c>
      <c r="N117" s="17" t="s">
        <v>345</v>
      </c>
      <c r="O117" s="17" t="s">
        <v>344</v>
      </c>
      <c r="P117" s="17" t="s">
        <v>344</v>
      </c>
      <c r="Q117" s="17" t="s">
        <v>344</v>
      </c>
      <c r="R117" s="17"/>
      <c r="S117" s="17" t="s">
        <v>522</v>
      </c>
      <c r="T117" s="17"/>
      <c r="U117" s="17" t="s">
        <v>523</v>
      </c>
      <c r="V117" s="17"/>
      <c r="W117" s="17" t="s">
        <v>344</v>
      </c>
      <c r="X117" s="17" t="s">
        <v>345</v>
      </c>
      <c r="Y117" s="17" t="s">
        <v>344</v>
      </c>
      <c r="Z117" s="17" t="s">
        <v>344</v>
      </c>
      <c r="AA117" s="17" t="s">
        <v>344</v>
      </c>
      <c r="AB117" s="17" t="s">
        <v>344</v>
      </c>
      <c r="AC117" s="17" t="s">
        <v>344</v>
      </c>
      <c r="AD117" s="17" t="s">
        <v>345</v>
      </c>
      <c r="AE117" s="17" t="s">
        <v>344</v>
      </c>
      <c r="AF117" s="17" t="s">
        <v>344</v>
      </c>
      <c r="AG117" s="17" t="s">
        <v>344</v>
      </c>
      <c r="AH117" s="17" t="s">
        <v>344</v>
      </c>
      <c r="AI117" s="17" t="s">
        <v>344</v>
      </c>
      <c r="AJ117" s="17" t="s">
        <v>344</v>
      </c>
      <c r="AK117" s="17" t="s">
        <v>344</v>
      </c>
      <c r="AL117" s="17" t="s">
        <v>345</v>
      </c>
      <c r="AM117" s="17" t="s">
        <v>344</v>
      </c>
      <c r="AN117" s="17" t="s">
        <v>345</v>
      </c>
      <c r="AO117" s="17" t="s">
        <v>344</v>
      </c>
      <c r="AP117" s="17" t="s">
        <v>344</v>
      </c>
      <c r="AQ117" s="17" t="s">
        <v>344</v>
      </c>
      <c r="AR117" s="17" t="s">
        <v>344</v>
      </c>
      <c r="AS117" s="17" t="s">
        <v>345</v>
      </c>
      <c r="AT117" s="17" t="s">
        <v>345</v>
      </c>
      <c r="AU117" s="17" t="s">
        <v>344</v>
      </c>
      <c r="AV117" s="17" t="s">
        <v>344</v>
      </c>
      <c r="AW117" s="17" t="s">
        <v>345</v>
      </c>
      <c r="AX117" s="17" t="s">
        <v>344</v>
      </c>
      <c r="AY117" s="17" t="s">
        <v>737</v>
      </c>
      <c r="AZ117" s="17" t="s">
        <v>732</v>
      </c>
      <c r="BA117" s="17" t="s">
        <v>731</v>
      </c>
      <c r="BB117" s="17" t="s">
        <v>732</v>
      </c>
      <c r="BC117" s="17" t="s">
        <v>732</v>
      </c>
      <c r="BD117" s="17" t="s">
        <v>733</v>
      </c>
      <c r="BE117" s="17" t="s">
        <v>348</v>
      </c>
      <c r="BF117" s="17" t="s">
        <v>390</v>
      </c>
      <c r="BG117" s="17" t="s">
        <v>390</v>
      </c>
      <c r="BH117" s="17" t="s">
        <v>390</v>
      </c>
      <c r="BI117" s="17" t="s">
        <v>349</v>
      </c>
      <c r="BJ117" s="17" t="s">
        <v>391</v>
      </c>
      <c r="BK117" s="17" t="s">
        <v>391</v>
      </c>
      <c r="BL117" s="17" t="s">
        <v>354</v>
      </c>
      <c r="BM117" s="17" t="s">
        <v>354</v>
      </c>
      <c r="BN117" s="17" t="s">
        <v>391</v>
      </c>
      <c r="BO117" s="17" t="s">
        <v>391</v>
      </c>
      <c r="BP117" s="17" t="s">
        <v>391</v>
      </c>
      <c r="BQ117" s="17" t="s">
        <v>455</v>
      </c>
      <c r="BR117" s="17" t="s">
        <v>408</v>
      </c>
      <c r="BS117" s="17" t="s">
        <v>351</v>
      </c>
      <c r="BT117" s="17" t="s">
        <v>352</v>
      </c>
      <c r="BU117" s="17" t="s">
        <v>351</v>
      </c>
      <c r="BV117" s="17" t="s">
        <v>354</v>
      </c>
      <c r="BW117" s="17" t="s">
        <v>354</v>
      </c>
      <c r="BX117" s="17" t="s">
        <v>351</v>
      </c>
      <c r="BY117" s="17" t="s">
        <v>391</v>
      </c>
      <c r="BZ117" s="17" t="s">
        <v>354</v>
      </c>
      <c r="CA117" s="17" t="s">
        <v>353</v>
      </c>
      <c r="CB117" s="17" t="s">
        <v>354</v>
      </c>
      <c r="CC117" s="17" t="s">
        <v>391</v>
      </c>
      <c r="CD117" s="17" t="s">
        <v>391</v>
      </c>
      <c r="CE117" s="17" t="s">
        <v>355</v>
      </c>
      <c r="CF117" s="17" t="s">
        <v>391</v>
      </c>
      <c r="CG117" s="17" t="s">
        <v>420</v>
      </c>
      <c r="CH117" s="17" t="s">
        <v>421</v>
      </c>
      <c r="CI117" s="17" t="s">
        <v>420</v>
      </c>
      <c r="CJ117" s="17" t="s">
        <v>393</v>
      </c>
      <c r="CK117" s="17" t="s">
        <v>921</v>
      </c>
      <c r="CL117" s="17" t="s">
        <v>345</v>
      </c>
      <c r="CM117" s="17" t="s">
        <v>344</v>
      </c>
      <c r="CN117" s="17" t="s">
        <v>344</v>
      </c>
      <c r="CO117" s="17" t="s">
        <v>345</v>
      </c>
      <c r="CP117" s="17" t="s">
        <v>344</v>
      </c>
      <c r="CQ117" s="17" t="s">
        <v>345</v>
      </c>
      <c r="CR117" s="17" t="s">
        <v>655</v>
      </c>
      <c r="CS117" s="17">
        <v>27</v>
      </c>
      <c r="CT117" s="17">
        <v>54</v>
      </c>
      <c r="CU117" s="17">
        <v>71</v>
      </c>
      <c r="CV117" s="17">
        <v>10</v>
      </c>
      <c r="CW117" s="17" t="s">
        <v>395</v>
      </c>
      <c r="CX117" s="17" t="s">
        <v>396</v>
      </c>
      <c r="CY117" s="17" t="s">
        <v>396</v>
      </c>
      <c r="CZ117" s="17" t="s">
        <v>397</v>
      </c>
      <c r="DA117" s="17" t="s">
        <v>397</v>
      </c>
      <c r="DB117" s="17" t="s">
        <v>397</v>
      </c>
      <c r="DC117" s="17" t="s">
        <v>397</v>
      </c>
      <c r="DD117" s="17" t="s">
        <v>397</v>
      </c>
      <c r="DE117" s="17" t="s">
        <v>397</v>
      </c>
      <c r="DF117" s="17" t="s">
        <v>397</v>
      </c>
      <c r="DG117" s="17" t="s">
        <v>397</v>
      </c>
      <c r="DH117" s="17" t="s">
        <v>397</v>
      </c>
      <c r="DI117" s="17" t="s">
        <v>397</v>
      </c>
      <c r="DJ117" s="17"/>
      <c r="DK117" s="17" t="s">
        <v>449</v>
      </c>
      <c r="DL117" s="17" t="s">
        <v>368</v>
      </c>
      <c r="DM117" s="17" t="s">
        <v>368</v>
      </c>
      <c r="DN117" s="17" t="s">
        <v>368</v>
      </c>
      <c r="DO117" s="17" t="s">
        <v>345</v>
      </c>
      <c r="DP117" s="17" t="s">
        <v>344</v>
      </c>
      <c r="DQ117" s="17" t="s">
        <v>345</v>
      </c>
      <c r="DR117" s="17" t="s">
        <v>344</v>
      </c>
      <c r="DS117" s="17" t="s">
        <v>344</v>
      </c>
      <c r="DT117" s="17" t="s">
        <v>368</v>
      </c>
      <c r="DU117" s="17" t="s">
        <v>368</v>
      </c>
      <c r="DV117" s="17" t="s">
        <v>368</v>
      </c>
      <c r="DW117" s="17" t="s">
        <v>345</v>
      </c>
      <c r="DX117" s="17" t="s">
        <v>398</v>
      </c>
      <c r="DY117" s="17" t="s">
        <v>370</v>
      </c>
      <c r="DZ117" s="17" t="s">
        <v>370</v>
      </c>
      <c r="EA117" s="17" t="s">
        <v>399</v>
      </c>
      <c r="EB117" s="17" t="s">
        <v>371</v>
      </c>
      <c r="EC117" s="17" t="s">
        <v>369</v>
      </c>
      <c r="ED117" s="17" t="s">
        <v>398</v>
      </c>
      <c r="EE117" s="17" t="s">
        <v>370</v>
      </c>
      <c r="EF117" s="17" t="s">
        <v>370</v>
      </c>
      <c r="EG117" s="17" t="s">
        <v>371</v>
      </c>
      <c r="EH117" s="17" t="s">
        <v>370</v>
      </c>
      <c r="EI117" s="17" t="s">
        <v>370</v>
      </c>
      <c r="EJ117" s="17" t="s">
        <v>370</v>
      </c>
      <c r="EK117" s="17" t="s">
        <v>370</v>
      </c>
      <c r="EL117" s="17" t="s">
        <v>373</v>
      </c>
      <c r="EM117" s="17" t="s">
        <v>424</v>
      </c>
      <c r="EN117" s="17" t="s">
        <v>374</v>
      </c>
      <c r="EO117" s="17"/>
      <c r="EP117" s="17"/>
      <c r="EQ117" s="17" t="s">
        <v>378</v>
      </c>
      <c r="ER117" s="17" t="s">
        <v>378</v>
      </c>
      <c r="ES117" s="17" t="s">
        <v>375</v>
      </c>
      <c r="ET117" s="17" t="s">
        <v>377</v>
      </c>
      <c r="EU117" s="17" t="s">
        <v>391</v>
      </c>
      <c r="EV117" s="17" t="s">
        <v>762</v>
      </c>
      <c r="EW117" s="17"/>
      <c r="EX117" s="17" t="s">
        <v>368</v>
      </c>
      <c r="EY117" s="17" t="s">
        <v>368</v>
      </c>
      <c r="EZ117" s="17" t="s">
        <v>368</v>
      </c>
      <c r="FA117" s="17" t="s">
        <v>345</v>
      </c>
      <c r="FB117" s="17" t="s">
        <v>380</v>
      </c>
      <c r="FC117" s="17"/>
      <c r="FD117" s="17" t="s">
        <v>401</v>
      </c>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t="s">
        <v>368</v>
      </c>
      <c r="GB117" s="17" t="s">
        <v>368</v>
      </c>
      <c r="GC117" s="17" t="s">
        <v>368</v>
      </c>
      <c r="GD117" s="17" t="s">
        <v>368</v>
      </c>
      <c r="GE117" s="17" t="s">
        <v>368</v>
      </c>
      <c r="GF117" s="17" t="s">
        <v>368</v>
      </c>
      <c r="GG117" s="17"/>
      <c r="GH117" s="17"/>
      <c r="GI117" s="17"/>
      <c r="GJ117" s="17"/>
      <c r="GK117" s="17"/>
      <c r="GL117" s="17" t="s">
        <v>344</v>
      </c>
      <c r="GM117" s="17" t="s">
        <v>344</v>
      </c>
      <c r="GN117" s="17" t="s">
        <v>344</v>
      </c>
      <c r="GO117" s="17" t="s">
        <v>344</v>
      </c>
      <c r="GP117" s="17" t="s">
        <v>344</v>
      </c>
      <c r="GQ117" s="17" t="s">
        <v>344</v>
      </c>
      <c r="GR117" s="17" t="s">
        <v>344</v>
      </c>
      <c r="GS117" s="17" t="s">
        <v>344</v>
      </c>
      <c r="GT117" s="17" t="s">
        <v>344</v>
      </c>
      <c r="GU117" s="17" t="s">
        <v>344</v>
      </c>
      <c r="GV117" s="17" t="s">
        <v>344</v>
      </c>
      <c r="GW117" s="17" t="s">
        <v>344</v>
      </c>
      <c r="GX117" s="17" t="s">
        <v>344</v>
      </c>
      <c r="GY117" s="17" t="s">
        <v>344</v>
      </c>
      <c r="GZ117" s="17" t="s">
        <v>345</v>
      </c>
      <c r="HA117" s="17"/>
      <c r="HB117" s="17" t="s">
        <v>344</v>
      </c>
      <c r="HC117" s="17"/>
      <c r="HD117" s="17" t="s">
        <v>344</v>
      </c>
      <c r="HE117" s="17"/>
      <c r="HF117" s="17" t="s">
        <v>344</v>
      </c>
      <c r="HG117" s="17"/>
      <c r="HH117" s="17" t="s">
        <v>344</v>
      </c>
      <c r="HI117" s="17"/>
      <c r="HJ117" s="17" t="s">
        <v>344</v>
      </c>
      <c r="HK117" s="17" t="s">
        <v>344</v>
      </c>
      <c r="HL117" s="17" t="s">
        <v>344</v>
      </c>
      <c r="HM117" s="17" t="s">
        <v>344</v>
      </c>
      <c r="HN117" s="17" t="s">
        <v>344</v>
      </c>
      <c r="HO117" s="17" t="s">
        <v>344</v>
      </c>
      <c r="HP117" s="17" t="s">
        <v>344</v>
      </c>
      <c r="HQ117" s="17" t="s">
        <v>344</v>
      </c>
      <c r="HR117" s="17" t="s">
        <v>344</v>
      </c>
      <c r="HS117" s="17" t="s">
        <v>344</v>
      </c>
      <c r="HT117" s="17" t="s">
        <v>344</v>
      </c>
      <c r="HU117" s="17" t="s">
        <v>344</v>
      </c>
      <c r="HV117" s="17" t="s">
        <v>344</v>
      </c>
      <c r="HW117" s="17" t="s">
        <v>344</v>
      </c>
      <c r="HX117" s="17" t="s">
        <v>345</v>
      </c>
      <c r="HY117" s="17"/>
      <c r="HZ117" s="17" t="s">
        <v>344</v>
      </c>
      <c r="IA117" s="17"/>
      <c r="IB117" s="17" t="s">
        <v>344</v>
      </c>
      <c r="IC117" s="17"/>
      <c r="ID117" s="17" t="s">
        <v>344</v>
      </c>
      <c r="IE117" s="17"/>
      <c r="IF117" s="17" t="s">
        <v>344</v>
      </c>
      <c r="IG117" s="17"/>
      <c r="IH117" s="17" t="s">
        <v>344</v>
      </c>
      <c r="II117" s="17" t="s">
        <v>344</v>
      </c>
      <c r="IJ117" s="17" t="s">
        <v>345</v>
      </c>
      <c r="IK117" s="17" t="s">
        <v>344</v>
      </c>
      <c r="IL117" s="17" t="s">
        <v>345</v>
      </c>
      <c r="IM117" s="17" t="s">
        <v>344</v>
      </c>
      <c r="IN117" s="17" t="s">
        <v>344</v>
      </c>
      <c r="IO117" s="17" t="s">
        <v>345</v>
      </c>
      <c r="IP117" s="17" t="s">
        <v>344</v>
      </c>
      <c r="IQ117" s="17" t="s">
        <v>344</v>
      </c>
      <c r="IR117" s="17" t="s">
        <v>344</v>
      </c>
      <c r="IS117" s="17" t="s">
        <v>344</v>
      </c>
      <c r="IT117" s="17"/>
      <c r="IU117" s="17"/>
      <c r="IV117" s="17"/>
      <c r="IW117" s="17"/>
      <c r="IX117" s="17"/>
      <c r="IY117" s="17"/>
      <c r="IZ117" s="17"/>
      <c r="JA117" s="17"/>
      <c r="JB117" s="17"/>
      <c r="JC117" s="17"/>
      <c r="JD117" s="17"/>
      <c r="JE117" s="17"/>
      <c r="JF117" s="17"/>
      <c r="JG117" s="17"/>
      <c r="JH117" s="17"/>
    </row>
    <row r="118" spans="1:268" x14ac:dyDescent="0.3">
      <c r="A118" s="17" t="s">
        <v>813</v>
      </c>
      <c r="B118" s="17">
        <v>209</v>
      </c>
      <c r="C118" s="17" t="s">
        <v>922</v>
      </c>
      <c r="D118" s="17">
        <v>14</v>
      </c>
      <c r="E118" s="17" t="s">
        <v>340</v>
      </c>
      <c r="F118" s="17">
        <v>1796893213</v>
      </c>
      <c r="G118" s="17" t="s">
        <v>923</v>
      </c>
      <c r="H118" s="17" t="s">
        <v>922</v>
      </c>
      <c r="I118" s="17" t="s">
        <v>883</v>
      </c>
      <c r="J118" s="17">
        <v>20</v>
      </c>
      <c r="K118" s="17" t="s">
        <v>406</v>
      </c>
      <c r="L118" s="17"/>
      <c r="M118" s="17" t="s">
        <v>345</v>
      </c>
      <c r="N118" s="17" t="s">
        <v>345</v>
      </c>
      <c r="O118" s="17" t="s">
        <v>344</v>
      </c>
      <c r="P118" s="17" t="s">
        <v>344</v>
      </c>
      <c r="Q118" s="17" t="s">
        <v>344</v>
      </c>
      <c r="R118" s="17"/>
      <c r="S118" s="17" t="s">
        <v>522</v>
      </c>
      <c r="T118" s="17"/>
      <c r="U118" s="17" t="s">
        <v>523</v>
      </c>
      <c r="V118" s="17"/>
      <c r="W118" s="17" t="s">
        <v>345</v>
      </c>
      <c r="X118" s="17" t="s">
        <v>344</v>
      </c>
      <c r="Y118" s="17" t="s">
        <v>344</v>
      </c>
      <c r="Z118" s="17" t="s">
        <v>344</v>
      </c>
      <c r="AA118" s="17" t="s">
        <v>344</v>
      </c>
      <c r="AB118" s="17" t="s">
        <v>344</v>
      </c>
      <c r="AC118" s="17" t="s">
        <v>344</v>
      </c>
      <c r="AD118" s="17" t="s">
        <v>344</v>
      </c>
      <c r="AE118" s="17" t="s">
        <v>345</v>
      </c>
      <c r="AF118" s="17" t="s">
        <v>344</v>
      </c>
      <c r="AG118" s="17" t="s">
        <v>345</v>
      </c>
      <c r="AH118" s="17" t="s">
        <v>344</v>
      </c>
      <c r="AI118" s="17" t="s">
        <v>344</v>
      </c>
      <c r="AJ118" s="17" t="s">
        <v>344</v>
      </c>
      <c r="AK118" s="17" t="s">
        <v>345</v>
      </c>
      <c r="AL118" s="17" t="s">
        <v>344</v>
      </c>
      <c r="AM118" s="17" t="s">
        <v>344</v>
      </c>
      <c r="AN118" s="17" t="s">
        <v>345</v>
      </c>
      <c r="AO118" s="17" t="s">
        <v>344</v>
      </c>
      <c r="AP118" s="17" t="s">
        <v>344</v>
      </c>
      <c r="AQ118" s="17" t="s">
        <v>344</v>
      </c>
      <c r="AR118" s="17" t="s">
        <v>344</v>
      </c>
      <c r="AS118" s="17" t="s">
        <v>344</v>
      </c>
      <c r="AT118" s="17" t="s">
        <v>344</v>
      </c>
      <c r="AU118" s="17" t="s">
        <v>345</v>
      </c>
      <c r="AV118" s="17" t="s">
        <v>344</v>
      </c>
      <c r="AW118" s="17" t="s">
        <v>344</v>
      </c>
      <c r="AX118" s="17" t="s">
        <v>344</v>
      </c>
      <c r="AY118" s="17" t="s">
        <v>731</v>
      </c>
      <c r="AZ118" s="17" t="s">
        <v>731</v>
      </c>
      <c r="BA118" s="17" t="s">
        <v>733</v>
      </c>
      <c r="BB118" s="17" t="s">
        <v>733</v>
      </c>
      <c r="BC118" s="17" t="s">
        <v>731</v>
      </c>
      <c r="BD118" s="17" t="s">
        <v>731</v>
      </c>
      <c r="BE118" s="17" t="s">
        <v>349</v>
      </c>
      <c r="BF118" s="17" t="s">
        <v>349</v>
      </c>
      <c r="BG118" s="17" t="s">
        <v>390</v>
      </c>
      <c r="BH118" s="17" t="s">
        <v>349</v>
      </c>
      <c r="BI118" s="17" t="s">
        <v>349</v>
      </c>
      <c r="BJ118" s="17" t="s">
        <v>357</v>
      </c>
      <c r="BK118" s="17" t="s">
        <v>356</v>
      </c>
      <c r="BL118" s="17" t="s">
        <v>353</v>
      </c>
      <c r="BM118" s="17" t="s">
        <v>357</v>
      </c>
      <c r="BN118" s="17" t="s">
        <v>357</v>
      </c>
      <c r="BO118" s="17" t="s">
        <v>391</v>
      </c>
      <c r="BP118" s="17" t="s">
        <v>355</v>
      </c>
      <c r="BQ118" s="17" t="s">
        <v>358</v>
      </c>
      <c r="BR118" s="17" t="s">
        <v>429</v>
      </c>
      <c r="BS118" s="17" t="s">
        <v>351</v>
      </c>
      <c r="BT118" s="17" t="s">
        <v>351</v>
      </c>
      <c r="BU118" s="17" t="s">
        <v>351</v>
      </c>
      <c r="BV118" s="17" t="s">
        <v>351</v>
      </c>
      <c r="BW118" s="17" t="s">
        <v>351</v>
      </c>
      <c r="BX118" s="17" t="s">
        <v>351</v>
      </c>
      <c r="BY118" s="17" t="s">
        <v>352</v>
      </c>
      <c r="BZ118" s="17" t="s">
        <v>355</v>
      </c>
      <c r="CA118" s="17" t="s">
        <v>356</v>
      </c>
      <c r="CB118" s="17" t="s">
        <v>357</v>
      </c>
      <c r="CC118" s="17" t="s">
        <v>354</v>
      </c>
      <c r="CD118" s="17" t="s">
        <v>355</v>
      </c>
      <c r="CE118" s="17" t="s">
        <v>357</v>
      </c>
      <c r="CF118" s="17" t="s">
        <v>356</v>
      </c>
      <c r="CG118" s="17" t="s">
        <v>392</v>
      </c>
      <c r="CH118" s="17" t="s">
        <v>393</v>
      </c>
      <c r="CI118" s="17" t="s">
        <v>360</v>
      </c>
      <c r="CJ118" s="17" t="s">
        <v>392</v>
      </c>
      <c r="CK118" s="17" t="s">
        <v>924</v>
      </c>
      <c r="CL118" s="17" t="s">
        <v>344</v>
      </c>
      <c r="CM118" s="17" t="s">
        <v>344</v>
      </c>
      <c r="CN118" s="17" t="s">
        <v>344</v>
      </c>
      <c r="CO118" s="17" t="s">
        <v>345</v>
      </c>
      <c r="CP118" s="17" t="s">
        <v>344</v>
      </c>
      <c r="CQ118" s="17" t="s">
        <v>344</v>
      </c>
      <c r="CR118" s="17" t="s">
        <v>667</v>
      </c>
      <c r="CS118" s="17">
        <v>63</v>
      </c>
      <c r="CT118" s="17">
        <v>65</v>
      </c>
      <c r="CU118" s="17">
        <v>100</v>
      </c>
      <c r="CV118" s="17">
        <v>27</v>
      </c>
      <c r="CW118" s="17" t="s">
        <v>395</v>
      </c>
      <c r="CX118" s="17" t="s">
        <v>396</v>
      </c>
      <c r="CY118" s="17" t="s">
        <v>396</v>
      </c>
      <c r="CZ118" s="17" t="s">
        <v>397</v>
      </c>
      <c r="DA118" s="17" t="s">
        <v>397</v>
      </c>
      <c r="DB118" s="17" t="s">
        <v>397</v>
      </c>
      <c r="DC118" s="17" t="s">
        <v>397</v>
      </c>
      <c r="DD118" s="17" t="s">
        <v>397</v>
      </c>
      <c r="DE118" s="17" t="s">
        <v>397</v>
      </c>
      <c r="DF118" s="17" t="s">
        <v>397</v>
      </c>
      <c r="DG118" s="17" t="s">
        <v>397</v>
      </c>
      <c r="DH118" s="17" t="s">
        <v>397</v>
      </c>
      <c r="DI118" s="17" t="s">
        <v>397</v>
      </c>
      <c r="DJ118" s="17"/>
      <c r="DK118" s="17" t="s">
        <v>367</v>
      </c>
      <c r="DL118" s="17" t="s">
        <v>368</v>
      </c>
      <c r="DM118" s="17" t="s">
        <v>368</v>
      </c>
      <c r="DN118" s="17" t="s">
        <v>368</v>
      </c>
      <c r="DO118" s="17" t="s">
        <v>368</v>
      </c>
      <c r="DP118" s="17" t="s">
        <v>368</v>
      </c>
      <c r="DQ118" s="17" t="s">
        <v>368</v>
      </c>
      <c r="DR118" s="17" t="s">
        <v>368</v>
      </c>
      <c r="DS118" s="17" t="s">
        <v>345</v>
      </c>
      <c r="DT118" s="17" t="s">
        <v>345</v>
      </c>
      <c r="DU118" s="17" t="s">
        <v>344</v>
      </c>
      <c r="DV118" s="17" t="s">
        <v>344</v>
      </c>
      <c r="DW118" s="17" t="s">
        <v>344</v>
      </c>
      <c r="DX118" s="17" t="s">
        <v>370</v>
      </c>
      <c r="DY118" s="17" t="s">
        <v>370</v>
      </c>
      <c r="DZ118" s="17" t="s">
        <v>370</v>
      </c>
      <c r="EA118" s="17" t="s">
        <v>399</v>
      </c>
      <c r="EB118" s="17" t="s">
        <v>369</v>
      </c>
      <c r="EC118" s="17" t="s">
        <v>369</v>
      </c>
      <c r="ED118" s="17" t="s">
        <v>398</v>
      </c>
      <c r="EE118" s="17" t="s">
        <v>370</v>
      </c>
      <c r="EF118" s="17" t="s">
        <v>369</v>
      </c>
      <c r="EG118" s="17" t="s">
        <v>369</v>
      </c>
      <c r="EH118" s="17" t="s">
        <v>370</v>
      </c>
      <c r="EI118" s="17" t="s">
        <v>371</v>
      </c>
      <c r="EJ118" s="17" t="s">
        <v>370</v>
      </c>
      <c r="EK118" s="17" t="s">
        <v>370</v>
      </c>
      <c r="EL118" s="17" t="s">
        <v>374</v>
      </c>
      <c r="EM118" s="17" t="s">
        <v>373</v>
      </c>
      <c r="EN118" s="17" t="s">
        <v>440</v>
      </c>
      <c r="EO118" s="17"/>
      <c r="EP118" s="17"/>
      <c r="EQ118" s="17" t="s">
        <v>411</v>
      </c>
      <c r="ER118" s="17" t="s">
        <v>411</v>
      </c>
      <c r="ES118" s="17" t="s">
        <v>411</v>
      </c>
      <c r="ET118" s="17" t="s">
        <v>376</v>
      </c>
      <c r="EU118" s="17" t="s">
        <v>375</v>
      </c>
      <c r="EV118" s="17" t="s">
        <v>379</v>
      </c>
      <c r="EW118" s="17"/>
      <c r="EX118" s="17" t="s">
        <v>368</v>
      </c>
      <c r="EY118" s="17" t="s">
        <v>368</v>
      </c>
      <c r="EZ118" s="17" t="s">
        <v>368</v>
      </c>
      <c r="FA118" s="17" t="s">
        <v>345</v>
      </c>
      <c r="FB118" s="17" t="s">
        <v>401</v>
      </c>
      <c r="FC118" s="17"/>
      <c r="FD118" s="17" t="s">
        <v>401</v>
      </c>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t="s">
        <v>368</v>
      </c>
      <c r="GB118" s="17" t="s">
        <v>368</v>
      </c>
      <c r="GC118" s="17" t="s">
        <v>368</v>
      </c>
      <c r="GD118" s="17" t="s">
        <v>368</v>
      </c>
      <c r="GE118" s="17" t="s">
        <v>368</v>
      </c>
      <c r="GF118" s="17" t="s">
        <v>368</v>
      </c>
      <c r="GG118" s="17"/>
      <c r="GH118" s="17"/>
      <c r="GI118" s="17"/>
      <c r="GJ118" s="17"/>
      <c r="GK118" s="17"/>
      <c r="GL118" s="17" t="s">
        <v>344</v>
      </c>
      <c r="GM118" s="17" t="s">
        <v>344</v>
      </c>
      <c r="GN118" s="17" t="s">
        <v>344</v>
      </c>
      <c r="GO118" s="17" t="s">
        <v>344</v>
      </c>
      <c r="GP118" s="17" t="s">
        <v>344</v>
      </c>
      <c r="GQ118" s="17" t="s">
        <v>344</v>
      </c>
      <c r="GR118" s="17" t="s">
        <v>344</v>
      </c>
      <c r="GS118" s="17" t="s">
        <v>344</v>
      </c>
      <c r="GT118" s="17" t="s">
        <v>345</v>
      </c>
      <c r="GU118" s="17" t="s">
        <v>344</v>
      </c>
      <c r="GV118" s="17" t="s">
        <v>344</v>
      </c>
      <c r="GW118" s="17" t="s">
        <v>344</v>
      </c>
      <c r="GX118" s="17" t="s">
        <v>344</v>
      </c>
      <c r="GY118" s="17" t="s">
        <v>344</v>
      </c>
      <c r="GZ118" s="17" t="s">
        <v>344</v>
      </c>
      <c r="HA118" s="17"/>
      <c r="HB118" s="17" t="s">
        <v>344</v>
      </c>
      <c r="HC118" s="17"/>
      <c r="HD118" s="17" t="s">
        <v>344</v>
      </c>
      <c r="HE118" s="17"/>
      <c r="HF118" s="17" t="s">
        <v>344</v>
      </c>
      <c r="HG118" s="17"/>
      <c r="HH118" s="17" t="s">
        <v>344</v>
      </c>
      <c r="HI118" s="17"/>
      <c r="HJ118" s="17" t="s">
        <v>344</v>
      </c>
      <c r="HK118" s="17" t="s">
        <v>344</v>
      </c>
      <c r="HL118" s="17" t="s">
        <v>344</v>
      </c>
      <c r="HM118" s="17" t="s">
        <v>345</v>
      </c>
      <c r="HN118" s="17" t="s">
        <v>344</v>
      </c>
      <c r="HO118" s="17" t="s">
        <v>344</v>
      </c>
      <c r="HP118" s="17" t="s">
        <v>344</v>
      </c>
      <c r="HQ118" s="17" t="s">
        <v>344</v>
      </c>
      <c r="HR118" s="17" t="s">
        <v>344</v>
      </c>
      <c r="HS118" s="17" t="s">
        <v>344</v>
      </c>
      <c r="HT118" s="17" t="s">
        <v>344</v>
      </c>
      <c r="HU118" s="17" t="s">
        <v>344</v>
      </c>
      <c r="HV118" s="17" t="s">
        <v>345</v>
      </c>
      <c r="HW118" s="17" t="s">
        <v>344</v>
      </c>
      <c r="HX118" s="17" t="s">
        <v>344</v>
      </c>
      <c r="HY118" s="17"/>
      <c r="HZ118" s="17" t="s">
        <v>344</v>
      </c>
      <c r="IA118" s="17"/>
      <c r="IB118" s="17" t="s">
        <v>344</v>
      </c>
      <c r="IC118" s="17"/>
      <c r="ID118" s="17" t="s">
        <v>344</v>
      </c>
      <c r="IE118" s="17"/>
      <c r="IF118" s="17" t="s">
        <v>344</v>
      </c>
      <c r="IG118" s="17"/>
      <c r="IH118" s="17" t="s">
        <v>345</v>
      </c>
      <c r="II118" s="17" t="s">
        <v>345</v>
      </c>
      <c r="IJ118" s="17" t="s">
        <v>345</v>
      </c>
      <c r="IK118" s="17" t="s">
        <v>344</v>
      </c>
      <c r="IL118" s="17" t="s">
        <v>344</v>
      </c>
      <c r="IM118" s="17" t="s">
        <v>344</v>
      </c>
      <c r="IN118" s="17" t="s">
        <v>344</v>
      </c>
      <c r="IO118" s="17" t="s">
        <v>344</v>
      </c>
      <c r="IP118" s="17" t="s">
        <v>344</v>
      </c>
      <c r="IQ118" s="17" t="s">
        <v>344</v>
      </c>
      <c r="IR118" s="17" t="s">
        <v>344</v>
      </c>
      <c r="IS118" s="17" t="s">
        <v>344</v>
      </c>
      <c r="IT118" s="17"/>
      <c r="IU118" s="17"/>
      <c r="IV118" s="17"/>
      <c r="IW118" s="17"/>
      <c r="IX118" s="17"/>
      <c r="IY118" s="17"/>
      <c r="IZ118" s="17"/>
      <c r="JA118" s="17"/>
      <c r="JB118" s="17"/>
      <c r="JC118" s="17"/>
      <c r="JD118" s="17"/>
      <c r="JE118" s="17"/>
      <c r="JF118" s="17"/>
      <c r="JG118" s="17"/>
      <c r="JH118" s="17"/>
    </row>
    <row r="119" spans="1:268" x14ac:dyDescent="0.3">
      <c r="A119" s="17" t="s">
        <v>813</v>
      </c>
      <c r="B119" s="17">
        <v>210</v>
      </c>
      <c r="C119" s="17" t="s">
        <v>925</v>
      </c>
      <c r="D119" s="17">
        <v>14</v>
      </c>
      <c r="E119" s="17" t="s">
        <v>387</v>
      </c>
      <c r="F119" s="17">
        <v>2060172334</v>
      </c>
      <c r="G119" s="17" t="s">
        <v>926</v>
      </c>
      <c r="H119" s="17" t="s">
        <v>925</v>
      </c>
      <c r="I119" s="17" t="s">
        <v>867</v>
      </c>
      <c r="J119" s="17">
        <v>21</v>
      </c>
      <c r="K119" s="17" t="s">
        <v>389</v>
      </c>
      <c r="L119" s="17"/>
      <c r="M119" s="17" t="s">
        <v>345</v>
      </c>
      <c r="N119" s="17" t="s">
        <v>344</v>
      </c>
      <c r="O119" s="17" t="s">
        <v>344</v>
      </c>
      <c r="P119" s="17" t="s">
        <v>344</v>
      </c>
      <c r="Q119" s="17" t="s">
        <v>344</v>
      </c>
      <c r="R119" s="17"/>
      <c r="S119" s="17" t="s">
        <v>522</v>
      </c>
      <c r="T119" s="17"/>
      <c r="U119" s="17" t="s">
        <v>347</v>
      </c>
      <c r="V119" s="17"/>
      <c r="W119" s="17" t="s">
        <v>345</v>
      </c>
      <c r="X119" s="17" t="s">
        <v>345</v>
      </c>
      <c r="Y119" s="17" t="s">
        <v>344</v>
      </c>
      <c r="Z119" s="17" t="s">
        <v>344</v>
      </c>
      <c r="AA119" s="17" t="s">
        <v>345</v>
      </c>
      <c r="AB119" s="17" t="s">
        <v>344</v>
      </c>
      <c r="AC119" s="17" t="s">
        <v>344</v>
      </c>
      <c r="AD119" s="17" t="s">
        <v>345</v>
      </c>
      <c r="AE119" s="17" t="s">
        <v>345</v>
      </c>
      <c r="AF119" s="17" t="s">
        <v>345</v>
      </c>
      <c r="AG119" s="17" t="s">
        <v>344</v>
      </c>
      <c r="AH119" s="17" t="s">
        <v>345</v>
      </c>
      <c r="AI119" s="17" t="s">
        <v>344</v>
      </c>
      <c r="AJ119" s="17" t="s">
        <v>344</v>
      </c>
      <c r="AK119" s="17" t="s">
        <v>344</v>
      </c>
      <c r="AL119" s="17" t="s">
        <v>344</v>
      </c>
      <c r="AM119" s="17" t="s">
        <v>345</v>
      </c>
      <c r="AN119" s="17" t="s">
        <v>344</v>
      </c>
      <c r="AO119" s="17" t="s">
        <v>345</v>
      </c>
      <c r="AP119" s="17" t="s">
        <v>344</v>
      </c>
      <c r="AQ119" s="17" t="s">
        <v>344</v>
      </c>
      <c r="AR119" s="17" t="s">
        <v>345</v>
      </c>
      <c r="AS119" s="17" t="s">
        <v>345</v>
      </c>
      <c r="AT119" s="17" t="s">
        <v>344</v>
      </c>
      <c r="AU119" s="17" t="s">
        <v>344</v>
      </c>
      <c r="AV119" s="17" t="s">
        <v>344</v>
      </c>
      <c r="AW119" s="17" t="s">
        <v>344</v>
      </c>
      <c r="AX119" s="17" t="s">
        <v>344</v>
      </c>
      <c r="AY119" s="17" t="s">
        <v>391</v>
      </c>
      <c r="AZ119" s="17" t="s">
        <v>391</v>
      </c>
      <c r="BA119" s="17" t="s">
        <v>391</v>
      </c>
      <c r="BB119" s="17" t="s">
        <v>391</v>
      </c>
      <c r="BC119" s="17" t="s">
        <v>391</v>
      </c>
      <c r="BD119" s="17" t="s">
        <v>391</v>
      </c>
      <c r="BE119" s="17" t="s">
        <v>390</v>
      </c>
      <c r="BF119" s="17" t="s">
        <v>390</v>
      </c>
      <c r="BG119" s="17" t="s">
        <v>390</v>
      </c>
      <c r="BH119" s="17" t="s">
        <v>390</v>
      </c>
      <c r="BI119" s="17" t="s">
        <v>390</v>
      </c>
      <c r="BJ119" s="17" t="s">
        <v>354</v>
      </c>
      <c r="BK119" s="17" t="s">
        <v>356</v>
      </c>
      <c r="BL119" s="17" t="s">
        <v>354</v>
      </c>
      <c r="BM119" s="17" t="s">
        <v>352</v>
      </c>
      <c r="BN119" s="17" t="s">
        <v>391</v>
      </c>
      <c r="BO119" s="17" t="s">
        <v>391</v>
      </c>
      <c r="BP119" s="17" t="s">
        <v>391</v>
      </c>
      <c r="BQ119" s="17" t="s">
        <v>407</v>
      </c>
      <c r="BR119" s="17" t="s">
        <v>359</v>
      </c>
      <c r="BS119" s="17" t="s">
        <v>391</v>
      </c>
      <c r="BT119" s="17" t="s">
        <v>391</v>
      </c>
      <c r="BU119" s="17" t="s">
        <v>391</v>
      </c>
      <c r="BV119" s="17" t="s">
        <v>391</v>
      </c>
      <c r="BW119" s="17" t="s">
        <v>391</v>
      </c>
      <c r="BX119" s="17" t="s">
        <v>391</v>
      </c>
      <c r="BY119" s="17" t="s">
        <v>391</v>
      </c>
      <c r="BZ119" s="17" t="s">
        <v>391</v>
      </c>
      <c r="CA119" s="17" t="s">
        <v>391</v>
      </c>
      <c r="CB119" s="17" t="s">
        <v>391</v>
      </c>
      <c r="CC119" s="17" t="s">
        <v>391</v>
      </c>
      <c r="CD119" s="17" t="s">
        <v>391</v>
      </c>
      <c r="CE119" s="17" t="s">
        <v>391</v>
      </c>
      <c r="CF119" s="17" t="s">
        <v>391</v>
      </c>
      <c r="CG119" s="17" t="s">
        <v>392</v>
      </c>
      <c r="CH119" s="17" t="s">
        <v>421</v>
      </c>
      <c r="CI119" s="17" t="s">
        <v>420</v>
      </c>
      <c r="CJ119" s="17" t="s">
        <v>421</v>
      </c>
      <c r="CK119" s="17" t="s">
        <v>717</v>
      </c>
      <c r="CL119" s="17" t="s">
        <v>344</v>
      </c>
      <c r="CM119" s="17" t="s">
        <v>344</v>
      </c>
      <c r="CN119" s="17" t="s">
        <v>344</v>
      </c>
      <c r="CO119" s="17" t="s">
        <v>344</v>
      </c>
      <c r="CP119" s="17" t="s">
        <v>345</v>
      </c>
      <c r="CQ119" s="17" t="s">
        <v>344</v>
      </c>
      <c r="CR119" s="17" t="s">
        <v>655</v>
      </c>
      <c r="CS119" s="17">
        <v>31</v>
      </c>
      <c r="CT119" s="17">
        <v>100</v>
      </c>
      <c r="CU119" s="17"/>
      <c r="CV119" s="17"/>
      <c r="CW119" s="17" t="s">
        <v>395</v>
      </c>
      <c r="CX119" s="17" t="s">
        <v>396</v>
      </c>
      <c r="CY119" s="17" t="s">
        <v>396</v>
      </c>
      <c r="CZ119" s="17" t="s">
        <v>365</v>
      </c>
      <c r="DA119" s="17" t="s">
        <v>397</v>
      </c>
      <c r="DB119" s="17" t="s">
        <v>397</v>
      </c>
      <c r="DC119" s="17" t="s">
        <v>366</v>
      </c>
      <c r="DD119" s="17" t="s">
        <v>366</v>
      </c>
      <c r="DE119" s="17"/>
      <c r="DF119" s="17"/>
      <c r="DG119" s="17"/>
      <c r="DH119" s="17"/>
      <c r="DI119" s="17"/>
      <c r="DJ119" s="17"/>
      <c r="DK119" s="17" t="s">
        <v>367</v>
      </c>
      <c r="DL119" s="17" t="s">
        <v>368</v>
      </c>
      <c r="DM119" s="17" t="s">
        <v>368</v>
      </c>
      <c r="DN119" s="17" t="s">
        <v>368</v>
      </c>
      <c r="DO119" s="17" t="s">
        <v>368</v>
      </c>
      <c r="DP119" s="17" t="s">
        <v>368</v>
      </c>
      <c r="DQ119" s="17" t="s">
        <v>368</v>
      </c>
      <c r="DR119" s="17" t="s">
        <v>368</v>
      </c>
      <c r="DS119" s="17" t="s">
        <v>345</v>
      </c>
      <c r="DT119" s="17" t="s">
        <v>368</v>
      </c>
      <c r="DU119" s="17" t="s">
        <v>368</v>
      </c>
      <c r="DV119" s="17" t="s">
        <v>368</v>
      </c>
      <c r="DW119" s="17" t="s">
        <v>345</v>
      </c>
      <c r="DX119" s="17" t="s">
        <v>370</v>
      </c>
      <c r="DY119" s="17" t="s">
        <v>370</v>
      </c>
      <c r="DZ119" s="17" t="s">
        <v>370</v>
      </c>
      <c r="EA119" s="17" t="s">
        <v>370</v>
      </c>
      <c r="EB119" s="17" t="s">
        <v>370</v>
      </c>
      <c r="EC119" s="17" t="s">
        <v>370</v>
      </c>
      <c r="ED119" s="17" t="s">
        <v>370</v>
      </c>
      <c r="EE119" s="17" t="s">
        <v>369</v>
      </c>
      <c r="EF119" s="17" t="s">
        <v>399</v>
      </c>
      <c r="EG119" s="17" t="s">
        <v>399</v>
      </c>
      <c r="EH119" s="17" t="s">
        <v>369</v>
      </c>
      <c r="EI119" s="17" t="s">
        <v>369</v>
      </c>
      <c r="EJ119" s="17" t="s">
        <v>399</v>
      </c>
      <c r="EK119" s="17" t="s">
        <v>369</v>
      </c>
      <c r="EL119" s="17" t="s">
        <v>373</v>
      </c>
      <c r="EM119" s="17" t="s">
        <v>372</v>
      </c>
      <c r="EN119" s="17" t="s">
        <v>374</v>
      </c>
      <c r="EO119" s="17"/>
      <c r="EP119" s="17"/>
      <c r="EQ119" s="17" t="s">
        <v>411</v>
      </c>
      <c r="ER119" s="17" t="s">
        <v>375</v>
      </c>
      <c r="ES119" s="17" t="s">
        <v>378</v>
      </c>
      <c r="ET119" s="17" t="s">
        <v>378</v>
      </c>
      <c r="EU119" s="17" t="s">
        <v>411</v>
      </c>
      <c r="EV119" s="17" t="s">
        <v>379</v>
      </c>
      <c r="EW119" s="17"/>
      <c r="EX119" s="17" t="s">
        <v>368</v>
      </c>
      <c r="EY119" s="17" t="s">
        <v>368</v>
      </c>
      <c r="EZ119" s="17" t="s">
        <v>368</v>
      </c>
      <c r="FA119" s="17" t="s">
        <v>345</v>
      </c>
      <c r="FB119" s="17" t="s">
        <v>401</v>
      </c>
      <c r="FC119" s="17"/>
      <c r="FD119" s="17" t="s">
        <v>401</v>
      </c>
      <c r="FE119" s="17"/>
      <c r="FF119" s="17" t="s">
        <v>382</v>
      </c>
      <c r="FG119" s="17" t="s">
        <v>402</v>
      </c>
      <c r="FH119" s="17" t="s">
        <v>432</v>
      </c>
      <c r="FI119" s="17" t="s">
        <v>433</v>
      </c>
      <c r="FJ119" s="17"/>
      <c r="FK119" s="17"/>
      <c r="FL119" s="17"/>
      <c r="FM119" s="17"/>
      <c r="FN119" s="17"/>
      <c r="FO119" s="17"/>
      <c r="FP119" s="17"/>
      <c r="FQ119" s="17"/>
      <c r="FR119" s="17"/>
      <c r="FS119" s="17"/>
      <c r="FT119" s="17"/>
      <c r="FU119" s="17"/>
      <c r="FV119" s="17"/>
      <c r="FW119" s="17"/>
      <c r="FX119" s="17"/>
      <c r="FY119" s="17"/>
      <c r="FZ119" s="17"/>
      <c r="GA119" s="17" t="s">
        <v>368</v>
      </c>
      <c r="GB119" s="17" t="s">
        <v>368</v>
      </c>
      <c r="GC119" s="17" t="s">
        <v>368</v>
      </c>
      <c r="GD119" s="17" t="s">
        <v>368</v>
      </c>
      <c r="GE119" s="17" t="s">
        <v>368</v>
      </c>
      <c r="GF119" s="17" t="s">
        <v>368</v>
      </c>
      <c r="GG119" s="17"/>
      <c r="GH119" s="17"/>
      <c r="GI119" s="17"/>
      <c r="GJ119" s="17"/>
      <c r="GK119" s="17"/>
      <c r="GL119" s="17" t="s">
        <v>344</v>
      </c>
      <c r="GM119" s="17" t="s">
        <v>344</v>
      </c>
      <c r="GN119" s="17" t="s">
        <v>344</v>
      </c>
      <c r="GO119" s="17" t="s">
        <v>345</v>
      </c>
      <c r="GP119" s="17" t="s">
        <v>344</v>
      </c>
      <c r="GQ119" s="17" t="s">
        <v>344</v>
      </c>
      <c r="GR119" s="17" t="s">
        <v>344</v>
      </c>
      <c r="GS119" s="17" t="s">
        <v>344</v>
      </c>
      <c r="GT119" s="17" t="s">
        <v>344</v>
      </c>
      <c r="GU119" s="17" t="s">
        <v>344</v>
      </c>
      <c r="GV119" s="17" t="s">
        <v>344</v>
      </c>
      <c r="GW119" s="17" t="s">
        <v>344</v>
      </c>
      <c r="GX119" s="17" t="s">
        <v>344</v>
      </c>
      <c r="GY119" s="17" t="s">
        <v>344</v>
      </c>
      <c r="GZ119" s="17" t="s">
        <v>344</v>
      </c>
      <c r="HA119" s="17"/>
      <c r="HB119" s="17" t="s">
        <v>344</v>
      </c>
      <c r="HC119" s="17"/>
      <c r="HD119" s="17" t="s">
        <v>344</v>
      </c>
      <c r="HE119" s="17"/>
      <c r="HF119" s="17" t="s">
        <v>344</v>
      </c>
      <c r="HG119" s="17"/>
      <c r="HH119" s="17" t="s">
        <v>344</v>
      </c>
      <c r="HI119" s="17"/>
      <c r="HJ119" s="17" t="s">
        <v>344</v>
      </c>
      <c r="HK119" s="17" t="s">
        <v>344</v>
      </c>
      <c r="HL119" s="17" t="s">
        <v>344</v>
      </c>
      <c r="HM119" s="17" t="s">
        <v>345</v>
      </c>
      <c r="HN119" s="17" t="s">
        <v>344</v>
      </c>
      <c r="HO119" s="17" t="s">
        <v>344</v>
      </c>
      <c r="HP119" s="17" t="s">
        <v>344</v>
      </c>
      <c r="HQ119" s="17" t="s">
        <v>344</v>
      </c>
      <c r="HR119" s="17" t="s">
        <v>344</v>
      </c>
      <c r="HS119" s="17" t="s">
        <v>344</v>
      </c>
      <c r="HT119" s="17" t="s">
        <v>344</v>
      </c>
      <c r="HU119" s="17" t="s">
        <v>344</v>
      </c>
      <c r="HV119" s="17" t="s">
        <v>344</v>
      </c>
      <c r="HW119" s="17" t="s">
        <v>344</v>
      </c>
      <c r="HX119" s="17" t="s">
        <v>344</v>
      </c>
      <c r="HY119" s="17"/>
      <c r="HZ119" s="17" t="s">
        <v>344</v>
      </c>
      <c r="IA119" s="17"/>
      <c r="IB119" s="17" t="s">
        <v>344</v>
      </c>
      <c r="IC119" s="17"/>
      <c r="ID119" s="17" t="s">
        <v>344</v>
      </c>
      <c r="IE119" s="17"/>
      <c r="IF119" s="17" t="s">
        <v>344</v>
      </c>
      <c r="IG119" s="17"/>
      <c r="IH119" s="17" t="s">
        <v>345</v>
      </c>
      <c r="II119" s="17" t="s">
        <v>344</v>
      </c>
      <c r="IJ119" s="17" t="s">
        <v>344</v>
      </c>
      <c r="IK119" s="17" t="s">
        <v>344</v>
      </c>
      <c r="IL119" s="17" t="s">
        <v>345</v>
      </c>
      <c r="IM119" s="17" t="s">
        <v>344</v>
      </c>
      <c r="IN119" s="17" t="s">
        <v>344</v>
      </c>
      <c r="IO119" s="17" t="s">
        <v>345</v>
      </c>
      <c r="IP119" s="17" t="s">
        <v>344</v>
      </c>
      <c r="IQ119" s="17" t="s">
        <v>344</v>
      </c>
      <c r="IR119" s="17" t="s">
        <v>345</v>
      </c>
      <c r="IS119" s="17" t="s">
        <v>344</v>
      </c>
      <c r="IT119" s="17" t="s">
        <v>748</v>
      </c>
      <c r="IU119" s="17"/>
      <c r="IV119" s="17"/>
      <c r="IW119" s="17"/>
      <c r="IX119" s="17"/>
      <c r="IY119" s="17"/>
      <c r="IZ119" s="17"/>
      <c r="JA119" s="17"/>
      <c r="JB119" s="17"/>
      <c r="JC119" s="17"/>
      <c r="JD119" s="17"/>
      <c r="JE119" s="17"/>
      <c r="JF119" s="17"/>
      <c r="JG119" s="17"/>
      <c r="JH119" s="17"/>
    </row>
    <row r="120" spans="1:268" x14ac:dyDescent="0.3">
      <c r="A120" s="17" t="s">
        <v>813</v>
      </c>
      <c r="B120" s="17">
        <v>211</v>
      </c>
      <c r="C120" s="17" t="s">
        <v>927</v>
      </c>
      <c r="D120" s="17">
        <v>14</v>
      </c>
      <c r="E120" s="17" t="s">
        <v>387</v>
      </c>
      <c r="F120" s="17">
        <v>1892709570</v>
      </c>
      <c r="G120" s="17" t="s">
        <v>928</v>
      </c>
      <c r="H120" s="17" t="s">
        <v>927</v>
      </c>
      <c r="I120" s="17" t="s">
        <v>867</v>
      </c>
      <c r="J120" s="17">
        <v>20</v>
      </c>
      <c r="K120" s="17" t="s">
        <v>406</v>
      </c>
      <c r="L120" s="17"/>
      <c r="M120" s="17" t="s">
        <v>344</v>
      </c>
      <c r="N120" s="17" t="s">
        <v>345</v>
      </c>
      <c r="O120" s="17" t="s">
        <v>344</v>
      </c>
      <c r="P120" s="17" t="s">
        <v>344</v>
      </c>
      <c r="Q120" s="17" t="s">
        <v>344</v>
      </c>
      <c r="R120" s="17"/>
      <c r="S120" s="17" t="s">
        <v>522</v>
      </c>
      <c r="T120" s="17"/>
      <c r="U120" s="17" t="s">
        <v>347</v>
      </c>
      <c r="V120" s="17"/>
      <c r="W120" s="17" t="s">
        <v>345</v>
      </c>
      <c r="X120" s="17" t="s">
        <v>345</v>
      </c>
      <c r="Y120" s="17" t="s">
        <v>344</v>
      </c>
      <c r="Z120" s="17" t="s">
        <v>344</v>
      </c>
      <c r="AA120" s="17" t="s">
        <v>344</v>
      </c>
      <c r="AB120" s="17" t="s">
        <v>345</v>
      </c>
      <c r="AC120" s="17" t="s">
        <v>344</v>
      </c>
      <c r="AD120" s="17" t="s">
        <v>345</v>
      </c>
      <c r="AE120" s="17" t="s">
        <v>345</v>
      </c>
      <c r="AF120" s="17" t="s">
        <v>345</v>
      </c>
      <c r="AG120" s="17" t="s">
        <v>344</v>
      </c>
      <c r="AH120" s="17" t="s">
        <v>345</v>
      </c>
      <c r="AI120" s="17" t="s">
        <v>344</v>
      </c>
      <c r="AJ120" s="17" t="s">
        <v>344</v>
      </c>
      <c r="AK120" s="17" t="s">
        <v>345</v>
      </c>
      <c r="AL120" s="17" t="s">
        <v>344</v>
      </c>
      <c r="AM120" s="17" t="s">
        <v>344</v>
      </c>
      <c r="AN120" s="17" t="s">
        <v>345</v>
      </c>
      <c r="AO120" s="17" t="s">
        <v>345</v>
      </c>
      <c r="AP120" s="17" t="s">
        <v>345</v>
      </c>
      <c r="AQ120" s="17" t="s">
        <v>344</v>
      </c>
      <c r="AR120" s="17" t="s">
        <v>345</v>
      </c>
      <c r="AS120" s="17" t="s">
        <v>345</v>
      </c>
      <c r="AT120" s="17" t="s">
        <v>345</v>
      </c>
      <c r="AU120" s="17" t="s">
        <v>345</v>
      </c>
      <c r="AV120" s="17" t="s">
        <v>345</v>
      </c>
      <c r="AW120" s="17" t="s">
        <v>345</v>
      </c>
      <c r="AX120" s="17" t="s">
        <v>344</v>
      </c>
      <c r="AY120" s="17" t="s">
        <v>733</v>
      </c>
      <c r="AZ120" s="17" t="s">
        <v>731</v>
      </c>
      <c r="BA120" s="17" t="s">
        <v>733</v>
      </c>
      <c r="BB120" s="17" t="s">
        <v>732</v>
      </c>
      <c r="BC120" s="17" t="s">
        <v>733</v>
      </c>
      <c r="BD120" s="17" t="s">
        <v>733</v>
      </c>
      <c r="BE120" s="17" t="s">
        <v>350</v>
      </c>
      <c r="BF120" s="17" t="s">
        <v>349</v>
      </c>
      <c r="BG120" s="17" t="s">
        <v>390</v>
      </c>
      <c r="BH120" s="17" t="s">
        <v>348</v>
      </c>
      <c r="BI120" s="17" t="s">
        <v>350</v>
      </c>
      <c r="BJ120" s="17" t="s">
        <v>355</v>
      </c>
      <c r="BK120" s="17" t="s">
        <v>354</v>
      </c>
      <c r="BL120" s="17" t="s">
        <v>391</v>
      </c>
      <c r="BM120" s="17" t="s">
        <v>353</v>
      </c>
      <c r="BN120" s="17" t="s">
        <v>351</v>
      </c>
      <c r="BO120" s="17" t="s">
        <v>356</v>
      </c>
      <c r="BP120" s="17" t="s">
        <v>352</v>
      </c>
      <c r="BQ120" s="17" t="s">
        <v>358</v>
      </c>
      <c r="BR120" s="17" t="s">
        <v>408</v>
      </c>
      <c r="BS120" s="17" t="s">
        <v>357</v>
      </c>
      <c r="BT120" s="17" t="s">
        <v>351</v>
      </c>
      <c r="BU120" s="17" t="s">
        <v>356</v>
      </c>
      <c r="BV120" s="17" t="s">
        <v>354</v>
      </c>
      <c r="BW120" s="17" t="s">
        <v>352</v>
      </c>
      <c r="BX120" s="17" t="s">
        <v>355</v>
      </c>
      <c r="BY120" s="17" t="s">
        <v>353</v>
      </c>
      <c r="BZ120" s="17" t="s">
        <v>357</v>
      </c>
      <c r="CA120" s="17" t="s">
        <v>354</v>
      </c>
      <c r="CB120" s="17" t="s">
        <v>353</v>
      </c>
      <c r="CC120" s="17" t="s">
        <v>351</v>
      </c>
      <c r="CD120" s="17" t="s">
        <v>356</v>
      </c>
      <c r="CE120" s="17" t="s">
        <v>352</v>
      </c>
      <c r="CF120" s="17" t="s">
        <v>391</v>
      </c>
      <c r="CG120" s="17" t="s">
        <v>360</v>
      </c>
      <c r="CH120" s="17" t="s">
        <v>360</v>
      </c>
      <c r="CI120" s="17" t="s">
        <v>360</v>
      </c>
      <c r="CJ120" s="17" t="s">
        <v>360</v>
      </c>
      <c r="CK120" s="17" t="s">
        <v>929</v>
      </c>
      <c r="CL120" s="17" t="s">
        <v>344</v>
      </c>
      <c r="CM120" s="17" t="s">
        <v>345</v>
      </c>
      <c r="CN120" s="17" t="s">
        <v>344</v>
      </c>
      <c r="CO120" s="17" t="s">
        <v>345</v>
      </c>
      <c r="CP120" s="17" t="s">
        <v>345</v>
      </c>
      <c r="CQ120" s="17" t="s">
        <v>344</v>
      </c>
      <c r="CR120" s="17" t="s">
        <v>655</v>
      </c>
      <c r="CS120" s="17">
        <v>20</v>
      </c>
      <c r="CT120" s="17">
        <v>80</v>
      </c>
      <c r="CU120" s="17">
        <v>80</v>
      </c>
      <c r="CV120" s="17">
        <v>21</v>
      </c>
      <c r="CW120" s="17" t="s">
        <v>363</v>
      </c>
      <c r="CX120" s="17" t="s">
        <v>396</v>
      </c>
      <c r="CY120" s="17" t="s">
        <v>396</v>
      </c>
      <c r="CZ120" s="17" t="s">
        <v>397</v>
      </c>
      <c r="DA120" s="17" t="s">
        <v>397</v>
      </c>
      <c r="DB120" s="17" t="s">
        <v>397</v>
      </c>
      <c r="DC120" s="17" t="s">
        <v>397</v>
      </c>
      <c r="DD120" s="17" t="s">
        <v>397</v>
      </c>
      <c r="DE120" s="17" t="s">
        <v>397</v>
      </c>
      <c r="DF120" s="17" t="s">
        <v>365</v>
      </c>
      <c r="DG120" s="17" t="s">
        <v>397</v>
      </c>
      <c r="DH120" s="17" t="s">
        <v>397</v>
      </c>
      <c r="DI120" s="17" t="s">
        <v>365</v>
      </c>
      <c r="DJ120" s="17"/>
      <c r="DK120" s="17" t="s">
        <v>449</v>
      </c>
      <c r="DL120" s="17" t="s">
        <v>345</v>
      </c>
      <c r="DM120" s="17" t="s">
        <v>344</v>
      </c>
      <c r="DN120" s="17" t="s">
        <v>344</v>
      </c>
      <c r="DO120" s="17" t="s">
        <v>344</v>
      </c>
      <c r="DP120" s="17" t="s">
        <v>345</v>
      </c>
      <c r="DQ120" s="17" t="s">
        <v>345</v>
      </c>
      <c r="DR120" s="17" t="s">
        <v>345</v>
      </c>
      <c r="DS120" s="17" t="s">
        <v>344</v>
      </c>
      <c r="DT120" s="17" t="s">
        <v>345</v>
      </c>
      <c r="DU120" s="17" t="s">
        <v>344</v>
      </c>
      <c r="DV120" s="17" t="s">
        <v>344</v>
      </c>
      <c r="DW120" s="17" t="s">
        <v>344</v>
      </c>
      <c r="DX120" s="17" t="s">
        <v>369</v>
      </c>
      <c r="DY120" s="17" t="s">
        <v>370</v>
      </c>
      <c r="DZ120" s="17" t="s">
        <v>370</v>
      </c>
      <c r="EA120" s="17" t="s">
        <v>398</v>
      </c>
      <c r="EB120" s="17" t="s">
        <v>399</v>
      </c>
      <c r="EC120" s="17" t="s">
        <v>371</v>
      </c>
      <c r="ED120" s="17" t="s">
        <v>371</v>
      </c>
      <c r="EE120" s="17" t="s">
        <v>370</v>
      </c>
      <c r="EF120" s="17" t="s">
        <v>370</v>
      </c>
      <c r="EG120" s="17" t="s">
        <v>370</v>
      </c>
      <c r="EH120" s="17" t="s">
        <v>370</v>
      </c>
      <c r="EI120" s="17" t="s">
        <v>370</v>
      </c>
      <c r="EJ120" s="17" t="s">
        <v>370</v>
      </c>
      <c r="EK120" s="17" t="s">
        <v>370</v>
      </c>
      <c r="EL120" s="17" t="s">
        <v>373</v>
      </c>
      <c r="EM120" s="17" t="s">
        <v>372</v>
      </c>
      <c r="EN120" s="17" t="s">
        <v>440</v>
      </c>
      <c r="EO120" s="17"/>
      <c r="EP120" s="17"/>
      <c r="EQ120" s="17" t="s">
        <v>375</v>
      </c>
      <c r="ER120" s="17" t="s">
        <v>411</v>
      </c>
      <c r="ES120" s="17" t="s">
        <v>411</v>
      </c>
      <c r="ET120" s="17" t="s">
        <v>378</v>
      </c>
      <c r="EU120" s="17" t="s">
        <v>376</v>
      </c>
      <c r="EV120" s="17" t="s">
        <v>379</v>
      </c>
      <c r="EW120" s="17"/>
      <c r="EX120" s="163" t="s">
        <v>344</v>
      </c>
      <c r="EY120" s="163" t="s">
        <v>345</v>
      </c>
      <c r="EZ120" s="163" t="s">
        <v>344</v>
      </c>
      <c r="FA120" s="17" t="s">
        <v>344</v>
      </c>
      <c r="FB120" s="17" t="s">
        <v>401</v>
      </c>
      <c r="FC120" s="17"/>
      <c r="FD120" s="17" t="s">
        <v>401</v>
      </c>
      <c r="FE120" s="17"/>
      <c r="FF120" s="17" t="s">
        <v>412</v>
      </c>
      <c r="FG120" s="17" t="s">
        <v>413</v>
      </c>
      <c r="FH120" s="17" t="s">
        <v>384</v>
      </c>
      <c r="FI120" s="17" t="s">
        <v>385</v>
      </c>
      <c r="FJ120" s="17"/>
      <c r="FK120" s="17"/>
      <c r="FL120" s="17"/>
      <c r="FM120" s="17"/>
      <c r="FN120" s="17"/>
      <c r="FO120" s="17"/>
      <c r="FP120" s="17"/>
      <c r="FQ120" s="17"/>
      <c r="FR120" s="17"/>
      <c r="FS120" s="17"/>
      <c r="FT120" s="17"/>
      <c r="FU120" s="17"/>
      <c r="FV120" s="17"/>
      <c r="FW120" s="17"/>
      <c r="FX120" s="17"/>
      <c r="FY120" s="17"/>
      <c r="FZ120" s="17"/>
      <c r="GA120" s="17" t="s">
        <v>368</v>
      </c>
      <c r="GB120" s="17" t="s">
        <v>368</v>
      </c>
      <c r="GC120" s="17" t="s">
        <v>368</v>
      </c>
      <c r="GD120" s="17" t="s">
        <v>368</v>
      </c>
      <c r="GE120" s="17" t="s">
        <v>368</v>
      </c>
      <c r="GF120" s="17" t="s">
        <v>368</v>
      </c>
      <c r="GG120" s="17"/>
      <c r="GH120" s="17"/>
      <c r="GI120" s="17"/>
      <c r="GJ120" s="17"/>
      <c r="GK120" s="17"/>
      <c r="GL120" s="17" t="s">
        <v>344</v>
      </c>
      <c r="GM120" s="17" t="s">
        <v>344</v>
      </c>
      <c r="GN120" s="17" t="s">
        <v>344</v>
      </c>
      <c r="GO120" s="17" t="s">
        <v>344</v>
      </c>
      <c r="GP120" s="17" t="s">
        <v>344</v>
      </c>
      <c r="GQ120" s="17" t="s">
        <v>344</v>
      </c>
      <c r="GR120" s="17" t="s">
        <v>344</v>
      </c>
      <c r="GS120" s="17" t="s">
        <v>344</v>
      </c>
      <c r="GT120" s="17" t="s">
        <v>344</v>
      </c>
      <c r="GU120" s="17" t="s">
        <v>344</v>
      </c>
      <c r="GV120" s="17" t="s">
        <v>344</v>
      </c>
      <c r="GW120" s="17" t="s">
        <v>344</v>
      </c>
      <c r="GX120" s="17" t="s">
        <v>344</v>
      </c>
      <c r="GY120" s="17" t="s">
        <v>344</v>
      </c>
      <c r="GZ120" s="17" t="s">
        <v>345</v>
      </c>
      <c r="HA120" s="17"/>
      <c r="HB120" s="17" t="s">
        <v>344</v>
      </c>
      <c r="HC120" s="17"/>
      <c r="HD120" s="17" t="s">
        <v>344</v>
      </c>
      <c r="HE120" s="17"/>
      <c r="HF120" s="17" t="s">
        <v>344</v>
      </c>
      <c r="HG120" s="17"/>
      <c r="HH120" s="17" t="s">
        <v>344</v>
      </c>
      <c r="HI120" s="17"/>
      <c r="HJ120" s="17" t="s">
        <v>344</v>
      </c>
      <c r="HK120" s="17" t="s">
        <v>344</v>
      </c>
      <c r="HL120" s="17" t="s">
        <v>344</v>
      </c>
      <c r="HM120" s="17" t="s">
        <v>344</v>
      </c>
      <c r="HN120" s="17" t="s">
        <v>344</v>
      </c>
      <c r="HO120" s="17" t="s">
        <v>344</v>
      </c>
      <c r="HP120" s="17" t="s">
        <v>344</v>
      </c>
      <c r="HQ120" s="17" t="s">
        <v>344</v>
      </c>
      <c r="HR120" s="17" t="s">
        <v>344</v>
      </c>
      <c r="HS120" s="17" t="s">
        <v>344</v>
      </c>
      <c r="HT120" s="17" t="s">
        <v>344</v>
      </c>
      <c r="HU120" s="17" t="s">
        <v>344</v>
      </c>
      <c r="HV120" s="17" t="s">
        <v>344</v>
      </c>
      <c r="HW120" s="17" t="s">
        <v>344</v>
      </c>
      <c r="HX120" s="17" t="s">
        <v>345</v>
      </c>
      <c r="HY120" s="17"/>
      <c r="HZ120" s="17" t="s">
        <v>344</v>
      </c>
      <c r="IA120" s="17"/>
      <c r="IB120" s="17" t="s">
        <v>344</v>
      </c>
      <c r="IC120" s="17"/>
      <c r="ID120" s="17" t="s">
        <v>344</v>
      </c>
      <c r="IE120" s="17"/>
      <c r="IF120" s="17" t="s">
        <v>344</v>
      </c>
      <c r="IG120" s="17"/>
      <c r="IH120" s="17" t="s">
        <v>345</v>
      </c>
      <c r="II120" s="17" t="s">
        <v>345</v>
      </c>
      <c r="IJ120" s="17" t="s">
        <v>345</v>
      </c>
      <c r="IK120" s="17" t="s">
        <v>344</v>
      </c>
      <c r="IL120" s="17" t="s">
        <v>345</v>
      </c>
      <c r="IM120" s="17" t="s">
        <v>345</v>
      </c>
      <c r="IN120" s="17" t="s">
        <v>344</v>
      </c>
      <c r="IO120" s="17" t="s">
        <v>345</v>
      </c>
      <c r="IP120" s="17" t="s">
        <v>345</v>
      </c>
      <c r="IQ120" s="17" t="s">
        <v>344</v>
      </c>
      <c r="IR120" s="17" t="s">
        <v>344</v>
      </c>
      <c r="IS120" s="17" t="s">
        <v>344</v>
      </c>
      <c r="IT120" s="17"/>
      <c r="IU120" s="17"/>
      <c r="IV120" s="17"/>
      <c r="IW120" s="17"/>
      <c r="IX120" s="17"/>
      <c r="IY120" s="17"/>
      <c r="IZ120" s="17"/>
      <c r="JA120" s="17"/>
      <c r="JB120" s="17"/>
      <c r="JC120" s="17"/>
      <c r="JD120" s="17"/>
      <c r="JE120" s="17"/>
      <c r="JF120" s="17"/>
      <c r="JG120" s="17"/>
      <c r="JH120" s="17"/>
    </row>
    <row r="121" spans="1:268" x14ac:dyDescent="0.3">
      <c r="A121" s="19" t="s">
        <v>727</v>
      </c>
      <c r="B121" s="19">
        <v>214</v>
      </c>
      <c r="C121" s="19" t="s">
        <v>930</v>
      </c>
      <c r="D121" s="19">
        <v>14</v>
      </c>
      <c r="E121" s="19" t="s">
        <v>387</v>
      </c>
      <c r="F121" s="19">
        <v>161630161</v>
      </c>
      <c r="G121" s="19" t="s">
        <v>931</v>
      </c>
      <c r="H121" s="19" t="s">
        <v>930</v>
      </c>
      <c r="I121" s="19" t="s">
        <v>932</v>
      </c>
      <c r="J121" s="19">
        <v>16</v>
      </c>
      <c r="K121" s="19" t="s">
        <v>389</v>
      </c>
      <c r="L121" s="19"/>
      <c r="M121" s="19" t="s">
        <v>345</v>
      </c>
      <c r="N121" s="19" t="s">
        <v>345</v>
      </c>
      <c r="O121" s="19" t="s">
        <v>344</v>
      </c>
      <c r="P121" s="19" t="s">
        <v>344</v>
      </c>
      <c r="Q121" s="19" t="s">
        <v>344</v>
      </c>
      <c r="R121" s="19"/>
      <c r="S121" s="19" t="s">
        <v>346</v>
      </c>
      <c r="T121" s="19"/>
      <c r="U121" s="19" t="s">
        <v>418</v>
      </c>
      <c r="V121" s="19"/>
      <c r="W121" s="19" t="s">
        <v>344</v>
      </c>
      <c r="X121" s="19" t="s">
        <v>344</v>
      </c>
      <c r="Y121" s="19" t="s">
        <v>344</v>
      </c>
      <c r="Z121" s="19" t="s">
        <v>345</v>
      </c>
      <c r="AA121" s="19" t="s">
        <v>344</v>
      </c>
      <c r="AB121" s="19" t="s">
        <v>344</v>
      </c>
      <c r="AC121" s="19" t="s">
        <v>344</v>
      </c>
      <c r="AD121" s="19" t="s">
        <v>344</v>
      </c>
      <c r="AE121" s="19" t="s">
        <v>344</v>
      </c>
      <c r="AF121" s="19" t="s">
        <v>345</v>
      </c>
      <c r="AG121" s="19" t="s">
        <v>344</v>
      </c>
      <c r="AH121" s="19" t="s">
        <v>345</v>
      </c>
      <c r="AI121" s="19" t="s">
        <v>344</v>
      </c>
      <c r="AJ121" s="19" t="s">
        <v>344</v>
      </c>
      <c r="AK121" s="19" t="s">
        <v>344</v>
      </c>
      <c r="AL121" s="19" t="s">
        <v>344</v>
      </c>
      <c r="AM121" s="19" t="s">
        <v>345</v>
      </c>
      <c r="AN121" s="19" t="s">
        <v>344</v>
      </c>
      <c r="AO121" s="19" t="s">
        <v>344</v>
      </c>
      <c r="AP121" s="19" t="s">
        <v>344</v>
      </c>
      <c r="AQ121" s="19" t="s">
        <v>344</v>
      </c>
      <c r="AR121" s="19" t="s">
        <v>344</v>
      </c>
      <c r="AS121" s="19" t="s">
        <v>345</v>
      </c>
      <c r="AT121" s="19" t="s">
        <v>345</v>
      </c>
      <c r="AU121" s="19" t="s">
        <v>344</v>
      </c>
      <c r="AV121" s="19" t="s">
        <v>344</v>
      </c>
      <c r="AW121" s="19" t="s">
        <v>344</v>
      </c>
      <c r="AX121" s="19" t="s">
        <v>344</v>
      </c>
      <c r="AY121" s="19" t="s">
        <v>732</v>
      </c>
      <c r="AZ121" s="19" t="s">
        <v>731</v>
      </c>
      <c r="BA121" s="19" t="s">
        <v>733</v>
      </c>
      <c r="BB121" s="19" t="s">
        <v>732</v>
      </c>
      <c r="BC121" s="19" t="s">
        <v>733</v>
      </c>
      <c r="BD121" s="19" t="s">
        <v>731</v>
      </c>
      <c r="BE121" s="19" t="s">
        <v>349</v>
      </c>
      <c r="BF121" s="19" t="s">
        <v>348</v>
      </c>
      <c r="BG121" s="19" t="s">
        <v>390</v>
      </c>
      <c r="BH121" s="19" t="s">
        <v>390</v>
      </c>
      <c r="BI121" s="19" t="s">
        <v>390</v>
      </c>
      <c r="BJ121" s="19" t="s">
        <v>357</v>
      </c>
      <c r="BK121" s="19" t="s">
        <v>391</v>
      </c>
      <c r="BL121" s="19" t="s">
        <v>351</v>
      </c>
      <c r="BM121" s="19" t="s">
        <v>391</v>
      </c>
      <c r="BN121" s="19" t="s">
        <v>357</v>
      </c>
      <c r="BO121" s="19" t="s">
        <v>391</v>
      </c>
      <c r="BP121" s="19" t="s">
        <v>391</v>
      </c>
      <c r="BQ121" s="19" t="s">
        <v>407</v>
      </c>
      <c r="BR121" s="19" t="s">
        <v>408</v>
      </c>
      <c r="BS121" s="19" t="s">
        <v>352</v>
      </c>
      <c r="BT121" s="19" t="s">
        <v>356</v>
      </c>
      <c r="BU121" s="19" t="s">
        <v>351</v>
      </c>
      <c r="BV121" s="19" t="s">
        <v>351</v>
      </c>
      <c r="BW121" s="19" t="s">
        <v>391</v>
      </c>
      <c r="BX121" s="19" t="s">
        <v>351</v>
      </c>
      <c r="BY121" s="19" t="s">
        <v>353</v>
      </c>
      <c r="BZ121" s="19" t="s">
        <v>357</v>
      </c>
      <c r="CA121" s="19" t="s">
        <v>357</v>
      </c>
      <c r="CB121" s="19" t="s">
        <v>391</v>
      </c>
      <c r="CC121" s="19" t="s">
        <v>353</v>
      </c>
      <c r="CD121" s="19" t="s">
        <v>353</v>
      </c>
      <c r="CE121" s="19" t="s">
        <v>353</v>
      </c>
      <c r="CF121" s="19" t="s">
        <v>391</v>
      </c>
      <c r="CG121" s="19" t="s">
        <v>360</v>
      </c>
      <c r="CH121" s="19" t="s">
        <v>421</v>
      </c>
      <c r="CI121" s="19" t="s">
        <v>420</v>
      </c>
      <c r="CJ121" s="19" t="s">
        <v>421</v>
      </c>
      <c r="CK121" s="19" t="s">
        <v>391</v>
      </c>
      <c r="CL121" s="19" t="s">
        <v>344</v>
      </c>
      <c r="CM121" s="19" t="s">
        <v>344</v>
      </c>
      <c r="CN121" s="19" t="s">
        <v>344</v>
      </c>
      <c r="CO121" s="19" t="s">
        <v>345</v>
      </c>
      <c r="CP121" s="19" t="s">
        <v>345</v>
      </c>
      <c r="CQ121" s="19" t="s">
        <v>344</v>
      </c>
      <c r="CR121" s="19" t="s">
        <v>667</v>
      </c>
      <c r="CS121" s="19">
        <v>10</v>
      </c>
      <c r="CT121" s="19">
        <v>100</v>
      </c>
      <c r="CU121" s="19">
        <v>100</v>
      </c>
      <c r="CV121" s="19">
        <v>100</v>
      </c>
      <c r="CW121" s="19" t="s">
        <v>396</v>
      </c>
      <c r="CX121" s="19" t="s">
        <v>396</v>
      </c>
      <c r="CY121" s="19" t="s">
        <v>396</v>
      </c>
      <c r="CZ121" s="19" t="s">
        <v>365</v>
      </c>
      <c r="DA121" s="19" t="s">
        <v>365</v>
      </c>
      <c r="DB121" s="19" t="s">
        <v>397</v>
      </c>
      <c r="DC121" s="19" t="s">
        <v>397</v>
      </c>
      <c r="DD121" s="19" t="s">
        <v>365</v>
      </c>
      <c r="DE121" s="19" t="s">
        <v>365</v>
      </c>
      <c r="DF121" s="19" t="s">
        <v>397</v>
      </c>
      <c r="DG121" s="19" t="s">
        <v>397</v>
      </c>
      <c r="DH121" s="19" t="s">
        <v>423</v>
      </c>
      <c r="DI121" s="19" t="s">
        <v>397</v>
      </c>
      <c r="DJ121" s="19" t="s">
        <v>933</v>
      </c>
      <c r="DK121" s="19" t="s">
        <v>367</v>
      </c>
      <c r="DL121" s="19" t="s">
        <v>368</v>
      </c>
      <c r="DM121" s="19" t="s">
        <v>368</v>
      </c>
      <c r="DN121" s="19" t="s">
        <v>368</v>
      </c>
      <c r="DO121" s="19" t="s">
        <v>368</v>
      </c>
      <c r="DP121" s="19" t="s">
        <v>368</v>
      </c>
      <c r="DQ121" s="19" t="s">
        <v>368</v>
      </c>
      <c r="DR121" s="19" t="s">
        <v>368</v>
      </c>
      <c r="DS121" s="19" t="s">
        <v>345</v>
      </c>
      <c r="DT121" s="19" t="s">
        <v>368</v>
      </c>
      <c r="DU121" s="19" t="s">
        <v>368</v>
      </c>
      <c r="DV121" s="19" t="s">
        <v>368</v>
      </c>
      <c r="DW121" s="19" t="s">
        <v>345</v>
      </c>
      <c r="DX121" s="19" t="s">
        <v>369</v>
      </c>
      <c r="DY121" s="19" t="s">
        <v>370</v>
      </c>
      <c r="DZ121" s="19" t="s">
        <v>399</v>
      </c>
      <c r="EA121" s="19" t="s">
        <v>371</v>
      </c>
      <c r="EB121" s="19" t="s">
        <v>370</v>
      </c>
      <c r="EC121" s="19" t="s">
        <v>370</v>
      </c>
      <c r="ED121" s="19" t="s">
        <v>370</v>
      </c>
      <c r="EE121" s="19" t="s">
        <v>370</v>
      </c>
      <c r="EF121" s="19" t="s">
        <v>370</v>
      </c>
      <c r="EG121" s="19" t="s">
        <v>370</v>
      </c>
      <c r="EH121" s="19" t="s">
        <v>370</v>
      </c>
      <c r="EI121" s="19" t="s">
        <v>370</v>
      </c>
      <c r="EJ121" s="19" t="s">
        <v>370</v>
      </c>
      <c r="EK121" s="19" t="s">
        <v>370</v>
      </c>
      <c r="EL121" s="19" t="s">
        <v>372</v>
      </c>
      <c r="EM121" s="19" t="s">
        <v>424</v>
      </c>
      <c r="EN121" s="19" t="s">
        <v>440</v>
      </c>
      <c r="EO121" s="19"/>
      <c r="EP121" s="19"/>
      <c r="EQ121" s="19" t="s">
        <v>378</v>
      </c>
      <c r="ER121" s="19" t="s">
        <v>411</v>
      </c>
      <c r="ES121" s="19" t="s">
        <v>375</v>
      </c>
      <c r="ET121" s="19" t="s">
        <v>375</v>
      </c>
      <c r="EU121" s="19" t="s">
        <v>375</v>
      </c>
      <c r="EV121" s="19" t="s">
        <v>400</v>
      </c>
      <c r="EW121" s="19"/>
      <c r="EX121" s="164" t="s">
        <v>344</v>
      </c>
      <c r="EY121" s="164" t="s">
        <v>345</v>
      </c>
      <c r="EZ121" s="164" t="s">
        <v>344</v>
      </c>
      <c r="FA121" s="19" t="s">
        <v>344</v>
      </c>
      <c r="FB121" s="19" t="s">
        <v>401</v>
      </c>
      <c r="FC121" s="19"/>
      <c r="FD121" s="19" t="s">
        <v>401</v>
      </c>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t="s">
        <v>368</v>
      </c>
      <c r="GB121" s="19" t="s">
        <v>368</v>
      </c>
      <c r="GC121" s="19" t="s">
        <v>368</v>
      </c>
      <c r="GD121" s="19" t="s">
        <v>368</v>
      </c>
      <c r="GE121" s="19" t="s">
        <v>368</v>
      </c>
      <c r="GF121" s="19" t="s">
        <v>368</v>
      </c>
      <c r="GG121" s="19"/>
      <c r="GH121" s="19"/>
      <c r="GI121" s="19"/>
      <c r="GJ121" s="19"/>
      <c r="GK121" s="19"/>
      <c r="GL121" s="19" t="s">
        <v>344</v>
      </c>
      <c r="GM121" s="19" t="s">
        <v>344</v>
      </c>
      <c r="GN121" s="19" t="s">
        <v>344</v>
      </c>
      <c r="GO121" s="19" t="s">
        <v>344</v>
      </c>
      <c r="GP121" s="19" t="s">
        <v>344</v>
      </c>
      <c r="GQ121" s="19" t="s">
        <v>344</v>
      </c>
      <c r="GR121" s="19" t="s">
        <v>344</v>
      </c>
      <c r="GS121" s="19" t="s">
        <v>344</v>
      </c>
      <c r="GT121" s="19" t="s">
        <v>344</v>
      </c>
      <c r="GU121" s="19" t="s">
        <v>344</v>
      </c>
      <c r="GV121" s="19" t="s">
        <v>344</v>
      </c>
      <c r="GW121" s="19" t="s">
        <v>344</v>
      </c>
      <c r="GX121" s="19" t="s">
        <v>344</v>
      </c>
      <c r="GY121" s="19" t="s">
        <v>344</v>
      </c>
      <c r="GZ121" s="19" t="s">
        <v>345</v>
      </c>
      <c r="HA121" s="19"/>
      <c r="HB121" s="19" t="s">
        <v>345</v>
      </c>
      <c r="HC121" s="19" t="s">
        <v>934</v>
      </c>
      <c r="HD121" s="19" t="s">
        <v>345</v>
      </c>
      <c r="HE121" s="19" t="s">
        <v>934</v>
      </c>
      <c r="HF121" s="19" t="s">
        <v>345</v>
      </c>
      <c r="HG121" s="19" t="s">
        <v>934</v>
      </c>
      <c r="HH121" s="19" t="s">
        <v>344</v>
      </c>
      <c r="HI121" s="19"/>
      <c r="HJ121" s="19" t="s">
        <v>344</v>
      </c>
      <c r="HK121" s="19" t="s">
        <v>344</v>
      </c>
      <c r="HL121" s="19" t="s">
        <v>344</v>
      </c>
      <c r="HM121" s="19" t="s">
        <v>344</v>
      </c>
      <c r="HN121" s="19" t="s">
        <v>344</v>
      </c>
      <c r="HO121" s="19" t="s">
        <v>344</v>
      </c>
      <c r="HP121" s="19" t="s">
        <v>344</v>
      </c>
      <c r="HQ121" s="19" t="s">
        <v>344</v>
      </c>
      <c r="HR121" s="19" t="s">
        <v>344</v>
      </c>
      <c r="HS121" s="19" t="s">
        <v>344</v>
      </c>
      <c r="HT121" s="19" t="s">
        <v>344</v>
      </c>
      <c r="HU121" s="19" t="s">
        <v>344</v>
      </c>
      <c r="HV121" s="19" t="s">
        <v>344</v>
      </c>
      <c r="HW121" s="19" t="s">
        <v>344</v>
      </c>
      <c r="HX121" s="19" t="s">
        <v>345</v>
      </c>
      <c r="HY121" s="19"/>
      <c r="HZ121" s="19" t="s">
        <v>344</v>
      </c>
      <c r="IA121" s="19"/>
      <c r="IB121" s="19" t="s">
        <v>344</v>
      </c>
      <c r="IC121" s="19"/>
      <c r="ID121" s="19" t="s">
        <v>344</v>
      </c>
      <c r="IE121" s="19"/>
      <c r="IF121" s="19" t="s">
        <v>344</v>
      </c>
      <c r="IG121" s="19"/>
      <c r="IH121" s="19" t="s">
        <v>344</v>
      </c>
      <c r="II121" s="19" t="s">
        <v>345</v>
      </c>
      <c r="IJ121" s="19" t="s">
        <v>345</v>
      </c>
      <c r="IK121" s="19" t="s">
        <v>344</v>
      </c>
      <c r="IL121" s="19" t="s">
        <v>345</v>
      </c>
      <c r="IM121" s="19" t="s">
        <v>345</v>
      </c>
      <c r="IN121" s="19" t="s">
        <v>344</v>
      </c>
      <c r="IO121" s="19" t="s">
        <v>345</v>
      </c>
      <c r="IP121" s="19" t="s">
        <v>344</v>
      </c>
      <c r="IQ121" s="19" t="s">
        <v>344</v>
      </c>
      <c r="IR121" s="19" t="s">
        <v>344</v>
      </c>
      <c r="IS121" s="19" t="s">
        <v>344</v>
      </c>
      <c r="IT121" s="19"/>
      <c r="IU121" s="19"/>
      <c r="IV121" s="19"/>
      <c r="IW121" s="19"/>
      <c r="IX121" s="19"/>
      <c r="IY121" s="19"/>
      <c r="IZ121" s="19"/>
      <c r="JA121" s="19"/>
      <c r="JB121" s="19"/>
      <c r="JC121" s="19"/>
      <c r="JD121" s="19"/>
      <c r="JE121" s="19"/>
      <c r="JF121" s="19"/>
      <c r="JG121" s="19"/>
      <c r="JH121" s="19"/>
    </row>
    <row r="122" spans="1:268" x14ac:dyDescent="0.3">
      <c r="A122" s="19" t="s">
        <v>727</v>
      </c>
      <c r="B122" s="19">
        <v>215</v>
      </c>
      <c r="C122" s="19" t="s">
        <v>935</v>
      </c>
      <c r="D122" s="19">
        <v>14</v>
      </c>
      <c r="E122" s="19" t="s">
        <v>340</v>
      </c>
      <c r="F122" s="19">
        <v>26347713</v>
      </c>
      <c r="G122" s="19" t="s">
        <v>936</v>
      </c>
      <c r="H122" s="19" t="s">
        <v>935</v>
      </c>
      <c r="I122" s="19" t="s">
        <v>937</v>
      </c>
      <c r="J122" s="19">
        <v>16</v>
      </c>
      <c r="K122" s="19" t="s">
        <v>389</v>
      </c>
      <c r="L122" s="19"/>
      <c r="M122" s="19" t="s">
        <v>345</v>
      </c>
      <c r="N122" s="19" t="s">
        <v>345</v>
      </c>
      <c r="O122" s="19" t="s">
        <v>344</v>
      </c>
      <c r="P122" s="19" t="s">
        <v>344</v>
      </c>
      <c r="Q122" s="19" t="s">
        <v>344</v>
      </c>
      <c r="R122" s="19"/>
      <c r="S122" s="19" t="s">
        <v>475</v>
      </c>
      <c r="T122" s="19"/>
      <c r="U122" s="19" t="s">
        <v>418</v>
      </c>
      <c r="V122" s="19"/>
      <c r="W122" s="19" t="s">
        <v>344</v>
      </c>
      <c r="X122" s="19" t="s">
        <v>344</v>
      </c>
      <c r="Y122" s="19" t="s">
        <v>344</v>
      </c>
      <c r="Z122" s="19" t="s">
        <v>344</v>
      </c>
      <c r="AA122" s="19" t="s">
        <v>345</v>
      </c>
      <c r="AB122" s="19" t="s">
        <v>344</v>
      </c>
      <c r="AC122" s="19" t="s">
        <v>344</v>
      </c>
      <c r="AD122" s="19" t="s">
        <v>345</v>
      </c>
      <c r="AE122" s="19" t="s">
        <v>344</v>
      </c>
      <c r="AF122" s="19" t="s">
        <v>345</v>
      </c>
      <c r="AG122" s="19" t="s">
        <v>344</v>
      </c>
      <c r="AH122" s="19" t="s">
        <v>345</v>
      </c>
      <c r="AI122" s="19" t="s">
        <v>344</v>
      </c>
      <c r="AJ122" s="19" t="s">
        <v>344</v>
      </c>
      <c r="AK122" s="19" t="s">
        <v>344</v>
      </c>
      <c r="AL122" s="19" t="s">
        <v>344</v>
      </c>
      <c r="AM122" s="19" t="s">
        <v>345</v>
      </c>
      <c r="AN122" s="19" t="s">
        <v>344</v>
      </c>
      <c r="AO122" s="19" t="s">
        <v>345</v>
      </c>
      <c r="AP122" s="19" t="s">
        <v>345</v>
      </c>
      <c r="AQ122" s="19" t="s">
        <v>344</v>
      </c>
      <c r="AR122" s="19" t="s">
        <v>345</v>
      </c>
      <c r="AS122" s="19" t="s">
        <v>345</v>
      </c>
      <c r="AT122" s="19" t="s">
        <v>345</v>
      </c>
      <c r="AU122" s="19" t="s">
        <v>345</v>
      </c>
      <c r="AV122" s="19" t="s">
        <v>345</v>
      </c>
      <c r="AW122" s="19" t="s">
        <v>345</v>
      </c>
      <c r="AX122" s="19" t="s">
        <v>344</v>
      </c>
      <c r="AY122" s="19" t="s">
        <v>391</v>
      </c>
      <c r="AZ122" s="19" t="s">
        <v>731</v>
      </c>
      <c r="BA122" s="19" t="s">
        <v>737</v>
      </c>
      <c r="BB122" s="19" t="s">
        <v>391</v>
      </c>
      <c r="BC122" s="19" t="s">
        <v>731</v>
      </c>
      <c r="BD122" s="19" t="s">
        <v>733</v>
      </c>
      <c r="BE122" s="19" t="s">
        <v>348</v>
      </c>
      <c r="BF122" s="19" t="s">
        <v>350</v>
      </c>
      <c r="BG122" s="19" t="s">
        <v>348</v>
      </c>
      <c r="BH122" s="19" t="s">
        <v>348</v>
      </c>
      <c r="BI122" s="19" t="s">
        <v>350</v>
      </c>
      <c r="BJ122" s="19" t="s">
        <v>354</v>
      </c>
      <c r="BK122" s="19" t="s">
        <v>352</v>
      </c>
      <c r="BL122" s="19" t="s">
        <v>357</v>
      </c>
      <c r="BM122" s="19" t="s">
        <v>355</v>
      </c>
      <c r="BN122" s="19" t="s">
        <v>351</v>
      </c>
      <c r="BO122" s="19" t="s">
        <v>356</v>
      </c>
      <c r="BP122" s="19" t="s">
        <v>353</v>
      </c>
      <c r="BQ122" s="19" t="s">
        <v>419</v>
      </c>
      <c r="BR122" s="19" t="s">
        <v>367</v>
      </c>
      <c r="BS122" s="19" t="s">
        <v>351</v>
      </c>
      <c r="BT122" s="19" t="s">
        <v>356</v>
      </c>
      <c r="BU122" s="19" t="s">
        <v>357</v>
      </c>
      <c r="BV122" s="19" t="s">
        <v>391</v>
      </c>
      <c r="BW122" s="19" t="s">
        <v>353</v>
      </c>
      <c r="BX122" s="19" t="s">
        <v>354</v>
      </c>
      <c r="BY122" s="19" t="s">
        <v>352</v>
      </c>
      <c r="BZ122" s="19" t="s">
        <v>354</v>
      </c>
      <c r="CA122" s="19" t="s">
        <v>357</v>
      </c>
      <c r="CB122" s="19" t="s">
        <v>352</v>
      </c>
      <c r="CC122" s="19" t="s">
        <v>353</v>
      </c>
      <c r="CD122" s="19" t="s">
        <v>355</v>
      </c>
      <c r="CE122" s="19" t="s">
        <v>351</v>
      </c>
      <c r="CF122" s="19" t="s">
        <v>356</v>
      </c>
      <c r="CG122" s="19" t="s">
        <v>421</v>
      </c>
      <c r="CH122" s="19" t="s">
        <v>421</v>
      </c>
      <c r="CI122" s="19" t="s">
        <v>421</v>
      </c>
      <c r="CJ122" s="19" t="s">
        <v>421</v>
      </c>
      <c r="CK122" s="19" t="s">
        <v>938</v>
      </c>
      <c r="CL122" s="19" t="s">
        <v>344</v>
      </c>
      <c r="CM122" s="19" t="s">
        <v>344</v>
      </c>
      <c r="CN122" s="19" t="s">
        <v>344</v>
      </c>
      <c r="CO122" s="19" t="s">
        <v>345</v>
      </c>
      <c r="CP122" s="19" t="s">
        <v>345</v>
      </c>
      <c r="CQ122" s="19" t="s">
        <v>345</v>
      </c>
      <c r="CR122" s="19" t="s">
        <v>655</v>
      </c>
      <c r="CS122" s="19">
        <v>27</v>
      </c>
      <c r="CT122" s="19">
        <v>100</v>
      </c>
      <c r="CU122" s="19">
        <v>100</v>
      </c>
      <c r="CV122" s="19">
        <v>100</v>
      </c>
      <c r="CW122" s="19" t="s">
        <v>396</v>
      </c>
      <c r="CX122" s="19" t="s">
        <v>396</v>
      </c>
      <c r="CY122" s="19" t="s">
        <v>396</v>
      </c>
      <c r="CZ122" s="19" t="s">
        <v>397</v>
      </c>
      <c r="DA122" s="19" t="s">
        <v>397</v>
      </c>
      <c r="DB122" s="19" t="s">
        <v>397</v>
      </c>
      <c r="DC122" s="19" t="s">
        <v>397</v>
      </c>
      <c r="DD122" s="19" t="s">
        <v>397</v>
      </c>
      <c r="DE122" s="19" t="s">
        <v>423</v>
      </c>
      <c r="DF122" s="19" t="s">
        <v>423</v>
      </c>
      <c r="DG122" s="19" t="s">
        <v>365</v>
      </c>
      <c r="DH122" s="19" t="s">
        <v>423</v>
      </c>
      <c r="DI122" s="19" t="s">
        <v>423</v>
      </c>
      <c r="DJ122" s="19" t="s">
        <v>939</v>
      </c>
      <c r="DK122" s="19" t="s">
        <v>367</v>
      </c>
      <c r="DL122" s="19" t="s">
        <v>368</v>
      </c>
      <c r="DM122" s="19" t="s">
        <v>368</v>
      </c>
      <c r="DN122" s="19" t="s">
        <v>368</v>
      </c>
      <c r="DO122" s="19" t="s">
        <v>368</v>
      </c>
      <c r="DP122" s="19" t="s">
        <v>368</v>
      </c>
      <c r="DQ122" s="19" t="s">
        <v>368</v>
      </c>
      <c r="DR122" s="19" t="s">
        <v>368</v>
      </c>
      <c r="DS122" s="19" t="s">
        <v>345</v>
      </c>
      <c r="DT122" s="19" t="s">
        <v>368</v>
      </c>
      <c r="DU122" s="19" t="s">
        <v>368</v>
      </c>
      <c r="DV122" s="19" t="s">
        <v>368</v>
      </c>
      <c r="DW122" s="19" t="s">
        <v>345</v>
      </c>
      <c r="DX122" s="19" t="s">
        <v>369</v>
      </c>
      <c r="DY122" s="19" t="s">
        <v>370</v>
      </c>
      <c r="DZ122" s="19" t="s">
        <v>370</v>
      </c>
      <c r="EA122" s="19" t="s">
        <v>369</v>
      </c>
      <c r="EB122" s="19" t="s">
        <v>370</v>
      </c>
      <c r="EC122" s="19" t="s">
        <v>370</v>
      </c>
      <c r="ED122" s="19" t="s">
        <v>370</v>
      </c>
      <c r="EE122" s="19" t="s">
        <v>370</v>
      </c>
      <c r="EF122" s="19" t="s">
        <v>399</v>
      </c>
      <c r="EG122" s="19" t="s">
        <v>369</v>
      </c>
      <c r="EH122" s="19" t="s">
        <v>370</v>
      </c>
      <c r="EI122" s="19" t="s">
        <v>369</v>
      </c>
      <c r="EJ122" s="19" t="s">
        <v>369</v>
      </c>
      <c r="EK122" s="19" t="s">
        <v>369</v>
      </c>
      <c r="EL122" s="19" t="s">
        <v>372</v>
      </c>
      <c r="EM122" s="19" t="s">
        <v>424</v>
      </c>
      <c r="EN122" s="19" t="s">
        <v>373</v>
      </c>
      <c r="EO122" s="19"/>
      <c r="EP122" s="19"/>
      <c r="EQ122" s="19" t="s">
        <v>377</v>
      </c>
      <c r="ER122" s="19" t="s">
        <v>378</v>
      </c>
      <c r="ES122" s="19" t="s">
        <v>375</v>
      </c>
      <c r="ET122" s="19" t="s">
        <v>377</v>
      </c>
      <c r="EU122" s="19" t="s">
        <v>391</v>
      </c>
      <c r="EV122" s="19" t="s">
        <v>400</v>
      </c>
      <c r="EW122" s="19"/>
      <c r="EX122" s="164" t="s">
        <v>345</v>
      </c>
      <c r="EY122" s="164" t="s">
        <v>345</v>
      </c>
      <c r="EZ122" s="164" t="s">
        <v>344</v>
      </c>
      <c r="FA122" s="19" t="s">
        <v>344</v>
      </c>
      <c r="FB122" s="19" t="s">
        <v>381</v>
      </c>
      <c r="FC122" s="19"/>
      <c r="FD122" s="19" t="s">
        <v>401</v>
      </c>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t="s">
        <v>368</v>
      </c>
      <c r="GB122" s="19" t="s">
        <v>368</v>
      </c>
      <c r="GC122" s="19" t="s">
        <v>368</v>
      </c>
      <c r="GD122" s="19" t="s">
        <v>368</v>
      </c>
      <c r="GE122" s="19" t="s">
        <v>368</v>
      </c>
      <c r="GF122" s="19" t="s">
        <v>368</v>
      </c>
      <c r="GG122" s="19"/>
      <c r="GH122" s="19"/>
      <c r="GI122" s="19"/>
      <c r="GJ122" s="19"/>
      <c r="GK122" s="19"/>
      <c r="GL122" s="19" t="s">
        <v>344</v>
      </c>
      <c r="GM122" s="19" t="s">
        <v>344</v>
      </c>
      <c r="GN122" s="19" t="s">
        <v>344</v>
      </c>
      <c r="GO122" s="19" t="s">
        <v>344</v>
      </c>
      <c r="GP122" s="19" t="s">
        <v>344</v>
      </c>
      <c r="GQ122" s="19" t="s">
        <v>344</v>
      </c>
      <c r="GR122" s="19" t="s">
        <v>344</v>
      </c>
      <c r="GS122" s="19" t="s">
        <v>344</v>
      </c>
      <c r="GT122" s="19" t="s">
        <v>344</v>
      </c>
      <c r="GU122" s="19" t="s">
        <v>344</v>
      </c>
      <c r="GV122" s="19" t="s">
        <v>344</v>
      </c>
      <c r="GW122" s="19" t="s">
        <v>344</v>
      </c>
      <c r="GX122" s="19" t="s">
        <v>344</v>
      </c>
      <c r="GY122" s="19" t="s">
        <v>344</v>
      </c>
      <c r="GZ122" s="19" t="s">
        <v>345</v>
      </c>
      <c r="HA122" s="19"/>
      <c r="HB122" s="19" t="s">
        <v>344</v>
      </c>
      <c r="HC122" s="19"/>
      <c r="HD122" s="19" t="s">
        <v>344</v>
      </c>
      <c r="HE122" s="19"/>
      <c r="HF122" s="19" t="s">
        <v>344</v>
      </c>
      <c r="HG122" s="19"/>
      <c r="HH122" s="19" t="s">
        <v>344</v>
      </c>
      <c r="HI122" s="19"/>
      <c r="HJ122" s="19" t="s">
        <v>344</v>
      </c>
      <c r="HK122" s="19" t="s">
        <v>344</v>
      </c>
      <c r="HL122" s="19" t="s">
        <v>344</v>
      </c>
      <c r="HM122" s="19" t="s">
        <v>344</v>
      </c>
      <c r="HN122" s="19" t="s">
        <v>344</v>
      </c>
      <c r="HO122" s="19" t="s">
        <v>344</v>
      </c>
      <c r="HP122" s="19" t="s">
        <v>344</v>
      </c>
      <c r="HQ122" s="19" t="s">
        <v>344</v>
      </c>
      <c r="HR122" s="19" t="s">
        <v>344</v>
      </c>
      <c r="HS122" s="19" t="s">
        <v>344</v>
      </c>
      <c r="HT122" s="19" t="s">
        <v>344</v>
      </c>
      <c r="HU122" s="19" t="s">
        <v>344</v>
      </c>
      <c r="HV122" s="19" t="s">
        <v>344</v>
      </c>
      <c r="HW122" s="19" t="s">
        <v>344</v>
      </c>
      <c r="HX122" s="19" t="s">
        <v>345</v>
      </c>
      <c r="HY122" s="19"/>
      <c r="HZ122" s="19" t="s">
        <v>344</v>
      </c>
      <c r="IA122" s="19"/>
      <c r="IB122" s="19" t="s">
        <v>344</v>
      </c>
      <c r="IC122" s="19"/>
      <c r="ID122" s="19" t="s">
        <v>344</v>
      </c>
      <c r="IE122" s="19"/>
      <c r="IF122" s="19" t="s">
        <v>344</v>
      </c>
      <c r="IG122" s="19"/>
      <c r="IH122" s="19" t="s">
        <v>344</v>
      </c>
      <c r="II122" s="19" t="s">
        <v>345</v>
      </c>
      <c r="IJ122" s="19" t="s">
        <v>344</v>
      </c>
      <c r="IK122" s="19" t="s">
        <v>344</v>
      </c>
      <c r="IL122" s="19" t="s">
        <v>345</v>
      </c>
      <c r="IM122" s="19" t="s">
        <v>345</v>
      </c>
      <c r="IN122" s="19" t="s">
        <v>344</v>
      </c>
      <c r="IO122" s="19" t="s">
        <v>345</v>
      </c>
      <c r="IP122" s="19" t="s">
        <v>344</v>
      </c>
      <c r="IQ122" s="19" t="s">
        <v>344</v>
      </c>
      <c r="IR122" s="19" t="s">
        <v>344</v>
      </c>
      <c r="IS122" s="19" t="s">
        <v>344</v>
      </c>
      <c r="IT122" s="19" t="s">
        <v>748</v>
      </c>
      <c r="IU122" s="19"/>
      <c r="IV122" s="19"/>
      <c r="IW122" s="19"/>
      <c r="IX122" s="19"/>
      <c r="IY122" s="19"/>
      <c r="IZ122" s="19"/>
      <c r="JA122" s="19"/>
      <c r="JB122" s="19"/>
      <c r="JC122" s="19"/>
      <c r="JD122" s="19"/>
      <c r="JE122" s="19"/>
      <c r="JF122" s="19"/>
      <c r="JG122" s="19"/>
      <c r="JH122" s="19"/>
    </row>
    <row r="123" spans="1:268" x14ac:dyDescent="0.3">
      <c r="A123" s="19" t="s">
        <v>727</v>
      </c>
      <c r="B123" s="19">
        <v>216</v>
      </c>
      <c r="C123" s="19" t="s">
        <v>940</v>
      </c>
      <c r="D123" s="19">
        <v>14</v>
      </c>
      <c r="E123" s="19" t="s">
        <v>387</v>
      </c>
      <c r="F123" s="19">
        <v>2058388166</v>
      </c>
      <c r="G123" s="19" t="s">
        <v>941</v>
      </c>
      <c r="H123" s="19" t="s">
        <v>940</v>
      </c>
      <c r="I123" s="19" t="s">
        <v>932</v>
      </c>
      <c r="J123" s="19">
        <v>16</v>
      </c>
      <c r="K123" s="19" t="s">
        <v>389</v>
      </c>
      <c r="L123" s="19"/>
      <c r="M123" s="19" t="s">
        <v>344</v>
      </c>
      <c r="N123" s="19" t="s">
        <v>345</v>
      </c>
      <c r="O123" s="19" t="s">
        <v>344</v>
      </c>
      <c r="P123" s="19" t="s">
        <v>344</v>
      </c>
      <c r="Q123" s="19" t="s">
        <v>344</v>
      </c>
      <c r="R123" s="19"/>
      <c r="S123" s="19" t="s">
        <v>475</v>
      </c>
      <c r="T123" s="19"/>
      <c r="U123" s="19" t="s">
        <v>418</v>
      </c>
      <c r="V123" s="19"/>
      <c r="W123" s="19" t="s">
        <v>345</v>
      </c>
      <c r="X123" s="19" t="s">
        <v>344</v>
      </c>
      <c r="Y123" s="19" t="s">
        <v>345</v>
      </c>
      <c r="Z123" s="19" t="s">
        <v>344</v>
      </c>
      <c r="AA123" s="19" t="s">
        <v>344</v>
      </c>
      <c r="AB123" s="19" t="s">
        <v>344</v>
      </c>
      <c r="AC123" s="19" t="s">
        <v>344</v>
      </c>
      <c r="AD123" s="19" t="s">
        <v>344</v>
      </c>
      <c r="AE123" s="19" t="s">
        <v>344</v>
      </c>
      <c r="AF123" s="19" t="s">
        <v>344</v>
      </c>
      <c r="AG123" s="19" t="s">
        <v>345</v>
      </c>
      <c r="AH123" s="19" t="s">
        <v>344</v>
      </c>
      <c r="AI123" s="19" t="s">
        <v>344</v>
      </c>
      <c r="AJ123" s="19" t="s">
        <v>344</v>
      </c>
      <c r="AK123" s="19" t="s">
        <v>344</v>
      </c>
      <c r="AL123" s="19" t="s">
        <v>345</v>
      </c>
      <c r="AM123" s="19" t="s">
        <v>344</v>
      </c>
      <c r="AN123" s="19" t="s">
        <v>344</v>
      </c>
      <c r="AO123" s="19" t="s">
        <v>344</v>
      </c>
      <c r="AP123" s="19" t="s">
        <v>344</v>
      </c>
      <c r="AQ123" s="19" t="s">
        <v>344</v>
      </c>
      <c r="AR123" s="19" t="s">
        <v>344</v>
      </c>
      <c r="AS123" s="19" t="s">
        <v>344</v>
      </c>
      <c r="AT123" s="19" t="s">
        <v>345</v>
      </c>
      <c r="AU123" s="19" t="s">
        <v>345</v>
      </c>
      <c r="AV123" s="19" t="s">
        <v>344</v>
      </c>
      <c r="AW123" s="19" t="s">
        <v>344</v>
      </c>
      <c r="AX123" s="19" t="s">
        <v>344</v>
      </c>
      <c r="AY123" s="19" t="s">
        <v>391</v>
      </c>
      <c r="AZ123" s="19" t="s">
        <v>731</v>
      </c>
      <c r="BA123" s="19" t="s">
        <v>733</v>
      </c>
      <c r="BB123" s="19" t="s">
        <v>732</v>
      </c>
      <c r="BC123" s="19" t="s">
        <v>732</v>
      </c>
      <c r="BD123" s="19" t="s">
        <v>731</v>
      </c>
      <c r="BE123" s="19" t="s">
        <v>350</v>
      </c>
      <c r="BF123" s="19" t="s">
        <v>350</v>
      </c>
      <c r="BG123" s="19" t="s">
        <v>350</v>
      </c>
      <c r="BH123" s="19" t="s">
        <v>350</v>
      </c>
      <c r="BI123" s="19" t="s">
        <v>350</v>
      </c>
      <c r="BJ123" s="19" t="s">
        <v>391</v>
      </c>
      <c r="BK123" s="19" t="s">
        <v>391</v>
      </c>
      <c r="BL123" s="19" t="s">
        <v>391</v>
      </c>
      <c r="BM123" s="19" t="s">
        <v>391</v>
      </c>
      <c r="BN123" s="19" t="s">
        <v>391</v>
      </c>
      <c r="BO123" s="19" t="s">
        <v>391</v>
      </c>
      <c r="BP123" s="19" t="s">
        <v>391</v>
      </c>
      <c r="BQ123" s="19" t="s">
        <v>419</v>
      </c>
      <c r="BR123" s="19" t="s">
        <v>429</v>
      </c>
      <c r="BS123" s="19" t="s">
        <v>391</v>
      </c>
      <c r="BT123" s="19" t="s">
        <v>391</v>
      </c>
      <c r="BU123" s="19" t="s">
        <v>391</v>
      </c>
      <c r="BV123" s="19" t="s">
        <v>391</v>
      </c>
      <c r="BW123" s="19" t="s">
        <v>391</v>
      </c>
      <c r="BX123" s="19" t="s">
        <v>391</v>
      </c>
      <c r="BY123" s="19" t="s">
        <v>391</v>
      </c>
      <c r="BZ123" s="19" t="s">
        <v>391</v>
      </c>
      <c r="CA123" s="19" t="s">
        <v>391</v>
      </c>
      <c r="CB123" s="19" t="s">
        <v>391</v>
      </c>
      <c r="CC123" s="19" t="s">
        <v>391</v>
      </c>
      <c r="CD123" s="19" t="s">
        <v>391</v>
      </c>
      <c r="CE123" s="19" t="s">
        <v>391</v>
      </c>
      <c r="CF123" s="19" t="s">
        <v>391</v>
      </c>
      <c r="CG123" s="19" t="s">
        <v>421</v>
      </c>
      <c r="CH123" s="19" t="s">
        <v>421</v>
      </c>
      <c r="CI123" s="19" t="s">
        <v>360</v>
      </c>
      <c r="CJ123" s="19" t="s">
        <v>421</v>
      </c>
      <c r="CK123" s="19" t="s">
        <v>942</v>
      </c>
      <c r="CL123" s="19" t="s">
        <v>344</v>
      </c>
      <c r="CM123" s="19" t="s">
        <v>344</v>
      </c>
      <c r="CN123" s="19" t="s">
        <v>344</v>
      </c>
      <c r="CO123" s="19" t="s">
        <v>345</v>
      </c>
      <c r="CP123" s="19" t="s">
        <v>345</v>
      </c>
      <c r="CQ123" s="19" t="s">
        <v>344</v>
      </c>
      <c r="CR123" s="19" t="s">
        <v>655</v>
      </c>
      <c r="CS123" s="19">
        <v>1</v>
      </c>
      <c r="CT123" s="19">
        <v>100</v>
      </c>
      <c r="CU123" s="19">
        <v>100</v>
      </c>
      <c r="CV123" s="19">
        <v>1</v>
      </c>
      <c r="CW123" s="19" t="s">
        <v>396</v>
      </c>
      <c r="CX123" s="19" t="s">
        <v>396</v>
      </c>
      <c r="CY123" s="19" t="s">
        <v>396</v>
      </c>
      <c r="CZ123" s="19" t="s">
        <v>397</v>
      </c>
      <c r="DA123" s="19" t="s">
        <v>397</v>
      </c>
      <c r="DB123" s="19" t="s">
        <v>397</v>
      </c>
      <c r="DC123" s="19" t="s">
        <v>366</v>
      </c>
      <c r="DD123" s="19" t="s">
        <v>397</v>
      </c>
      <c r="DE123" s="19" t="s">
        <v>397</v>
      </c>
      <c r="DF123" s="19" t="s">
        <v>366</v>
      </c>
      <c r="DG123" s="19" t="s">
        <v>397</v>
      </c>
      <c r="DH123" s="19" t="s">
        <v>397</v>
      </c>
      <c r="DI123" s="19" t="s">
        <v>397</v>
      </c>
      <c r="DJ123" s="19" t="s">
        <v>943</v>
      </c>
      <c r="DK123" s="19" t="s">
        <v>367</v>
      </c>
      <c r="DL123" s="19" t="s">
        <v>368</v>
      </c>
      <c r="DM123" s="19" t="s">
        <v>368</v>
      </c>
      <c r="DN123" s="19" t="s">
        <v>368</v>
      </c>
      <c r="DO123" s="19" t="s">
        <v>368</v>
      </c>
      <c r="DP123" s="19" t="s">
        <v>345</v>
      </c>
      <c r="DQ123" s="19" t="s">
        <v>344</v>
      </c>
      <c r="DR123" s="19" t="s">
        <v>345</v>
      </c>
      <c r="DS123" s="19" t="s">
        <v>344</v>
      </c>
      <c r="DT123" s="19" t="s">
        <v>368</v>
      </c>
      <c r="DU123" s="19" t="s">
        <v>368</v>
      </c>
      <c r="DV123" s="19" t="s">
        <v>368</v>
      </c>
      <c r="DW123" s="19" t="s">
        <v>345</v>
      </c>
      <c r="DX123" s="19" t="s">
        <v>370</v>
      </c>
      <c r="DY123" s="19" t="s">
        <v>370</v>
      </c>
      <c r="DZ123" s="19" t="s">
        <v>370</v>
      </c>
      <c r="EA123" s="19" t="s">
        <v>370</v>
      </c>
      <c r="EB123" s="19" t="s">
        <v>370</v>
      </c>
      <c r="EC123" s="19" t="s">
        <v>370</v>
      </c>
      <c r="ED123" s="19" t="s">
        <v>370</v>
      </c>
      <c r="EE123" s="19" t="s">
        <v>370</v>
      </c>
      <c r="EF123" s="19" t="s">
        <v>371</v>
      </c>
      <c r="EG123" s="19" t="s">
        <v>369</v>
      </c>
      <c r="EH123" s="19" t="s">
        <v>370</v>
      </c>
      <c r="EI123" s="19" t="s">
        <v>371</v>
      </c>
      <c r="EJ123" s="19" t="s">
        <v>370</v>
      </c>
      <c r="EK123" s="19" t="s">
        <v>399</v>
      </c>
      <c r="EL123" s="19" t="s">
        <v>373</v>
      </c>
      <c r="EM123" s="19" t="s">
        <v>374</v>
      </c>
      <c r="EN123" s="19" t="s">
        <v>424</v>
      </c>
      <c r="EO123" s="19"/>
      <c r="EP123" s="19"/>
      <c r="EQ123" s="19" t="s">
        <v>375</v>
      </c>
      <c r="ER123" s="19" t="s">
        <v>376</v>
      </c>
      <c r="ES123" s="19" t="s">
        <v>375</v>
      </c>
      <c r="ET123" s="19" t="s">
        <v>378</v>
      </c>
      <c r="EU123" s="19" t="s">
        <v>375</v>
      </c>
      <c r="EV123" s="19" t="s">
        <v>400</v>
      </c>
      <c r="EW123" s="19"/>
      <c r="EX123" s="19" t="s">
        <v>368</v>
      </c>
      <c r="EY123" s="19" t="s">
        <v>368</v>
      </c>
      <c r="EZ123" s="19" t="s">
        <v>368</v>
      </c>
      <c r="FA123" s="19" t="s">
        <v>345</v>
      </c>
      <c r="FB123" s="19" t="s">
        <v>401</v>
      </c>
      <c r="FC123" s="19"/>
      <c r="FD123" s="19" t="s">
        <v>401</v>
      </c>
      <c r="FE123" s="19"/>
      <c r="FF123" s="19" t="s">
        <v>412</v>
      </c>
      <c r="FG123" s="19" t="s">
        <v>413</v>
      </c>
      <c r="FH123" s="19" t="s">
        <v>384</v>
      </c>
      <c r="FI123" s="19" t="s">
        <v>385</v>
      </c>
      <c r="FJ123" s="19"/>
      <c r="FK123" s="19"/>
      <c r="FL123" s="19"/>
      <c r="FM123" s="19"/>
      <c r="FN123" s="19"/>
      <c r="FO123" s="19"/>
      <c r="FP123" s="19"/>
      <c r="FQ123" s="19"/>
      <c r="FR123" s="19"/>
      <c r="FS123" s="19"/>
      <c r="FT123" s="19"/>
      <c r="FU123" s="19"/>
      <c r="FV123" s="19"/>
      <c r="FW123" s="19"/>
      <c r="FX123" s="19"/>
      <c r="FY123" s="19"/>
      <c r="FZ123" s="19"/>
      <c r="GA123" s="19" t="s">
        <v>368</v>
      </c>
      <c r="GB123" s="19" t="s">
        <v>368</v>
      </c>
      <c r="GC123" s="19" t="s">
        <v>368</v>
      </c>
      <c r="GD123" s="19" t="s">
        <v>368</v>
      </c>
      <c r="GE123" s="19" t="s">
        <v>368</v>
      </c>
      <c r="GF123" s="19" t="s">
        <v>368</v>
      </c>
      <c r="GG123" s="19"/>
      <c r="GH123" s="19"/>
      <c r="GI123" s="19"/>
      <c r="GJ123" s="19"/>
      <c r="GK123" s="19"/>
      <c r="GL123" s="19" t="s">
        <v>344</v>
      </c>
      <c r="GM123" s="19" t="s">
        <v>344</v>
      </c>
      <c r="GN123" s="19" t="s">
        <v>344</v>
      </c>
      <c r="GO123" s="19" t="s">
        <v>344</v>
      </c>
      <c r="GP123" s="19" t="s">
        <v>344</v>
      </c>
      <c r="GQ123" s="19" t="s">
        <v>344</v>
      </c>
      <c r="GR123" s="19" t="s">
        <v>344</v>
      </c>
      <c r="GS123" s="19" t="s">
        <v>344</v>
      </c>
      <c r="GT123" s="19" t="s">
        <v>344</v>
      </c>
      <c r="GU123" s="19" t="s">
        <v>344</v>
      </c>
      <c r="GV123" s="19" t="s">
        <v>344</v>
      </c>
      <c r="GW123" s="19" t="s">
        <v>344</v>
      </c>
      <c r="GX123" s="19" t="s">
        <v>344</v>
      </c>
      <c r="GY123" s="19" t="s">
        <v>344</v>
      </c>
      <c r="GZ123" s="19" t="s">
        <v>344</v>
      </c>
      <c r="HA123" s="19" t="s">
        <v>944</v>
      </c>
      <c r="HB123" s="19" t="s">
        <v>345</v>
      </c>
      <c r="HC123" s="19" t="s">
        <v>944</v>
      </c>
      <c r="HD123" s="19" t="s">
        <v>344</v>
      </c>
      <c r="HE123" s="19"/>
      <c r="HF123" s="19" t="s">
        <v>344</v>
      </c>
      <c r="HG123" s="19"/>
      <c r="HH123" s="19" t="s">
        <v>344</v>
      </c>
      <c r="HI123" s="19"/>
      <c r="HJ123" s="19" t="s">
        <v>344</v>
      </c>
      <c r="HK123" s="19" t="s">
        <v>344</v>
      </c>
      <c r="HL123" s="19" t="s">
        <v>344</v>
      </c>
      <c r="HM123" s="19" t="s">
        <v>344</v>
      </c>
      <c r="HN123" s="19" t="s">
        <v>344</v>
      </c>
      <c r="HO123" s="19" t="s">
        <v>344</v>
      </c>
      <c r="HP123" s="19" t="s">
        <v>344</v>
      </c>
      <c r="HQ123" s="19" t="s">
        <v>344</v>
      </c>
      <c r="HR123" s="19" t="s">
        <v>344</v>
      </c>
      <c r="HS123" s="19" t="s">
        <v>344</v>
      </c>
      <c r="HT123" s="19" t="s">
        <v>344</v>
      </c>
      <c r="HU123" s="19" t="s">
        <v>344</v>
      </c>
      <c r="HV123" s="19" t="s">
        <v>344</v>
      </c>
      <c r="HW123" s="19" t="s">
        <v>344</v>
      </c>
      <c r="HX123" s="19" t="s">
        <v>345</v>
      </c>
      <c r="HY123" s="19"/>
      <c r="HZ123" s="19" t="s">
        <v>344</v>
      </c>
      <c r="IA123" s="19"/>
      <c r="IB123" s="19" t="s">
        <v>344</v>
      </c>
      <c r="IC123" s="19"/>
      <c r="ID123" s="19" t="s">
        <v>344</v>
      </c>
      <c r="IE123" s="19"/>
      <c r="IF123" s="19" t="s">
        <v>344</v>
      </c>
      <c r="IG123" s="19"/>
      <c r="IH123" s="19" t="s">
        <v>345</v>
      </c>
      <c r="II123" s="19" t="s">
        <v>345</v>
      </c>
      <c r="IJ123" s="19" t="s">
        <v>344</v>
      </c>
      <c r="IK123" s="19" t="s">
        <v>344</v>
      </c>
      <c r="IL123" s="19" t="s">
        <v>344</v>
      </c>
      <c r="IM123" s="19" t="s">
        <v>345</v>
      </c>
      <c r="IN123" s="19" t="s">
        <v>344</v>
      </c>
      <c r="IO123" s="19" t="s">
        <v>345</v>
      </c>
      <c r="IP123" s="19" t="s">
        <v>344</v>
      </c>
      <c r="IQ123" s="19" t="s">
        <v>344</v>
      </c>
      <c r="IR123" s="19" t="s">
        <v>344</v>
      </c>
      <c r="IS123" s="19" t="s">
        <v>344</v>
      </c>
      <c r="IT123" s="19"/>
      <c r="IU123" s="19"/>
      <c r="IV123" s="19"/>
      <c r="IW123" s="19"/>
      <c r="IX123" s="19"/>
      <c r="IY123" s="19"/>
      <c r="IZ123" s="19"/>
      <c r="JA123" s="19"/>
      <c r="JB123" s="19"/>
      <c r="JC123" s="19"/>
      <c r="JD123" s="19"/>
      <c r="JE123" s="19"/>
      <c r="JF123" s="19"/>
      <c r="JG123" s="19"/>
      <c r="JH123" s="19"/>
    </row>
    <row r="124" spans="1:268" x14ac:dyDescent="0.3">
      <c r="A124" s="19" t="s">
        <v>727</v>
      </c>
      <c r="B124" s="19">
        <v>217</v>
      </c>
      <c r="C124" s="19" t="s">
        <v>945</v>
      </c>
      <c r="D124" s="19">
        <v>14</v>
      </c>
      <c r="E124" s="19" t="s">
        <v>387</v>
      </c>
      <c r="F124" s="19">
        <v>523813041</v>
      </c>
      <c r="G124" s="19" t="s">
        <v>946</v>
      </c>
      <c r="H124" s="19" t="s">
        <v>945</v>
      </c>
      <c r="I124" s="19" t="s">
        <v>932</v>
      </c>
      <c r="J124" s="19">
        <v>17</v>
      </c>
      <c r="K124" s="19" t="s">
        <v>389</v>
      </c>
      <c r="L124" s="19"/>
      <c r="M124" s="19" t="s">
        <v>345</v>
      </c>
      <c r="N124" s="19" t="s">
        <v>345</v>
      </c>
      <c r="O124" s="19" t="s">
        <v>344</v>
      </c>
      <c r="P124" s="19" t="s">
        <v>344</v>
      </c>
      <c r="Q124" s="19" t="s">
        <v>344</v>
      </c>
      <c r="R124" s="19"/>
      <c r="S124" s="19" t="s">
        <v>475</v>
      </c>
      <c r="T124" s="19"/>
      <c r="U124" s="19" t="s">
        <v>428</v>
      </c>
      <c r="V124" s="19"/>
      <c r="W124" s="19" t="s">
        <v>345</v>
      </c>
      <c r="X124" s="19" t="s">
        <v>345</v>
      </c>
      <c r="Y124" s="19" t="s">
        <v>344</v>
      </c>
      <c r="Z124" s="19" t="s">
        <v>344</v>
      </c>
      <c r="AA124" s="19" t="s">
        <v>344</v>
      </c>
      <c r="AB124" s="19" t="s">
        <v>344</v>
      </c>
      <c r="AC124" s="19" t="s">
        <v>344</v>
      </c>
      <c r="AD124" s="19" t="s">
        <v>345</v>
      </c>
      <c r="AE124" s="19" t="s">
        <v>345</v>
      </c>
      <c r="AF124" s="19" t="s">
        <v>344</v>
      </c>
      <c r="AG124" s="19" t="s">
        <v>345</v>
      </c>
      <c r="AH124" s="19" t="s">
        <v>344</v>
      </c>
      <c r="AI124" s="19" t="s">
        <v>344</v>
      </c>
      <c r="AJ124" s="19" t="s">
        <v>344</v>
      </c>
      <c r="AK124" s="19" t="s">
        <v>344</v>
      </c>
      <c r="AL124" s="19" t="s">
        <v>345</v>
      </c>
      <c r="AM124" s="19" t="s">
        <v>345</v>
      </c>
      <c r="AN124" s="19" t="s">
        <v>344</v>
      </c>
      <c r="AO124" s="19" t="s">
        <v>344</v>
      </c>
      <c r="AP124" s="19" t="s">
        <v>345</v>
      </c>
      <c r="AQ124" s="19" t="s">
        <v>344</v>
      </c>
      <c r="AR124" s="19" t="s">
        <v>344</v>
      </c>
      <c r="AS124" s="19" t="s">
        <v>344</v>
      </c>
      <c r="AT124" s="19" t="s">
        <v>345</v>
      </c>
      <c r="AU124" s="19" t="s">
        <v>344</v>
      </c>
      <c r="AV124" s="19" t="s">
        <v>345</v>
      </c>
      <c r="AW124" s="19" t="s">
        <v>345</v>
      </c>
      <c r="AX124" s="19" t="s">
        <v>344</v>
      </c>
      <c r="AY124" s="19" t="s">
        <v>731</v>
      </c>
      <c r="AZ124" s="19" t="s">
        <v>391</v>
      </c>
      <c r="BA124" s="19" t="s">
        <v>737</v>
      </c>
      <c r="BB124" s="19" t="s">
        <v>737</v>
      </c>
      <c r="BC124" s="19" t="s">
        <v>731</v>
      </c>
      <c r="BD124" s="19" t="s">
        <v>732</v>
      </c>
      <c r="BE124" s="19" t="s">
        <v>390</v>
      </c>
      <c r="BF124" s="19" t="s">
        <v>348</v>
      </c>
      <c r="BG124" s="19" t="s">
        <v>390</v>
      </c>
      <c r="BH124" s="19" t="s">
        <v>350</v>
      </c>
      <c r="BI124" s="19" t="s">
        <v>348</v>
      </c>
      <c r="BJ124" s="19" t="s">
        <v>352</v>
      </c>
      <c r="BK124" s="19" t="s">
        <v>391</v>
      </c>
      <c r="BL124" s="19" t="s">
        <v>354</v>
      </c>
      <c r="BM124" s="19" t="s">
        <v>354</v>
      </c>
      <c r="BN124" s="19" t="s">
        <v>357</v>
      </c>
      <c r="BO124" s="19" t="s">
        <v>354</v>
      </c>
      <c r="BP124" s="19" t="s">
        <v>354</v>
      </c>
      <c r="BQ124" s="19" t="s">
        <v>407</v>
      </c>
      <c r="BR124" s="19" t="s">
        <v>429</v>
      </c>
      <c r="BS124" s="19" t="s">
        <v>354</v>
      </c>
      <c r="BT124" s="19" t="s">
        <v>354</v>
      </c>
      <c r="BU124" s="19" t="s">
        <v>353</v>
      </c>
      <c r="BV124" s="19" t="s">
        <v>354</v>
      </c>
      <c r="BW124" s="19" t="s">
        <v>354</v>
      </c>
      <c r="BX124" s="19" t="s">
        <v>352</v>
      </c>
      <c r="BY124" s="19" t="s">
        <v>391</v>
      </c>
      <c r="BZ124" s="19" t="s">
        <v>354</v>
      </c>
      <c r="CA124" s="19" t="s">
        <v>352</v>
      </c>
      <c r="CB124" s="19" t="s">
        <v>354</v>
      </c>
      <c r="CC124" s="19" t="s">
        <v>354</v>
      </c>
      <c r="CD124" s="19" t="s">
        <v>354</v>
      </c>
      <c r="CE124" s="19" t="s">
        <v>391</v>
      </c>
      <c r="CF124" s="19" t="s">
        <v>391</v>
      </c>
      <c r="CG124" s="19" t="s">
        <v>421</v>
      </c>
      <c r="CH124" s="19" t="s">
        <v>421</v>
      </c>
      <c r="CI124" s="19" t="s">
        <v>420</v>
      </c>
      <c r="CJ124" s="19" t="s">
        <v>393</v>
      </c>
      <c r="CK124" s="19" t="s">
        <v>947</v>
      </c>
      <c r="CL124" s="19" t="s">
        <v>344</v>
      </c>
      <c r="CM124" s="19" t="s">
        <v>344</v>
      </c>
      <c r="CN124" s="19" t="s">
        <v>344</v>
      </c>
      <c r="CO124" s="19" t="s">
        <v>345</v>
      </c>
      <c r="CP124" s="19" t="s">
        <v>345</v>
      </c>
      <c r="CQ124" s="19" t="s">
        <v>344</v>
      </c>
      <c r="CR124" s="19" t="s">
        <v>655</v>
      </c>
      <c r="CS124" s="19">
        <v>1</v>
      </c>
      <c r="CT124" s="19">
        <v>100</v>
      </c>
      <c r="CU124" s="19">
        <v>50</v>
      </c>
      <c r="CV124" s="19">
        <v>10</v>
      </c>
      <c r="CW124" s="19" t="s">
        <v>395</v>
      </c>
      <c r="CX124" s="19" t="s">
        <v>395</v>
      </c>
      <c r="CY124" s="19" t="s">
        <v>396</v>
      </c>
      <c r="CZ124" s="19" t="s">
        <v>397</v>
      </c>
      <c r="DA124" s="19" t="s">
        <v>397</v>
      </c>
      <c r="DB124" s="19" t="s">
        <v>397</v>
      </c>
      <c r="DC124" s="19" t="s">
        <v>397</v>
      </c>
      <c r="DD124" s="19" t="s">
        <v>397</v>
      </c>
      <c r="DE124" s="19" t="s">
        <v>397</v>
      </c>
      <c r="DF124" s="19" t="s">
        <v>397</v>
      </c>
      <c r="DG124" s="19" t="s">
        <v>397</v>
      </c>
      <c r="DH124" s="19" t="s">
        <v>397</v>
      </c>
      <c r="DI124" s="19" t="s">
        <v>397</v>
      </c>
      <c r="DJ124" s="19"/>
      <c r="DK124" s="19" t="s">
        <v>367</v>
      </c>
      <c r="DL124" s="19" t="s">
        <v>368</v>
      </c>
      <c r="DM124" s="19" t="s">
        <v>368</v>
      </c>
      <c r="DN124" s="19" t="s">
        <v>368</v>
      </c>
      <c r="DO124" s="19" t="s">
        <v>368</v>
      </c>
      <c r="DP124" s="19" t="s">
        <v>368</v>
      </c>
      <c r="DQ124" s="19" t="s">
        <v>368</v>
      </c>
      <c r="DR124" s="19" t="s">
        <v>368</v>
      </c>
      <c r="DS124" s="19" t="s">
        <v>345</v>
      </c>
      <c r="DT124" s="19" t="s">
        <v>344</v>
      </c>
      <c r="DU124" s="19" t="s">
        <v>345</v>
      </c>
      <c r="DV124" s="19" t="s">
        <v>345</v>
      </c>
      <c r="DW124" s="19" t="s">
        <v>344</v>
      </c>
      <c r="DX124" s="19" t="s">
        <v>370</v>
      </c>
      <c r="DY124" s="19" t="s">
        <v>370</v>
      </c>
      <c r="DZ124" s="19" t="s">
        <v>369</v>
      </c>
      <c r="EA124" s="19" t="s">
        <v>370</v>
      </c>
      <c r="EB124" s="19" t="s">
        <v>370</v>
      </c>
      <c r="EC124" s="19" t="s">
        <v>370</v>
      </c>
      <c r="ED124" s="19" t="s">
        <v>370</v>
      </c>
      <c r="EE124" s="19" t="s">
        <v>370</v>
      </c>
      <c r="EF124" s="19" t="s">
        <v>371</v>
      </c>
      <c r="EG124" s="19" t="s">
        <v>369</v>
      </c>
      <c r="EH124" s="19" t="s">
        <v>399</v>
      </c>
      <c r="EI124" s="19" t="s">
        <v>399</v>
      </c>
      <c r="EJ124" s="19" t="s">
        <v>399</v>
      </c>
      <c r="EK124" s="19" t="s">
        <v>399</v>
      </c>
      <c r="EL124" s="19" t="s">
        <v>373</v>
      </c>
      <c r="EM124" s="19" t="s">
        <v>424</v>
      </c>
      <c r="EN124" s="19" t="s">
        <v>374</v>
      </c>
      <c r="EO124" s="19"/>
      <c r="EP124" s="19"/>
      <c r="EQ124" s="19" t="s">
        <v>376</v>
      </c>
      <c r="ER124" s="19" t="s">
        <v>376</v>
      </c>
      <c r="ES124" s="19" t="s">
        <v>375</v>
      </c>
      <c r="ET124" s="19" t="s">
        <v>375</v>
      </c>
      <c r="EU124" s="19" t="s">
        <v>378</v>
      </c>
      <c r="EV124" s="19" t="s">
        <v>400</v>
      </c>
      <c r="EW124" s="19"/>
      <c r="EX124" s="19" t="s">
        <v>368</v>
      </c>
      <c r="EY124" s="19" t="s">
        <v>368</v>
      </c>
      <c r="EZ124" s="19" t="s">
        <v>368</v>
      </c>
      <c r="FA124" s="19" t="s">
        <v>345</v>
      </c>
      <c r="FB124" s="19" t="s">
        <v>401</v>
      </c>
      <c r="FC124" s="19"/>
      <c r="FD124" s="19" t="s">
        <v>401</v>
      </c>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t="s">
        <v>368</v>
      </c>
      <c r="GB124" s="19" t="s">
        <v>368</v>
      </c>
      <c r="GC124" s="19" t="s">
        <v>368</v>
      </c>
      <c r="GD124" s="19" t="s">
        <v>368</v>
      </c>
      <c r="GE124" s="19" t="s">
        <v>368</v>
      </c>
      <c r="GF124" s="19" t="s">
        <v>368</v>
      </c>
      <c r="GG124" s="19"/>
      <c r="GH124" s="19"/>
      <c r="GI124" s="19"/>
      <c r="GJ124" s="19"/>
      <c r="GK124" s="19"/>
      <c r="GL124" s="19" t="s">
        <v>344</v>
      </c>
      <c r="GM124" s="19" t="s">
        <v>344</v>
      </c>
      <c r="GN124" s="19" t="s">
        <v>344</v>
      </c>
      <c r="GO124" s="19" t="s">
        <v>344</v>
      </c>
      <c r="GP124" s="19" t="s">
        <v>344</v>
      </c>
      <c r="GQ124" s="19" t="s">
        <v>344</v>
      </c>
      <c r="GR124" s="19" t="s">
        <v>344</v>
      </c>
      <c r="GS124" s="19" t="s">
        <v>344</v>
      </c>
      <c r="GT124" s="19" t="s">
        <v>344</v>
      </c>
      <c r="GU124" s="19" t="s">
        <v>344</v>
      </c>
      <c r="GV124" s="19" t="s">
        <v>344</v>
      </c>
      <c r="GW124" s="19" t="s">
        <v>344</v>
      </c>
      <c r="GX124" s="19" t="s">
        <v>344</v>
      </c>
      <c r="GY124" s="19" t="s">
        <v>344</v>
      </c>
      <c r="GZ124" s="19" t="s">
        <v>345</v>
      </c>
      <c r="HA124" s="19"/>
      <c r="HB124" s="19" t="s">
        <v>344</v>
      </c>
      <c r="HC124" s="19"/>
      <c r="HD124" s="19" t="s">
        <v>344</v>
      </c>
      <c r="HE124" s="19"/>
      <c r="HF124" s="19" t="s">
        <v>344</v>
      </c>
      <c r="HG124" s="19"/>
      <c r="HH124" s="19" t="s">
        <v>344</v>
      </c>
      <c r="HI124" s="19"/>
      <c r="HJ124" s="19" t="s">
        <v>344</v>
      </c>
      <c r="HK124" s="19" t="s">
        <v>344</v>
      </c>
      <c r="HL124" s="19" t="s">
        <v>344</v>
      </c>
      <c r="HM124" s="19" t="s">
        <v>345</v>
      </c>
      <c r="HN124" s="19" t="s">
        <v>344</v>
      </c>
      <c r="HO124" s="19" t="s">
        <v>344</v>
      </c>
      <c r="HP124" s="19" t="s">
        <v>344</v>
      </c>
      <c r="HQ124" s="19" t="s">
        <v>344</v>
      </c>
      <c r="HR124" s="19" t="s">
        <v>344</v>
      </c>
      <c r="HS124" s="19" t="s">
        <v>344</v>
      </c>
      <c r="HT124" s="19" t="s">
        <v>344</v>
      </c>
      <c r="HU124" s="19" t="s">
        <v>345</v>
      </c>
      <c r="HV124" s="19" t="s">
        <v>344</v>
      </c>
      <c r="HW124" s="19" t="s">
        <v>344</v>
      </c>
      <c r="HX124" s="19" t="s">
        <v>344</v>
      </c>
      <c r="HY124" s="19"/>
      <c r="HZ124" s="19" t="s">
        <v>345</v>
      </c>
      <c r="IA124" s="19" t="s">
        <v>948</v>
      </c>
      <c r="IB124" s="19" t="s">
        <v>344</v>
      </c>
      <c r="IC124" s="19"/>
      <c r="ID124" s="19" t="s">
        <v>344</v>
      </c>
      <c r="IE124" s="19"/>
      <c r="IF124" s="19" t="s">
        <v>344</v>
      </c>
      <c r="IG124" s="19"/>
      <c r="IH124" s="19" t="s">
        <v>345</v>
      </c>
      <c r="II124" s="19" t="s">
        <v>345</v>
      </c>
      <c r="IJ124" s="19" t="s">
        <v>344</v>
      </c>
      <c r="IK124" s="19" t="s">
        <v>344</v>
      </c>
      <c r="IL124" s="19" t="s">
        <v>345</v>
      </c>
      <c r="IM124" s="19" t="s">
        <v>344</v>
      </c>
      <c r="IN124" s="19" t="s">
        <v>344</v>
      </c>
      <c r="IO124" s="19" t="s">
        <v>345</v>
      </c>
      <c r="IP124" s="19" t="s">
        <v>344</v>
      </c>
      <c r="IQ124" s="19" t="s">
        <v>344</v>
      </c>
      <c r="IR124" s="19" t="s">
        <v>344</v>
      </c>
      <c r="IS124" s="19" t="s">
        <v>344</v>
      </c>
      <c r="IT124" s="19"/>
      <c r="IU124" s="19" t="s">
        <v>949</v>
      </c>
      <c r="IV124" s="19"/>
      <c r="IW124" s="19"/>
      <c r="IX124" s="19"/>
      <c r="IY124" s="19"/>
      <c r="IZ124" s="19"/>
      <c r="JA124" s="19"/>
      <c r="JB124" s="19"/>
      <c r="JC124" s="19"/>
      <c r="JD124" s="19"/>
      <c r="JE124" s="19"/>
      <c r="JF124" s="19"/>
      <c r="JG124" s="19"/>
      <c r="JH124" s="19"/>
    </row>
    <row r="125" spans="1:268" x14ac:dyDescent="0.3">
      <c r="A125" s="19" t="s">
        <v>727</v>
      </c>
      <c r="B125" s="19">
        <v>218</v>
      </c>
      <c r="C125" s="19" t="s">
        <v>950</v>
      </c>
      <c r="D125" s="19">
        <v>14</v>
      </c>
      <c r="E125" s="19" t="s">
        <v>387</v>
      </c>
      <c r="F125" s="19">
        <v>1779699892</v>
      </c>
      <c r="G125" s="19" t="s">
        <v>951</v>
      </c>
      <c r="H125" s="19" t="s">
        <v>950</v>
      </c>
      <c r="I125" s="19" t="s">
        <v>932</v>
      </c>
      <c r="J125" s="19">
        <v>16</v>
      </c>
      <c r="K125" s="19" t="s">
        <v>389</v>
      </c>
      <c r="L125" s="19"/>
      <c r="M125" s="19" t="s">
        <v>345</v>
      </c>
      <c r="N125" s="19" t="s">
        <v>344</v>
      </c>
      <c r="O125" s="19" t="s">
        <v>344</v>
      </c>
      <c r="P125" s="19" t="s">
        <v>344</v>
      </c>
      <c r="Q125" s="19" t="s">
        <v>344</v>
      </c>
      <c r="R125" s="19"/>
      <c r="S125" s="19" t="s">
        <v>475</v>
      </c>
      <c r="T125" s="19"/>
      <c r="U125" s="19" t="s">
        <v>347</v>
      </c>
      <c r="V125" s="19"/>
      <c r="W125" s="19" t="s">
        <v>344</v>
      </c>
      <c r="X125" s="19" t="s">
        <v>345</v>
      </c>
      <c r="Y125" s="19" t="s">
        <v>345</v>
      </c>
      <c r="Z125" s="19" t="s">
        <v>345</v>
      </c>
      <c r="AA125" s="19" t="s">
        <v>344</v>
      </c>
      <c r="AB125" s="19" t="s">
        <v>344</v>
      </c>
      <c r="AC125" s="19" t="s">
        <v>344</v>
      </c>
      <c r="AD125" s="19" t="s">
        <v>345</v>
      </c>
      <c r="AE125" s="19" t="s">
        <v>344</v>
      </c>
      <c r="AF125" s="19" t="s">
        <v>344</v>
      </c>
      <c r="AG125" s="19" t="s">
        <v>344</v>
      </c>
      <c r="AH125" s="19" t="s">
        <v>344</v>
      </c>
      <c r="AI125" s="19" t="s">
        <v>344</v>
      </c>
      <c r="AJ125" s="19" t="s">
        <v>344</v>
      </c>
      <c r="AK125" s="19" t="s">
        <v>344</v>
      </c>
      <c r="AL125" s="19" t="s">
        <v>344</v>
      </c>
      <c r="AM125" s="19" t="s">
        <v>345</v>
      </c>
      <c r="AN125" s="19" t="s">
        <v>344</v>
      </c>
      <c r="AO125" s="19" t="s">
        <v>344</v>
      </c>
      <c r="AP125" s="19" t="s">
        <v>345</v>
      </c>
      <c r="AQ125" s="19" t="s">
        <v>344</v>
      </c>
      <c r="AR125" s="19" t="s">
        <v>344</v>
      </c>
      <c r="AS125" s="19" t="s">
        <v>345</v>
      </c>
      <c r="AT125" s="19" t="s">
        <v>344</v>
      </c>
      <c r="AU125" s="19" t="s">
        <v>344</v>
      </c>
      <c r="AV125" s="19" t="s">
        <v>344</v>
      </c>
      <c r="AW125" s="19" t="s">
        <v>345</v>
      </c>
      <c r="AX125" s="19" t="s">
        <v>344</v>
      </c>
      <c r="AY125" s="19" t="s">
        <v>731</v>
      </c>
      <c r="AZ125" s="19" t="s">
        <v>737</v>
      </c>
      <c r="BA125" s="19" t="s">
        <v>732</v>
      </c>
      <c r="BB125" s="19" t="s">
        <v>731</v>
      </c>
      <c r="BC125" s="19" t="s">
        <v>731</v>
      </c>
      <c r="BD125" s="19" t="s">
        <v>731</v>
      </c>
      <c r="BE125" s="19" t="s">
        <v>349</v>
      </c>
      <c r="BF125" s="19" t="s">
        <v>349</v>
      </c>
      <c r="BG125" s="19" t="s">
        <v>349</v>
      </c>
      <c r="BH125" s="19" t="s">
        <v>349</v>
      </c>
      <c r="BI125" s="19" t="s">
        <v>348</v>
      </c>
      <c r="BJ125" s="19" t="s">
        <v>391</v>
      </c>
      <c r="BK125" s="19" t="s">
        <v>391</v>
      </c>
      <c r="BL125" s="19" t="s">
        <v>391</v>
      </c>
      <c r="BM125" s="19" t="s">
        <v>391</v>
      </c>
      <c r="BN125" s="19" t="s">
        <v>391</v>
      </c>
      <c r="BO125" s="19" t="s">
        <v>391</v>
      </c>
      <c r="BP125" s="19" t="s">
        <v>391</v>
      </c>
      <c r="BQ125" s="19" t="s">
        <v>407</v>
      </c>
      <c r="BR125" s="19" t="s">
        <v>367</v>
      </c>
      <c r="BS125" s="19" t="s">
        <v>391</v>
      </c>
      <c r="BT125" s="19" t="s">
        <v>391</v>
      </c>
      <c r="BU125" s="19" t="s">
        <v>391</v>
      </c>
      <c r="BV125" s="19" t="s">
        <v>391</v>
      </c>
      <c r="BW125" s="19" t="s">
        <v>391</v>
      </c>
      <c r="BX125" s="19" t="s">
        <v>391</v>
      </c>
      <c r="BY125" s="19" t="s">
        <v>391</v>
      </c>
      <c r="BZ125" s="19" t="s">
        <v>391</v>
      </c>
      <c r="CA125" s="19" t="s">
        <v>391</v>
      </c>
      <c r="CB125" s="19" t="s">
        <v>391</v>
      </c>
      <c r="CC125" s="19" t="s">
        <v>391</v>
      </c>
      <c r="CD125" s="19" t="s">
        <v>391</v>
      </c>
      <c r="CE125" s="19" t="s">
        <v>391</v>
      </c>
      <c r="CF125" s="19" t="s">
        <v>391</v>
      </c>
      <c r="CG125" s="19" t="s">
        <v>393</v>
      </c>
      <c r="CH125" s="19" t="s">
        <v>421</v>
      </c>
      <c r="CI125" s="19" t="s">
        <v>420</v>
      </c>
      <c r="CJ125" s="19" t="s">
        <v>393</v>
      </c>
      <c r="CK125" s="19" t="s">
        <v>391</v>
      </c>
      <c r="CL125" s="19" t="s">
        <v>344</v>
      </c>
      <c r="CM125" s="19" t="s">
        <v>344</v>
      </c>
      <c r="CN125" s="19" t="s">
        <v>344</v>
      </c>
      <c r="CO125" s="19" t="s">
        <v>344</v>
      </c>
      <c r="CP125" s="19" t="s">
        <v>345</v>
      </c>
      <c r="CQ125" s="19" t="s">
        <v>344</v>
      </c>
      <c r="CR125" s="19" t="s">
        <v>655</v>
      </c>
      <c r="CS125" s="19">
        <v>40</v>
      </c>
      <c r="CT125" s="19">
        <v>100</v>
      </c>
      <c r="CU125" s="19"/>
      <c r="CV125" s="19"/>
      <c r="CW125" s="19" t="s">
        <v>395</v>
      </c>
      <c r="CX125" s="19" t="s">
        <v>396</v>
      </c>
      <c r="CY125" s="19" t="s">
        <v>395</v>
      </c>
      <c r="CZ125" s="19" t="s">
        <v>397</v>
      </c>
      <c r="DA125" s="19" t="s">
        <v>397</v>
      </c>
      <c r="DB125" s="19" t="s">
        <v>397</v>
      </c>
      <c r="DC125" s="19" t="s">
        <v>397</v>
      </c>
      <c r="DD125" s="19" t="s">
        <v>366</v>
      </c>
      <c r="DE125" s="19"/>
      <c r="DF125" s="19"/>
      <c r="DG125" s="19"/>
      <c r="DH125" s="19"/>
      <c r="DI125" s="19"/>
      <c r="DJ125" s="19" t="s">
        <v>952</v>
      </c>
      <c r="DK125" s="19" t="s">
        <v>367</v>
      </c>
      <c r="DL125" s="19" t="s">
        <v>368</v>
      </c>
      <c r="DM125" s="19" t="s">
        <v>368</v>
      </c>
      <c r="DN125" s="19" t="s">
        <v>368</v>
      </c>
      <c r="DO125" s="19" t="s">
        <v>368</v>
      </c>
      <c r="DP125" s="19" t="s">
        <v>344</v>
      </c>
      <c r="DQ125" s="19" t="s">
        <v>345</v>
      </c>
      <c r="DR125" s="19" t="s">
        <v>344</v>
      </c>
      <c r="DS125" s="19" t="s">
        <v>344</v>
      </c>
      <c r="DT125" s="19" t="s">
        <v>368</v>
      </c>
      <c r="DU125" s="19" t="s">
        <v>368</v>
      </c>
      <c r="DV125" s="19" t="s">
        <v>368</v>
      </c>
      <c r="DW125" s="19" t="s">
        <v>345</v>
      </c>
      <c r="DX125" s="19" t="s">
        <v>370</v>
      </c>
      <c r="DY125" s="19" t="s">
        <v>370</v>
      </c>
      <c r="DZ125" s="19" t="s">
        <v>370</v>
      </c>
      <c r="EA125" s="19" t="s">
        <v>370</v>
      </c>
      <c r="EB125" s="19" t="s">
        <v>370</v>
      </c>
      <c r="EC125" s="19" t="s">
        <v>370</v>
      </c>
      <c r="ED125" s="19" t="s">
        <v>370</v>
      </c>
      <c r="EE125" s="19" t="s">
        <v>369</v>
      </c>
      <c r="EF125" s="19" t="s">
        <v>369</v>
      </c>
      <c r="EG125" s="19" t="s">
        <v>369</v>
      </c>
      <c r="EH125" s="19" t="s">
        <v>369</v>
      </c>
      <c r="EI125" s="19" t="s">
        <v>369</v>
      </c>
      <c r="EJ125" s="19" t="s">
        <v>369</v>
      </c>
      <c r="EK125" s="19" t="s">
        <v>399</v>
      </c>
      <c r="EL125" s="19" t="s">
        <v>372</v>
      </c>
      <c r="EM125" s="19" t="s">
        <v>373</v>
      </c>
      <c r="EN125" s="19" t="s">
        <v>374</v>
      </c>
      <c r="EO125" s="19"/>
      <c r="EP125" s="19"/>
      <c r="EQ125" s="19" t="s">
        <v>376</v>
      </c>
      <c r="ER125" s="19" t="s">
        <v>376</v>
      </c>
      <c r="ES125" s="19" t="s">
        <v>375</v>
      </c>
      <c r="ET125" s="19" t="s">
        <v>378</v>
      </c>
      <c r="EU125" s="19" t="s">
        <v>378</v>
      </c>
      <c r="EV125" s="19" t="s">
        <v>400</v>
      </c>
      <c r="EW125" s="19"/>
      <c r="EX125" s="19" t="s">
        <v>368</v>
      </c>
      <c r="EY125" s="19" t="s">
        <v>368</v>
      </c>
      <c r="EZ125" s="19" t="s">
        <v>368</v>
      </c>
      <c r="FA125" s="19" t="s">
        <v>345</v>
      </c>
      <c r="FB125" s="19" t="s">
        <v>401</v>
      </c>
      <c r="FC125" s="19"/>
      <c r="FD125" s="19" t="s">
        <v>401</v>
      </c>
      <c r="FE125" s="19"/>
      <c r="FF125" s="19" t="s">
        <v>431</v>
      </c>
      <c r="FG125" s="19" t="s">
        <v>441</v>
      </c>
      <c r="FH125" s="19" t="s">
        <v>432</v>
      </c>
      <c r="FI125" s="19" t="s">
        <v>433</v>
      </c>
      <c r="FJ125" s="19"/>
      <c r="FK125" s="19"/>
      <c r="FL125" s="19"/>
      <c r="FM125" s="19"/>
      <c r="FN125" s="19"/>
      <c r="FO125" s="19"/>
      <c r="FP125" s="19"/>
      <c r="FQ125" s="19"/>
      <c r="FR125" s="19"/>
      <c r="FS125" s="19"/>
      <c r="FT125" s="19"/>
      <c r="FU125" s="19"/>
      <c r="FV125" s="19"/>
      <c r="FW125" s="19"/>
      <c r="FX125" s="19"/>
      <c r="FY125" s="19"/>
      <c r="FZ125" s="19"/>
      <c r="GA125" s="19" t="s">
        <v>368</v>
      </c>
      <c r="GB125" s="19" t="s">
        <v>368</v>
      </c>
      <c r="GC125" s="19" t="s">
        <v>368</v>
      </c>
      <c r="GD125" s="19" t="s">
        <v>368</v>
      </c>
      <c r="GE125" s="19" t="s">
        <v>368</v>
      </c>
      <c r="GF125" s="19" t="s">
        <v>368</v>
      </c>
      <c r="GG125" s="19"/>
      <c r="GH125" s="19"/>
      <c r="GI125" s="19"/>
      <c r="GJ125" s="19"/>
      <c r="GK125" s="19"/>
      <c r="GL125" s="19" t="s">
        <v>344</v>
      </c>
      <c r="GM125" s="19" t="s">
        <v>344</v>
      </c>
      <c r="GN125" s="19" t="s">
        <v>344</v>
      </c>
      <c r="GO125" s="19" t="s">
        <v>344</v>
      </c>
      <c r="GP125" s="19" t="s">
        <v>344</v>
      </c>
      <c r="GQ125" s="19" t="s">
        <v>344</v>
      </c>
      <c r="GR125" s="19" t="s">
        <v>344</v>
      </c>
      <c r="GS125" s="19" t="s">
        <v>344</v>
      </c>
      <c r="GT125" s="19" t="s">
        <v>344</v>
      </c>
      <c r="GU125" s="19" t="s">
        <v>344</v>
      </c>
      <c r="GV125" s="19" t="s">
        <v>344</v>
      </c>
      <c r="GW125" s="19" t="s">
        <v>344</v>
      </c>
      <c r="GX125" s="19" t="s">
        <v>344</v>
      </c>
      <c r="GY125" s="19" t="s">
        <v>344</v>
      </c>
      <c r="GZ125" s="19" t="s">
        <v>345</v>
      </c>
      <c r="HA125" s="19"/>
      <c r="HB125" s="19" t="s">
        <v>344</v>
      </c>
      <c r="HC125" s="19"/>
      <c r="HD125" s="19" t="s">
        <v>344</v>
      </c>
      <c r="HE125" s="19"/>
      <c r="HF125" s="19" t="s">
        <v>344</v>
      </c>
      <c r="HG125" s="19"/>
      <c r="HH125" s="19" t="s">
        <v>344</v>
      </c>
      <c r="HI125" s="19"/>
      <c r="HJ125" s="19" t="s">
        <v>344</v>
      </c>
      <c r="HK125" s="19" t="s">
        <v>344</v>
      </c>
      <c r="HL125" s="19" t="s">
        <v>344</v>
      </c>
      <c r="HM125" s="19" t="s">
        <v>344</v>
      </c>
      <c r="HN125" s="19" t="s">
        <v>344</v>
      </c>
      <c r="HO125" s="19" t="s">
        <v>344</v>
      </c>
      <c r="HP125" s="19" t="s">
        <v>344</v>
      </c>
      <c r="HQ125" s="19" t="s">
        <v>344</v>
      </c>
      <c r="HR125" s="19" t="s">
        <v>344</v>
      </c>
      <c r="HS125" s="19" t="s">
        <v>344</v>
      </c>
      <c r="HT125" s="19" t="s">
        <v>344</v>
      </c>
      <c r="HU125" s="19" t="s">
        <v>344</v>
      </c>
      <c r="HV125" s="19" t="s">
        <v>344</v>
      </c>
      <c r="HW125" s="19" t="s">
        <v>344</v>
      </c>
      <c r="HX125" s="19" t="s">
        <v>345</v>
      </c>
      <c r="HY125" s="19"/>
      <c r="HZ125" s="19" t="s">
        <v>344</v>
      </c>
      <c r="IA125" s="19"/>
      <c r="IB125" s="19" t="s">
        <v>344</v>
      </c>
      <c r="IC125" s="19"/>
      <c r="ID125" s="19" t="s">
        <v>344</v>
      </c>
      <c r="IE125" s="19"/>
      <c r="IF125" s="19" t="s">
        <v>344</v>
      </c>
      <c r="IG125" s="19"/>
      <c r="IH125" s="19" t="s">
        <v>345</v>
      </c>
      <c r="II125" s="19" t="s">
        <v>345</v>
      </c>
      <c r="IJ125" s="19" t="s">
        <v>344</v>
      </c>
      <c r="IK125" s="19" t="s">
        <v>344</v>
      </c>
      <c r="IL125" s="19" t="s">
        <v>345</v>
      </c>
      <c r="IM125" s="19" t="s">
        <v>344</v>
      </c>
      <c r="IN125" s="19" t="s">
        <v>344</v>
      </c>
      <c r="IO125" s="19" t="s">
        <v>345</v>
      </c>
      <c r="IP125" s="19" t="s">
        <v>345</v>
      </c>
      <c r="IQ125" s="19" t="s">
        <v>344</v>
      </c>
      <c r="IR125" s="19" t="s">
        <v>344</v>
      </c>
      <c r="IS125" s="19" t="s">
        <v>344</v>
      </c>
      <c r="IT125" s="19"/>
      <c r="IU125" s="19"/>
      <c r="IV125" s="19"/>
      <c r="IW125" s="19"/>
      <c r="IX125" s="19"/>
      <c r="IY125" s="19"/>
      <c r="IZ125" s="19"/>
      <c r="JA125" s="19"/>
      <c r="JB125" s="19"/>
      <c r="JC125" s="19"/>
      <c r="JD125" s="19"/>
      <c r="JE125" s="19"/>
      <c r="JF125" s="19"/>
      <c r="JG125" s="19"/>
      <c r="JH125" s="19"/>
    </row>
    <row r="126" spans="1:268" x14ac:dyDescent="0.3">
      <c r="A126" s="19" t="s">
        <v>727</v>
      </c>
      <c r="B126" s="19">
        <v>220</v>
      </c>
      <c r="C126" s="19" t="s">
        <v>953</v>
      </c>
      <c r="D126" s="19">
        <v>14</v>
      </c>
      <c r="E126" s="19" t="s">
        <v>387</v>
      </c>
      <c r="F126" s="19">
        <v>576000968</v>
      </c>
      <c r="G126" s="19" t="s">
        <v>954</v>
      </c>
      <c r="H126" s="19" t="s">
        <v>953</v>
      </c>
      <c r="I126" s="19" t="s">
        <v>932</v>
      </c>
      <c r="J126" s="19">
        <v>17</v>
      </c>
      <c r="K126" s="19" t="s">
        <v>389</v>
      </c>
      <c r="L126" s="19"/>
      <c r="M126" s="19" t="s">
        <v>345</v>
      </c>
      <c r="N126" s="19" t="s">
        <v>344</v>
      </c>
      <c r="O126" s="19" t="s">
        <v>344</v>
      </c>
      <c r="P126" s="19" t="s">
        <v>344</v>
      </c>
      <c r="Q126" s="19" t="s">
        <v>344</v>
      </c>
      <c r="R126" s="19"/>
      <c r="S126" s="19" t="s">
        <v>346</v>
      </c>
      <c r="T126" s="19"/>
      <c r="U126" s="19" t="s">
        <v>347</v>
      </c>
      <c r="V126" s="19"/>
      <c r="W126" s="19" t="s">
        <v>345</v>
      </c>
      <c r="X126" s="19" t="s">
        <v>344</v>
      </c>
      <c r="Y126" s="19" t="s">
        <v>344</v>
      </c>
      <c r="Z126" s="19" t="s">
        <v>344</v>
      </c>
      <c r="AA126" s="19" t="s">
        <v>345</v>
      </c>
      <c r="AB126" s="19" t="s">
        <v>345</v>
      </c>
      <c r="AC126" s="19" t="s">
        <v>344</v>
      </c>
      <c r="AD126" s="19" t="s">
        <v>344</v>
      </c>
      <c r="AE126" s="19" t="s">
        <v>345</v>
      </c>
      <c r="AF126" s="19" t="s">
        <v>345</v>
      </c>
      <c r="AG126" s="19" t="s">
        <v>344</v>
      </c>
      <c r="AH126" s="19" t="s">
        <v>344</v>
      </c>
      <c r="AI126" s="19" t="s">
        <v>345</v>
      </c>
      <c r="AJ126" s="19" t="s">
        <v>344</v>
      </c>
      <c r="AK126" s="19" t="s">
        <v>345</v>
      </c>
      <c r="AL126" s="19" t="s">
        <v>345</v>
      </c>
      <c r="AM126" s="19" t="s">
        <v>344</v>
      </c>
      <c r="AN126" s="19" t="s">
        <v>344</v>
      </c>
      <c r="AO126" s="19" t="s">
        <v>345</v>
      </c>
      <c r="AP126" s="19" t="s">
        <v>344</v>
      </c>
      <c r="AQ126" s="19" t="s">
        <v>344</v>
      </c>
      <c r="AR126" s="19" t="s">
        <v>345</v>
      </c>
      <c r="AS126" s="19" t="s">
        <v>345</v>
      </c>
      <c r="AT126" s="19" t="s">
        <v>344</v>
      </c>
      <c r="AU126" s="19" t="s">
        <v>344</v>
      </c>
      <c r="AV126" s="19" t="s">
        <v>345</v>
      </c>
      <c r="AW126" s="19" t="s">
        <v>344</v>
      </c>
      <c r="AX126" s="19" t="s">
        <v>344</v>
      </c>
      <c r="AY126" s="19" t="s">
        <v>391</v>
      </c>
      <c r="AZ126" s="19" t="s">
        <v>733</v>
      </c>
      <c r="BA126" s="19" t="s">
        <v>731</v>
      </c>
      <c r="BB126" s="19" t="s">
        <v>731</v>
      </c>
      <c r="BC126" s="19" t="s">
        <v>731</v>
      </c>
      <c r="BD126" s="19" t="s">
        <v>731</v>
      </c>
      <c r="BE126" s="19" t="s">
        <v>348</v>
      </c>
      <c r="BF126" s="19" t="s">
        <v>350</v>
      </c>
      <c r="BG126" s="19" t="s">
        <v>349</v>
      </c>
      <c r="BH126" s="19" t="s">
        <v>348</v>
      </c>
      <c r="BI126" s="19" t="s">
        <v>350</v>
      </c>
      <c r="BJ126" s="19" t="s">
        <v>351</v>
      </c>
      <c r="BK126" s="19" t="s">
        <v>355</v>
      </c>
      <c r="BL126" s="19" t="s">
        <v>357</v>
      </c>
      <c r="BM126" s="19" t="s">
        <v>352</v>
      </c>
      <c r="BN126" s="19" t="s">
        <v>354</v>
      </c>
      <c r="BO126" s="19" t="s">
        <v>356</v>
      </c>
      <c r="BP126" s="19" t="s">
        <v>353</v>
      </c>
      <c r="BQ126" s="19" t="s">
        <v>419</v>
      </c>
      <c r="BR126" s="19" t="s">
        <v>367</v>
      </c>
      <c r="BS126" s="19" t="s">
        <v>354</v>
      </c>
      <c r="BT126" s="19" t="s">
        <v>357</v>
      </c>
      <c r="BU126" s="19" t="s">
        <v>356</v>
      </c>
      <c r="BV126" s="19" t="s">
        <v>353</v>
      </c>
      <c r="BW126" s="19" t="s">
        <v>352</v>
      </c>
      <c r="BX126" s="19" t="s">
        <v>355</v>
      </c>
      <c r="BY126" s="19" t="s">
        <v>351</v>
      </c>
      <c r="BZ126" s="19" t="s">
        <v>357</v>
      </c>
      <c r="CA126" s="19" t="s">
        <v>353</v>
      </c>
      <c r="CB126" s="19" t="s">
        <v>355</v>
      </c>
      <c r="CC126" s="19" t="s">
        <v>354</v>
      </c>
      <c r="CD126" s="19" t="s">
        <v>356</v>
      </c>
      <c r="CE126" s="19" t="s">
        <v>351</v>
      </c>
      <c r="CF126" s="19" t="s">
        <v>352</v>
      </c>
      <c r="CG126" s="19" t="s">
        <v>393</v>
      </c>
      <c r="CH126" s="19" t="s">
        <v>421</v>
      </c>
      <c r="CI126" s="19" t="s">
        <v>392</v>
      </c>
      <c r="CJ126" s="19" t="s">
        <v>392</v>
      </c>
      <c r="CK126" s="19" t="s">
        <v>391</v>
      </c>
      <c r="CL126" s="19" t="s">
        <v>344</v>
      </c>
      <c r="CM126" s="19" t="s">
        <v>344</v>
      </c>
      <c r="CN126" s="19" t="s">
        <v>345</v>
      </c>
      <c r="CO126" s="19" t="s">
        <v>344</v>
      </c>
      <c r="CP126" s="19" t="s">
        <v>345</v>
      </c>
      <c r="CQ126" s="19" t="s">
        <v>345</v>
      </c>
      <c r="CR126" s="19" t="s">
        <v>655</v>
      </c>
      <c r="CS126" s="19">
        <v>25</v>
      </c>
      <c r="CT126" s="19">
        <v>100</v>
      </c>
      <c r="CU126" s="19"/>
      <c r="CV126" s="19"/>
      <c r="CW126" s="19" t="s">
        <v>396</v>
      </c>
      <c r="CX126" s="19" t="s">
        <v>396</v>
      </c>
      <c r="CY126" s="19" t="s">
        <v>396</v>
      </c>
      <c r="CZ126" s="19" t="s">
        <v>397</v>
      </c>
      <c r="DA126" s="19" t="s">
        <v>397</v>
      </c>
      <c r="DB126" s="19" t="s">
        <v>397</v>
      </c>
      <c r="DC126" s="19" t="s">
        <v>366</v>
      </c>
      <c r="DD126" s="19" t="s">
        <v>366</v>
      </c>
      <c r="DE126" s="19"/>
      <c r="DF126" s="19"/>
      <c r="DG126" s="19"/>
      <c r="DH126" s="19"/>
      <c r="DI126" s="19"/>
      <c r="DJ126" s="19" t="s">
        <v>955</v>
      </c>
      <c r="DK126" s="19" t="s">
        <v>367</v>
      </c>
      <c r="DL126" s="19" t="s">
        <v>368</v>
      </c>
      <c r="DM126" s="19" t="s">
        <v>368</v>
      </c>
      <c r="DN126" s="19" t="s">
        <v>368</v>
      </c>
      <c r="DO126" s="19" t="s">
        <v>368</v>
      </c>
      <c r="DP126" s="19" t="s">
        <v>344</v>
      </c>
      <c r="DQ126" s="19" t="s">
        <v>345</v>
      </c>
      <c r="DR126" s="19" t="s">
        <v>344</v>
      </c>
      <c r="DS126" s="19" t="s">
        <v>344</v>
      </c>
      <c r="DT126" s="19" t="s">
        <v>344</v>
      </c>
      <c r="DU126" s="19" t="s">
        <v>344</v>
      </c>
      <c r="DV126" s="19" t="s">
        <v>345</v>
      </c>
      <c r="DW126" s="19" t="s">
        <v>344</v>
      </c>
      <c r="DX126" s="19" t="s">
        <v>370</v>
      </c>
      <c r="DY126" s="19" t="s">
        <v>370</v>
      </c>
      <c r="DZ126" s="19" t="s">
        <v>370</v>
      </c>
      <c r="EA126" s="19" t="s">
        <v>370</v>
      </c>
      <c r="EB126" s="19" t="s">
        <v>370</v>
      </c>
      <c r="EC126" s="19" t="s">
        <v>370</v>
      </c>
      <c r="ED126" s="19" t="s">
        <v>370</v>
      </c>
      <c r="EE126" s="19" t="s">
        <v>369</v>
      </c>
      <c r="EF126" s="19" t="s">
        <v>398</v>
      </c>
      <c r="EG126" s="19" t="s">
        <v>369</v>
      </c>
      <c r="EH126" s="19" t="s">
        <v>371</v>
      </c>
      <c r="EI126" s="19" t="s">
        <v>369</v>
      </c>
      <c r="EJ126" s="19" t="s">
        <v>369</v>
      </c>
      <c r="EK126" s="19" t="s">
        <v>369</v>
      </c>
      <c r="EL126" s="19" t="s">
        <v>374</v>
      </c>
      <c r="EM126" s="19" t="s">
        <v>372</v>
      </c>
      <c r="EN126" s="19" t="s">
        <v>373</v>
      </c>
      <c r="EO126" s="19"/>
      <c r="EP126" s="19"/>
      <c r="EQ126" s="19" t="s">
        <v>411</v>
      </c>
      <c r="ER126" s="19" t="s">
        <v>411</v>
      </c>
      <c r="ES126" s="19" t="s">
        <v>376</v>
      </c>
      <c r="ET126" s="19" t="s">
        <v>376</v>
      </c>
      <c r="EU126" s="19" t="s">
        <v>375</v>
      </c>
      <c r="EV126" s="19" t="s">
        <v>400</v>
      </c>
      <c r="EW126" s="19"/>
      <c r="EX126" s="19" t="s">
        <v>368</v>
      </c>
      <c r="EY126" s="19" t="s">
        <v>368</v>
      </c>
      <c r="EZ126" s="19" t="s">
        <v>368</v>
      </c>
      <c r="FA126" s="19" t="s">
        <v>345</v>
      </c>
      <c r="FB126" s="19" t="s">
        <v>401</v>
      </c>
      <c r="FC126" s="19"/>
      <c r="FD126" s="19" t="s">
        <v>401</v>
      </c>
      <c r="FE126" s="19"/>
      <c r="FF126" s="19" t="s">
        <v>477</v>
      </c>
      <c r="FG126" s="19" t="s">
        <v>402</v>
      </c>
      <c r="FH126" s="19" t="s">
        <v>432</v>
      </c>
      <c r="FI126" s="19" t="s">
        <v>433</v>
      </c>
      <c r="FJ126" s="19"/>
      <c r="FK126" s="19"/>
      <c r="FL126" s="19"/>
      <c r="FM126" s="19"/>
      <c r="FN126" s="19"/>
      <c r="FO126" s="19"/>
      <c r="FP126" s="19"/>
      <c r="FQ126" s="19"/>
      <c r="FR126" s="19"/>
      <c r="FS126" s="19"/>
      <c r="FT126" s="19"/>
      <c r="FU126" s="19"/>
      <c r="FV126" s="19"/>
      <c r="FW126" s="19"/>
      <c r="FX126" s="19"/>
      <c r="FY126" s="19"/>
      <c r="FZ126" s="19"/>
      <c r="GA126" s="19" t="s">
        <v>368</v>
      </c>
      <c r="GB126" s="19" t="s">
        <v>368</v>
      </c>
      <c r="GC126" s="19" t="s">
        <v>368</v>
      </c>
      <c r="GD126" s="19" t="s">
        <v>368</v>
      </c>
      <c r="GE126" s="19" t="s">
        <v>368</v>
      </c>
      <c r="GF126" s="19" t="s">
        <v>368</v>
      </c>
      <c r="GG126" s="19"/>
      <c r="GH126" s="19"/>
      <c r="GI126" s="19"/>
      <c r="GJ126" s="19"/>
      <c r="GK126" s="19"/>
      <c r="GL126" s="19" t="s">
        <v>344</v>
      </c>
      <c r="GM126" s="19" t="s">
        <v>344</v>
      </c>
      <c r="GN126" s="19" t="s">
        <v>345</v>
      </c>
      <c r="GO126" s="19" t="s">
        <v>345</v>
      </c>
      <c r="GP126" s="19" t="s">
        <v>344</v>
      </c>
      <c r="GQ126" s="19" t="s">
        <v>344</v>
      </c>
      <c r="GR126" s="19" t="s">
        <v>344</v>
      </c>
      <c r="GS126" s="19" t="s">
        <v>344</v>
      </c>
      <c r="GT126" s="19" t="s">
        <v>344</v>
      </c>
      <c r="GU126" s="19" t="s">
        <v>344</v>
      </c>
      <c r="GV126" s="19" t="s">
        <v>344</v>
      </c>
      <c r="GW126" s="19" t="s">
        <v>344</v>
      </c>
      <c r="GX126" s="19" t="s">
        <v>344</v>
      </c>
      <c r="GY126" s="19" t="s">
        <v>344</v>
      </c>
      <c r="GZ126" s="19" t="s">
        <v>344</v>
      </c>
      <c r="HA126" s="19"/>
      <c r="HB126" s="19" t="s">
        <v>344</v>
      </c>
      <c r="HC126" s="19"/>
      <c r="HD126" s="19" t="s">
        <v>344</v>
      </c>
      <c r="HE126" s="19"/>
      <c r="HF126" s="19" t="s">
        <v>344</v>
      </c>
      <c r="HG126" s="19"/>
      <c r="HH126" s="19" t="s">
        <v>344</v>
      </c>
      <c r="HI126" s="19"/>
      <c r="HJ126" s="19" t="s">
        <v>344</v>
      </c>
      <c r="HK126" s="19" t="s">
        <v>344</v>
      </c>
      <c r="HL126" s="19" t="s">
        <v>344</v>
      </c>
      <c r="HM126" s="19" t="s">
        <v>344</v>
      </c>
      <c r="HN126" s="19" t="s">
        <v>344</v>
      </c>
      <c r="HO126" s="19" t="s">
        <v>344</v>
      </c>
      <c r="HP126" s="19" t="s">
        <v>344</v>
      </c>
      <c r="HQ126" s="19" t="s">
        <v>344</v>
      </c>
      <c r="HR126" s="19" t="s">
        <v>344</v>
      </c>
      <c r="HS126" s="19" t="s">
        <v>344</v>
      </c>
      <c r="HT126" s="19" t="s">
        <v>344</v>
      </c>
      <c r="HU126" s="19" t="s">
        <v>345</v>
      </c>
      <c r="HV126" s="19" t="s">
        <v>344</v>
      </c>
      <c r="HW126" s="19" t="s">
        <v>344</v>
      </c>
      <c r="HX126" s="19" t="s">
        <v>344</v>
      </c>
      <c r="HY126" s="19"/>
      <c r="HZ126" s="19" t="s">
        <v>344</v>
      </c>
      <c r="IA126" s="19"/>
      <c r="IB126" s="19" t="s">
        <v>344</v>
      </c>
      <c r="IC126" s="19"/>
      <c r="ID126" s="19" t="s">
        <v>344</v>
      </c>
      <c r="IE126" s="19"/>
      <c r="IF126" s="19" t="s">
        <v>344</v>
      </c>
      <c r="IG126" s="19"/>
      <c r="IH126" s="19" t="s">
        <v>345</v>
      </c>
      <c r="II126" s="19" t="s">
        <v>344</v>
      </c>
      <c r="IJ126" s="19" t="s">
        <v>344</v>
      </c>
      <c r="IK126" s="19" t="s">
        <v>344</v>
      </c>
      <c r="IL126" s="19" t="s">
        <v>345</v>
      </c>
      <c r="IM126" s="19" t="s">
        <v>344</v>
      </c>
      <c r="IN126" s="19" t="s">
        <v>344</v>
      </c>
      <c r="IO126" s="19" t="s">
        <v>345</v>
      </c>
      <c r="IP126" s="19" t="s">
        <v>344</v>
      </c>
      <c r="IQ126" s="19" t="s">
        <v>344</v>
      </c>
      <c r="IR126" s="19" t="s">
        <v>344</v>
      </c>
      <c r="IS126" s="19" t="s">
        <v>344</v>
      </c>
      <c r="IT126" s="19"/>
      <c r="IU126" s="19"/>
      <c r="IV126" s="19"/>
      <c r="IW126" s="19"/>
      <c r="IX126" s="19"/>
      <c r="IY126" s="19"/>
      <c r="IZ126" s="19"/>
      <c r="JA126" s="19"/>
      <c r="JB126" s="19"/>
      <c r="JC126" s="19"/>
      <c r="JD126" s="19"/>
      <c r="JE126" s="19"/>
      <c r="JF126" s="19"/>
      <c r="JG126" s="19"/>
      <c r="JH126" s="19"/>
    </row>
    <row r="127" spans="1:268" x14ac:dyDescent="0.3">
      <c r="A127" s="19" t="s">
        <v>727</v>
      </c>
      <c r="B127" s="19">
        <v>221</v>
      </c>
      <c r="C127" s="19" t="s">
        <v>956</v>
      </c>
      <c r="D127" s="19">
        <v>14</v>
      </c>
      <c r="E127" s="19" t="s">
        <v>387</v>
      </c>
      <c r="F127" s="19">
        <v>443656620</v>
      </c>
      <c r="G127" s="19" t="s">
        <v>957</v>
      </c>
      <c r="H127" s="19" t="s">
        <v>956</v>
      </c>
      <c r="I127" s="19" t="s">
        <v>932</v>
      </c>
      <c r="J127" s="19">
        <v>17</v>
      </c>
      <c r="K127" s="19" t="s">
        <v>389</v>
      </c>
      <c r="L127" s="19"/>
      <c r="M127" s="19" t="s">
        <v>345</v>
      </c>
      <c r="N127" s="19" t="s">
        <v>344</v>
      </c>
      <c r="O127" s="19" t="s">
        <v>344</v>
      </c>
      <c r="P127" s="19" t="s">
        <v>344</v>
      </c>
      <c r="Q127" s="19" t="s">
        <v>344</v>
      </c>
      <c r="R127" s="19"/>
      <c r="S127" s="19" t="s">
        <v>475</v>
      </c>
      <c r="T127" s="19"/>
      <c r="U127" s="19" t="s">
        <v>418</v>
      </c>
      <c r="V127" s="19"/>
      <c r="W127" s="19" t="s">
        <v>344</v>
      </c>
      <c r="X127" s="19" t="s">
        <v>345</v>
      </c>
      <c r="Y127" s="19" t="s">
        <v>344</v>
      </c>
      <c r="Z127" s="19" t="s">
        <v>344</v>
      </c>
      <c r="AA127" s="19" t="s">
        <v>344</v>
      </c>
      <c r="AB127" s="19" t="s">
        <v>344</v>
      </c>
      <c r="AC127" s="19" t="s">
        <v>344</v>
      </c>
      <c r="AD127" s="19" t="s">
        <v>344</v>
      </c>
      <c r="AE127" s="19" t="s">
        <v>344</v>
      </c>
      <c r="AF127" s="19" t="s">
        <v>344</v>
      </c>
      <c r="AG127" s="19" t="s">
        <v>345</v>
      </c>
      <c r="AH127" s="19" t="s">
        <v>344</v>
      </c>
      <c r="AI127" s="19" t="s">
        <v>345</v>
      </c>
      <c r="AJ127" s="19" t="s">
        <v>344</v>
      </c>
      <c r="AK127" s="19" t="s">
        <v>345</v>
      </c>
      <c r="AL127" s="19" t="s">
        <v>345</v>
      </c>
      <c r="AM127" s="19" t="s">
        <v>344</v>
      </c>
      <c r="AN127" s="19" t="s">
        <v>344</v>
      </c>
      <c r="AO127" s="19" t="s">
        <v>344</v>
      </c>
      <c r="AP127" s="19" t="s">
        <v>344</v>
      </c>
      <c r="AQ127" s="19" t="s">
        <v>344</v>
      </c>
      <c r="AR127" s="19" t="s">
        <v>344</v>
      </c>
      <c r="AS127" s="19" t="s">
        <v>345</v>
      </c>
      <c r="AT127" s="19" t="s">
        <v>344</v>
      </c>
      <c r="AU127" s="19" t="s">
        <v>345</v>
      </c>
      <c r="AV127" s="19" t="s">
        <v>344</v>
      </c>
      <c r="AW127" s="19" t="s">
        <v>345</v>
      </c>
      <c r="AX127" s="19" t="s">
        <v>344</v>
      </c>
      <c r="AY127" s="19" t="s">
        <v>391</v>
      </c>
      <c r="AZ127" s="19" t="s">
        <v>733</v>
      </c>
      <c r="BA127" s="19" t="s">
        <v>733</v>
      </c>
      <c r="BB127" s="19" t="s">
        <v>731</v>
      </c>
      <c r="BC127" s="19" t="s">
        <v>733</v>
      </c>
      <c r="BD127" s="19" t="s">
        <v>732</v>
      </c>
      <c r="BE127" s="19" t="s">
        <v>348</v>
      </c>
      <c r="BF127" s="19" t="s">
        <v>348</v>
      </c>
      <c r="BG127" s="19" t="s">
        <v>349</v>
      </c>
      <c r="BH127" s="19" t="s">
        <v>390</v>
      </c>
      <c r="BI127" s="19" t="s">
        <v>390</v>
      </c>
      <c r="BJ127" s="19" t="s">
        <v>352</v>
      </c>
      <c r="BK127" s="19" t="s">
        <v>391</v>
      </c>
      <c r="BL127" s="19" t="s">
        <v>391</v>
      </c>
      <c r="BM127" s="19" t="s">
        <v>352</v>
      </c>
      <c r="BN127" s="19" t="s">
        <v>391</v>
      </c>
      <c r="BO127" s="19" t="s">
        <v>391</v>
      </c>
      <c r="BP127" s="19" t="s">
        <v>352</v>
      </c>
      <c r="BQ127" s="19" t="s">
        <v>419</v>
      </c>
      <c r="BR127" s="19" t="s">
        <v>367</v>
      </c>
      <c r="BS127" s="19" t="s">
        <v>391</v>
      </c>
      <c r="BT127" s="19" t="s">
        <v>391</v>
      </c>
      <c r="BU127" s="19" t="s">
        <v>391</v>
      </c>
      <c r="BV127" s="19" t="s">
        <v>391</v>
      </c>
      <c r="BW127" s="19" t="s">
        <v>391</v>
      </c>
      <c r="BX127" s="19" t="s">
        <v>391</v>
      </c>
      <c r="BY127" s="19" t="s">
        <v>391</v>
      </c>
      <c r="BZ127" s="19" t="s">
        <v>391</v>
      </c>
      <c r="CA127" s="19" t="s">
        <v>391</v>
      </c>
      <c r="CB127" s="19" t="s">
        <v>391</v>
      </c>
      <c r="CC127" s="19" t="s">
        <v>391</v>
      </c>
      <c r="CD127" s="19" t="s">
        <v>391</v>
      </c>
      <c r="CE127" s="19" t="s">
        <v>391</v>
      </c>
      <c r="CF127" s="19" t="s">
        <v>391</v>
      </c>
      <c r="CG127" s="19" t="s">
        <v>392</v>
      </c>
      <c r="CH127" s="19" t="s">
        <v>421</v>
      </c>
      <c r="CI127" s="19" t="s">
        <v>392</v>
      </c>
      <c r="CJ127" s="19" t="s">
        <v>420</v>
      </c>
      <c r="CK127" s="19" t="s">
        <v>958</v>
      </c>
      <c r="CL127" s="19" t="s">
        <v>344</v>
      </c>
      <c r="CM127" s="19" t="s">
        <v>345</v>
      </c>
      <c r="CN127" s="19" t="s">
        <v>344</v>
      </c>
      <c r="CO127" s="19" t="s">
        <v>345</v>
      </c>
      <c r="CP127" s="19" t="s">
        <v>345</v>
      </c>
      <c r="CQ127" s="19" t="s">
        <v>344</v>
      </c>
      <c r="CR127" s="19" t="s">
        <v>667</v>
      </c>
      <c r="CS127" s="19">
        <v>68</v>
      </c>
      <c r="CT127" s="19">
        <v>90</v>
      </c>
      <c r="CU127" s="19"/>
      <c r="CV127" s="19"/>
      <c r="CW127" s="19" t="s">
        <v>396</v>
      </c>
      <c r="CX127" s="19" t="s">
        <v>396</v>
      </c>
      <c r="CY127" s="19" t="s">
        <v>395</v>
      </c>
      <c r="CZ127" s="19" t="s">
        <v>397</v>
      </c>
      <c r="DA127" s="19" t="s">
        <v>397</v>
      </c>
      <c r="DB127" s="19" t="s">
        <v>397</v>
      </c>
      <c r="DC127" s="19" t="s">
        <v>397</v>
      </c>
      <c r="DD127" s="19" t="s">
        <v>397</v>
      </c>
      <c r="DE127" s="19"/>
      <c r="DF127" s="19"/>
      <c r="DG127" s="19"/>
      <c r="DH127" s="19"/>
      <c r="DI127" s="19"/>
      <c r="DJ127" s="19"/>
      <c r="DK127" s="19" t="s">
        <v>367</v>
      </c>
      <c r="DL127" s="19" t="s">
        <v>368</v>
      </c>
      <c r="DM127" s="19" t="s">
        <v>368</v>
      </c>
      <c r="DN127" s="19" t="s">
        <v>368</v>
      </c>
      <c r="DO127" s="19" t="s">
        <v>368</v>
      </c>
      <c r="DP127" s="19" t="s">
        <v>345</v>
      </c>
      <c r="DQ127" s="19" t="s">
        <v>345</v>
      </c>
      <c r="DR127" s="19" t="s">
        <v>344</v>
      </c>
      <c r="DS127" s="19" t="s">
        <v>344</v>
      </c>
      <c r="DT127" s="19" t="s">
        <v>368</v>
      </c>
      <c r="DU127" s="19" t="s">
        <v>368</v>
      </c>
      <c r="DV127" s="19" t="s">
        <v>368</v>
      </c>
      <c r="DW127" s="19" t="s">
        <v>345</v>
      </c>
      <c r="DX127" s="19" t="s">
        <v>370</v>
      </c>
      <c r="DY127" s="19" t="s">
        <v>370</v>
      </c>
      <c r="DZ127" s="19" t="s">
        <v>370</v>
      </c>
      <c r="EA127" s="19" t="s">
        <v>370</v>
      </c>
      <c r="EB127" s="19" t="s">
        <v>370</v>
      </c>
      <c r="EC127" s="19" t="s">
        <v>370</v>
      </c>
      <c r="ED127" s="19" t="s">
        <v>370</v>
      </c>
      <c r="EE127" s="19" t="s">
        <v>369</v>
      </c>
      <c r="EF127" s="19" t="s">
        <v>399</v>
      </c>
      <c r="EG127" s="19" t="s">
        <v>369</v>
      </c>
      <c r="EH127" s="19" t="s">
        <v>369</v>
      </c>
      <c r="EI127" s="19" t="s">
        <v>369</v>
      </c>
      <c r="EJ127" s="19" t="s">
        <v>399</v>
      </c>
      <c r="EK127" s="19" t="s">
        <v>369</v>
      </c>
      <c r="EL127" s="19" t="s">
        <v>440</v>
      </c>
      <c r="EM127" s="19" t="s">
        <v>374</v>
      </c>
      <c r="EN127" s="19" t="s">
        <v>372</v>
      </c>
      <c r="EO127" s="19"/>
      <c r="EP127" s="19"/>
      <c r="EQ127" s="19" t="s">
        <v>411</v>
      </c>
      <c r="ER127" s="19" t="s">
        <v>376</v>
      </c>
      <c r="ES127" s="19" t="s">
        <v>375</v>
      </c>
      <c r="ET127" s="19" t="s">
        <v>376</v>
      </c>
      <c r="EU127" s="19" t="s">
        <v>376</v>
      </c>
      <c r="EV127" s="19" t="s">
        <v>400</v>
      </c>
      <c r="EW127" s="19"/>
      <c r="EX127" s="19" t="s">
        <v>368</v>
      </c>
      <c r="EY127" s="19" t="s">
        <v>368</v>
      </c>
      <c r="EZ127" s="19" t="s">
        <v>368</v>
      </c>
      <c r="FA127" s="19" t="s">
        <v>345</v>
      </c>
      <c r="FB127" s="19" t="s">
        <v>401</v>
      </c>
      <c r="FC127" s="19"/>
      <c r="FD127" s="19" t="s">
        <v>401</v>
      </c>
      <c r="FE127" s="19"/>
      <c r="FF127" s="19" t="s">
        <v>431</v>
      </c>
      <c r="FG127" s="19" t="s">
        <v>441</v>
      </c>
      <c r="FH127" s="19" t="s">
        <v>432</v>
      </c>
      <c r="FI127" s="19" t="s">
        <v>433</v>
      </c>
      <c r="FJ127" s="19"/>
      <c r="FK127" s="19"/>
      <c r="FL127" s="19"/>
      <c r="FM127" s="19"/>
      <c r="FN127" s="19"/>
      <c r="FO127" s="19"/>
      <c r="FP127" s="19"/>
      <c r="FQ127" s="19"/>
      <c r="FR127" s="19"/>
      <c r="FS127" s="19"/>
      <c r="FT127" s="19"/>
      <c r="FU127" s="19"/>
      <c r="FV127" s="19"/>
      <c r="FW127" s="19"/>
      <c r="FX127" s="19"/>
      <c r="FY127" s="19"/>
      <c r="FZ127" s="19"/>
      <c r="GA127" s="19" t="s">
        <v>368</v>
      </c>
      <c r="GB127" s="19" t="s">
        <v>368</v>
      </c>
      <c r="GC127" s="19" t="s">
        <v>368</v>
      </c>
      <c r="GD127" s="19" t="s">
        <v>368</v>
      </c>
      <c r="GE127" s="19" t="s">
        <v>368</v>
      </c>
      <c r="GF127" s="19" t="s">
        <v>368</v>
      </c>
      <c r="GG127" s="19"/>
      <c r="GH127" s="19"/>
      <c r="GI127" s="19"/>
      <c r="GJ127" s="19"/>
      <c r="GK127" s="19"/>
      <c r="GL127" s="19" t="s">
        <v>344</v>
      </c>
      <c r="GM127" s="19" t="s">
        <v>344</v>
      </c>
      <c r="GN127" s="19" t="s">
        <v>345</v>
      </c>
      <c r="GO127" s="19" t="s">
        <v>345</v>
      </c>
      <c r="GP127" s="19" t="s">
        <v>344</v>
      </c>
      <c r="GQ127" s="19" t="s">
        <v>344</v>
      </c>
      <c r="GR127" s="19" t="s">
        <v>344</v>
      </c>
      <c r="GS127" s="19" t="s">
        <v>344</v>
      </c>
      <c r="GT127" s="19" t="s">
        <v>344</v>
      </c>
      <c r="GU127" s="19" t="s">
        <v>344</v>
      </c>
      <c r="GV127" s="19" t="s">
        <v>344</v>
      </c>
      <c r="GW127" s="19" t="s">
        <v>344</v>
      </c>
      <c r="GX127" s="19" t="s">
        <v>344</v>
      </c>
      <c r="GY127" s="19" t="s">
        <v>345</v>
      </c>
      <c r="GZ127" s="19" t="s">
        <v>344</v>
      </c>
      <c r="HA127" s="19"/>
      <c r="HB127" s="19" t="s">
        <v>345</v>
      </c>
      <c r="HC127" s="19" t="s">
        <v>959</v>
      </c>
      <c r="HD127" s="19" t="s">
        <v>344</v>
      </c>
      <c r="HE127" s="19"/>
      <c r="HF127" s="19" t="s">
        <v>344</v>
      </c>
      <c r="HG127" s="19"/>
      <c r="HH127" s="19" t="s">
        <v>344</v>
      </c>
      <c r="HI127" s="19"/>
      <c r="HJ127" s="19" t="s">
        <v>344</v>
      </c>
      <c r="HK127" s="19" t="s">
        <v>344</v>
      </c>
      <c r="HL127" s="19" t="s">
        <v>344</v>
      </c>
      <c r="HM127" s="19" t="s">
        <v>344</v>
      </c>
      <c r="HN127" s="19" t="s">
        <v>344</v>
      </c>
      <c r="HO127" s="19" t="s">
        <v>344</v>
      </c>
      <c r="HP127" s="19" t="s">
        <v>344</v>
      </c>
      <c r="HQ127" s="19" t="s">
        <v>344</v>
      </c>
      <c r="HR127" s="19" t="s">
        <v>344</v>
      </c>
      <c r="HS127" s="19" t="s">
        <v>344</v>
      </c>
      <c r="HT127" s="19" t="s">
        <v>344</v>
      </c>
      <c r="HU127" s="19" t="s">
        <v>344</v>
      </c>
      <c r="HV127" s="19" t="s">
        <v>344</v>
      </c>
      <c r="HW127" s="19" t="s">
        <v>344</v>
      </c>
      <c r="HX127" s="19" t="s">
        <v>345</v>
      </c>
      <c r="HY127" s="19"/>
      <c r="HZ127" s="19" t="s">
        <v>344</v>
      </c>
      <c r="IA127" s="19"/>
      <c r="IB127" s="19" t="s">
        <v>344</v>
      </c>
      <c r="IC127" s="19"/>
      <c r="ID127" s="19" t="s">
        <v>344</v>
      </c>
      <c r="IE127" s="19"/>
      <c r="IF127" s="19" t="s">
        <v>344</v>
      </c>
      <c r="IG127" s="19"/>
      <c r="IH127" s="19" t="s">
        <v>345</v>
      </c>
      <c r="II127" s="19" t="s">
        <v>345</v>
      </c>
      <c r="IJ127" s="19" t="s">
        <v>344</v>
      </c>
      <c r="IK127" s="19" t="s">
        <v>344</v>
      </c>
      <c r="IL127" s="19" t="s">
        <v>345</v>
      </c>
      <c r="IM127" s="19" t="s">
        <v>344</v>
      </c>
      <c r="IN127" s="19" t="s">
        <v>344</v>
      </c>
      <c r="IO127" s="19" t="s">
        <v>345</v>
      </c>
      <c r="IP127" s="19" t="s">
        <v>344</v>
      </c>
      <c r="IQ127" s="19" t="s">
        <v>344</v>
      </c>
      <c r="IR127" s="19" t="s">
        <v>344</v>
      </c>
      <c r="IS127" s="19" t="s">
        <v>344</v>
      </c>
      <c r="IT127" s="19"/>
      <c r="IU127" s="19"/>
      <c r="IV127" s="19"/>
      <c r="IW127" s="19"/>
      <c r="IX127" s="19"/>
      <c r="IY127" s="19"/>
      <c r="IZ127" s="19"/>
      <c r="JA127" s="19"/>
      <c r="JB127" s="19"/>
      <c r="JC127" s="19"/>
      <c r="JD127" s="19"/>
      <c r="JE127" s="19"/>
      <c r="JF127" s="19"/>
      <c r="JG127" s="19"/>
      <c r="JH127" s="19"/>
    </row>
    <row r="128" spans="1:268" x14ac:dyDescent="0.3">
      <c r="A128" s="19" t="s">
        <v>727</v>
      </c>
      <c r="B128" s="19">
        <v>222</v>
      </c>
      <c r="C128" s="19" t="s">
        <v>960</v>
      </c>
      <c r="D128" s="19">
        <v>14</v>
      </c>
      <c r="E128" s="19" t="s">
        <v>387</v>
      </c>
      <c r="F128" s="19">
        <v>493219987</v>
      </c>
      <c r="G128" s="19" t="s">
        <v>961</v>
      </c>
      <c r="H128" s="19" t="s">
        <v>960</v>
      </c>
      <c r="I128" s="19" t="s">
        <v>932</v>
      </c>
      <c r="J128" s="19">
        <v>16</v>
      </c>
      <c r="K128" s="19" t="s">
        <v>389</v>
      </c>
      <c r="L128" s="19"/>
      <c r="M128" s="19" t="s">
        <v>345</v>
      </c>
      <c r="N128" s="19" t="s">
        <v>344</v>
      </c>
      <c r="O128" s="19" t="s">
        <v>344</v>
      </c>
      <c r="P128" s="19" t="s">
        <v>344</v>
      </c>
      <c r="Q128" s="19" t="s">
        <v>344</v>
      </c>
      <c r="R128" s="19"/>
      <c r="S128" s="19" t="s">
        <v>475</v>
      </c>
      <c r="T128" s="19"/>
      <c r="U128" s="19" t="s">
        <v>428</v>
      </c>
      <c r="V128" s="19"/>
      <c r="W128" s="19" t="s">
        <v>344</v>
      </c>
      <c r="X128" s="19" t="s">
        <v>345</v>
      </c>
      <c r="Y128" s="19" t="s">
        <v>344</v>
      </c>
      <c r="Z128" s="19" t="s">
        <v>344</v>
      </c>
      <c r="AA128" s="19" t="s">
        <v>344</v>
      </c>
      <c r="AB128" s="19" t="s">
        <v>344</v>
      </c>
      <c r="AC128" s="19" t="s">
        <v>344</v>
      </c>
      <c r="AD128" s="19" t="s">
        <v>345</v>
      </c>
      <c r="AE128" s="19" t="s">
        <v>345</v>
      </c>
      <c r="AF128" s="19" t="s">
        <v>345</v>
      </c>
      <c r="AG128" s="19" t="s">
        <v>344</v>
      </c>
      <c r="AH128" s="19" t="s">
        <v>344</v>
      </c>
      <c r="AI128" s="19" t="s">
        <v>344</v>
      </c>
      <c r="AJ128" s="19" t="s">
        <v>344</v>
      </c>
      <c r="AK128" s="19" t="s">
        <v>344</v>
      </c>
      <c r="AL128" s="19" t="s">
        <v>345</v>
      </c>
      <c r="AM128" s="19" t="s">
        <v>344</v>
      </c>
      <c r="AN128" s="19" t="s">
        <v>344</v>
      </c>
      <c r="AO128" s="19" t="s">
        <v>344</v>
      </c>
      <c r="AP128" s="19" t="s">
        <v>344</v>
      </c>
      <c r="AQ128" s="19" t="s">
        <v>344</v>
      </c>
      <c r="AR128" s="19" t="s">
        <v>344</v>
      </c>
      <c r="AS128" s="19" t="s">
        <v>344</v>
      </c>
      <c r="AT128" s="19" t="s">
        <v>344</v>
      </c>
      <c r="AU128" s="19" t="s">
        <v>345</v>
      </c>
      <c r="AV128" s="19" t="s">
        <v>345</v>
      </c>
      <c r="AW128" s="19" t="s">
        <v>344</v>
      </c>
      <c r="AX128" s="19" t="s">
        <v>344</v>
      </c>
      <c r="AY128" s="19" t="s">
        <v>731</v>
      </c>
      <c r="AZ128" s="19" t="s">
        <v>731</v>
      </c>
      <c r="BA128" s="19" t="s">
        <v>731</v>
      </c>
      <c r="BB128" s="19" t="s">
        <v>733</v>
      </c>
      <c r="BC128" s="19" t="s">
        <v>731</v>
      </c>
      <c r="BD128" s="19" t="s">
        <v>731</v>
      </c>
      <c r="BE128" s="19" t="s">
        <v>349</v>
      </c>
      <c r="BF128" s="19" t="s">
        <v>348</v>
      </c>
      <c r="BG128" s="19" t="s">
        <v>349</v>
      </c>
      <c r="BH128" s="19" t="s">
        <v>350</v>
      </c>
      <c r="BI128" s="19" t="s">
        <v>348</v>
      </c>
      <c r="BJ128" s="19" t="s">
        <v>352</v>
      </c>
      <c r="BK128" s="19" t="s">
        <v>354</v>
      </c>
      <c r="BL128" s="19" t="s">
        <v>351</v>
      </c>
      <c r="BM128" s="19" t="s">
        <v>352</v>
      </c>
      <c r="BN128" s="19" t="s">
        <v>351</v>
      </c>
      <c r="BO128" s="19" t="s">
        <v>354</v>
      </c>
      <c r="BP128" s="19" t="s">
        <v>354</v>
      </c>
      <c r="BQ128" s="19" t="s">
        <v>419</v>
      </c>
      <c r="BR128" s="19" t="s">
        <v>408</v>
      </c>
      <c r="BS128" s="19" t="s">
        <v>354</v>
      </c>
      <c r="BT128" s="19" t="s">
        <v>354</v>
      </c>
      <c r="BU128" s="19" t="s">
        <v>354</v>
      </c>
      <c r="BV128" s="19" t="s">
        <v>352</v>
      </c>
      <c r="BW128" s="19" t="s">
        <v>391</v>
      </c>
      <c r="BX128" s="19" t="s">
        <v>352</v>
      </c>
      <c r="BY128" s="19" t="s">
        <v>351</v>
      </c>
      <c r="BZ128" s="19" t="s">
        <v>354</v>
      </c>
      <c r="CA128" s="19" t="s">
        <v>354</v>
      </c>
      <c r="CB128" s="19" t="s">
        <v>391</v>
      </c>
      <c r="CC128" s="19" t="s">
        <v>353</v>
      </c>
      <c r="CD128" s="19" t="s">
        <v>351</v>
      </c>
      <c r="CE128" s="19" t="s">
        <v>352</v>
      </c>
      <c r="CF128" s="19" t="s">
        <v>357</v>
      </c>
      <c r="CG128" s="19" t="s">
        <v>421</v>
      </c>
      <c r="CH128" s="19" t="s">
        <v>421</v>
      </c>
      <c r="CI128" s="19" t="s">
        <v>420</v>
      </c>
      <c r="CJ128" s="19" t="s">
        <v>421</v>
      </c>
      <c r="CK128" s="19" t="s">
        <v>962</v>
      </c>
      <c r="CL128" s="19" t="s">
        <v>345</v>
      </c>
      <c r="CM128" s="19" t="s">
        <v>344</v>
      </c>
      <c r="CN128" s="19" t="s">
        <v>344</v>
      </c>
      <c r="CO128" s="19" t="s">
        <v>345</v>
      </c>
      <c r="CP128" s="19" t="s">
        <v>345</v>
      </c>
      <c r="CQ128" s="19" t="s">
        <v>344</v>
      </c>
      <c r="CR128" s="19" t="s">
        <v>667</v>
      </c>
      <c r="CS128" s="19">
        <v>50</v>
      </c>
      <c r="CT128" s="19">
        <v>100</v>
      </c>
      <c r="CU128" s="19"/>
      <c r="CV128" s="19"/>
      <c r="CW128" s="19" t="s">
        <v>396</v>
      </c>
      <c r="CX128" s="19" t="s">
        <v>395</v>
      </c>
      <c r="CY128" s="19" t="s">
        <v>396</v>
      </c>
      <c r="CZ128" s="19" t="s">
        <v>397</v>
      </c>
      <c r="DA128" s="19" t="s">
        <v>397</v>
      </c>
      <c r="DB128" s="19" t="s">
        <v>397</v>
      </c>
      <c r="DC128" s="19" t="s">
        <v>397</v>
      </c>
      <c r="DD128" s="19" t="s">
        <v>365</v>
      </c>
      <c r="DE128" s="19"/>
      <c r="DF128" s="19"/>
      <c r="DG128" s="19"/>
      <c r="DH128" s="19"/>
      <c r="DI128" s="19"/>
      <c r="DJ128" s="19" t="s">
        <v>963</v>
      </c>
      <c r="DK128" s="19" t="s">
        <v>367</v>
      </c>
      <c r="DL128" s="19" t="s">
        <v>368</v>
      </c>
      <c r="DM128" s="19" t="s">
        <v>368</v>
      </c>
      <c r="DN128" s="19" t="s">
        <v>368</v>
      </c>
      <c r="DO128" s="19" t="s">
        <v>368</v>
      </c>
      <c r="DP128" s="19" t="s">
        <v>368</v>
      </c>
      <c r="DQ128" s="19" t="s">
        <v>368</v>
      </c>
      <c r="DR128" s="19" t="s">
        <v>368</v>
      </c>
      <c r="DS128" s="19" t="s">
        <v>345</v>
      </c>
      <c r="DT128" s="19" t="s">
        <v>344</v>
      </c>
      <c r="DU128" s="19" t="s">
        <v>345</v>
      </c>
      <c r="DV128" s="19" t="s">
        <v>344</v>
      </c>
      <c r="DW128" s="19" t="s">
        <v>344</v>
      </c>
      <c r="DX128" s="19" t="s">
        <v>370</v>
      </c>
      <c r="DY128" s="19" t="s">
        <v>370</v>
      </c>
      <c r="DZ128" s="19" t="s">
        <v>369</v>
      </c>
      <c r="EA128" s="19" t="s">
        <v>370</v>
      </c>
      <c r="EB128" s="19" t="s">
        <v>370</v>
      </c>
      <c r="EC128" s="19" t="s">
        <v>370</v>
      </c>
      <c r="ED128" s="19" t="s">
        <v>370</v>
      </c>
      <c r="EE128" s="19" t="s">
        <v>369</v>
      </c>
      <c r="EF128" s="19" t="s">
        <v>369</v>
      </c>
      <c r="EG128" s="19" t="s">
        <v>369</v>
      </c>
      <c r="EH128" s="19" t="s">
        <v>369</v>
      </c>
      <c r="EI128" s="19" t="s">
        <v>369</v>
      </c>
      <c r="EJ128" s="19" t="s">
        <v>369</v>
      </c>
      <c r="EK128" s="19" t="s">
        <v>399</v>
      </c>
      <c r="EL128" s="19" t="s">
        <v>372</v>
      </c>
      <c r="EM128" s="19" t="s">
        <v>374</v>
      </c>
      <c r="EN128" s="19" t="s">
        <v>373</v>
      </c>
      <c r="EO128" s="19"/>
      <c r="EP128" s="19"/>
      <c r="EQ128" s="19" t="s">
        <v>411</v>
      </c>
      <c r="ER128" s="19" t="s">
        <v>411</v>
      </c>
      <c r="ES128" s="19" t="s">
        <v>376</v>
      </c>
      <c r="ET128" s="19" t="s">
        <v>376</v>
      </c>
      <c r="EU128" s="19" t="s">
        <v>378</v>
      </c>
      <c r="EV128" s="19" t="s">
        <v>400</v>
      </c>
      <c r="EW128" s="19"/>
      <c r="EX128" s="19" t="s">
        <v>368</v>
      </c>
      <c r="EY128" s="19" t="s">
        <v>368</v>
      </c>
      <c r="EZ128" s="19" t="s">
        <v>368</v>
      </c>
      <c r="FA128" s="19" t="s">
        <v>345</v>
      </c>
      <c r="FB128" s="19" t="s">
        <v>401</v>
      </c>
      <c r="FC128" s="19"/>
      <c r="FD128" s="19" t="s">
        <v>401</v>
      </c>
      <c r="FE128" s="19"/>
      <c r="FF128" s="19" t="s">
        <v>382</v>
      </c>
      <c r="FG128" s="19" t="s">
        <v>402</v>
      </c>
      <c r="FH128" s="19" t="s">
        <v>451</v>
      </c>
      <c r="FI128" s="19" t="s">
        <v>403</v>
      </c>
      <c r="FJ128" s="19"/>
      <c r="FK128" s="19"/>
      <c r="FL128" s="19"/>
      <c r="FM128" s="19"/>
      <c r="FN128" s="19"/>
      <c r="FO128" s="19"/>
      <c r="FP128" s="19"/>
      <c r="FQ128" s="19"/>
      <c r="FR128" s="19"/>
      <c r="FS128" s="19"/>
      <c r="FT128" s="19"/>
      <c r="FU128" s="19"/>
      <c r="FV128" s="19"/>
      <c r="FW128" s="19"/>
      <c r="FX128" s="19"/>
      <c r="FY128" s="19"/>
      <c r="FZ128" s="19"/>
      <c r="GA128" s="19" t="s">
        <v>368</v>
      </c>
      <c r="GB128" s="19" t="s">
        <v>368</v>
      </c>
      <c r="GC128" s="19" t="s">
        <v>368</v>
      </c>
      <c r="GD128" s="19" t="s">
        <v>368</v>
      </c>
      <c r="GE128" s="19" t="s">
        <v>368</v>
      </c>
      <c r="GF128" s="19" t="s">
        <v>368</v>
      </c>
      <c r="GG128" s="19"/>
      <c r="GH128" s="19"/>
      <c r="GI128" s="19"/>
      <c r="GJ128" s="19"/>
      <c r="GK128" s="19"/>
      <c r="GL128" s="19" t="s">
        <v>344</v>
      </c>
      <c r="GM128" s="19" t="s">
        <v>344</v>
      </c>
      <c r="GN128" s="19" t="s">
        <v>344</v>
      </c>
      <c r="GO128" s="19" t="s">
        <v>344</v>
      </c>
      <c r="GP128" s="19" t="s">
        <v>344</v>
      </c>
      <c r="GQ128" s="19" t="s">
        <v>344</v>
      </c>
      <c r="GR128" s="19" t="s">
        <v>344</v>
      </c>
      <c r="GS128" s="19" t="s">
        <v>344</v>
      </c>
      <c r="GT128" s="19" t="s">
        <v>344</v>
      </c>
      <c r="GU128" s="19" t="s">
        <v>344</v>
      </c>
      <c r="GV128" s="19" t="s">
        <v>344</v>
      </c>
      <c r="GW128" s="19" t="s">
        <v>345</v>
      </c>
      <c r="GX128" s="19" t="s">
        <v>344</v>
      </c>
      <c r="GY128" s="19" t="s">
        <v>344</v>
      </c>
      <c r="GZ128" s="19" t="s">
        <v>344</v>
      </c>
      <c r="HA128" s="19"/>
      <c r="HB128" s="19" t="s">
        <v>345</v>
      </c>
      <c r="HC128" s="19" t="s">
        <v>964</v>
      </c>
      <c r="HD128" s="19" t="s">
        <v>344</v>
      </c>
      <c r="HE128" s="19"/>
      <c r="HF128" s="19" t="s">
        <v>344</v>
      </c>
      <c r="HG128" s="19"/>
      <c r="HH128" s="19" t="s">
        <v>344</v>
      </c>
      <c r="HI128" s="19"/>
      <c r="HJ128" s="19" t="s">
        <v>344</v>
      </c>
      <c r="HK128" s="19" t="s">
        <v>344</v>
      </c>
      <c r="HL128" s="19" t="s">
        <v>344</v>
      </c>
      <c r="HM128" s="19" t="s">
        <v>344</v>
      </c>
      <c r="HN128" s="19" t="s">
        <v>344</v>
      </c>
      <c r="HO128" s="19" t="s">
        <v>344</v>
      </c>
      <c r="HP128" s="19" t="s">
        <v>345</v>
      </c>
      <c r="HQ128" s="19" t="s">
        <v>344</v>
      </c>
      <c r="HR128" s="19" t="s">
        <v>344</v>
      </c>
      <c r="HS128" s="19" t="s">
        <v>344</v>
      </c>
      <c r="HT128" s="19" t="s">
        <v>344</v>
      </c>
      <c r="HU128" s="19" t="s">
        <v>344</v>
      </c>
      <c r="HV128" s="19" t="s">
        <v>344</v>
      </c>
      <c r="HW128" s="19" t="s">
        <v>344</v>
      </c>
      <c r="HX128" s="19" t="s">
        <v>344</v>
      </c>
      <c r="HY128" s="19"/>
      <c r="HZ128" s="19" t="s">
        <v>345</v>
      </c>
      <c r="IA128" s="19" t="s">
        <v>742</v>
      </c>
      <c r="IB128" s="19" t="s">
        <v>344</v>
      </c>
      <c r="IC128" s="19"/>
      <c r="ID128" s="19" t="s">
        <v>344</v>
      </c>
      <c r="IE128" s="19"/>
      <c r="IF128" s="19" t="s">
        <v>344</v>
      </c>
      <c r="IG128" s="19"/>
      <c r="IH128" s="19" t="s">
        <v>345</v>
      </c>
      <c r="II128" s="19" t="s">
        <v>345</v>
      </c>
      <c r="IJ128" s="19" t="s">
        <v>344</v>
      </c>
      <c r="IK128" s="19" t="s">
        <v>344</v>
      </c>
      <c r="IL128" s="19" t="s">
        <v>345</v>
      </c>
      <c r="IM128" s="19" t="s">
        <v>344</v>
      </c>
      <c r="IN128" s="19" t="s">
        <v>344</v>
      </c>
      <c r="IO128" s="19" t="s">
        <v>345</v>
      </c>
      <c r="IP128" s="19" t="s">
        <v>344</v>
      </c>
      <c r="IQ128" s="19" t="s">
        <v>344</v>
      </c>
      <c r="IR128" s="19" t="s">
        <v>344</v>
      </c>
      <c r="IS128" s="19" t="s">
        <v>344</v>
      </c>
      <c r="IT128" s="19"/>
      <c r="IU128" s="19" t="s">
        <v>965</v>
      </c>
      <c r="IV128" s="19"/>
      <c r="IW128" s="19"/>
      <c r="IX128" s="19"/>
      <c r="IY128" s="19"/>
      <c r="IZ128" s="19"/>
      <c r="JA128" s="19"/>
      <c r="JB128" s="19"/>
      <c r="JC128" s="19"/>
      <c r="JD128" s="19"/>
      <c r="JE128" s="19"/>
      <c r="JF128" s="19"/>
      <c r="JG128" s="19"/>
      <c r="JH128" s="19"/>
    </row>
    <row r="129" spans="1:268" x14ac:dyDescent="0.3">
      <c r="A129" s="19" t="s">
        <v>727</v>
      </c>
      <c r="B129" s="19">
        <v>223</v>
      </c>
      <c r="C129" s="19" t="s">
        <v>966</v>
      </c>
      <c r="D129" s="19">
        <v>14</v>
      </c>
      <c r="E129" s="19" t="s">
        <v>340</v>
      </c>
      <c r="F129" s="19">
        <v>1984849765</v>
      </c>
      <c r="G129" s="19" t="s">
        <v>967</v>
      </c>
      <c r="H129" s="19" t="s">
        <v>966</v>
      </c>
      <c r="I129" s="19" t="s">
        <v>937</v>
      </c>
      <c r="J129" s="19">
        <v>16</v>
      </c>
      <c r="K129" s="19" t="s">
        <v>389</v>
      </c>
      <c r="L129" s="19"/>
      <c r="M129" s="19" t="s">
        <v>344</v>
      </c>
      <c r="N129" s="19" t="s">
        <v>345</v>
      </c>
      <c r="O129" s="19" t="s">
        <v>344</v>
      </c>
      <c r="P129" s="19" t="s">
        <v>344</v>
      </c>
      <c r="Q129" s="19" t="s">
        <v>344</v>
      </c>
      <c r="R129" s="19"/>
      <c r="S129" s="19" t="s">
        <v>438</v>
      </c>
      <c r="T129" s="19"/>
      <c r="U129" s="19" t="s">
        <v>418</v>
      </c>
      <c r="V129" s="19"/>
      <c r="W129" s="19" t="s">
        <v>345</v>
      </c>
      <c r="X129" s="19" t="s">
        <v>344</v>
      </c>
      <c r="Y129" s="19" t="s">
        <v>344</v>
      </c>
      <c r="Z129" s="19" t="s">
        <v>344</v>
      </c>
      <c r="AA129" s="19" t="s">
        <v>344</v>
      </c>
      <c r="AB129" s="19" t="s">
        <v>344</v>
      </c>
      <c r="AC129" s="19" t="s">
        <v>344</v>
      </c>
      <c r="AD129" s="19" t="s">
        <v>344</v>
      </c>
      <c r="AE129" s="19" t="s">
        <v>345</v>
      </c>
      <c r="AF129" s="19" t="s">
        <v>344</v>
      </c>
      <c r="AG129" s="19" t="s">
        <v>344</v>
      </c>
      <c r="AH129" s="19" t="s">
        <v>345</v>
      </c>
      <c r="AI129" s="19" t="s">
        <v>344</v>
      </c>
      <c r="AJ129" s="19" t="s">
        <v>344</v>
      </c>
      <c r="AK129" s="19" t="s">
        <v>344</v>
      </c>
      <c r="AL129" s="19" t="s">
        <v>344</v>
      </c>
      <c r="AM129" s="19" t="s">
        <v>344</v>
      </c>
      <c r="AN129" s="19" t="s">
        <v>344</v>
      </c>
      <c r="AO129" s="19" t="s">
        <v>345</v>
      </c>
      <c r="AP129" s="19" t="s">
        <v>345</v>
      </c>
      <c r="AQ129" s="19" t="s">
        <v>344</v>
      </c>
      <c r="AR129" s="19" t="s">
        <v>344</v>
      </c>
      <c r="AS129" s="19" t="s">
        <v>344</v>
      </c>
      <c r="AT129" s="19" t="s">
        <v>345</v>
      </c>
      <c r="AU129" s="19" t="s">
        <v>344</v>
      </c>
      <c r="AV129" s="19" t="s">
        <v>345</v>
      </c>
      <c r="AW129" s="19" t="s">
        <v>344</v>
      </c>
      <c r="AX129" s="19" t="s">
        <v>344</v>
      </c>
      <c r="AY129" s="19" t="s">
        <v>733</v>
      </c>
      <c r="AZ129" s="19" t="s">
        <v>732</v>
      </c>
      <c r="BA129" s="19" t="s">
        <v>732</v>
      </c>
      <c r="BB129" s="19" t="s">
        <v>733</v>
      </c>
      <c r="BC129" s="19" t="s">
        <v>731</v>
      </c>
      <c r="BD129" s="19" t="s">
        <v>731</v>
      </c>
      <c r="BE129" s="19" t="s">
        <v>390</v>
      </c>
      <c r="BF129" s="19" t="s">
        <v>349</v>
      </c>
      <c r="BG129" s="19" t="s">
        <v>390</v>
      </c>
      <c r="BH129" s="19" t="s">
        <v>390</v>
      </c>
      <c r="BI129" s="19" t="s">
        <v>390</v>
      </c>
      <c r="BJ129" s="19" t="s">
        <v>354</v>
      </c>
      <c r="BK129" s="19" t="s">
        <v>357</v>
      </c>
      <c r="BL129" s="19" t="s">
        <v>355</v>
      </c>
      <c r="BM129" s="19" t="s">
        <v>351</v>
      </c>
      <c r="BN129" s="19" t="s">
        <v>352</v>
      </c>
      <c r="BO129" s="19" t="s">
        <v>391</v>
      </c>
      <c r="BP129" s="19" t="s">
        <v>391</v>
      </c>
      <c r="BQ129" s="19" t="s">
        <v>358</v>
      </c>
      <c r="BR129" s="19" t="s">
        <v>429</v>
      </c>
      <c r="BS129" s="19" t="s">
        <v>391</v>
      </c>
      <c r="BT129" s="19" t="s">
        <v>391</v>
      </c>
      <c r="BU129" s="19" t="s">
        <v>391</v>
      </c>
      <c r="BV129" s="19" t="s">
        <v>391</v>
      </c>
      <c r="BW129" s="19" t="s">
        <v>391</v>
      </c>
      <c r="BX129" s="19" t="s">
        <v>391</v>
      </c>
      <c r="BY129" s="19" t="s">
        <v>391</v>
      </c>
      <c r="BZ129" s="19" t="s">
        <v>351</v>
      </c>
      <c r="CA129" s="19" t="s">
        <v>353</v>
      </c>
      <c r="CB129" s="19" t="s">
        <v>355</v>
      </c>
      <c r="CC129" s="19" t="s">
        <v>352</v>
      </c>
      <c r="CD129" s="19" t="s">
        <v>353</v>
      </c>
      <c r="CE129" s="19" t="s">
        <v>352</v>
      </c>
      <c r="CF129" s="19" t="s">
        <v>353</v>
      </c>
      <c r="CG129" s="19" t="s">
        <v>420</v>
      </c>
      <c r="CH129" s="19" t="s">
        <v>421</v>
      </c>
      <c r="CI129" s="19" t="s">
        <v>421</v>
      </c>
      <c r="CJ129" s="19" t="s">
        <v>421</v>
      </c>
      <c r="CK129" s="19" t="s">
        <v>968</v>
      </c>
      <c r="CL129" s="19" t="s">
        <v>344</v>
      </c>
      <c r="CM129" s="19" t="s">
        <v>344</v>
      </c>
      <c r="CN129" s="19" t="s">
        <v>344</v>
      </c>
      <c r="CO129" s="19" t="s">
        <v>344</v>
      </c>
      <c r="CP129" s="19" t="s">
        <v>345</v>
      </c>
      <c r="CQ129" s="19" t="s">
        <v>344</v>
      </c>
      <c r="CR129" s="19" t="s">
        <v>667</v>
      </c>
      <c r="CS129" s="19">
        <v>38</v>
      </c>
      <c r="CT129" s="19">
        <v>9</v>
      </c>
      <c r="CU129" s="19">
        <v>100</v>
      </c>
      <c r="CV129" s="19">
        <v>28</v>
      </c>
      <c r="CW129" s="19" t="s">
        <v>395</v>
      </c>
      <c r="CX129" s="19" t="s">
        <v>396</v>
      </c>
      <c r="CY129" s="19" t="s">
        <v>396</v>
      </c>
      <c r="CZ129" s="19" t="s">
        <v>397</v>
      </c>
      <c r="DA129" s="19" t="s">
        <v>397</v>
      </c>
      <c r="DB129" s="19" t="s">
        <v>365</v>
      </c>
      <c r="DC129" s="19" t="s">
        <v>397</v>
      </c>
      <c r="DD129" s="19" t="s">
        <v>397</v>
      </c>
      <c r="DE129" s="19" t="s">
        <v>365</v>
      </c>
      <c r="DF129" s="19" t="s">
        <v>365</v>
      </c>
      <c r="DG129" s="19" t="s">
        <v>365</v>
      </c>
      <c r="DH129" s="19" t="s">
        <v>397</v>
      </c>
      <c r="DI129" s="19" t="s">
        <v>366</v>
      </c>
      <c r="DJ129" s="19" t="s">
        <v>969</v>
      </c>
      <c r="DK129" s="19" t="s">
        <v>367</v>
      </c>
      <c r="DL129" s="19" t="s">
        <v>368</v>
      </c>
      <c r="DM129" s="19" t="s">
        <v>368</v>
      </c>
      <c r="DN129" s="19" t="s">
        <v>368</v>
      </c>
      <c r="DO129" s="19" t="s">
        <v>368</v>
      </c>
      <c r="DP129" s="19" t="s">
        <v>368</v>
      </c>
      <c r="DQ129" s="19" t="s">
        <v>368</v>
      </c>
      <c r="DR129" s="19" t="s">
        <v>368</v>
      </c>
      <c r="DS129" s="19" t="s">
        <v>345</v>
      </c>
      <c r="DT129" s="19" t="s">
        <v>368</v>
      </c>
      <c r="DU129" s="19" t="s">
        <v>368</v>
      </c>
      <c r="DV129" s="19" t="s">
        <v>368</v>
      </c>
      <c r="DW129" s="19" t="s">
        <v>345</v>
      </c>
      <c r="DX129" s="19" t="s">
        <v>369</v>
      </c>
      <c r="DY129" s="19" t="s">
        <v>370</v>
      </c>
      <c r="DZ129" s="19" t="s">
        <v>369</v>
      </c>
      <c r="EA129" s="19" t="s">
        <v>369</v>
      </c>
      <c r="EB129" s="19" t="s">
        <v>399</v>
      </c>
      <c r="EC129" s="19" t="s">
        <v>398</v>
      </c>
      <c r="ED129" s="19" t="s">
        <v>371</v>
      </c>
      <c r="EE129" s="19" t="s">
        <v>370</v>
      </c>
      <c r="EF129" s="19" t="s">
        <v>370</v>
      </c>
      <c r="EG129" s="19" t="s">
        <v>369</v>
      </c>
      <c r="EH129" s="19" t="s">
        <v>370</v>
      </c>
      <c r="EI129" s="19" t="s">
        <v>370</v>
      </c>
      <c r="EJ129" s="19" t="s">
        <v>370</v>
      </c>
      <c r="EK129" s="19" t="s">
        <v>370</v>
      </c>
      <c r="EL129" s="19" t="s">
        <v>374</v>
      </c>
      <c r="EM129" s="19" t="s">
        <v>440</v>
      </c>
      <c r="EN129" s="19" t="s">
        <v>372</v>
      </c>
      <c r="EO129" s="19"/>
      <c r="EP129" s="19"/>
      <c r="EQ129" s="19" t="s">
        <v>391</v>
      </c>
      <c r="ER129" s="19" t="s">
        <v>391</v>
      </c>
      <c r="ES129" s="19" t="s">
        <v>391</v>
      </c>
      <c r="ET129" s="19" t="s">
        <v>391</v>
      </c>
      <c r="EU129" s="19" t="s">
        <v>391</v>
      </c>
      <c r="EV129" s="19" t="s">
        <v>400</v>
      </c>
      <c r="EW129" s="19"/>
      <c r="EX129" s="19" t="s">
        <v>368</v>
      </c>
      <c r="EY129" s="19" t="s">
        <v>368</v>
      </c>
      <c r="EZ129" s="19" t="s">
        <v>368</v>
      </c>
      <c r="FA129" s="19" t="s">
        <v>345</v>
      </c>
      <c r="FB129" s="19" t="s">
        <v>380</v>
      </c>
      <c r="FC129" s="19"/>
      <c r="FD129" s="19" t="s">
        <v>380</v>
      </c>
      <c r="FE129" s="19"/>
      <c r="FF129" s="19" t="s">
        <v>412</v>
      </c>
      <c r="FG129" s="19" t="s">
        <v>413</v>
      </c>
      <c r="FH129" s="19" t="s">
        <v>451</v>
      </c>
      <c r="FI129" s="19" t="s">
        <v>385</v>
      </c>
      <c r="FJ129" s="19"/>
      <c r="FK129" s="19"/>
      <c r="FL129" s="19"/>
      <c r="FM129" s="19"/>
      <c r="FN129" s="19"/>
      <c r="FO129" s="19"/>
      <c r="FP129" s="19"/>
      <c r="FQ129" s="19"/>
      <c r="FR129" s="19"/>
      <c r="FS129" s="19"/>
      <c r="FT129" s="19"/>
      <c r="FU129" s="19"/>
      <c r="FV129" s="19"/>
      <c r="FW129" s="19"/>
      <c r="FX129" s="19"/>
      <c r="FY129" s="19"/>
      <c r="FZ129" s="19"/>
      <c r="GA129" s="19" t="s">
        <v>368</v>
      </c>
      <c r="GB129" s="19" t="s">
        <v>368</v>
      </c>
      <c r="GC129" s="19" t="s">
        <v>368</v>
      </c>
      <c r="GD129" s="19" t="s">
        <v>368</v>
      </c>
      <c r="GE129" s="19" t="s">
        <v>368</v>
      </c>
      <c r="GF129" s="19" t="s">
        <v>368</v>
      </c>
      <c r="GG129" s="19"/>
      <c r="GH129" s="19"/>
      <c r="GI129" s="19"/>
      <c r="GJ129" s="19"/>
      <c r="GK129" s="19"/>
      <c r="GL129" s="19" t="s">
        <v>344</v>
      </c>
      <c r="GM129" s="19" t="s">
        <v>344</v>
      </c>
      <c r="GN129" s="19" t="s">
        <v>344</v>
      </c>
      <c r="GO129" s="19" t="s">
        <v>344</v>
      </c>
      <c r="GP129" s="19" t="s">
        <v>344</v>
      </c>
      <c r="GQ129" s="19" t="s">
        <v>344</v>
      </c>
      <c r="GR129" s="19" t="s">
        <v>344</v>
      </c>
      <c r="GS129" s="19" t="s">
        <v>344</v>
      </c>
      <c r="GT129" s="19" t="s">
        <v>344</v>
      </c>
      <c r="GU129" s="19" t="s">
        <v>344</v>
      </c>
      <c r="GV129" s="19" t="s">
        <v>344</v>
      </c>
      <c r="GW129" s="19" t="s">
        <v>344</v>
      </c>
      <c r="GX129" s="19" t="s">
        <v>344</v>
      </c>
      <c r="GY129" s="19" t="s">
        <v>344</v>
      </c>
      <c r="GZ129" s="19" t="s">
        <v>345</v>
      </c>
      <c r="HA129" s="19"/>
      <c r="HB129" s="19" t="s">
        <v>344</v>
      </c>
      <c r="HC129" s="19"/>
      <c r="HD129" s="19" t="s">
        <v>344</v>
      </c>
      <c r="HE129" s="19"/>
      <c r="HF129" s="19" t="s">
        <v>345</v>
      </c>
      <c r="HG129" s="19" t="s">
        <v>970</v>
      </c>
      <c r="HH129" s="19" t="s">
        <v>344</v>
      </c>
      <c r="HI129" s="19"/>
      <c r="HJ129" s="19" t="s">
        <v>344</v>
      </c>
      <c r="HK129" s="19" t="s">
        <v>344</v>
      </c>
      <c r="HL129" s="19" t="s">
        <v>344</v>
      </c>
      <c r="HM129" s="19" t="s">
        <v>344</v>
      </c>
      <c r="HN129" s="19" t="s">
        <v>344</v>
      </c>
      <c r="HO129" s="19" t="s">
        <v>344</v>
      </c>
      <c r="HP129" s="19" t="s">
        <v>344</v>
      </c>
      <c r="HQ129" s="19" t="s">
        <v>344</v>
      </c>
      <c r="HR129" s="19" t="s">
        <v>344</v>
      </c>
      <c r="HS129" s="19" t="s">
        <v>344</v>
      </c>
      <c r="HT129" s="19" t="s">
        <v>344</v>
      </c>
      <c r="HU129" s="19" t="s">
        <v>344</v>
      </c>
      <c r="HV129" s="19" t="s">
        <v>344</v>
      </c>
      <c r="HW129" s="19" t="s">
        <v>344</v>
      </c>
      <c r="HX129" s="19" t="s">
        <v>345</v>
      </c>
      <c r="HY129" s="19"/>
      <c r="HZ129" s="19" t="s">
        <v>344</v>
      </c>
      <c r="IA129" s="19"/>
      <c r="IB129" s="19" t="s">
        <v>344</v>
      </c>
      <c r="IC129" s="19"/>
      <c r="ID129" s="19" t="s">
        <v>344</v>
      </c>
      <c r="IE129" s="19"/>
      <c r="IF129" s="19" t="s">
        <v>344</v>
      </c>
      <c r="IG129" s="19"/>
      <c r="IH129" s="19" t="s">
        <v>345</v>
      </c>
      <c r="II129" s="19" t="s">
        <v>345</v>
      </c>
      <c r="IJ129" s="19" t="s">
        <v>344</v>
      </c>
      <c r="IK129" s="19" t="s">
        <v>344</v>
      </c>
      <c r="IL129" s="19" t="s">
        <v>345</v>
      </c>
      <c r="IM129" s="19" t="s">
        <v>345</v>
      </c>
      <c r="IN129" s="19" t="s">
        <v>344</v>
      </c>
      <c r="IO129" s="19" t="s">
        <v>345</v>
      </c>
      <c r="IP129" s="19" t="s">
        <v>344</v>
      </c>
      <c r="IQ129" s="19" t="s">
        <v>344</v>
      </c>
      <c r="IR129" s="19" t="s">
        <v>344</v>
      </c>
      <c r="IS129" s="19" t="s">
        <v>344</v>
      </c>
      <c r="IT129" s="19"/>
      <c r="IU129" s="19"/>
      <c r="IV129" s="19"/>
      <c r="IW129" s="19"/>
      <c r="IX129" s="19"/>
      <c r="IY129" s="19"/>
      <c r="IZ129" s="19"/>
      <c r="JA129" s="19"/>
      <c r="JB129" s="19"/>
      <c r="JC129" s="19"/>
      <c r="JD129" s="19"/>
      <c r="JE129" s="19"/>
      <c r="JF129" s="19"/>
      <c r="JG129" s="19"/>
      <c r="JH129" s="19"/>
    </row>
    <row r="130" spans="1:268" x14ac:dyDescent="0.3">
      <c r="A130" s="19" t="s">
        <v>727</v>
      </c>
      <c r="B130" s="19">
        <v>224</v>
      </c>
      <c r="C130" s="19" t="s">
        <v>971</v>
      </c>
      <c r="D130" s="19">
        <v>14</v>
      </c>
      <c r="E130" s="19" t="s">
        <v>387</v>
      </c>
      <c r="F130" s="19">
        <v>699570117</v>
      </c>
      <c r="G130" s="19" t="s">
        <v>972</v>
      </c>
      <c r="H130" s="19" t="s">
        <v>971</v>
      </c>
      <c r="I130" s="19" t="s">
        <v>932</v>
      </c>
      <c r="J130" s="19">
        <v>17</v>
      </c>
      <c r="K130" s="19" t="s">
        <v>389</v>
      </c>
      <c r="L130" s="19"/>
      <c r="M130" s="19" t="s">
        <v>345</v>
      </c>
      <c r="N130" s="19" t="s">
        <v>344</v>
      </c>
      <c r="O130" s="19" t="s">
        <v>344</v>
      </c>
      <c r="P130" s="19" t="s">
        <v>344</v>
      </c>
      <c r="Q130" s="19" t="s">
        <v>344</v>
      </c>
      <c r="R130" s="19"/>
      <c r="S130" s="19" t="s">
        <v>438</v>
      </c>
      <c r="T130" s="19"/>
      <c r="U130" s="19" t="s">
        <v>347</v>
      </c>
      <c r="V130" s="19"/>
      <c r="W130" s="19" t="s">
        <v>345</v>
      </c>
      <c r="X130" s="19" t="s">
        <v>344</v>
      </c>
      <c r="Y130" s="19" t="s">
        <v>344</v>
      </c>
      <c r="Z130" s="19" t="s">
        <v>344</v>
      </c>
      <c r="AA130" s="19" t="s">
        <v>344</v>
      </c>
      <c r="AB130" s="19" t="s">
        <v>344</v>
      </c>
      <c r="AC130" s="19" t="s">
        <v>344</v>
      </c>
      <c r="AD130" s="19" t="s">
        <v>344</v>
      </c>
      <c r="AE130" s="19" t="s">
        <v>344</v>
      </c>
      <c r="AF130" s="19" t="s">
        <v>344</v>
      </c>
      <c r="AG130" s="19" t="s">
        <v>345</v>
      </c>
      <c r="AH130" s="19" t="s">
        <v>344</v>
      </c>
      <c r="AI130" s="19" t="s">
        <v>344</v>
      </c>
      <c r="AJ130" s="19" t="s">
        <v>344</v>
      </c>
      <c r="AK130" s="19" t="s">
        <v>344</v>
      </c>
      <c r="AL130" s="19" t="s">
        <v>344</v>
      </c>
      <c r="AM130" s="19" t="s">
        <v>345</v>
      </c>
      <c r="AN130" s="19" t="s">
        <v>344</v>
      </c>
      <c r="AO130" s="19" t="s">
        <v>344</v>
      </c>
      <c r="AP130" s="19" t="s">
        <v>344</v>
      </c>
      <c r="AQ130" s="19" t="s">
        <v>344</v>
      </c>
      <c r="AR130" s="19" t="s">
        <v>345</v>
      </c>
      <c r="AS130" s="19" t="s">
        <v>344</v>
      </c>
      <c r="AT130" s="19" t="s">
        <v>344</v>
      </c>
      <c r="AU130" s="19" t="s">
        <v>344</v>
      </c>
      <c r="AV130" s="19" t="s">
        <v>344</v>
      </c>
      <c r="AW130" s="19" t="s">
        <v>344</v>
      </c>
      <c r="AX130" s="19" t="s">
        <v>344</v>
      </c>
      <c r="AY130" s="19" t="s">
        <v>733</v>
      </c>
      <c r="AZ130" s="19" t="s">
        <v>731</v>
      </c>
      <c r="BA130" s="19"/>
      <c r="BB130" s="19" t="s">
        <v>731</v>
      </c>
      <c r="BC130" s="19" t="s">
        <v>732</v>
      </c>
      <c r="BD130" s="19" t="s">
        <v>731</v>
      </c>
      <c r="BE130" s="19" t="s">
        <v>390</v>
      </c>
      <c r="BF130" s="19" t="s">
        <v>348</v>
      </c>
      <c r="BG130" s="19" t="s">
        <v>349</v>
      </c>
      <c r="BH130" s="19" t="s">
        <v>348</v>
      </c>
      <c r="BI130" s="19" t="s">
        <v>390</v>
      </c>
      <c r="BJ130" s="19" t="s">
        <v>357</v>
      </c>
      <c r="BK130" s="19" t="s">
        <v>391</v>
      </c>
      <c r="BL130" s="19" t="s">
        <v>356</v>
      </c>
      <c r="BM130" s="19" t="s">
        <v>352</v>
      </c>
      <c r="BN130" s="19" t="s">
        <v>354</v>
      </c>
      <c r="BO130" s="19" t="s">
        <v>391</v>
      </c>
      <c r="BP130" s="19" t="s">
        <v>353</v>
      </c>
      <c r="BQ130" s="19" t="s">
        <v>455</v>
      </c>
      <c r="BR130" s="19" t="s">
        <v>408</v>
      </c>
      <c r="BS130" s="19" t="s">
        <v>353</v>
      </c>
      <c r="BT130" s="19" t="s">
        <v>357</v>
      </c>
      <c r="BU130" s="19" t="s">
        <v>354</v>
      </c>
      <c r="BV130" s="19" t="s">
        <v>391</v>
      </c>
      <c r="BW130" s="19" t="s">
        <v>356</v>
      </c>
      <c r="BX130" s="19" t="s">
        <v>351</v>
      </c>
      <c r="BY130" s="19" t="s">
        <v>354</v>
      </c>
      <c r="BZ130" s="19" t="s">
        <v>354</v>
      </c>
      <c r="CA130" s="19" t="s">
        <v>357</v>
      </c>
      <c r="CB130" s="19" t="s">
        <v>391</v>
      </c>
      <c r="CC130" s="19" t="s">
        <v>391</v>
      </c>
      <c r="CD130" s="19" t="s">
        <v>356</v>
      </c>
      <c r="CE130" s="19" t="s">
        <v>391</v>
      </c>
      <c r="CF130" s="19" t="s">
        <v>354</v>
      </c>
      <c r="CG130" s="19" t="s">
        <v>392</v>
      </c>
      <c r="CH130" s="19" t="s">
        <v>421</v>
      </c>
      <c r="CI130" s="19" t="s">
        <v>420</v>
      </c>
      <c r="CJ130" s="19" t="s">
        <v>393</v>
      </c>
      <c r="CK130" s="19" t="s">
        <v>973</v>
      </c>
      <c r="CL130" s="19" t="s">
        <v>345</v>
      </c>
      <c r="CM130" s="19" t="s">
        <v>344</v>
      </c>
      <c r="CN130" s="19" t="s">
        <v>344</v>
      </c>
      <c r="CO130" s="19" t="s">
        <v>344</v>
      </c>
      <c r="CP130" s="19" t="s">
        <v>345</v>
      </c>
      <c r="CQ130" s="19" t="s">
        <v>344</v>
      </c>
      <c r="CR130" s="19" t="s">
        <v>655</v>
      </c>
      <c r="CS130" s="19">
        <v>40</v>
      </c>
      <c r="CT130" s="19">
        <v>55</v>
      </c>
      <c r="CU130" s="19"/>
      <c r="CV130" s="19"/>
      <c r="CW130" s="19" t="s">
        <v>396</v>
      </c>
      <c r="CX130" s="19" t="s">
        <v>396</v>
      </c>
      <c r="CY130" s="19" t="s">
        <v>396</v>
      </c>
      <c r="CZ130" s="19" t="s">
        <v>397</v>
      </c>
      <c r="DA130" s="19" t="s">
        <v>397</v>
      </c>
      <c r="DB130" s="19" t="s">
        <v>397</v>
      </c>
      <c r="DC130" s="19" t="s">
        <v>397</v>
      </c>
      <c r="DD130" s="19" t="s">
        <v>397</v>
      </c>
      <c r="DE130" s="19"/>
      <c r="DF130" s="19"/>
      <c r="DG130" s="19"/>
      <c r="DH130" s="19"/>
      <c r="DI130" s="19"/>
      <c r="DJ130" s="19"/>
      <c r="DK130" s="19" t="s">
        <v>515</v>
      </c>
      <c r="DL130" s="19" t="s">
        <v>368</v>
      </c>
      <c r="DM130" s="19" t="s">
        <v>368</v>
      </c>
      <c r="DN130" s="19" t="s">
        <v>368</v>
      </c>
      <c r="DO130" s="19" t="s">
        <v>345</v>
      </c>
      <c r="DP130" s="19" t="s">
        <v>368</v>
      </c>
      <c r="DQ130" s="19" t="s">
        <v>368</v>
      </c>
      <c r="DR130" s="19" t="s">
        <v>368</v>
      </c>
      <c r="DS130" s="19" t="s">
        <v>345</v>
      </c>
      <c r="DT130" s="19" t="s">
        <v>368</v>
      </c>
      <c r="DU130" s="19" t="s">
        <v>368</v>
      </c>
      <c r="DV130" s="19" t="s">
        <v>368</v>
      </c>
      <c r="DW130" s="19" t="s">
        <v>345</v>
      </c>
      <c r="DX130" s="19" t="s">
        <v>370</v>
      </c>
      <c r="DY130" s="19" t="s">
        <v>370</v>
      </c>
      <c r="DZ130" s="19" t="s">
        <v>370</v>
      </c>
      <c r="EA130" s="19" t="s">
        <v>370</v>
      </c>
      <c r="EB130" s="19" t="s">
        <v>370</v>
      </c>
      <c r="EC130" s="19" t="s">
        <v>398</v>
      </c>
      <c r="ED130" s="19" t="s">
        <v>371</v>
      </c>
      <c r="EE130" s="19" t="s">
        <v>398</v>
      </c>
      <c r="EF130" s="19" t="s">
        <v>370</v>
      </c>
      <c r="EG130" s="19" t="s">
        <v>370</v>
      </c>
      <c r="EH130" s="19" t="s">
        <v>370</v>
      </c>
      <c r="EI130" s="19" t="s">
        <v>370</v>
      </c>
      <c r="EJ130" s="19" t="s">
        <v>371</v>
      </c>
      <c r="EK130" s="19" t="s">
        <v>370</v>
      </c>
      <c r="EL130" s="19" t="s">
        <v>373</v>
      </c>
      <c r="EM130" s="19" t="s">
        <v>440</v>
      </c>
      <c r="EN130" s="19" t="s">
        <v>424</v>
      </c>
      <c r="EO130" s="19"/>
      <c r="EP130" s="19"/>
      <c r="EQ130" s="19" t="s">
        <v>376</v>
      </c>
      <c r="ER130" s="19" t="s">
        <v>376</v>
      </c>
      <c r="ES130" s="19" t="s">
        <v>376</v>
      </c>
      <c r="ET130" s="19" t="s">
        <v>376</v>
      </c>
      <c r="EU130" s="19" t="s">
        <v>391</v>
      </c>
      <c r="EV130" s="19" t="s">
        <v>400</v>
      </c>
      <c r="EW130" s="19"/>
      <c r="EX130" s="19" t="s">
        <v>368</v>
      </c>
      <c r="EY130" s="19" t="s">
        <v>368</v>
      </c>
      <c r="EZ130" s="19" t="s">
        <v>368</v>
      </c>
      <c r="FA130" s="19" t="s">
        <v>345</v>
      </c>
      <c r="FB130" s="19" t="s">
        <v>401</v>
      </c>
      <c r="FC130" s="19"/>
      <c r="FD130" s="19" t="s">
        <v>401</v>
      </c>
      <c r="FE130" s="19"/>
      <c r="FF130" s="19" t="s">
        <v>412</v>
      </c>
      <c r="FG130" s="19" t="s">
        <v>402</v>
      </c>
      <c r="FH130" s="19" t="s">
        <v>451</v>
      </c>
      <c r="FI130" s="19" t="s">
        <v>403</v>
      </c>
      <c r="FJ130" s="19"/>
      <c r="FK130" s="19"/>
      <c r="FL130" s="19"/>
      <c r="FM130" s="19"/>
      <c r="FN130" s="19"/>
      <c r="FO130" s="19"/>
      <c r="FP130" s="19"/>
      <c r="FQ130" s="19"/>
      <c r="FR130" s="19"/>
      <c r="FS130" s="19"/>
      <c r="FT130" s="19"/>
      <c r="FU130" s="19"/>
      <c r="FV130" s="19"/>
      <c r="FW130" s="19"/>
      <c r="FX130" s="19"/>
      <c r="FY130" s="19"/>
      <c r="FZ130" s="19"/>
      <c r="GA130" s="19" t="s">
        <v>368</v>
      </c>
      <c r="GB130" s="19" t="s">
        <v>368</v>
      </c>
      <c r="GC130" s="19" t="s">
        <v>368</v>
      </c>
      <c r="GD130" s="19" t="s">
        <v>368</v>
      </c>
      <c r="GE130" s="19" t="s">
        <v>368</v>
      </c>
      <c r="GF130" s="19" t="s">
        <v>368</v>
      </c>
      <c r="GG130" s="19"/>
      <c r="GH130" s="19"/>
      <c r="GI130" s="19"/>
      <c r="GJ130" s="19"/>
      <c r="GK130" s="19"/>
      <c r="GL130" s="19" t="s">
        <v>344</v>
      </c>
      <c r="GM130" s="19" t="s">
        <v>344</v>
      </c>
      <c r="GN130" s="19" t="s">
        <v>344</v>
      </c>
      <c r="GO130" s="19" t="s">
        <v>344</v>
      </c>
      <c r="GP130" s="19" t="s">
        <v>344</v>
      </c>
      <c r="GQ130" s="19" t="s">
        <v>344</v>
      </c>
      <c r="GR130" s="19" t="s">
        <v>344</v>
      </c>
      <c r="GS130" s="19" t="s">
        <v>344</v>
      </c>
      <c r="GT130" s="19" t="s">
        <v>344</v>
      </c>
      <c r="GU130" s="19" t="s">
        <v>344</v>
      </c>
      <c r="GV130" s="19" t="s">
        <v>344</v>
      </c>
      <c r="GW130" s="19" t="s">
        <v>345</v>
      </c>
      <c r="GX130" s="19" t="s">
        <v>344</v>
      </c>
      <c r="GY130" s="19" t="s">
        <v>344</v>
      </c>
      <c r="GZ130" s="19" t="s">
        <v>344</v>
      </c>
      <c r="HA130" s="19"/>
      <c r="HB130" s="19" t="s">
        <v>344</v>
      </c>
      <c r="HC130" s="19"/>
      <c r="HD130" s="19" t="s">
        <v>345</v>
      </c>
      <c r="HE130" s="19" t="s">
        <v>974</v>
      </c>
      <c r="HF130" s="19" t="s">
        <v>344</v>
      </c>
      <c r="HG130" s="19"/>
      <c r="HH130" s="19" t="s">
        <v>344</v>
      </c>
      <c r="HI130" s="19"/>
      <c r="HJ130" s="19" t="s">
        <v>344</v>
      </c>
      <c r="HK130" s="19" t="s">
        <v>344</v>
      </c>
      <c r="HL130" s="19" t="s">
        <v>344</v>
      </c>
      <c r="HM130" s="19" t="s">
        <v>344</v>
      </c>
      <c r="HN130" s="19" t="s">
        <v>344</v>
      </c>
      <c r="HO130" s="19" t="s">
        <v>344</v>
      </c>
      <c r="HP130" s="19" t="s">
        <v>344</v>
      </c>
      <c r="HQ130" s="19" t="s">
        <v>344</v>
      </c>
      <c r="HR130" s="19" t="s">
        <v>344</v>
      </c>
      <c r="HS130" s="19" t="s">
        <v>344</v>
      </c>
      <c r="HT130" s="19" t="s">
        <v>344</v>
      </c>
      <c r="HU130" s="19" t="s">
        <v>344</v>
      </c>
      <c r="HV130" s="19" t="s">
        <v>344</v>
      </c>
      <c r="HW130" s="19" t="s">
        <v>344</v>
      </c>
      <c r="HX130" s="19" t="s">
        <v>345</v>
      </c>
      <c r="HY130" s="19"/>
      <c r="HZ130" s="19" t="s">
        <v>344</v>
      </c>
      <c r="IA130" s="19"/>
      <c r="IB130" s="19" t="s">
        <v>345</v>
      </c>
      <c r="IC130" s="19"/>
      <c r="ID130" s="19" t="s">
        <v>344</v>
      </c>
      <c r="IE130" s="19"/>
      <c r="IF130" s="19" t="s">
        <v>344</v>
      </c>
      <c r="IG130" s="19"/>
      <c r="IH130" s="19" t="s">
        <v>345</v>
      </c>
      <c r="II130" s="19" t="s">
        <v>344</v>
      </c>
      <c r="IJ130" s="19" t="s">
        <v>344</v>
      </c>
      <c r="IK130" s="19" t="s">
        <v>344</v>
      </c>
      <c r="IL130" s="19" t="s">
        <v>345</v>
      </c>
      <c r="IM130" s="19" t="s">
        <v>344</v>
      </c>
      <c r="IN130" s="19" t="s">
        <v>344</v>
      </c>
      <c r="IO130" s="19" t="s">
        <v>345</v>
      </c>
      <c r="IP130" s="19" t="s">
        <v>344</v>
      </c>
      <c r="IQ130" s="19" t="s">
        <v>344</v>
      </c>
      <c r="IR130" s="19" t="s">
        <v>344</v>
      </c>
      <c r="IS130" s="19" t="s">
        <v>344</v>
      </c>
      <c r="IT130" s="19"/>
      <c r="IU130" s="19"/>
      <c r="IV130" s="19"/>
      <c r="IW130" s="19"/>
      <c r="IX130" s="19"/>
      <c r="IY130" s="19"/>
      <c r="IZ130" s="19"/>
      <c r="JA130" s="19"/>
      <c r="JB130" s="19"/>
      <c r="JC130" s="19"/>
      <c r="JD130" s="19"/>
      <c r="JE130" s="19"/>
      <c r="JF130" s="19"/>
      <c r="JG130" s="19"/>
      <c r="JH130" s="19"/>
    </row>
    <row r="131" spans="1:268" x14ac:dyDescent="0.3">
      <c r="A131" s="20" t="s">
        <v>727</v>
      </c>
      <c r="B131">
        <v>225</v>
      </c>
      <c r="C131" t="s">
        <v>975</v>
      </c>
      <c r="D131">
        <v>14</v>
      </c>
      <c r="E131" t="s">
        <v>340</v>
      </c>
      <c r="F131">
        <v>1137694752</v>
      </c>
      <c r="G131" t="s">
        <v>976</v>
      </c>
      <c r="H131" t="s">
        <v>975</v>
      </c>
      <c r="I131" t="s">
        <v>977</v>
      </c>
      <c r="J131">
        <v>18</v>
      </c>
      <c r="K131" t="s">
        <v>406</v>
      </c>
      <c r="M131" t="s">
        <v>345</v>
      </c>
      <c r="N131" t="s">
        <v>345</v>
      </c>
      <c r="O131" t="s">
        <v>344</v>
      </c>
      <c r="P131" t="s">
        <v>344</v>
      </c>
      <c r="Q131" t="s">
        <v>344</v>
      </c>
      <c r="S131" t="s">
        <v>475</v>
      </c>
      <c r="U131" t="s">
        <v>347</v>
      </c>
      <c r="W131" t="s">
        <v>368</v>
      </c>
      <c r="X131" t="s">
        <v>368</v>
      </c>
      <c r="Y131" t="s">
        <v>368</v>
      </c>
      <c r="Z131" t="s">
        <v>368</v>
      </c>
      <c r="AA131" t="s">
        <v>368</v>
      </c>
      <c r="AB131" t="s">
        <v>368</v>
      </c>
      <c r="AC131" t="s">
        <v>345</v>
      </c>
      <c r="AD131" t="s">
        <v>368</v>
      </c>
      <c r="AE131" t="s">
        <v>368</v>
      </c>
      <c r="AF131" t="s">
        <v>368</v>
      </c>
      <c r="AG131" t="s">
        <v>368</v>
      </c>
      <c r="AH131" t="s">
        <v>368</v>
      </c>
      <c r="AI131" t="s">
        <v>368</v>
      </c>
      <c r="AJ131" t="s">
        <v>345</v>
      </c>
      <c r="AK131" t="s">
        <v>368</v>
      </c>
      <c r="AL131" t="s">
        <v>368</v>
      </c>
      <c r="AM131" t="s">
        <v>368</v>
      </c>
      <c r="AN131" t="s">
        <v>368</v>
      </c>
      <c r="AO131" t="s">
        <v>368</v>
      </c>
      <c r="AP131" t="s">
        <v>368</v>
      </c>
      <c r="AQ131" t="s">
        <v>345</v>
      </c>
      <c r="AR131" t="s">
        <v>368</v>
      </c>
      <c r="AS131" t="s">
        <v>368</v>
      </c>
      <c r="AT131" t="s">
        <v>368</v>
      </c>
      <c r="AU131" t="s">
        <v>368</v>
      </c>
      <c r="AV131" t="s">
        <v>368</v>
      </c>
      <c r="AW131" t="s">
        <v>368</v>
      </c>
      <c r="AX131" t="s">
        <v>345</v>
      </c>
      <c r="AY131" t="s">
        <v>391</v>
      </c>
      <c r="AZ131" t="s">
        <v>391</v>
      </c>
      <c r="BA131" t="s">
        <v>391</v>
      </c>
      <c r="BB131" t="s">
        <v>733</v>
      </c>
      <c r="BC131" t="s">
        <v>733</v>
      </c>
      <c r="BD131" t="s">
        <v>732</v>
      </c>
      <c r="BE131" t="s">
        <v>349</v>
      </c>
      <c r="BF131" t="s">
        <v>349</v>
      </c>
      <c r="BG131" t="s">
        <v>390</v>
      </c>
      <c r="BH131" t="s">
        <v>349</v>
      </c>
      <c r="BI131" t="s">
        <v>348</v>
      </c>
      <c r="BJ131" t="s">
        <v>354</v>
      </c>
      <c r="BK131" t="s">
        <v>353</v>
      </c>
      <c r="BL131" t="s">
        <v>351</v>
      </c>
      <c r="BM131" t="s">
        <v>357</v>
      </c>
      <c r="BN131" t="s">
        <v>355</v>
      </c>
      <c r="BO131" t="s">
        <v>356</v>
      </c>
      <c r="BP131" t="s">
        <v>352</v>
      </c>
      <c r="BQ131" t="s">
        <v>419</v>
      </c>
      <c r="BR131" t="s">
        <v>367</v>
      </c>
      <c r="BS131" t="s">
        <v>354</v>
      </c>
      <c r="BT131" t="s">
        <v>355</v>
      </c>
      <c r="BU131" t="s">
        <v>356</v>
      </c>
      <c r="BV131" t="s">
        <v>352</v>
      </c>
      <c r="BW131" t="s">
        <v>357</v>
      </c>
      <c r="BX131" t="s">
        <v>351</v>
      </c>
      <c r="BY131" t="s">
        <v>353</v>
      </c>
      <c r="BZ131" t="s">
        <v>351</v>
      </c>
      <c r="CA131" t="s">
        <v>356</v>
      </c>
      <c r="CB131" t="s">
        <v>353</v>
      </c>
      <c r="CC131" t="s">
        <v>357</v>
      </c>
      <c r="CD131" t="s">
        <v>354</v>
      </c>
      <c r="CE131" t="s">
        <v>352</v>
      </c>
      <c r="CF131" t="s">
        <v>355</v>
      </c>
      <c r="CG131" t="s">
        <v>393</v>
      </c>
      <c r="CH131" t="s">
        <v>392</v>
      </c>
      <c r="CI131" t="s">
        <v>392</v>
      </c>
      <c r="CJ131" t="s">
        <v>360</v>
      </c>
      <c r="CK131" t="s">
        <v>510</v>
      </c>
      <c r="CL131" t="s">
        <v>345</v>
      </c>
      <c r="CM131" t="s">
        <v>344</v>
      </c>
      <c r="CN131" t="s">
        <v>345</v>
      </c>
      <c r="CO131" t="s">
        <v>344</v>
      </c>
      <c r="CP131" t="s">
        <v>345</v>
      </c>
      <c r="CQ131" t="s">
        <v>344</v>
      </c>
      <c r="CR131" t="s">
        <v>655</v>
      </c>
      <c r="CS131">
        <v>1</v>
      </c>
      <c r="CT131">
        <v>26</v>
      </c>
      <c r="CU131">
        <v>74</v>
      </c>
      <c r="CV131">
        <v>1</v>
      </c>
      <c r="CW131" t="s">
        <v>396</v>
      </c>
      <c r="CX131" t="s">
        <v>396</v>
      </c>
      <c r="CY131" t="s">
        <v>396</v>
      </c>
      <c r="CZ131" t="s">
        <v>397</v>
      </c>
      <c r="DA131" t="s">
        <v>397</v>
      </c>
      <c r="DB131" t="s">
        <v>397</v>
      </c>
      <c r="DC131" t="s">
        <v>397</v>
      </c>
      <c r="DD131" t="s">
        <v>397</v>
      </c>
      <c r="DE131" t="s">
        <v>365</v>
      </c>
      <c r="DF131" t="s">
        <v>365</v>
      </c>
      <c r="DG131" t="s">
        <v>397</v>
      </c>
      <c r="DH131" t="s">
        <v>365</v>
      </c>
      <c r="DI131" t="s">
        <v>423</v>
      </c>
      <c r="DK131" t="s">
        <v>367</v>
      </c>
      <c r="DL131" t="s">
        <v>368</v>
      </c>
      <c r="DM131" t="s">
        <v>368</v>
      </c>
      <c r="DN131" t="s">
        <v>368</v>
      </c>
      <c r="DO131" t="s">
        <v>368</v>
      </c>
      <c r="DP131" t="s">
        <v>368</v>
      </c>
      <c r="DQ131" t="s">
        <v>368</v>
      </c>
      <c r="DR131" t="s">
        <v>368</v>
      </c>
      <c r="DS131" t="s">
        <v>345</v>
      </c>
      <c r="DT131" t="s">
        <v>368</v>
      </c>
      <c r="DU131" t="s">
        <v>368</v>
      </c>
      <c r="DV131" t="s">
        <v>368</v>
      </c>
      <c r="DW131" t="s">
        <v>345</v>
      </c>
      <c r="DX131" t="s">
        <v>399</v>
      </c>
      <c r="DY131" t="s">
        <v>369</v>
      </c>
      <c r="DZ131" t="s">
        <v>369</v>
      </c>
      <c r="EA131" t="s">
        <v>399</v>
      </c>
      <c r="EB131" t="s">
        <v>369</v>
      </c>
      <c r="EC131" t="s">
        <v>398</v>
      </c>
      <c r="ED131" t="s">
        <v>370</v>
      </c>
      <c r="EE131" t="s">
        <v>370</v>
      </c>
      <c r="EF131" t="s">
        <v>370</v>
      </c>
      <c r="EG131" t="s">
        <v>369</v>
      </c>
      <c r="EH131" t="s">
        <v>370</v>
      </c>
      <c r="EI131" t="s">
        <v>369</v>
      </c>
      <c r="EJ131" t="s">
        <v>370</v>
      </c>
      <c r="EK131" t="s">
        <v>399</v>
      </c>
      <c r="EL131" t="s">
        <v>374</v>
      </c>
      <c r="EM131" t="s">
        <v>373</v>
      </c>
      <c r="EN131" t="s">
        <v>440</v>
      </c>
      <c r="EQ131" t="s">
        <v>391</v>
      </c>
      <c r="ER131" t="s">
        <v>375</v>
      </c>
      <c r="ES131" t="s">
        <v>378</v>
      </c>
      <c r="ET131" t="s">
        <v>391</v>
      </c>
      <c r="EU131" t="s">
        <v>375</v>
      </c>
      <c r="EV131" t="s">
        <v>400</v>
      </c>
      <c r="EX131" t="s">
        <v>368</v>
      </c>
      <c r="EY131" t="s">
        <v>368</v>
      </c>
      <c r="EZ131" t="s">
        <v>368</v>
      </c>
      <c r="FA131" t="s">
        <v>345</v>
      </c>
      <c r="FB131" t="s">
        <v>381</v>
      </c>
      <c r="FD131" t="s">
        <v>381</v>
      </c>
      <c r="GA131" t="s">
        <v>368</v>
      </c>
      <c r="GB131" t="s">
        <v>368</v>
      </c>
      <c r="GC131" t="s">
        <v>368</v>
      </c>
      <c r="GD131" t="s">
        <v>368</v>
      </c>
      <c r="GE131" t="s">
        <v>368</v>
      </c>
      <c r="GF131" t="s">
        <v>368</v>
      </c>
      <c r="GL131" t="s">
        <v>344</v>
      </c>
      <c r="GM131" t="s">
        <v>344</v>
      </c>
      <c r="GN131" t="s">
        <v>344</v>
      </c>
      <c r="GO131" t="s">
        <v>344</v>
      </c>
      <c r="GP131" t="s">
        <v>344</v>
      </c>
      <c r="GQ131" t="s">
        <v>344</v>
      </c>
      <c r="GR131" t="s">
        <v>344</v>
      </c>
      <c r="GS131" t="s">
        <v>344</v>
      </c>
      <c r="GT131" t="s">
        <v>344</v>
      </c>
      <c r="GU131" t="s">
        <v>344</v>
      </c>
      <c r="GV131" t="s">
        <v>344</v>
      </c>
      <c r="GW131" t="s">
        <v>344</v>
      </c>
      <c r="GX131" t="s">
        <v>344</v>
      </c>
      <c r="GY131" t="s">
        <v>344</v>
      </c>
      <c r="GZ131" t="s">
        <v>345</v>
      </c>
      <c r="HB131" t="s">
        <v>344</v>
      </c>
      <c r="HD131" t="s">
        <v>344</v>
      </c>
      <c r="HF131" t="s">
        <v>344</v>
      </c>
      <c r="HH131" t="s">
        <v>344</v>
      </c>
      <c r="HJ131" t="s">
        <v>344</v>
      </c>
      <c r="HK131" t="s">
        <v>344</v>
      </c>
      <c r="HL131" t="s">
        <v>345</v>
      </c>
      <c r="HM131" t="s">
        <v>345</v>
      </c>
      <c r="HN131" t="s">
        <v>344</v>
      </c>
      <c r="HO131" t="s">
        <v>344</v>
      </c>
      <c r="HP131" t="s">
        <v>344</v>
      </c>
      <c r="HQ131" t="s">
        <v>344</v>
      </c>
      <c r="HR131" t="s">
        <v>344</v>
      </c>
      <c r="HS131" t="s">
        <v>344</v>
      </c>
      <c r="HT131" t="s">
        <v>344</v>
      </c>
      <c r="HU131" t="s">
        <v>344</v>
      </c>
      <c r="HV131" t="s">
        <v>345</v>
      </c>
      <c r="HW131" t="s">
        <v>344</v>
      </c>
      <c r="HX131" t="s">
        <v>344</v>
      </c>
      <c r="HZ131" t="s">
        <v>344</v>
      </c>
      <c r="IB131" t="s">
        <v>344</v>
      </c>
      <c r="ID131" t="s">
        <v>344</v>
      </c>
      <c r="IF131" t="s">
        <v>344</v>
      </c>
      <c r="IH131" t="s">
        <v>345</v>
      </c>
      <c r="II131" t="s">
        <v>345</v>
      </c>
      <c r="IJ131" t="s">
        <v>344</v>
      </c>
      <c r="IK131" t="s">
        <v>345</v>
      </c>
      <c r="IL131" t="s">
        <v>345</v>
      </c>
      <c r="IM131" t="s">
        <v>345</v>
      </c>
      <c r="IN131" t="s">
        <v>344</v>
      </c>
      <c r="IO131" t="s">
        <v>345</v>
      </c>
      <c r="IP131" t="s">
        <v>344</v>
      </c>
      <c r="IQ131" t="s">
        <v>344</v>
      </c>
      <c r="IR131" t="s">
        <v>344</v>
      </c>
      <c r="IS131" t="s">
        <v>344</v>
      </c>
      <c r="IW131" s="9"/>
      <c r="IX131" s="9"/>
      <c r="IY131" s="9"/>
      <c r="IZ131" s="9"/>
      <c r="JA131" s="9"/>
      <c r="JB131" s="9"/>
      <c r="JC131" s="9"/>
      <c r="JD131" s="9"/>
      <c r="JE131" s="9"/>
      <c r="JF131" s="9"/>
      <c r="JG131" s="9"/>
      <c r="JH131" s="9"/>
    </row>
    <row r="132" spans="1:268" x14ac:dyDescent="0.3">
      <c r="A132" s="20" t="s">
        <v>727</v>
      </c>
      <c r="B132">
        <v>226</v>
      </c>
      <c r="C132" t="s">
        <v>978</v>
      </c>
      <c r="D132">
        <v>14</v>
      </c>
      <c r="E132" t="s">
        <v>340</v>
      </c>
      <c r="F132">
        <v>70200751</v>
      </c>
      <c r="G132" t="s">
        <v>979</v>
      </c>
      <c r="H132" t="s">
        <v>978</v>
      </c>
      <c r="I132" t="s">
        <v>977</v>
      </c>
      <c r="J132">
        <v>17</v>
      </c>
      <c r="K132" t="s">
        <v>406</v>
      </c>
      <c r="M132" t="s">
        <v>344</v>
      </c>
      <c r="N132" t="s">
        <v>345</v>
      </c>
      <c r="O132" t="s">
        <v>344</v>
      </c>
      <c r="P132" t="s">
        <v>344</v>
      </c>
      <c r="Q132" t="s">
        <v>344</v>
      </c>
      <c r="S132" t="s">
        <v>475</v>
      </c>
      <c r="U132" t="s">
        <v>418</v>
      </c>
      <c r="W132" t="s">
        <v>345</v>
      </c>
      <c r="X132" t="s">
        <v>345</v>
      </c>
      <c r="Y132" t="s">
        <v>344</v>
      </c>
      <c r="Z132" t="s">
        <v>344</v>
      </c>
      <c r="AA132" t="s">
        <v>344</v>
      </c>
      <c r="AB132" t="s">
        <v>344</v>
      </c>
      <c r="AC132" t="s">
        <v>344</v>
      </c>
      <c r="AD132" t="s">
        <v>345</v>
      </c>
      <c r="AE132" t="s">
        <v>344</v>
      </c>
      <c r="AF132" t="s">
        <v>344</v>
      </c>
      <c r="AG132" t="s">
        <v>344</v>
      </c>
      <c r="AH132" t="s">
        <v>344</v>
      </c>
      <c r="AI132" t="s">
        <v>344</v>
      </c>
      <c r="AJ132" t="s">
        <v>344</v>
      </c>
      <c r="AK132" t="s">
        <v>345</v>
      </c>
      <c r="AL132" t="s">
        <v>344</v>
      </c>
      <c r="AM132" t="s">
        <v>344</v>
      </c>
      <c r="AN132" t="s">
        <v>344</v>
      </c>
      <c r="AO132" t="s">
        <v>344</v>
      </c>
      <c r="AP132" t="s">
        <v>344</v>
      </c>
      <c r="AQ132" t="s">
        <v>344</v>
      </c>
      <c r="AR132" t="s">
        <v>344</v>
      </c>
      <c r="AS132" t="s">
        <v>345</v>
      </c>
      <c r="AT132" t="s">
        <v>345</v>
      </c>
      <c r="AU132" t="s">
        <v>344</v>
      </c>
      <c r="AV132" t="s">
        <v>345</v>
      </c>
      <c r="AW132" t="s">
        <v>344</v>
      </c>
      <c r="AX132" t="s">
        <v>344</v>
      </c>
      <c r="AY132" t="s">
        <v>391</v>
      </c>
      <c r="AZ132" t="s">
        <v>391</v>
      </c>
      <c r="BA132" t="s">
        <v>391</v>
      </c>
      <c r="BB132" t="s">
        <v>391</v>
      </c>
      <c r="BC132" t="s">
        <v>391</v>
      </c>
      <c r="BD132" t="s">
        <v>391</v>
      </c>
      <c r="BE132" t="s">
        <v>349</v>
      </c>
      <c r="BF132" t="s">
        <v>349</v>
      </c>
      <c r="BG132" t="s">
        <v>349</v>
      </c>
      <c r="BH132" t="s">
        <v>390</v>
      </c>
      <c r="BI132" t="s">
        <v>348</v>
      </c>
      <c r="BJ132" t="s">
        <v>354</v>
      </c>
      <c r="BK132" t="s">
        <v>355</v>
      </c>
      <c r="BL132" t="s">
        <v>351</v>
      </c>
      <c r="BM132" t="s">
        <v>352</v>
      </c>
      <c r="BN132" t="s">
        <v>352</v>
      </c>
      <c r="BO132" t="s">
        <v>356</v>
      </c>
      <c r="BP132" t="s">
        <v>357</v>
      </c>
      <c r="BQ132" t="s">
        <v>419</v>
      </c>
      <c r="BR132" t="s">
        <v>429</v>
      </c>
      <c r="BS132" t="s">
        <v>351</v>
      </c>
      <c r="BT132" t="s">
        <v>357</v>
      </c>
      <c r="BU132" t="s">
        <v>352</v>
      </c>
      <c r="BV132" t="s">
        <v>352</v>
      </c>
      <c r="BW132" t="s">
        <v>354</v>
      </c>
      <c r="BX132" t="s">
        <v>351</v>
      </c>
      <c r="BY132" t="s">
        <v>356</v>
      </c>
      <c r="BZ132" t="s">
        <v>354</v>
      </c>
      <c r="CA132" t="s">
        <v>357</v>
      </c>
      <c r="CB132" t="s">
        <v>351</v>
      </c>
      <c r="CC132" t="s">
        <v>356</v>
      </c>
      <c r="CD132" t="s">
        <v>353</v>
      </c>
      <c r="CE132" t="s">
        <v>354</v>
      </c>
      <c r="CF132" t="s">
        <v>356</v>
      </c>
      <c r="CG132" t="s">
        <v>393</v>
      </c>
      <c r="CH132" t="s">
        <v>420</v>
      </c>
      <c r="CI132" t="s">
        <v>393</v>
      </c>
      <c r="CJ132" t="s">
        <v>420</v>
      </c>
      <c r="CK132" t="s">
        <v>510</v>
      </c>
      <c r="CL132" t="s">
        <v>344</v>
      </c>
      <c r="CM132" t="s">
        <v>344</v>
      </c>
      <c r="CN132" t="s">
        <v>344</v>
      </c>
      <c r="CO132" t="s">
        <v>345</v>
      </c>
      <c r="CP132" t="s">
        <v>345</v>
      </c>
      <c r="CQ132" t="s">
        <v>344</v>
      </c>
      <c r="CR132" t="s">
        <v>667</v>
      </c>
      <c r="CS132">
        <v>33</v>
      </c>
      <c r="CT132">
        <v>10</v>
      </c>
      <c r="CU132">
        <v>100</v>
      </c>
      <c r="CV132">
        <v>50</v>
      </c>
      <c r="CW132" t="s">
        <v>364</v>
      </c>
      <c r="CX132" t="s">
        <v>395</v>
      </c>
      <c r="CY132" t="s">
        <v>363</v>
      </c>
      <c r="CZ132" t="s">
        <v>366</v>
      </c>
      <c r="DA132" t="s">
        <v>397</v>
      </c>
      <c r="DB132" t="s">
        <v>366</v>
      </c>
      <c r="DC132" t="s">
        <v>366</v>
      </c>
      <c r="DD132" t="s">
        <v>397</v>
      </c>
      <c r="DE132" t="s">
        <v>366</v>
      </c>
      <c r="DF132" t="s">
        <v>365</v>
      </c>
      <c r="DG132" t="s">
        <v>397</v>
      </c>
      <c r="DH132" t="s">
        <v>366</v>
      </c>
      <c r="DI132" t="s">
        <v>365</v>
      </c>
      <c r="DJ132" t="s">
        <v>980</v>
      </c>
      <c r="DK132" t="s">
        <v>367</v>
      </c>
      <c r="DL132" t="s">
        <v>368</v>
      </c>
      <c r="DM132" t="s">
        <v>368</v>
      </c>
      <c r="DN132" t="s">
        <v>368</v>
      </c>
      <c r="DO132" t="s">
        <v>368</v>
      </c>
      <c r="DP132" t="s">
        <v>368</v>
      </c>
      <c r="DQ132" t="s">
        <v>368</v>
      </c>
      <c r="DR132" t="s">
        <v>368</v>
      </c>
      <c r="DS132" t="s">
        <v>345</v>
      </c>
      <c r="DT132" t="s">
        <v>368</v>
      </c>
      <c r="DU132" t="s">
        <v>368</v>
      </c>
      <c r="DV132" t="s">
        <v>368</v>
      </c>
      <c r="DW132" t="s">
        <v>345</v>
      </c>
      <c r="DX132" t="s">
        <v>369</v>
      </c>
      <c r="DY132" t="s">
        <v>369</v>
      </c>
      <c r="DZ132" t="s">
        <v>371</v>
      </c>
      <c r="EA132" t="s">
        <v>369</v>
      </c>
      <c r="EB132" t="s">
        <v>399</v>
      </c>
      <c r="EC132" t="s">
        <v>369</v>
      </c>
      <c r="ED132" t="s">
        <v>371</v>
      </c>
      <c r="EE132" t="s">
        <v>370</v>
      </c>
      <c r="EF132" t="s">
        <v>370</v>
      </c>
      <c r="EG132" t="s">
        <v>371</v>
      </c>
      <c r="EH132" t="s">
        <v>370</v>
      </c>
      <c r="EI132" t="s">
        <v>371</v>
      </c>
      <c r="EJ132" t="s">
        <v>370</v>
      </c>
      <c r="EK132" t="s">
        <v>370</v>
      </c>
      <c r="EL132" t="s">
        <v>374</v>
      </c>
      <c r="EM132" t="s">
        <v>373</v>
      </c>
      <c r="EN132" t="s">
        <v>372</v>
      </c>
      <c r="EQ132" t="s">
        <v>378</v>
      </c>
      <c r="ER132" t="s">
        <v>378</v>
      </c>
      <c r="ES132" t="s">
        <v>375</v>
      </c>
      <c r="ET132" t="s">
        <v>375</v>
      </c>
      <c r="EU132" t="s">
        <v>378</v>
      </c>
      <c r="EV132" t="s">
        <v>400</v>
      </c>
      <c r="EX132" t="s">
        <v>368</v>
      </c>
      <c r="EY132" t="s">
        <v>368</v>
      </c>
      <c r="EZ132" t="s">
        <v>368</v>
      </c>
      <c r="FA132" t="s">
        <v>345</v>
      </c>
      <c r="FB132" t="s">
        <v>381</v>
      </c>
      <c r="FD132" t="s">
        <v>381</v>
      </c>
      <c r="FF132" t="s">
        <v>382</v>
      </c>
      <c r="FG132" t="s">
        <v>383</v>
      </c>
      <c r="FH132" t="s">
        <v>451</v>
      </c>
      <c r="FI132" t="s">
        <v>403</v>
      </c>
      <c r="GA132" t="s">
        <v>368</v>
      </c>
      <c r="GB132" t="s">
        <v>368</v>
      </c>
      <c r="GC132" t="s">
        <v>368</v>
      </c>
      <c r="GD132" t="s">
        <v>368</v>
      </c>
      <c r="GE132" t="s">
        <v>368</v>
      </c>
      <c r="GF132" t="s">
        <v>368</v>
      </c>
      <c r="GL132" t="s">
        <v>344</v>
      </c>
      <c r="GM132" t="s">
        <v>344</v>
      </c>
      <c r="GN132" t="s">
        <v>344</v>
      </c>
      <c r="GO132" t="s">
        <v>344</v>
      </c>
      <c r="GP132" t="s">
        <v>344</v>
      </c>
      <c r="GQ132" t="s">
        <v>344</v>
      </c>
      <c r="GR132" t="s">
        <v>344</v>
      </c>
      <c r="GS132" t="s">
        <v>344</v>
      </c>
      <c r="GT132" t="s">
        <v>344</v>
      </c>
      <c r="GU132" t="s">
        <v>344</v>
      </c>
      <c r="GV132" t="s">
        <v>344</v>
      </c>
      <c r="GW132" t="s">
        <v>344</v>
      </c>
      <c r="GX132" t="s">
        <v>344</v>
      </c>
      <c r="GY132" t="s">
        <v>344</v>
      </c>
      <c r="GZ132" t="s">
        <v>345</v>
      </c>
      <c r="HB132" t="s">
        <v>344</v>
      </c>
      <c r="HD132" t="s">
        <v>344</v>
      </c>
      <c r="HF132" t="s">
        <v>344</v>
      </c>
      <c r="HH132" t="s">
        <v>344</v>
      </c>
      <c r="HJ132" t="s">
        <v>344</v>
      </c>
      <c r="HK132" t="s">
        <v>344</v>
      </c>
      <c r="HL132" t="s">
        <v>344</v>
      </c>
      <c r="HM132" t="s">
        <v>344</v>
      </c>
      <c r="HN132" t="s">
        <v>344</v>
      </c>
      <c r="HO132" t="s">
        <v>344</v>
      </c>
      <c r="HP132" t="s">
        <v>344</v>
      </c>
      <c r="HQ132" t="s">
        <v>344</v>
      </c>
      <c r="HR132" t="s">
        <v>344</v>
      </c>
      <c r="HS132" t="s">
        <v>344</v>
      </c>
      <c r="HT132" t="s">
        <v>344</v>
      </c>
      <c r="HU132" t="s">
        <v>344</v>
      </c>
      <c r="HV132" t="s">
        <v>344</v>
      </c>
      <c r="HW132" t="s">
        <v>344</v>
      </c>
      <c r="HX132" t="s">
        <v>345</v>
      </c>
      <c r="HZ132" t="s">
        <v>344</v>
      </c>
      <c r="IB132" t="s">
        <v>344</v>
      </c>
      <c r="ID132" t="s">
        <v>344</v>
      </c>
      <c r="IF132" t="s">
        <v>344</v>
      </c>
      <c r="IH132" t="s">
        <v>345</v>
      </c>
      <c r="II132" t="s">
        <v>345</v>
      </c>
      <c r="IJ132" t="s">
        <v>344</v>
      </c>
      <c r="IK132" t="s">
        <v>344</v>
      </c>
      <c r="IL132" t="s">
        <v>345</v>
      </c>
      <c r="IM132" t="s">
        <v>345</v>
      </c>
      <c r="IN132" t="s">
        <v>344</v>
      </c>
      <c r="IO132" t="s">
        <v>345</v>
      </c>
      <c r="IP132" t="s">
        <v>344</v>
      </c>
      <c r="IQ132" t="s">
        <v>344</v>
      </c>
      <c r="IR132" t="s">
        <v>344</v>
      </c>
      <c r="IS132" t="s">
        <v>344</v>
      </c>
      <c r="IW132" s="9"/>
      <c r="IX132" s="9"/>
      <c r="IY132" s="9"/>
      <c r="IZ132" s="9"/>
      <c r="JA132" s="9"/>
      <c r="JB132" s="9"/>
      <c r="JC132" s="9"/>
      <c r="JD132" s="9"/>
      <c r="JE132" s="9"/>
      <c r="JF132" s="9"/>
      <c r="JG132" s="9"/>
      <c r="JH132" s="9"/>
    </row>
    <row r="133" spans="1:268" x14ac:dyDescent="0.3">
      <c r="A133" s="20" t="s">
        <v>727</v>
      </c>
      <c r="B133">
        <v>227</v>
      </c>
      <c r="C133" t="s">
        <v>981</v>
      </c>
      <c r="D133">
        <v>14</v>
      </c>
      <c r="E133" t="s">
        <v>340</v>
      </c>
      <c r="F133">
        <v>2032088110</v>
      </c>
      <c r="G133" t="s">
        <v>982</v>
      </c>
      <c r="H133" t="s">
        <v>981</v>
      </c>
      <c r="I133" t="s">
        <v>977</v>
      </c>
      <c r="J133">
        <v>17</v>
      </c>
      <c r="K133" t="s">
        <v>406</v>
      </c>
      <c r="M133" t="s">
        <v>345</v>
      </c>
      <c r="N133" t="s">
        <v>344</v>
      </c>
      <c r="O133" t="s">
        <v>344</v>
      </c>
      <c r="P133" t="s">
        <v>344</v>
      </c>
      <c r="Q133" t="s">
        <v>344</v>
      </c>
      <c r="S133" t="s">
        <v>475</v>
      </c>
      <c r="U133" t="s">
        <v>418</v>
      </c>
      <c r="W133" t="s">
        <v>345</v>
      </c>
      <c r="X133" t="s">
        <v>345</v>
      </c>
      <c r="Y133" t="s">
        <v>344</v>
      </c>
      <c r="Z133" t="s">
        <v>344</v>
      </c>
      <c r="AA133" t="s">
        <v>344</v>
      </c>
      <c r="AB133" t="s">
        <v>344</v>
      </c>
      <c r="AC133" t="s">
        <v>344</v>
      </c>
      <c r="AD133" t="s">
        <v>345</v>
      </c>
      <c r="AE133" t="s">
        <v>344</v>
      </c>
      <c r="AF133" t="s">
        <v>344</v>
      </c>
      <c r="AG133" t="s">
        <v>345</v>
      </c>
      <c r="AH133" t="s">
        <v>344</v>
      </c>
      <c r="AI133" t="s">
        <v>344</v>
      </c>
      <c r="AJ133" t="s">
        <v>344</v>
      </c>
      <c r="AK133" t="s">
        <v>368</v>
      </c>
      <c r="AL133" t="s">
        <v>368</v>
      </c>
      <c r="AM133" t="s">
        <v>368</v>
      </c>
      <c r="AN133" t="s">
        <v>368</v>
      </c>
      <c r="AO133" t="s">
        <v>368</v>
      </c>
      <c r="AP133" t="s">
        <v>368</v>
      </c>
      <c r="AQ133" t="s">
        <v>345</v>
      </c>
      <c r="AR133" t="s">
        <v>344</v>
      </c>
      <c r="AS133" t="s">
        <v>345</v>
      </c>
      <c r="AT133" t="s">
        <v>344</v>
      </c>
      <c r="AU133" t="s">
        <v>345</v>
      </c>
      <c r="AV133" t="s">
        <v>344</v>
      </c>
      <c r="AW133" t="s">
        <v>344</v>
      </c>
      <c r="AX133" t="s">
        <v>344</v>
      </c>
      <c r="AY133" t="s">
        <v>732</v>
      </c>
      <c r="AZ133" t="s">
        <v>737</v>
      </c>
      <c r="BA133" t="s">
        <v>733</v>
      </c>
      <c r="BB133" t="s">
        <v>732</v>
      </c>
      <c r="BC133" t="s">
        <v>731</v>
      </c>
      <c r="BD133" t="s">
        <v>732</v>
      </c>
      <c r="BE133" t="s">
        <v>390</v>
      </c>
      <c r="BF133" t="s">
        <v>348</v>
      </c>
      <c r="BG133" t="s">
        <v>390</v>
      </c>
      <c r="BH133" t="s">
        <v>390</v>
      </c>
      <c r="BI133" t="s">
        <v>350</v>
      </c>
      <c r="BJ133" t="s">
        <v>391</v>
      </c>
      <c r="BK133" t="s">
        <v>391</v>
      </c>
      <c r="BL133" t="s">
        <v>391</v>
      </c>
      <c r="BM133" t="s">
        <v>391</v>
      </c>
      <c r="BN133" t="s">
        <v>391</v>
      </c>
      <c r="BO133" t="s">
        <v>391</v>
      </c>
      <c r="BP133" t="s">
        <v>391</v>
      </c>
      <c r="BQ133" t="s">
        <v>689</v>
      </c>
      <c r="BR133" t="s">
        <v>429</v>
      </c>
      <c r="BS133" t="s">
        <v>391</v>
      </c>
      <c r="BT133" t="s">
        <v>391</v>
      </c>
      <c r="BU133" t="s">
        <v>391</v>
      </c>
      <c r="BV133" t="s">
        <v>391</v>
      </c>
      <c r="BW133" t="s">
        <v>391</v>
      </c>
      <c r="BX133" t="s">
        <v>391</v>
      </c>
      <c r="BY133" t="s">
        <v>391</v>
      </c>
      <c r="BZ133" t="s">
        <v>391</v>
      </c>
      <c r="CA133" t="s">
        <v>391</v>
      </c>
      <c r="CB133" t="s">
        <v>391</v>
      </c>
      <c r="CC133" t="s">
        <v>391</v>
      </c>
      <c r="CD133" t="s">
        <v>391</v>
      </c>
      <c r="CE133" t="s">
        <v>357</v>
      </c>
      <c r="CF133" t="s">
        <v>355</v>
      </c>
      <c r="CG133" t="s">
        <v>420</v>
      </c>
      <c r="CH133" t="s">
        <v>420</v>
      </c>
      <c r="CI133" t="s">
        <v>393</v>
      </c>
      <c r="CJ133" t="s">
        <v>360</v>
      </c>
      <c r="CK133" t="s">
        <v>983</v>
      </c>
      <c r="CL133" t="s">
        <v>344</v>
      </c>
      <c r="CM133" t="s">
        <v>344</v>
      </c>
      <c r="CN133" t="s">
        <v>344</v>
      </c>
      <c r="CO133" t="s">
        <v>345</v>
      </c>
      <c r="CP133" t="s">
        <v>344</v>
      </c>
      <c r="CQ133" t="s">
        <v>344</v>
      </c>
      <c r="CR133" t="s">
        <v>655</v>
      </c>
      <c r="CS133">
        <v>55</v>
      </c>
      <c r="CT133">
        <v>70</v>
      </c>
      <c r="CW133" t="s">
        <v>395</v>
      </c>
      <c r="CX133" t="s">
        <v>364</v>
      </c>
      <c r="CY133" t="s">
        <v>396</v>
      </c>
      <c r="CZ133" t="s">
        <v>365</v>
      </c>
      <c r="DA133" t="s">
        <v>366</v>
      </c>
      <c r="DB133" t="s">
        <v>397</v>
      </c>
      <c r="DC133" t="s">
        <v>397</v>
      </c>
      <c r="DD133" t="s">
        <v>423</v>
      </c>
      <c r="DJ133" t="s">
        <v>984</v>
      </c>
      <c r="DK133" t="s">
        <v>492</v>
      </c>
      <c r="DL133" t="s">
        <v>345</v>
      </c>
      <c r="DM133" t="s">
        <v>344</v>
      </c>
      <c r="DN133" t="s">
        <v>344</v>
      </c>
      <c r="DO133" t="s">
        <v>344</v>
      </c>
      <c r="DP133" t="s">
        <v>345</v>
      </c>
      <c r="DQ133" t="s">
        <v>344</v>
      </c>
      <c r="DR133" t="s">
        <v>344</v>
      </c>
      <c r="DS133" t="s">
        <v>344</v>
      </c>
      <c r="DT133" t="s">
        <v>368</v>
      </c>
      <c r="DU133" t="s">
        <v>368</v>
      </c>
      <c r="DV133" t="s">
        <v>368</v>
      </c>
      <c r="DW133" t="s">
        <v>345</v>
      </c>
      <c r="DX133" t="s">
        <v>369</v>
      </c>
      <c r="DY133" t="s">
        <v>371</v>
      </c>
      <c r="DZ133" t="s">
        <v>370</v>
      </c>
      <c r="EA133" t="s">
        <v>399</v>
      </c>
      <c r="EB133" t="s">
        <v>369</v>
      </c>
      <c r="EC133" t="s">
        <v>369</v>
      </c>
      <c r="ED133" t="s">
        <v>370</v>
      </c>
      <c r="EE133" t="s">
        <v>370</v>
      </c>
      <c r="EF133" t="s">
        <v>370</v>
      </c>
      <c r="EG133" t="s">
        <v>371</v>
      </c>
      <c r="EH133" t="s">
        <v>370</v>
      </c>
      <c r="EI133" t="s">
        <v>370</v>
      </c>
      <c r="EJ133" t="s">
        <v>370</v>
      </c>
      <c r="EK133" t="s">
        <v>371</v>
      </c>
      <c r="EL133" t="s">
        <v>373</v>
      </c>
      <c r="EM133" t="s">
        <v>440</v>
      </c>
      <c r="EN133" t="s">
        <v>372</v>
      </c>
      <c r="EQ133" t="s">
        <v>376</v>
      </c>
      <c r="ER133" t="s">
        <v>376</v>
      </c>
      <c r="ES133" t="s">
        <v>411</v>
      </c>
      <c r="ET133" t="s">
        <v>375</v>
      </c>
      <c r="EU133" t="s">
        <v>376</v>
      </c>
      <c r="EV133" t="s">
        <v>400</v>
      </c>
      <c r="EX133" t="s">
        <v>368</v>
      </c>
      <c r="EY133" t="s">
        <v>368</v>
      </c>
      <c r="EZ133" t="s">
        <v>368</v>
      </c>
      <c r="FA133" t="s">
        <v>345</v>
      </c>
      <c r="FB133" t="s">
        <v>380</v>
      </c>
      <c r="FD133" t="s">
        <v>381</v>
      </c>
      <c r="FF133" t="s">
        <v>412</v>
      </c>
      <c r="FG133" t="s">
        <v>413</v>
      </c>
      <c r="FH133" t="s">
        <v>384</v>
      </c>
      <c r="FI133" t="s">
        <v>385</v>
      </c>
      <c r="GA133" t="s">
        <v>368</v>
      </c>
      <c r="GB133" t="s">
        <v>368</v>
      </c>
      <c r="GC133" t="s">
        <v>368</v>
      </c>
      <c r="GD133" t="s">
        <v>368</v>
      </c>
      <c r="GE133" t="s">
        <v>368</v>
      </c>
      <c r="GF133" t="s">
        <v>368</v>
      </c>
      <c r="GL133" t="s">
        <v>344</v>
      </c>
      <c r="GM133" t="s">
        <v>344</v>
      </c>
      <c r="GN133" t="s">
        <v>344</v>
      </c>
      <c r="GO133" t="s">
        <v>344</v>
      </c>
      <c r="GP133" t="s">
        <v>345</v>
      </c>
      <c r="GQ133" t="s">
        <v>344</v>
      </c>
      <c r="GR133" t="s">
        <v>344</v>
      </c>
      <c r="GS133" t="s">
        <v>344</v>
      </c>
      <c r="GT133" t="s">
        <v>344</v>
      </c>
      <c r="GU133" t="s">
        <v>344</v>
      </c>
      <c r="GV133" t="s">
        <v>344</v>
      </c>
      <c r="GW133" t="s">
        <v>344</v>
      </c>
      <c r="GX133" t="s">
        <v>344</v>
      </c>
      <c r="GY133" t="s">
        <v>344</v>
      </c>
      <c r="GZ133" t="s">
        <v>344</v>
      </c>
      <c r="HB133" t="s">
        <v>344</v>
      </c>
      <c r="HD133" t="s">
        <v>344</v>
      </c>
      <c r="HF133" t="s">
        <v>344</v>
      </c>
      <c r="HH133" t="s">
        <v>344</v>
      </c>
      <c r="HJ133" t="s">
        <v>344</v>
      </c>
      <c r="HK133" t="s">
        <v>344</v>
      </c>
      <c r="HL133" t="s">
        <v>344</v>
      </c>
      <c r="HM133" t="s">
        <v>344</v>
      </c>
      <c r="HN133" t="s">
        <v>344</v>
      </c>
      <c r="HO133" t="s">
        <v>344</v>
      </c>
      <c r="HP133" t="s">
        <v>344</v>
      </c>
      <c r="HQ133" t="s">
        <v>344</v>
      </c>
      <c r="HR133" t="s">
        <v>344</v>
      </c>
      <c r="HS133" t="s">
        <v>344</v>
      </c>
      <c r="HT133" t="s">
        <v>344</v>
      </c>
      <c r="HU133" t="s">
        <v>344</v>
      </c>
      <c r="HV133" t="s">
        <v>344</v>
      </c>
      <c r="HW133" t="s">
        <v>344</v>
      </c>
      <c r="HX133" t="s">
        <v>345</v>
      </c>
      <c r="HZ133" t="s">
        <v>344</v>
      </c>
      <c r="IB133" t="s">
        <v>344</v>
      </c>
      <c r="ID133" t="s">
        <v>344</v>
      </c>
      <c r="IF133" t="s">
        <v>344</v>
      </c>
      <c r="IH133" t="s">
        <v>345</v>
      </c>
      <c r="II133" t="s">
        <v>345</v>
      </c>
      <c r="IJ133" t="s">
        <v>345</v>
      </c>
      <c r="IK133" t="s">
        <v>345</v>
      </c>
      <c r="IL133" t="s">
        <v>345</v>
      </c>
      <c r="IM133" t="s">
        <v>345</v>
      </c>
      <c r="IN133" t="s">
        <v>344</v>
      </c>
      <c r="IO133" t="s">
        <v>345</v>
      </c>
      <c r="IP133" t="s">
        <v>344</v>
      </c>
      <c r="IQ133" t="s">
        <v>344</v>
      </c>
      <c r="IR133" t="s">
        <v>344</v>
      </c>
      <c r="IS133" t="s">
        <v>344</v>
      </c>
      <c r="IW133" s="9"/>
      <c r="IX133" s="9"/>
      <c r="IY133" s="9"/>
      <c r="IZ133" s="9"/>
      <c r="JA133" s="9"/>
      <c r="JB133" s="9"/>
      <c r="JC133" s="9"/>
      <c r="JD133" s="9"/>
      <c r="JE133" s="9"/>
      <c r="JF133" s="9"/>
      <c r="JG133" s="9"/>
      <c r="JH133" s="9"/>
    </row>
    <row r="134" spans="1:268" x14ac:dyDescent="0.3">
      <c r="A134" s="20" t="s">
        <v>727</v>
      </c>
      <c r="B134">
        <v>228</v>
      </c>
      <c r="C134" t="s">
        <v>985</v>
      </c>
      <c r="D134">
        <v>14</v>
      </c>
      <c r="E134" t="s">
        <v>340</v>
      </c>
      <c r="F134">
        <v>1102762767</v>
      </c>
      <c r="G134" t="s">
        <v>986</v>
      </c>
      <c r="H134" t="s">
        <v>985</v>
      </c>
      <c r="I134" t="s">
        <v>977</v>
      </c>
      <c r="J134">
        <v>17</v>
      </c>
      <c r="K134" t="s">
        <v>406</v>
      </c>
      <c r="M134" t="s">
        <v>345</v>
      </c>
      <c r="N134" t="s">
        <v>345</v>
      </c>
      <c r="O134" t="s">
        <v>344</v>
      </c>
      <c r="P134" t="s">
        <v>344</v>
      </c>
      <c r="Q134" t="s">
        <v>344</v>
      </c>
      <c r="S134" t="s">
        <v>475</v>
      </c>
      <c r="U134" t="s">
        <v>418</v>
      </c>
      <c r="W134" t="s">
        <v>345</v>
      </c>
      <c r="X134" t="s">
        <v>345</v>
      </c>
      <c r="Y134" t="s">
        <v>344</v>
      </c>
      <c r="Z134" t="s">
        <v>344</v>
      </c>
      <c r="AA134" t="s">
        <v>344</v>
      </c>
      <c r="AB134" t="s">
        <v>344</v>
      </c>
      <c r="AC134" t="s">
        <v>344</v>
      </c>
      <c r="AD134" t="s">
        <v>344</v>
      </c>
      <c r="AE134" t="s">
        <v>344</v>
      </c>
      <c r="AF134" t="s">
        <v>344</v>
      </c>
      <c r="AG134" t="s">
        <v>344</v>
      </c>
      <c r="AH134" t="s">
        <v>345</v>
      </c>
      <c r="AI134" t="s">
        <v>344</v>
      </c>
      <c r="AJ134" t="s">
        <v>344</v>
      </c>
      <c r="AK134" t="s">
        <v>368</v>
      </c>
      <c r="AL134" t="s">
        <v>368</v>
      </c>
      <c r="AM134" t="s">
        <v>368</v>
      </c>
      <c r="AN134" t="s">
        <v>368</v>
      </c>
      <c r="AO134" t="s">
        <v>368</v>
      </c>
      <c r="AP134" t="s">
        <v>368</v>
      </c>
      <c r="AQ134" t="s">
        <v>345</v>
      </c>
      <c r="AR134" t="s">
        <v>345</v>
      </c>
      <c r="AS134" t="s">
        <v>344</v>
      </c>
      <c r="AT134" t="s">
        <v>344</v>
      </c>
      <c r="AU134" t="s">
        <v>345</v>
      </c>
      <c r="AV134" t="s">
        <v>344</v>
      </c>
      <c r="AW134" t="s">
        <v>344</v>
      </c>
      <c r="AX134" t="s">
        <v>344</v>
      </c>
      <c r="AY134" t="s">
        <v>391</v>
      </c>
      <c r="AZ134" t="s">
        <v>391</v>
      </c>
      <c r="BA134" t="s">
        <v>391</v>
      </c>
      <c r="BB134" t="s">
        <v>391</v>
      </c>
      <c r="BC134" t="s">
        <v>391</v>
      </c>
      <c r="BD134" t="s">
        <v>391</v>
      </c>
      <c r="BE134" t="s">
        <v>390</v>
      </c>
      <c r="BF134" t="s">
        <v>349</v>
      </c>
      <c r="BG134" t="s">
        <v>349</v>
      </c>
      <c r="BH134" t="s">
        <v>349</v>
      </c>
      <c r="BI134" t="s">
        <v>348</v>
      </c>
      <c r="BJ134" t="s">
        <v>391</v>
      </c>
      <c r="BK134" t="s">
        <v>391</v>
      </c>
      <c r="BL134" t="s">
        <v>391</v>
      </c>
      <c r="BM134" t="s">
        <v>391</v>
      </c>
      <c r="BN134" t="s">
        <v>391</v>
      </c>
      <c r="BO134" t="s">
        <v>391</v>
      </c>
      <c r="BP134" t="s">
        <v>391</v>
      </c>
      <c r="BQ134" t="s">
        <v>419</v>
      </c>
      <c r="BR134" t="s">
        <v>367</v>
      </c>
      <c r="BS134" t="s">
        <v>391</v>
      </c>
      <c r="BT134" t="s">
        <v>391</v>
      </c>
      <c r="BU134" t="s">
        <v>391</v>
      </c>
      <c r="BV134" t="s">
        <v>391</v>
      </c>
      <c r="BW134" t="s">
        <v>391</v>
      </c>
      <c r="BX134" t="s">
        <v>391</v>
      </c>
      <c r="BY134" t="s">
        <v>391</v>
      </c>
      <c r="BZ134" t="s">
        <v>391</v>
      </c>
      <c r="CA134" t="s">
        <v>391</v>
      </c>
      <c r="CB134" t="s">
        <v>391</v>
      </c>
      <c r="CC134" t="s">
        <v>391</v>
      </c>
      <c r="CD134" t="s">
        <v>391</v>
      </c>
      <c r="CE134" t="s">
        <v>391</v>
      </c>
      <c r="CF134" t="s">
        <v>391</v>
      </c>
      <c r="CG134" t="s">
        <v>421</v>
      </c>
      <c r="CH134" t="s">
        <v>421</v>
      </c>
      <c r="CI134" t="s">
        <v>421</v>
      </c>
      <c r="CJ134" t="s">
        <v>393</v>
      </c>
      <c r="CL134" t="s">
        <v>344</v>
      </c>
      <c r="CM134" t="s">
        <v>344</v>
      </c>
      <c r="CN134" t="s">
        <v>344</v>
      </c>
      <c r="CO134" t="s">
        <v>345</v>
      </c>
      <c r="CP134" t="s">
        <v>344</v>
      </c>
      <c r="CQ134" t="s">
        <v>344</v>
      </c>
      <c r="CR134" t="s">
        <v>667</v>
      </c>
      <c r="CS134">
        <v>100</v>
      </c>
      <c r="CT134">
        <v>40</v>
      </c>
      <c r="CU134">
        <v>100</v>
      </c>
      <c r="CV134">
        <v>56</v>
      </c>
      <c r="CW134" t="s">
        <v>395</v>
      </c>
      <c r="CX134" t="s">
        <v>396</v>
      </c>
      <c r="CY134" t="s">
        <v>395</v>
      </c>
      <c r="CZ134" t="s">
        <v>366</v>
      </c>
      <c r="DA134" t="s">
        <v>366</v>
      </c>
      <c r="DB134" t="s">
        <v>397</v>
      </c>
      <c r="DC134" t="s">
        <v>397</v>
      </c>
      <c r="DD134" t="s">
        <v>366</v>
      </c>
      <c r="DE134" t="s">
        <v>366</v>
      </c>
      <c r="DF134" t="s">
        <v>397</v>
      </c>
      <c r="DG134" t="s">
        <v>397</v>
      </c>
      <c r="DH134" t="s">
        <v>397</v>
      </c>
      <c r="DI134" t="s">
        <v>397</v>
      </c>
      <c r="DK134" t="s">
        <v>367</v>
      </c>
      <c r="DL134" t="s">
        <v>368</v>
      </c>
      <c r="DM134" t="s">
        <v>368</v>
      </c>
      <c r="DN134" t="s">
        <v>368</v>
      </c>
      <c r="DO134" t="s">
        <v>368</v>
      </c>
      <c r="DP134" t="s">
        <v>368</v>
      </c>
      <c r="DQ134" t="s">
        <v>368</v>
      </c>
      <c r="DR134" t="s">
        <v>368</v>
      </c>
      <c r="DS134" t="s">
        <v>345</v>
      </c>
      <c r="DT134" t="s">
        <v>368</v>
      </c>
      <c r="DU134" t="s">
        <v>368</v>
      </c>
      <c r="DV134" t="s">
        <v>368</v>
      </c>
      <c r="DW134" t="s">
        <v>345</v>
      </c>
      <c r="DX134" t="s">
        <v>369</v>
      </c>
      <c r="DY134" t="s">
        <v>399</v>
      </c>
      <c r="DZ134" t="s">
        <v>369</v>
      </c>
      <c r="EA134" t="s">
        <v>369</v>
      </c>
      <c r="EB134" t="s">
        <v>369</v>
      </c>
      <c r="EC134" t="s">
        <v>369</v>
      </c>
      <c r="ED134" t="s">
        <v>399</v>
      </c>
      <c r="EE134" t="s">
        <v>370</v>
      </c>
      <c r="EF134" t="s">
        <v>370</v>
      </c>
      <c r="EG134" t="s">
        <v>370</v>
      </c>
      <c r="EH134" t="s">
        <v>370</v>
      </c>
      <c r="EI134" t="s">
        <v>370</v>
      </c>
      <c r="EJ134" t="s">
        <v>370</v>
      </c>
      <c r="EK134" t="s">
        <v>370</v>
      </c>
      <c r="EL134" t="s">
        <v>374</v>
      </c>
      <c r="EM134" t="s">
        <v>373</v>
      </c>
      <c r="EN134" t="s">
        <v>440</v>
      </c>
      <c r="EQ134" t="s">
        <v>391</v>
      </c>
      <c r="ER134" t="s">
        <v>391</v>
      </c>
      <c r="ES134" t="s">
        <v>391</v>
      </c>
      <c r="ET134" t="s">
        <v>391</v>
      </c>
      <c r="EU134" t="s">
        <v>391</v>
      </c>
      <c r="EV134" t="s">
        <v>400</v>
      </c>
      <c r="EX134" t="s">
        <v>368</v>
      </c>
      <c r="EY134" t="s">
        <v>368</v>
      </c>
      <c r="EZ134" t="s">
        <v>368</v>
      </c>
      <c r="FA134" t="s">
        <v>345</v>
      </c>
      <c r="FB134" t="s">
        <v>381</v>
      </c>
      <c r="FD134" t="s">
        <v>381</v>
      </c>
      <c r="GA134" t="s">
        <v>368</v>
      </c>
      <c r="GB134" t="s">
        <v>368</v>
      </c>
      <c r="GC134" t="s">
        <v>368</v>
      </c>
      <c r="GD134" t="s">
        <v>368</v>
      </c>
      <c r="GE134" t="s">
        <v>368</v>
      </c>
      <c r="GF134" t="s">
        <v>368</v>
      </c>
      <c r="GL134" t="s">
        <v>344</v>
      </c>
      <c r="GM134" t="s">
        <v>344</v>
      </c>
      <c r="GN134" t="s">
        <v>344</v>
      </c>
      <c r="GO134" t="s">
        <v>344</v>
      </c>
      <c r="GP134" t="s">
        <v>344</v>
      </c>
      <c r="GQ134" t="s">
        <v>344</v>
      </c>
      <c r="GR134" t="s">
        <v>344</v>
      </c>
      <c r="GS134" t="s">
        <v>344</v>
      </c>
      <c r="GT134" t="s">
        <v>344</v>
      </c>
      <c r="GU134" t="s">
        <v>344</v>
      </c>
      <c r="GV134" t="s">
        <v>345</v>
      </c>
      <c r="GW134" t="s">
        <v>344</v>
      </c>
      <c r="GX134" t="s">
        <v>344</v>
      </c>
      <c r="GY134" t="s">
        <v>344</v>
      </c>
      <c r="GZ134" t="s">
        <v>344</v>
      </c>
      <c r="HB134" t="s">
        <v>344</v>
      </c>
      <c r="HD134" t="s">
        <v>344</v>
      </c>
      <c r="HF134" t="s">
        <v>344</v>
      </c>
      <c r="HH134" t="s">
        <v>344</v>
      </c>
      <c r="HJ134" t="s">
        <v>344</v>
      </c>
      <c r="HK134" t="s">
        <v>344</v>
      </c>
      <c r="HL134" t="s">
        <v>344</v>
      </c>
      <c r="HM134" t="s">
        <v>344</v>
      </c>
      <c r="HN134" t="s">
        <v>344</v>
      </c>
      <c r="HO134" t="s">
        <v>344</v>
      </c>
      <c r="HP134" t="s">
        <v>344</v>
      </c>
      <c r="HQ134" t="s">
        <v>344</v>
      </c>
      <c r="HR134" t="s">
        <v>344</v>
      </c>
      <c r="HS134" t="s">
        <v>344</v>
      </c>
      <c r="HT134" t="s">
        <v>344</v>
      </c>
      <c r="HU134" t="s">
        <v>344</v>
      </c>
      <c r="HV134" t="s">
        <v>344</v>
      </c>
      <c r="HW134" t="s">
        <v>344</v>
      </c>
      <c r="HX134" t="s">
        <v>345</v>
      </c>
      <c r="HZ134" t="s">
        <v>344</v>
      </c>
      <c r="IB134" t="s">
        <v>344</v>
      </c>
      <c r="ID134" t="s">
        <v>344</v>
      </c>
      <c r="IF134" t="s">
        <v>344</v>
      </c>
      <c r="IH134" t="s">
        <v>345</v>
      </c>
      <c r="II134" t="s">
        <v>345</v>
      </c>
      <c r="IJ134" t="s">
        <v>344</v>
      </c>
      <c r="IK134" t="s">
        <v>344</v>
      </c>
      <c r="IL134" t="s">
        <v>345</v>
      </c>
      <c r="IM134" t="s">
        <v>345</v>
      </c>
      <c r="IN134" t="s">
        <v>344</v>
      </c>
      <c r="IO134" t="s">
        <v>345</v>
      </c>
      <c r="IP134" t="s">
        <v>344</v>
      </c>
      <c r="IQ134" t="s">
        <v>344</v>
      </c>
      <c r="IR134" t="s">
        <v>344</v>
      </c>
      <c r="IS134" t="s">
        <v>344</v>
      </c>
      <c r="IW134" s="9"/>
      <c r="IX134" s="9"/>
      <c r="IY134" s="9"/>
      <c r="IZ134" s="9"/>
      <c r="JA134" s="9"/>
      <c r="JB134" s="9"/>
      <c r="JC134" s="9"/>
      <c r="JD134" s="9"/>
      <c r="JE134" s="9"/>
      <c r="JF134" s="9"/>
      <c r="JG134" s="9"/>
      <c r="JH134" s="9"/>
    </row>
    <row r="135" spans="1:268" x14ac:dyDescent="0.3">
      <c r="A135" s="20" t="s">
        <v>727</v>
      </c>
      <c r="B135">
        <v>229</v>
      </c>
      <c r="C135" t="s">
        <v>987</v>
      </c>
      <c r="D135">
        <v>14</v>
      </c>
      <c r="E135" t="s">
        <v>340</v>
      </c>
      <c r="F135">
        <v>1263011051</v>
      </c>
      <c r="G135" t="s">
        <v>988</v>
      </c>
      <c r="H135" t="s">
        <v>987</v>
      </c>
      <c r="I135" t="s">
        <v>977</v>
      </c>
      <c r="J135">
        <v>18</v>
      </c>
      <c r="K135" t="s">
        <v>389</v>
      </c>
      <c r="M135" t="s">
        <v>344</v>
      </c>
      <c r="N135" t="s">
        <v>345</v>
      </c>
      <c r="O135" t="s">
        <v>344</v>
      </c>
      <c r="P135" t="s">
        <v>344</v>
      </c>
      <c r="Q135" t="s">
        <v>344</v>
      </c>
      <c r="S135" t="s">
        <v>475</v>
      </c>
      <c r="U135" t="s">
        <v>418</v>
      </c>
      <c r="W135" t="s">
        <v>368</v>
      </c>
      <c r="X135" t="s">
        <v>368</v>
      </c>
      <c r="Y135" t="s">
        <v>368</v>
      </c>
      <c r="Z135" t="s">
        <v>368</v>
      </c>
      <c r="AA135" t="s">
        <v>368</v>
      </c>
      <c r="AB135" t="s">
        <v>368</v>
      </c>
      <c r="AC135" t="s">
        <v>345</v>
      </c>
      <c r="AD135" t="s">
        <v>368</v>
      </c>
      <c r="AE135" t="s">
        <v>368</v>
      </c>
      <c r="AF135" t="s">
        <v>368</v>
      </c>
      <c r="AG135" t="s">
        <v>368</v>
      </c>
      <c r="AH135" t="s">
        <v>368</v>
      </c>
      <c r="AI135" t="s">
        <v>368</v>
      </c>
      <c r="AJ135" t="s">
        <v>345</v>
      </c>
      <c r="AK135" t="s">
        <v>368</v>
      </c>
      <c r="AL135" t="s">
        <v>368</v>
      </c>
      <c r="AM135" t="s">
        <v>368</v>
      </c>
      <c r="AN135" t="s">
        <v>368</v>
      </c>
      <c r="AO135" t="s">
        <v>368</v>
      </c>
      <c r="AP135" t="s">
        <v>368</v>
      </c>
      <c r="AQ135" t="s">
        <v>345</v>
      </c>
      <c r="AR135" t="s">
        <v>368</v>
      </c>
      <c r="AS135" t="s">
        <v>368</v>
      </c>
      <c r="AT135" t="s">
        <v>368</v>
      </c>
      <c r="AU135" t="s">
        <v>368</v>
      </c>
      <c r="AV135" t="s">
        <v>368</v>
      </c>
      <c r="AW135" t="s">
        <v>368</v>
      </c>
      <c r="AX135" t="s">
        <v>345</v>
      </c>
      <c r="AY135" t="s">
        <v>731</v>
      </c>
      <c r="AZ135" t="s">
        <v>733</v>
      </c>
      <c r="BA135" t="s">
        <v>737</v>
      </c>
      <c r="BB135" t="s">
        <v>737</v>
      </c>
      <c r="BC135" t="s">
        <v>731</v>
      </c>
      <c r="BD135" t="s">
        <v>731</v>
      </c>
      <c r="BE135" t="s">
        <v>349</v>
      </c>
      <c r="BF135" t="s">
        <v>350</v>
      </c>
      <c r="BG135" t="s">
        <v>390</v>
      </c>
      <c r="BH135" t="s">
        <v>348</v>
      </c>
      <c r="BI135" t="s">
        <v>348</v>
      </c>
      <c r="BJ135" t="s">
        <v>391</v>
      </c>
      <c r="BK135" t="s">
        <v>391</v>
      </c>
      <c r="BL135" t="s">
        <v>391</v>
      </c>
      <c r="BM135" t="s">
        <v>391</v>
      </c>
      <c r="BN135" t="s">
        <v>391</v>
      </c>
      <c r="BO135" t="s">
        <v>391</v>
      </c>
      <c r="BP135" t="s">
        <v>391</v>
      </c>
      <c r="BQ135" t="s">
        <v>455</v>
      </c>
      <c r="BR135" t="s">
        <v>429</v>
      </c>
      <c r="BS135" t="s">
        <v>391</v>
      </c>
      <c r="BT135" t="s">
        <v>391</v>
      </c>
      <c r="BU135" t="s">
        <v>391</v>
      </c>
      <c r="BV135" t="s">
        <v>391</v>
      </c>
      <c r="BW135" t="s">
        <v>391</v>
      </c>
      <c r="BX135" t="s">
        <v>391</v>
      </c>
      <c r="BY135" t="s">
        <v>391</v>
      </c>
      <c r="BZ135" t="s">
        <v>391</v>
      </c>
      <c r="CA135" t="s">
        <v>391</v>
      </c>
      <c r="CB135" t="s">
        <v>391</v>
      </c>
      <c r="CC135" t="s">
        <v>391</v>
      </c>
      <c r="CD135" t="s">
        <v>391</v>
      </c>
      <c r="CE135" t="s">
        <v>391</v>
      </c>
      <c r="CF135" t="s">
        <v>391</v>
      </c>
      <c r="CG135" t="s">
        <v>392</v>
      </c>
      <c r="CH135" t="s">
        <v>421</v>
      </c>
      <c r="CI135" t="s">
        <v>393</v>
      </c>
      <c r="CJ135" t="s">
        <v>421</v>
      </c>
      <c r="CK135" t="s">
        <v>989</v>
      </c>
      <c r="CL135" t="s">
        <v>344</v>
      </c>
      <c r="CM135" t="s">
        <v>344</v>
      </c>
      <c r="CN135" t="s">
        <v>344</v>
      </c>
      <c r="CO135" t="s">
        <v>344</v>
      </c>
      <c r="CP135" t="s">
        <v>345</v>
      </c>
      <c r="CQ135" t="s">
        <v>345</v>
      </c>
      <c r="CR135" t="s">
        <v>667</v>
      </c>
      <c r="CS135">
        <v>80</v>
      </c>
      <c r="CT135">
        <v>15</v>
      </c>
      <c r="CU135">
        <v>85</v>
      </c>
      <c r="CV135">
        <v>20</v>
      </c>
      <c r="CW135" t="s">
        <v>364</v>
      </c>
      <c r="CX135" t="s">
        <v>363</v>
      </c>
      <c r="CY135" t="s">
        <v>396</v>
      </c>
      <c r="CZ135" t="s">
        <v>397</v>
      </c>
      <c r="DA135" t="s">
        <v>397</v>
      </c>
      <c r="DB135" t="s">
        <v>397</v>
      </c>
      <c r="DC135" t="s">
        <v>365</v>
      </c>
      <c r="DD135" t="s">
        <v>366</v>
      </c>
      <c r="DE135" t="s">
        <v>423</v>
      </c>
      <c r="DF135" t="s">
        <v>423</v>
      </c>
      <c r="DG135" t="s">
        <v>365</v>
      </c>
      <c r="DH135" t="s">
        <v>397</v>
      </c>
      <c r="DI135" t="s">
        <v>366</v>
      </c>
      <c r="DJ135" t="s">
        <v>990</v>
      </c>
      <c r="DK135" t="s">
        <v>367</v>
      </c>
      <c r="DL135" t="s">
        <v>368</v>
      </c>
      <c r="DM135" t="s">
        <v>368</v>
      </c>
      <c r="DN135" t="s">
        <v>368</v>
      </c>
      <c r="DO135" t="s">
        <v>368</v>
      </c>
      <c r="DP135" t="s">
        <v>368</v>
      </c>
      <c r="DQ135" t="s">
        <v>368</v>
      </c>
      <c r="DR135" t="s">
        <v>368</v>
      </c>
      <c r="DS135" t="s">
        <v>345</v>
      </c>
      <c r="DT135" t="s">
        <v>368</v>
      </c>
      <c r="DU135" t="s">
        <v>368</v>
      </c>
      <c r="DV135" t="s">
        <v>368</v>
      </c>
      <c r="DW135" t="s">
        <v>345</v>
      </c>
      <c r="DX135" t="s">
        <v>369</v>
      </c>
      <c r="DY135" t="s">
        <v>399</v>
      </c>
      <c r="DZ135" t="s">
        <v>370</v>
      </c>
      <c r="EA135" t="s">
        <v>399</v>
      </c>
      <c r="EB135" t="s">
        <v>399</v>
      </c>
      <c r="EC135" t="s">
        <v>369</v>
      </c>
      <c r="ED135" t="s">
        <v>369</v>
      </c>
      <c r="EE135" t="s">
        <v>370</v>
      </c>
      <c r="EF135" t="s">
        <v>370</v>
      </c>
      <c r="EG135" t="s">
        <v>399</v>
      </c>
      <c r="EH135" t="s">
        <v>370</v>
      </c>
      <c r="EI135" t="s">
        <v>370</v>
      </c>
      <c r="EJ135" t="s">
        <v>370</v>
      </c>
      <c r="EK135" t="s">
        <v>370</v>
      </c>
      <c r="EL135" t="s">
        <v>373</v>
      </c>
      <c r="EM135" t="s">
        <v>374</v>
      </c>
      <c r="EN135" t="s">
        <v>424</v>
      </c>
      <c r="EQ135" t="s">
        <v>391</v>
      </c>
      <c r="ER135" t="s">
        <v>391</v>
      </c>
      <c r="ES135" t="s">
        <v>391</v>
      </c>
      <c r="ET135" t="s">
        <v>391</v>
      </c>
      <c r="EU135" t="s">
        <v>391</v>
      </c>
      <c r="EV135" t="s">
        <v>400</v>
      </c>
      <c r="EX135" t="s">
        <v>368</v>
      </c>
      <c r="EY135" t="s">
        <v>368</v>
      </c>
      <c r="EZ135" t="s">
        <v>368</v>
      </c>
      <c r="FA135" t="s">
        <v>345</v>
      </c>
      <c r="FB135" t="s">
        <v>380</v>
      </c>
      <c r="FD135" t="s">
        <v>343</v>
      </c>
      <c r="FE135" t="s">
        <v>18171</v>
      </c>
      <c r="FF135" t="s">
        <v>382</v>
      </c>
      <c r="FG135" t="s">
        <v>383</v>
      </c>
      <c r="FH135" t="s">
        <v>451</v>
      </c>
      <c r="FI135" t="s">
        <v>403</v>
      </c>
      <c r="GA135" t="s">
        <v>368</v>
      </c>
      <c r="GB135" t="s">
        <v>368</v>
      </c>
      <c r="GC135" t="s">
        <v>368</v>
      </c>
      <c r="GD135" t="s">
        <v>368</v>
      </c>
      <c r="GE135" t="s">
        <v>368</v>
      </c>
      <c r="GF135" t="s">
        <v>368</v>
      </c>
      <c r="GL135" t="s">
        <v>344</v>
      </c>
      <c r="GM135" t="s">
        <v>344</v>
      </c>
      <c r="GN135" t="s">
        <v>344</v>
      </c>
      <c r="GO135" t="s">
        <v>344</v>
      </c>
      <c r="GP135" t="s">
        <v>344</v>
      </c>
      <c r="GQ135" t="s">
        <v>344</v>
      </c>
      <c r="GR135" t="s">
        <v>344</v>
      </c>
      <c r="GS135" t="s">
        <v>344</v>
      </c>
      <c r="GT135" t="s">
        <v>344</v>
      </c>
      <c r="GU135" t="s">
        <v>344</v>
      </c>
      <c r="GV135" t="s">
        <v>344</v>
      </c>
      <c r="GW135" t="s">
        <v>344</v>
      </c>
      <c r="GX135" t="s">
        <v>344</v>
      </c>
      <c r="GY135" t="s">
        <v>344</v>
      </c>
      <c r="GZ135" t="s">
        <v>345</v>
      </c>
      <c r="HB135" t="s">
        <v>344</v>
      </c>
      <c r="HD135" t="s">
        <v>344</v>
      </c>
      <c r="HF135" t="s">
        <v>344</v>
      </c>
      <c r="HH135" t="s">
        <v>344</v>
      </c>
      <c r="HJ135" t="s">
        <v>344</v>
      </c>
      <c r="HK135" t="s">
        <v>344</v>
      </c>
      <c r="HL135" t="s">
        <v>344</v>
      </c>
      <c r="HM135" t="s">
        <v>344</v>
      </c>
      <c r="HN135" t="s">
        <v>344</v>
      </c>
      <c r="HO135" t="s">
        <v>344</v>
      </c>
      <c r="HP135" t="s">
        <v>344</v>
      </c>
      <c r="HQ135" t="s">
        <v>344</v>
      </c>
      <c r="HR135" t="s">
        <v>344</v>
      </c>
      <c r="HS135" t="s">
        <v>344</v>
      </c>
      <c r="HT135" t="s">
        <v>344</v>
      </c>
      <c r="HU135" t="s">
        <v>344</v>
      </c>
      <c r="HV135" t="s">
        <v>344</v>
      </c>
      <c r="HW135" t="s">
        <v>344</v>
      </c>
      <c r="HX135" t="s">
        <v>345</v>
      </c>
      <c r="HY135" t="s">
        <v>742</v>
      </c>
      <c r="HZ135" t="s">
        <v>344</v>
      </c>
      <c r="IB135" t="s">
        <v>345</v>
      </c>
      <c r="IC135" t="s">
        <v>991</v>
      </c>
      <c r="ID135" t="s">
        <v>345</v>
      </c>
      <c r="IE135" t="s">
        <v>991</v>
      </c>
      <c r="IF135" t="s">
        <v>344</v>
      </c>
      <c r="IH135" t="s">
        <v>345</v>
      </c>
      <c r="II135" t="s">
        <v>344</v>
      </c>
      <c r="IJ135" t="s">
        <v>344</v>
      </c>
      <c r="IK135" t="s">
        <v>344</v>
      </c>
      <c r="IL135" t="s">
        <v>345</v>
      </c>
      <c r="IM135" t="s">
        <v>345</v>
      </c>
      <c r="IN135" t="s">
        <v>344</v>
      </c>
      <c r="IO135" t="s">
        <v>345</v>
      </c>
      <c r="IP135" t="s">
        <v>344</v>
      </c>
      <c r="IQ135" t="s">
        <v>344</v>
      </c>
      <c r="IR135" t="s">
        <v>344</v>
      </c>
      <c r="IS135" t="s">
        <v>344</v>
      </c>
      <c r="IT135" t="s">
        <v>748</v>
      </c>
      <c r="IW135" s="9"/>
      <c r="IX135" s="9"/>
      <c r="IY135" s="9"/>
      <c r="IZ135" s="9"/>
      <c r="JA135" s="9"/>
      <c r="JB135" s="9"/>
      <c r="JC135" s="9"/>
      <c r="JD135" s="9"/>
      <c r="JE135" s="9"/>
      <c r="JF135" s="9"/>
      <c r="JG135" s="9"/>
      <c r="JH135" s="9"/>
    </row>
    <row r="136" spans="1:268" x14ac:dyDescent="0.3">
      <c r="A136" s="20" t="s">
        <v>727</v>
      </c>
      <c r="B136">
        <v>230</v>
      </c>
      <c r="C136" t="s">
        <v>992</v>
      </c>
      <c r="D136">
        <v>14</v>
      </c>
      <c r="E136" t="s">
        <v>340</v>
      </c>
      <c r="F136">
        <v>1839268846</v>
      </c>
      <c r="G136" t="s">
        <v>993</v>
      </c>
      <c r="H136" t="s">
        <v>992</v>
      </c>
      <c r="I136" t="s">
        <v>977</v>
      </c>
      <c r="J136">
        <v>18</v>
      </c>
      <c r="K136" t="s">
        <v>406</v>
      </c>
      <c r="M136" t="s">
        <v>344</v>
      </c>
      <c r="N136" t="s">
        <v>345</v>
      </c>
      <c r="O136" t="s">
        <v>344</v>
      </c>
      <c r="P136" t="s">
        <v>344</v>
      </c>
      <c r="Q136" t="s">
        <v>344</v>
      </c>
      <c r="S136" t="s">
        <v>475</v>
      </c>
      <c r="U136" t="s">
        <v>347</v>
      </c>
      <c r="W136" t="s">
        <v>344</v>
      </c>
      <c r="X136" t="s">
        <v>344</v>
      </c>
      <c r="Y136" t="s">
        <v>345</v>
      </c>
      <c r="Z136" t="s">
        <v>344</v>
      </c>
      <c r="AA136" t="s">
        <v>344</v>
      </c>
      <c r="AB136" t="s">
        <v>344</v>
      </c>
      <c r="AC136" t="s">
        <v>344</v>
      </c>
      <c r="AD136" t="s">
        <v>344</v>
      </c>
      <c r="AE136" t="s">
        <v>344</v>
      </c>
      <c r="AF136" t="s">
        <v>344</v>
      </c>
      <c r="AG136" t="s">
        <v>344</v>
      </c>
      <c r="AH136" t="s">
        <v>345</v>
      </c>
      <c r="AI136" t="s">
        <v>344</v>
      </c>
      <c r="AJ136" t="s">
        <v>344</v>
      </c>
      <c r="AK136" t="s">
        <v>344</v>
      </c>
      <c r="AL136" t="s">
        <v>344</v>
      </c>
      <c r="AM136" t="s">
        <v>344</v>
      </c>
      <c r="AN136" t="s">
        <v>345</v>
      </c>
      <c r="AO136" t="s">
        <v>344</v>
      </c>
      <c r="AP136" t="s">
        <v>344</v>
      </c>
      <c r="AQ136" t="s">
        <v>344</v>
      </c>
      <c r="AR136" t="s">
        <v>344</v>
      </c>
      <c r="AS136" t="s">
        <v>344</v>
      </c>
      <c r="AT136" t="s">
        <v>344</v>
      </c>
      <c r="AU136" t="s">
        <v>344</v>
      </c>
      <c r="AV136" t="s">
        <v>344</v>
      </c>
      <c r="AW136" t="s">
        <v>345</v>
      </c>
      <c r="AX136" t="s">
        <v>344</v>
      </c>
      <c r="AY136" t="s">
        <v>391</v>
      </c>
      <c r="AZ136" t="s">
        <v>733</v>
      </c>
      <c r="BA136" t="s">
        <v>732</v>
      </c>
      <c r="BB136" t="s">
        <v>732</v>
      </c>
      <c r="BC136" t="s">
        <v>733</v>
      </c>
      <c r="BD136" t="s">
        <v>732</v>
      </c>
      <c r="BE136" t="s">
        <v>390</v>
      </c>
      <c r="BF136" t="s">
        <v>349</v>
      </c>
      <c r="BG136" t="s">
        <v>390</v>
      </c>
      <c r="BH136" t="s">
        <v>349</v>
      </c>
      <c r="BI136" t="s">
        <v>348</v>
      </c>
      <c r="BJ136" t="s">
        <v>391</v>
      </c>
      <c r="BK136" t="s">
        <v>391</v>
      </c>
      <c r="BL136" t="s">
        <v>391</v>
      </c>
      <c r="BM136" t="s">
        <v>391</v>
      </c>
      <c r="BN136" t="s">
        <v>391</v>
      </c>
      <c r="BO136" t="s">
        <v>391</v>
      </c>
      <c r="BP136" t="s">
        <v>391</v>
      </c>
      <c r="BQ136" t="s">
        <v>358</v>
      </c>
      <c r="BR136" t="s">
        <v>408</v>
      </c>
      <c r="BS136" t="s">
        <v>391</v>
      </c>
      <c r="BT136" t="s">
        <v>391</v>
      </c>
      <c r="BU136" t="s">
        <v>391</v>
      </c>
      <c r="BV136" t="s">
        <v>391</v>
      </c>
      <c r="BW136" t="s">
        <v>391</v>
      </c>
      <c r="BX136" t="s">
        <v>391</v>
      </c>
      <c r="BY136" t="s">
        <v>391</v>
      </c>
      <c r="BZ136" t="s">
        <v>391</v>
      </c>
      <c r="CA136" t="s">
        <v>391</v>
      </c>
      <c r="CB136" t="s">
        <v>391</v>
      </c>
      <c r="CC136" t="s">
        <v>391</v>
      </c>
      <c r="CD136" t="s">
        <v>391</v>
      </c>
      <c r="CE136" t="s">
        <v>391</v>
      </c>
      <c r="CF136" t="s">
        <v>391</v>
      </c>
      <c r="CG136" t="s">
        <v>360</v>
      </c>
      <c r="CH136" t="s">
        <v>392</v>
      </c>
      <c r="CI136" t="s">
        <v>392</v>
      </c>
      <c r="CJ136" t="s">
        <v>392</v>
      </c>
      <c r="CL136" t="s">
        <v>344</v>
      </c>
      <c r="CM136" t="s">
        <v>344</v>
      </c>
      <c r="CN136" t="s">
        <v>344</v>
      </c>
      <c r="CO136" t="s">
        <v>345</v>
      </c>
      <c r="CP136" t="s">
        <v>345</v>
      </c>
      <c r="CQ136" t="s">
        <v>344</v>
      </c>
      <c r="CR136" t="s">
        <v>667</v>
      </c>
      <c r="CS136">
        <v>100</v>
      </c>
      <c r="CT136">
        <v>25</v>
      </c>
      <c r="CU136">
        <v>100</v>
      </c>
      <c r="CV136">
        <v>1</v>
      </c>
      <c r="CW136" t="s">
        <v>363</v>
      </c>
      <c r="CX136" t="s">
        <v>364</v>
      </c>
      <c r="CY136" t="s">
        <v>395</v>
      </c>
      <c r="CZ136" t="s">
        <v>397</v>
      </c>
      <c r="DA136" t="s">
        <v>397</v>
      </c>
      <c r="DB136" t="s">
        <v>397</v>
      </c>
      <c r="DC136" t="s">
        <v>397</v>
      </c>
      <c r="DD136" t="s">
        <v>397</v>
      </c>
      <c r="DE136" t="s">
        <v>397</v>
      </c>
      <c r="DF136" t="s">
        <v>397</v>
      </c>
      <c r="DG136" t="s">
        <v>397</v>
      </c>
      <c r="DH136" t="s">
        <v>365</v>
      </c>
      <c r="DI136" t="s">
        <v>423</v>
      </c>
      <c r="DK136" t="s">
        <v>367</v>
      </c>
      <c r="DL136" t="s">
        <v>368</v>
      </c>
      <c r="DM136" t="s">
        <v>368</v>
      </c>
      <c r="DN136" t="s">
        <v>368</v>
      </c>
      <c r="DO136" t="s">
        <v>368</v>
      </c>
      <c r="DP136" t="s">
        <v>368</v>
      </c>
      <c r="DQ136" t="s">
        <v>368</v>
      </c>
      <c r="DR136" t="s">
        <v>368</v>
      </c>
      <c r="DS136" t="s">
        <v>345</v>
      </c>
      <c r="DT136" t="s">
        <v>345</v>
      </c>
      <c r="DU136" t="s">
        <v>344</v>
      </c>
      <c r="DV136" t="s">
        <v>344</v>
      </c>
      <c r="DW136" t="s">
        <v>344</v>
      </c>
      <c r="DX136" t="s">
        <v>369</v>
      </c>
      <c r="DY136" t="s">
        <v>371</v>
      </c>
      <c r="DZ136" t="s">
        <v>370</v>
      </c>
      <c r="EA136" t="s">
        <v>371</v>
      </c>
      <c r="EB136" t="s">
        <v>371</v>
      </c>
      <c r="EC136" t="s">
        <v>369</v>
      </c>
      <c r="ED136" t="s">
        <v>370</v>
      </c>
      <c r="EE136" t="s">
        <v>370</v>
      </c>
      <c r="EF136" t="s">
        <v>370</v>
      </c>
      <c r="EG136" t="s">
        <v>370</v>
      </c>
      <c r="EH136" t="s">
        <v>370</v>
      </c>
      <c r="EI136" t="s">
        <v>370</v>
      </c>
      <c r="EJ136" t="s">
        <v>370</v>
      </c>
      <c r="EK136" t="s">
        <v>370</v>
      </c>
      <c r="EL136" t="s">
        <v>374</v>
      </c>
      <c r="EM136" t="s">
        <v>440</v>
      </c>
      <c r="EN136" t="s">
        <v>373</v>
      </c>
      <c r="EQ136" t="s">
        <v>391</v>
      </c>
      <c r="ER136" t="s">
        <v>391</v>
      </c>
      <c r="ES136" t="s">
        <v>391</v>
      </c>
      <c r="ET136" t="s">
        <v>391</v>
      </c>
      <c r="EU136" t="s">
        <v>391</v>
      </c>
      <c r="EV136" t="s">
        <v>400</v>
      </c>
      <c r="EX136" t="s">
        <v>368</v>
      </c>
      <c r="EY136" t="s">
        <v>368</v>
      </c>
      <c r="EZ136" t="s">
        <v>368</v>
      </c>
      <c r="FA136" t="s">
        <v>345</v>
      </c>
      <c r="FB136" t="s">
        <v>381</v>
      </c>
      <c r="FD136" t="s">
        <v>401</v>
      </c>
      <c r="FF136" t="s">
        <v>382</v>
      </c>
      <c r="FG136" t="s">
        <v>383</v>
      </c>
      <c r="FH136" t="s">
        <v>384</v>
      </c>
      <c r="FI136" t="s">
        <v>403</v>
      </c>
      <c r="GA136" t="s">
        <v>368</v>
      </c>
      <c r="GB136" t="s">
        <v>368</v>
      </c>
      <c r="GC136" t="s">
        <v>368</v>
      </c>
      <c r="GD136" t="s">
        <v>368</v>
      </c>
      <c r="GE136" t="s">
        <v>368</v>
      </c>
      <c r="GF136" t="s">
        <v>368</v>
      </c>
      <c r="GL136" t="s">
        <v>344</v>
      </c>
      <c r="GM136" t="s">
        <v>344</v>
      </c>
      <c r="GN136" t="s">
        <v>344</v>
      </c>
      <c r="GO136" t="s">
        <v>344</v>
      </c>
      <c r="GP136" t="s">
        <v>344</v>
      </c>
      <c r="GQ136" t="s">
        <v>344</v>
      </c>
      <c r="GR136" t="s">
        <v>344</v>
      </c>
      <c r="GS136" t="s">
        <v>344</v>
      </c>
      <c r="GT136" t="s">
        <v>344</v>
      </c>
      <c r="GU136" t="s">
        <v>344</v>
      </c>
      <c r="GV136" t="s">
        <v>344</v>
      </c>
      <c r="GW136" t="s">
        <v>344</v>
      </c>
      <c r="GX136" t="s">
        <v>344</v>
      </c>
      <c r="GY136" t="s">
        <v>344</v>
      </c>
      <c r="GZ136" t="s">
        <v>345</v>
      </c>
      <c r="HB136" t="s">
        <v>344</v>
      </c>
      <c r="HD136" t="s">
        <v>345</v>
      </c>
      <c r="HF136" t="s">
        <v>345</v>
      </c>
      <c r="HH136" t="s">
        <v>344</v>
      </c>
      <c r="HJ136" t="s">
        <v>344</v>
      </c>
      <c r="HK136" t="s">
        <v>344</v>
      </c>
      <c r="HL136" t="s">
        <v>344</v>
      </c>
      <c r="HM136" t="s">
        <v>344</v>
      </c>
      <c r="HN136" t="s">
        <v>344</v>
      </c>
      <c r="HO136" t="s">
        <v>344</v>
      </c>
      <c r="HP136" t="s">
        <v>344</v>
      </c>
      <c r="HQ136" t="s">
        <v>344</v>
      </c>
      <c r="HR136" t="s">
        <v>344</v>
      </c>
      <c r="HS136" t="s">
        <v>344</v>
      </c>
      <c r="HT136" t="s">
        <v>344</v>
      </c>
      <c r="HU136" t="s">
        <v>344</v>
      </c>
      <c r="HV136" t="s">
        <v>345</v>
      </c>
      <c r="HW136" t="s">
        <v>344</v>
      </c>
      <c r="HX136" t="s">
        <v>344</v>
      </c>
      <c r="HZ136" t="s">
        <v>344</v>
      </c>
      <c r="IB136" t="s">
        <v>345</v>
      </c>
      <c r="ID136" t="s">
        <v>344</v>
      </c>
      <c r="IF136" t="s">
        <v>344</v>
      </c>
      <c r="IH136" t="s">
        <v>345</v>
      </c>
      <c r="II136" t="s">
        <v>344</v>
      </c>
      <c r="IJ136" t="s">
        <v>344</v>
      </c>
      <c r="IK136" t="s">
        <v>344</v>
      </c>
      <c r="IL136" t="s">
        <v>344</v>
      </c>
      <c r="IM136" t="s">
        <v>345</v>
      </c>
      <c r="IN136" t="s">
        <v>344</v>
      </c>
      <c r="IO136" t="s">
        <v>344</v>
      </c>
      <c r="IP136" t="s">
        <v>345</v>
      </c>
      <c r="IQ136" t="s">
        <v>344</v>
      </c>
      <c r="IR136" t="s">
        <v>344</v>
      </c>
      <c r="IS136" t="s">
        <v>344</v>
      </c>
      <c r="IW136" s="9"/>
      <c r="IX136" s="9"/>
      <c r="IY136" s="9"/>
      <c r="IZ136" s="9"/>
      <c r="JA136" s="9"/>
      <c r="JB136" s="9"/>
      <c r="JC136" s="9"/>
      <c r="JD136" s="9"/>
      <c r="JE136" s="9"/>
      <c r="JF136" s="9"/>
      <c r="JG136" s="9"/>
      <c r="JH136" s="9"/>
    </row>
    <row r="137" spans="1:268" x14ac:dyDescent="0.3">
      <c r="A137" s="20" t="s">
        <v>727</v>
      </c>
      <c r="B137">
        <v>231</v>
      </c>
      <c r="C137" t="s">
        <v>994</v>
      </c>
      <c r="D137">
        <v>14</v>
      </c>
      <c r="E137" t="s">
        <v>340</v>
      </c>
      <c r="F137">
        <v>1105037845</v>
      </c>
      <c r="G137" t="s">
        <v>995</v>
      </c>
      <c r="H137" t="s">
        <v>994</v>
      </c>
      <c r="I137" t="s">
        <v>977</v>
      </c>
      <c r="J137">
        <v>17</v>
      </c>
      <c r="K137" t="s">
        <v>406</v>
      </c>
      <c r="M137" t="s">
        <v>344</v>
      </c>
      <c r="N137" t="s">
        <v>345</v>
      </c>
      <c r="O137" t="s">
        <v>344</v>
      </c>
      <c r="P137" t="s">
        <v>344</v>
      </c>
      <c r="Q137" t="s">
        <v>344</v>
      </c>
      <c r="S137" t="s">
        <v>475</v>
      </c>
      <c r="U137" t="s">
        <v>347</v>
      </c>
      <c r="W137" t="s">
        <v>344</v>
      </c>
      <c r="X137" t="s">
        <v>344</v>
      </c>
      <c r="Y137" t="s">
        <v>344</v>
      </c>
      <c r="Z137" t="s">
        <v>344</v>
      </c>
      <c r="AA137" t="s">
        <v>345</v>
      </c>
      <c r="AB137" t="s">
        <v>344</v>
      </c>
      <c r="AC137" t="s">
        <v>344</v>
      </c>
      <c r="AD137" t="s">
        <v>344</v>
      </c>
      <c r="AE137" t="s">
        <v>345</v>
      </c>
      <c r="AF137" t="s">
        <v>344</v>
      </c>
      <c r="AG137" t="s">
        <v>344</v>
      </c>
      <c r="AH137" t="s">
        <v>345</v>
      </c>
      <c r="AI137" t="s">
        <v>344</v>
      </c>
      <c r="AJ137" t="s">
        <v>344</v>
      </c>
      <c r="AK137" t="s">
        <v>344</v>
      </c>
      <c r="AL137" t="s">
        <v>345</v>
      </c>
      <c r="AM137" t="s">
        <v>344</v>
      </c>
      <c r="AN137" t="s">
        <v>344</v>
      </c>
      <c r="AO137" t="s">
        <v>345</v>
      </c>
      <c r="AP137" t="s">
        <v>345</v>
      </c>
      <c r="AQ137" t="s">
        <v>344</v>
      </c>
      <c r="AR137" t="s">
        <v>344</v>
      </c>
      <c r="AS137" t="s">
        <v>345</v>
      </c>
      <c r="AT137" t="s">
        <v>344</v>
      </c>
      <c r="AU137" t="s">
        <v>344</v>
      </c>
      <c r="AV137" t="s">
        <v>344</v>
      </c>
      <c r="AW137" t="s">
        <v>344</v>
      </c>
      <c r="AX137" t="s">
        <v>344</v>
      </c>
      <c r="AY137" t="s">
        <v>737</v>
      </c>
      <c r="AZ137" t="s">
        <v>732</v>
      </c>
      <c r="BA137" t="s">
        <v>737</v>
      </c>
      <c r="BB137" t="s">
        <v>732</v>
      </c>
      <c r="BC137" t="s">
        <v>731</v>
      </c>
      <c r="BD137" t="s">
        <v>732</v>
      </c>
      <c r="BE137" t="s">
        <v>349</v>
      </c>
      <c r="BF137" t="s">
        <v>348</v>
      </c>
      <c r="BG137" t="s">
        <v>390</v>
      </c>
      <c r="BH137" t="s">
        <v>390</v>
      </c>
      <c r="BI137" t="s">
        <v>348</v>
      </c>
      <c r="BJ137" t="s">
        <v>353</v>
      </c>
      <c r="BK137" t="s">
        <v>355</v>
      </c>
      <c r="BL137" t="s">
        <v>352</v>
      </c>
      <c r="BM137" t="s">
        <v>352</v>
      </c>
      <c r="BN137" t="s">
        <v>352</v>
      </c>
      <c r="BO137" t="s">
        <v>357</v>
      </c>
      <c r="BP137" t="s">
        <v>352</v>
      </c>
      <c r="BQ137" t="s">
        <v>455</v>
      </c>
      <c r="BR137" t="s">
        <v>429</v>
      </c>
      <c r="BS137" t="s">
        <v>354</v>
      </c>
      <c r="BT137" t="s">
        <v>352</v>
      </c>
      <c r="BU137" t="s">
        <v>356</v>
      </c>
      <c r="BV137" t="s">
        <v>351</v>
      </c>
      <c r="BW137" t="s">
        <v>357</v>
      </c>
      <c r="BX137" t="s">
        <v>351</v>
      </c>
      <c r="BY137" t="s">
        <v>356</v>
      </c>
      <c r="BZ137" t="s">
        <v>356</v>
      </c>
      <c r="CA137" t="s">
        <v>356</v>
      </c>
      <c r="CB137" t="s">
        <v>352</v>
      </c>
      <c r="CC137" t="s">
        <v>354</v>
      </c>
      <c r="CD137" t="s">
        <v>354</v>
      </c>
      <c r="CE137" t="s">
        <v>354</v>
      </c>
      <c r="CF137" t="s">
        <v>352</v>
      </c>
      <c r="CG137" t="s">
        <v>393</v>
      </c>
      <c r="CH137" t="s">
        <v>393</v>
      </c>
      <c r="CI137" t="s">
        <v>421</v>
      </c>
      <c r="CJ137" t="s">
        <v>393</v>
      </c>
      <c r="CK137" t="s">
        <v>996</v>
      </c>
      <c r="CL137" t="s">
        <v>344</v>
      </c>
      <c r="CM137" t="s">
        <v>344</v>
      </c>
      <c r="CN137" t="s">
        <v>344</v>
      </c>
      <c r="CO137" t="s">
        <v>344</v>
      </c>
      <c r="CP137" t="s">
        <v>345</v>
      </c>
      <c r="CQ137" t="s">
        <v>344</v>
      </c>
      <c r="CR137" t="s">
        <v>655</v>
      </c>
      <c r="CS137">
        <v>80</v>
      </c>
      <c r="CT137">
        <v>40</v>
      </c>
      <c r="CU137">
        <v>80</v>
      </c>
      <c r="CV137">
        <v>20</v>
      </c>
      <c r="CW137" t="s">
        <v>363</v>
      </c>
      <c r="CX137" t="s">
        <v>395</v>
      </c>
      <c r="CY137" t="s">
        <v>396</v>
      </c>
      <c r="CZ137" t="s">
        <v>397</v>
      </c>
      <c r="DA137" t="s">
        <v>366</v>
      </c>
      <c r="DB137" t="s">
        <v>365</v>
      </c>
      <c r="DC137" t="s">
        <v>397</v>
      </c>
      <c r="DD137" t="s">
        <v>365</v>
      </c>
      <c r="DE137" t="s">
        <v>365</v>
      </c>
      <c r="DF137" t="s">
        <v>423</v>
      </c>
      <c r="DG137" t="s">
        <v>366</v>
      </c>
      <c r="DH137" t="s">
        <v>366</v>
      </c>
      <c r="DI137" t="s">
        <v>365</v>
      </c>
      <c r="DJ137" t="s">
        <v>997</v>
      </c>
      <c r="DK137" t="s">
        <v>367</v>
      </c>
      <c r="DL137" t="s">
        <v>368</v>
      </c>
      <c r="DM137" t="s">
        <v>368</v>
      </c>
      <c r="DN137" t="s">
        <v>368</v>
      </c>
      <c r="DO137" t="s">
        <v>368</v>
      </c>
      <c r="DP137" t="s">
        <v>345</v>
      </c>
      <c r="DQ137" t="s">
        <v>344</v>
      </c>
      <c r="DR137" t="s">
        <v>345</v>
      </c>
      <c r="DS137" t="s">
        <v>344</v>
      </c>
      <c r="DT137" t="s">
        <v>345</v>
      </c>
      <c r="DU137" t="s">
        <v>344</v>
      </c>
      <c r="DV137" t="s">
        <v>345</v>
      </c>
      <c r="DW137" t="s">
        <v>344</v>
      </c>
      <c r="DX137" t="s">
        <v>398</v>
      </c>
      <c r="DY137" t="s">
        <v>370</v>
      </c>
      <c r="DZ137" t="s">
        <v>371</v>
      </c>
      <c r="EA137" t="s">
        <v>370</v>
      </c>
      <c r="EB137" t="s">
        <v>399</v>
      </c>
      <c r="EC137" t="s">
        <v>399</v>
      </c>
      <c r="ED137" t="s">
        <v>370</v>
      </c>
      <c r="EE137" t="s">
        <v>370</v>
      </c>
      <c r="EF137" t="s">
        <v>370</v>
      </c>
      <c r="EG137" t="s">
        <v>370</v>
      </c>
      <c r="EH137" t="s">
        <v>370</v>
      </c>
      <c r="EI137" t="s">
        <v>370</v>
      </c>
      <c r="EJ137" t="s">
        <v>370</v>
      </c>
      <c r="EK137" t="s">
        <v>370</v>
      </c>
      <c r="EL137" t="s">
        <v>424</v>
      </c>
      <c r="EM137" t="s">
        <v>374</v>
      </c>
      <c r="EN137" t="s">
        <v>372</v>
      </c>
      <c r="EQ137" t="s">
        <v>375</v>
      </c>
      <c r="ER137" t="s">
        <v>378</v>
      </c>
      <c r="ES137" t="s">
        <v>375</v>
      </c>
      <c r="ET137" t="s">
        <v>375</v>
      </c>
      <c r="EU137" t="s">
        <v>375</v>
      </c>
      <c r="EV137" t="s">
        <v>400</v>
      </c>
      <c r="EX137" t="s">
        <v>368</v>
      </c>
      <c r="EY137" t="s">
        <v>368</v>
      </c>
      <c r="EZ137" t="s">
        <v>368</v>
      </c>
      <c r="FA137" t="s">
        <v>345</v>
      </c>
      <c r="FB137" t="s">
        <v>381</v>
      </c>
      <c r="FD137" t="s">
        <v>401</v>
      </c>
      <c r="FF137" t="s">
        <v>412</v>
      </c>
      <c r="FG137" t="s">
        <v>383</v>
      </c>
      <c r="FH137" t="s">
        <v>384</v>
      </c>
      <c r="FI137" t="s">
        <v>385</v>
      </c>
      <c r="GA137" t="s">
        <v>368</v>
      </c>
      <c r="GB137" t="s">
        <v>368</v>
      </c>
      <c r="GC137" t="s">
        <v>368</v>
      </c>
      <c r="GD137" t="s">
        <v>368</v>
      </c>
      <c r="GE137" t="s">
        <v>368</v>
      </c>
      <c r="GF137" t="s">
        <v>368</v>
      </c>
      <c r="GL137" t="s">
        <v>344</v>
      </c>
      <c r="GM137" t="s">
        <v>344</v>
      </c>
      <c r="GN137" t="s">
        <v>344</v>
      </c>
      <c r="GO137" t="s">
        <v>344</v>
      </c>
      <c r="GP137" t="s">
        <v>344</v>
      </c>
      <c r="GQ137" t="s">
        <v>344</v>
      </c>
      <c r="GR137" t="s">
        <v>344</v>
      </c>
      <c r="GS137" t="s">
        <v>344</v>
      </c>
      <c r="GT137" t="s">
        <v>344</v>
      </c>
      <c r="GU137" t="s">
        <v>344</v>
      </c>
      <c r="GV137" t="s">
        <v>344</v>
      </c>
      <c r="GW137" t="s">
        <v>344</v>
      </c>
      <c r="GX137" t="s">
        <v>344</v>
      </c>
      <c r="GY137" t="s">
        <v>344</v>
      </c>
      <c r="GZ137" t="s">
        <v>345</v>
      </c>
      <c r="HB137" t="s">
        <v>344</v>
      </c>
      <c r="HD137" t="s">
        <v>344</v>
      </c>
      <c r="HF137" t="s">
        <v>344</v>
      </c>
      <c r="HH137" t="s">
        <v>344</v>
      </c>
      <c r="HJ137" t="s">
        <v>344</v>
      </c>
      <c r="HK137" t="s">
        <v>344</v>
      </c>
      <c r="HL137" t="s">
        <v>344</v>
      </c>
      <c r="HM137" t="s">
        <v>344</v>
      </c>
      <c r="HN137" t="s">
        <v>344</v>
      </c>
      <c r="HO137" t="s">
        <v>344</v>
      </c>
      <c r="HP137" t="s">
        <v>344</v>
      </c>
      <c r="HQ137" t="s">
        <v>344</v>
      </c>
      <c r="HR137" t="s">
        <v>344</v>
      </c>
      <c r="HS137" t="s">
        <v>344</v>
      </c>
      <c r="HT137" t="s">
        <v>344</v>
      </c>
      <c r="HU137" t="s">
        <v>345</v>
      </c>
      <c r="HV137" t="s">
        <v>345</v>
      </c>
      <c r="HW137" t="s">
        <v>344</v>
      </c>
      <c r="HX137" t="s">
        <v>344</v>
      </c>
      <c r="HZ137" t="s">
        <v>345</v>
      </c>
      <c r="IB137" t="s">
        <v>345</v>
      </c>
      <c r="ID137" t="s">
        <v>345</v>
      </c>
      <c r="IF137" t="s">
        <v>344</v>
      </c>
      <c r="IH137" t="s">
        <v>344</v>
      </c>
      <c r="II137" t="s">
        <v>344</v>
      </c>
      <c r="IJ137" t="s">
        <v>344</v>
      </c>
      <c r="IK137" t="s">
        <v>344</v>
      </c>
      <c r="IL137" t="s">
        <v>345</v>
      </c>
      <c r="IM137" t="s">
        <v>345</v>
      </c>
      <c r="IN137" t="s">
        <v>344</v>
      </c>
      <c r="IO137" t="s">
        <v>345</v>
      </c>
      <c r="IP137" t="s">
        <v>344</v>
      </c>
      <c r="IQ137" t="s">
        <v>344</v>
      </c>
      <c r="IR137" t="s">
        <v>344</v>
      </c>
      <c r="IS137" t="s">
        <v>344</v>
      </c>
      <c r="IW137" s="9"/>
      <c r="IX137" s="9"/>
      <c r="IY137" s="9"/>
      <c r="IZ137" s="9"/>
      <c r="JA137" s="9"/>
      <c r="JB137" s="9"/>
      <c r="JC137" s="9"/>
      <c r="JD137" s="9"/>
      <c r="JE137" s="9"/>
      <c r="JF137" s="9"/>
      <c r="JG137" s="9"/>
      <c r="JH137" s="9"/>
    </row>
    <row r="138" spans="1:268" x14ac:dyDescent="0.3">
      <c r="A138" s="20" t="s">
        <v>727</v>
      </c>
      <c r="B138">
        <v>232</v>
      </c>
      <c r="C138" t="s">
        <v>998</v>
      </c>
      <c r="D138">
        <v>14</v>
      </c>
      <c r="E138" t="s">
        <v>340</v>
      </c>
      <c r="F138">
        <v>1283340731</v>
      </c>
      <c r="G138" t="s">
        <v>995</v>
      </c>
      <c r="H138" t="s">
        <v>998</v>
      </c>
      <c r="I138" t="s">
        <v>977</v>
      </c>
      <c r="J138">
        <v>17</v>
      </c>
      <c r="K138" t="s">
        <v>406</v>
      </c>
      <c r="M138" t="s">
        <v>344</v>
      </c>
      <c r="N138" t="s">
        <v>345</v>
      </c>
      <c r="O138" t="s">
        <v>344</v>
      </c>
      <c r="P138" t="s">
        <v>344</v>
      </c>
      <c r="Q138" t="s">
        <v>344</v>
      </c>
      <c r="S138" t="s">
        <v>475</v>
      </c>
      <c r="U138" t="s">
        <v>418</v>
      </c>
      <c r="W138" t="s">
        <v>344</v>
      </c>
      <c r="X138" t="s">
        <v>345</v>
      </c>
      <c r="Y138" t="s">
        <v>344</v>
      </c>
      <c r="Z138" t="s">
        <v>344</v>
      </c>
      <c r="AA138" t="s">
        <v>344</v>
      </c>
      <c r="AB138" t="s">
        <v>344</v>
      </c>
      <c r="AC138" t="s">
        <v>344</v>
      </c>
      <c r="AD138" t="s">
        <v>344</v>
      </c>
      <c r="AE138" t="s">
        <v>345</v>
      </c>
      <c r="AF138" t="s">
        <v>344</v>
      </c>
      <c r="AG138" t="s">
        <v>344</v>
      </c>
      <c r="AH138" t="s">
        <v>345</v>
      </c>
      <c r="AI138" t="s">
        <v>344</v>
      </c>
      <c r="AJ138" t="s">
        <v>344</v>
      </c>
      <c r="AK138" t="s">
        <v>344</v>
      </c>
      <c r="AL138" t="s">
        <v>344</v>
      </c>
      <c r="AM138" t="s">
        <v>344</v>
      </c>
      <c r="AN138" t="s">
        <v>344</v>
      </c>
      <c r="AO138" t="s">
        <v>344</v>
      </c>
      <c r="AP138" t="s">
        <v>345</v>
      </c>
      <c r="AQ138" t="s">
        <v>344</v>
      </c>
      <c r="AR138" t="s">
        <v>344</v>
      </c>
      <c r="AS138" t="s">
        <v>344</v>
      </c>
      <c r="AT138" t="s">
        <v>344</v>
      </c>
      <c r="AU138" t="s">
        <v>344</v>
      </c>
      <c r="AV138" t="s">
        <v>345</v>
      </c>
      <c r="AW138" t="s">
        <v>344</v>
      </c>
      <c r="AX138" t="s">
        <v>344</v>
      </c>
      <c r="AY138" t="s">
        <v>391</v>
      </c>
      <c r="AZ138" t="s">
        <v>391</v>
      </c>
      <c r="BA138" t="s">
        <v>391</v>
      </c>
      <c r="BB138" t="s">
        <v>391</v>
      </c>
      <c r="BC138" t="s">
        <v>391</v>
      </c>
      <c r="BD138" t="s">
        <v>391</v>
      </c>
      <c r="BE138" t="s">
        <v>349</v>
      </c>
      <c r="BF138" t="s">
        <v>348</v>
      </c>
      <c r="BG138" t="s">
        <v>349</v>
      </c>
      <c r="BH138" t="s">
        <v>349</v>
      </c>
      <c r="BI138" t="s">
        <v>348</v>
      </c>
      <c r="BJ138" t="s">
        <v>353</v>
      </c>
      <c r="BK138" t="s">
        <v>354</v>
      </c>
      <c r="BL138" t="s">
        <v>351</v>
      </c>
      <c r="BM138" t="s">
        <v>351</v>
      </c>
      <c r="BN138" t="s">
        <v>355</v>
      </c>
      <c r="BO138" t="s">
        <v>354</v>
      </c>
      <c r="BP138" t="s">
        <v>351</v>
      </c>
      <c r="BQ138" t="s">
        <v>419</v>
      </c>
      <c r="BR138" t="s">
        <v>429</v>
      </c>
      <c r="BS138" t="s">
        <v>356</v>
      </c>
      <c r="BT138" t="s">
        <v>354</v>
      </c>
      <c r="BU138" t="s">
        <v>353</v>
      </c>
      <c r="BV138" t="s">
        <v>352</v>
      </c>
      <c r="BW138" t="s">
        <v>351</v>
      </c>
      <c r="BX138" t="s">
        <v>355</v>
      </c>
      <c r="BY138" t="s">
        <v>357</v>
      </c>
      <c r="BZ138" t="s">
        <v>355</v>
      </c>
      <c r="CA138" t="s">
        <v>352</v>
      </c>
      <c r="CB138" t="s">
        <v>351</v>
      </c>
      <c r="CC138" t="s">
        <v>353</v>
      </c>
      <c r="CD138" t="s">
        <v>354</v>
      </c>
      <c r="CE138" t="s">
        <v>357</v>
      </c>
      <c r="CF138" t="s">
        <v>356</v>
      </c>
      <c r="CG138" t="s">
        <v>392</v>
      </c>
      <c r="CH138" t="s">
        <v>393</v>
      </c>
      <c r="CI138" t="s">
        <v>420</v>
      </c>
      <c r="CJ138" t="s">
        <v>420</v>
      </c>
      <c r="CK138" t="s">
        <v>999</v>
      </c>
      <c r="CL138" t="s">
        <v>344</v>
      </c>
      <c r="CM138" t="s">
        <v>344</v>
      </c>
      <c r="CN138" t="s">
        <v>344</v>
      </c>
      <c r="CO138" t="s">
        <v>344</v>
      </c>
      <c r="CP138" t="s">
        <v>345</v>
      </c>
      <c r="CQ138" t="s">
        <v>344</v>
      </c>
      <c r="CR138" t="s">
        <v>667</v>
      </c>
      <c r="CS138">
        <v>50</v>
      </c>
      <c r="CT138">
        <v>30</v>
      </c>
      <c r="CU138">
        <v>100</v>
      </c>
      <c r="CV138">
        <v>50</v>
      </c>
      <c r="CW138" t="s">
        <v>363</v>
      </c>
      <c r="CX138" t="s">
        <v>395</v>
      </c>
      <c r="CY138" t="s">
        <v>396</v>
      </c>
      <c r="CZ138" t="s">
        <v>397</v>
      </c>
      <c r="DA138" t="s">
        <v>397</v>
      </c>
      <c r="DB138" t="s">
        <v>397</v>
      </c>
      <c r="DC138" t="s">
        <v>397</v>
      </c>
      <c r="DD138" t="s">
        <v>397</v>
      </c>
      <c r="DE138" t="s">
        <v>365</v>
      </c>
      <c r="DF138" t="s">
        <v>365</v>
      </c>
      <c r="DG138" t="s">
        <v>397</v>
      </c>
      <c r="DH138" t="s">
        <v>397</v>
      </c>
      <c r="DI138" t="s">
        <v>423</v>
      </c>
      <c r="DJ138" t="s">
        <v>1000</v>
      </c>
      <c r="DK138" t="s">
        <v>367</v>
      </c>
      <c r="DL138" t="s">
        <v>368</v>
      </c>
      <c r="DM138" t="s">
        <v>368</v>
      </c>
      <c r="DN138" t="s">
        <v>368</v>
      </c>
      <c r="DO138" t="s">
        <v>368</v>
      </c>
      <c r="DP138" t="s">
        <v>368</v>
      </c>
      <c r="DQ138" t="s">
        <v>368</v>
      </c>
      <c r="DR138" t="s">
        <v>368</v>
      </c>
      <c r="DS138" t="s">
        <v>345</v>
      </c>
      <c r="DT138" t="s">
        <v>368</v>
      </c>
      <c r="DU138" t="s">
        <v>368</v>
      </c>
      <c r="DV138" t="s">
        <v>368</v>
      </c>
      <c r="DW138" t="s">
        <v>345</v>
      </c>
      <c r="DX138" t="s">
        <v>369</v>
      </c>
      <c r="DY138" t="s">
        <v>369</v>
      </c>
      <c r="DZ138" t="s">
        <v>369</v>
      </c>
      <c r="EA138" t="s">
        <v>369</v>
      </c>
      <c r="EB138" t="s">
        <v>399</v>
      </c>
      <c r="EC138" t="s">
        <v>398</v>
      </c>
      <c r="ED138" t="s">
        <v>371</v>
      </c>
      <c r="EE138" t="s">
        <v>370</v>
      </c>
      <c r="EF138" t="s">
        <v>370</v>
      </c>
      <c r="EG138" t="s">
        <v>369</v>
      </c>
      <c r="EH138" t="s">
        <v>370</v>
      </c>
      <c r="EI138" t="s">
        <v>370</v>
      </c>
      <c r="EJ138" t="s">
        <v>370</v>
      </c>
      <c r="EK138" t="s">
        <v>370</v>
      </c>
      <c r="EL138" t="s">
        <v>440</v>
      </c>
      <c r="EM138" t="s">
        <v>373</v>
      </c>
      <c r="EN138" t="s">
        <v>424</v>
      </c>
      <c r="EQ138" t="s">
        <v>375</v>
      </c>
      <c r="ER138" t="s">
        <v>375</v>
      </c>
      <c r="ES138" t="s">
        <v>376</v>
      </c>
      <c r="ET138" t="s">
        <v>375</v>
      </c>
      <c r="EU138" t="s">
        <v>378</v>
      </c>
      <c r="EV138" t="s">
        <v>400</v>
      </c>
      <c r="EX138" s="155" t="s">
        <v>344</v>
      </c>
      <c r="EY138" s="155" t="s">
        <v>345</v>
      </c>
      <c r="EZ138" s="155" t="s">
        <v>344</v>
      </c>
      <c r="FA138" t="s">
        <v>344</v>
      </c>
      <c r="FB138" t="s">
        <v>381</v>
      </c>
      <c r="FD138" t="s">
        <v>380</v>
      </c>
      <c r="FF138" t="s">
        <v>382</v>
      </c>
      <c r="FG138" t="s">
        <v>402</v>
      </c>
      <c r="FH138" t="s">
        <v>451</v>
      </c>
      <c r="FI138" t="s">
        <v>403</v>
      </c>
      <c r="GA138" t="s">
        <v>368</v>
      </c>
      <c r="GB138" t="s">
        <v>368</v>
      </c>
      <c r="GC138" t="s">
        <v>368</v>
      </c>
      <c r="GD138" t="s">
        <v>368</v>
      </c>
      <c r="GE138" t="s">
        <v>368</v>
      </c>
      <c r="GF138" t="s">
        <v>368</v>
      </c>
      <c r="GL138" t="s">
        <v>344</v>
      </c>
      <c r="GM138" t="s">
        <v>344</v>
      </c>
      <c r="GN138" t="s">
        <v>344</v>
      </c>
      <c r="GO138" t="s">
        <v>344</v>
      </c>
      <c r="GP138" t="s">
        <v>344</v>
      </c>
      <c r="GQ138" t="s">
        <v>344</v>
      </c>
      <c r="GR138" t="s">
        <v>345</v>
      </c>
      <c r="GS138" t="s">
        <v>344</v>
      </c>
      <c r="GT138" t="s">
        <v>344</v>
      </c>
      <c r="GU138" t="s">
        <v>344</v>
      </c>
      <c r="GV138" t="s">
        <v>344</v>
      </c>
      <c r="GW138" t="s">
        <v>344</v>
      </c>
      <c r="GX138" t="s">
        <v>344</v>
      </c>
      <c r="GY138" t="s">
        <v>344</v>
      </c>
      <c r="GZ138" t="s">
        <v>344</v>
      </c>
      <c r="HB138" t="s">
        <v>344</v>
      </c>
      <c r="HD138" t="s">
        <v>344</v>
      </c>
      <c r="HF138" t="s">
        <v>345</v>
      </c>
      <c r="HG138" t="s">
        <v>934</v>
      </c>
      <c r="HH138" t="s">
        <v>344</v>
      </c>
      <c r="HJ138" t="s">
        <v>344</v>
      </c>
      <c r="HK138" t="s">
        <v>344</v>
      </c>
      <c r="HL138" t="s">
        <v>344</v>
      </c>
      <c r="HM138" t="s">
        <v>344</v>
      </c>
      <c r="HN138" t="s">
        <v>344</v>
      </c>
      <c r="HO138" t="s">
        <v>344</v>
      </c>
      <c r="HP138" t="s">
        <v>344</v>
      </c>
      <c r="HQ138" t="s">
        <v>344</v>
      </c>
      <c r="HR138" t="s">
        <v>344</v>
      </c>
      <c r="HS138" t="s">
        <v>344</v>
      </c>
      <c r="HT138" t="s">
        <v>344</v>
      </c>
      <c r="HU138" t="s">
        <v>344</v>
      </c>
      <c r="HV138" t="s">
        <v>344</v>
      </c>
      <c r="HW138" t="s">
        <v>344</v>
      </c>
      <c r="HX138" t="s">
        <v>345</v>
      </c>
      <c r="HZ138" t="s">
        <v>344</v>
      </c>
      <c r="IB138" t="s">
        <v>344</v>
      </c>
      <c r="ID138" t="s">
        <v>344</v>
      </c>
      <c r="IF138" t="s">
        <v>344</v>
      </c>
      <c r="IH138" t="s">
        <v>345</v>
      </c>
      <c r="II138" t="s">
        <v>345</v>
      </c>
      <c r="IJ138" t="s">
        <v>344</v>
      </c>
      <c r="IK138" t="s">
        <v>344</v>
      </c>
      <c r="IL138" t="s">
        <v>345</v>
      </c>
      <c r="IM138" t="s">
        <v>345</v>
      </c>
      <c r="IN138" t="s">
        <v>344</v>
      </c>
      <c r="IO138" t="s">
        <v>345</v>
      </c>
      <c r="IP138" t="s">
        <v>344</v>
      </c>
      <c r="IQ138" t="s">
        <v>344</v>
      </c>
      <c r="IR138" t="s">
        <v>344</v>
      </c>
      <c r="IS138" t="s">
        <v>344</v>
      </c>
      <c r="IW138" s="9"/>
      <c r="IX138" s="9"/>
      <c r="IY138" s="9"/>
      <c r="IZ138" s="9"/>
      <c r="JA138" s="9"/>
      <c r="JB138" s="9"/>
      <c r="JC138" s="9"/>
      <c r="JD138" s="9"/>
      <c r="JE138" s="9"/>
      <c r="JF138" s="9"/>
      <c r="JG138" s="9"/>
      <c r="JH138" s="9"/>
    </row>
    <row r="139" spans="1:268" x14ac:dyDescent="0.3">
      <c r="A139" s="20" t="s">
        <v>727</v>
      </c>
      <c r="B139" s="20">
        <v>233</v>
      </c>
      <c r="C139" t="s">
        <v>1001</v>
      </c>
      <c r="D139">
        <v>14</v>
      </c>
      <c r="E139" t="s">
        <v>340</v>
      </c>
      <c r="F139">
        <v>94467966</v>
      </c>
      <c r="G139" t="s">
        <v>1002</v>
      </c>
      <c r="H139" t="s">
        <v>1001</v>
      </c>
      <c r="I139" t="s">
        <v>977</v>
      </c>
      <c r="J139">
        <v>17</v>
      </c>
      <c r="K139" t="s">
        <v>406</v>
      </c>
      <c r="M139" t="s">
        <v>344</v>
      </c>
      <c r="N139" t="s">
        <v>345</v>
      </c>
      <c r="O139" t="s">
        <v>344</v>
      </c>
      <c r="P139" t="s">
        <v>344</v>
      </c>
      <c r="Q139" t="s">
        <v>344</v>
      </c>
      <c r="S139" t="s">
        <v>475</v>
      </c>
      <c r="U139" t="s">
        <v>347</v>
      </c>
      <c r="W139" t="s">
        <v>368</v>
      </c>
      <c r="X139" t="s">
        <v>368</v>
      </c>
      <c r="Y139" t="s">
        <v>368</v>
      </c>
      <c r="Z139" t="s">
        <v>368</v>
      </c>
      <c r="AA139" t="s">
        <v>368</v>
      </c>
      <c r="AB139" t="s">
        <v>368</v>
      </c>
      <c r="AC139" t="s">
        <v>345</v>
      </c>
      <c r="AD139" t="s">
        <v>344</v>
      </c>
      <c r="AE139" t="s">
        <v>344</v>
      </c>
      <c r="AF139" t="s">
        <v>344</v>
      </c>
      <c r="AG139" t="s">
        <v>345</v>
      </c>
      <c r="AH139" t="s">
        <v>344</v>
      </c>
      <c r="AI139" t="s">
        <v>345</v>
      </c>
      <c r="AJ139" t="s">
        <v>344</v>
      </c>
      <c r="AK139" t="s">
        <v>368</v>
      </c>
      <c r="AL139" t="s">
        <v>368</v>
      </c>
      <c r="AM139" t="s">
        <v>368</v>
      </c>
      <c r="AN139" t="s">
        <v>368</v>
      </c>
      <c r="AO139" t="s">
        <v>368</v>
      </c>
      <c r="AP139" t="s">
        <v>368</v>
      </c>
      <c r="AQ139" t="s">
        <v>345</v>
      </c>
      <c r="AR139" t="s">
        <v>344</v>
      </c>
      <c r="AS139" t="s">
        <v>345</v>
      </c>
      <c r="AT139" t="s">
        <v>345</v>
      </c>
      <c r="AU139" t="s">
        <v>345</v>
      </c>
      <c r="AV139" t="s">
        <v>345</v>
      </c>
      <c r="AW139" t="s">
        <v>344</v>
      </c>
      <c r="AX139" t="s">
        <v>344</v>
      </c>
      <c r="AY139" t="s">
        <v>391</v>
      </c>
      <c r="AZ139" t="s">
        <v>731</v>
      </c>
      <c r="BA139" t="s">
        <v>731</v>
      </c>
      <c r="BB139" t="s">
        <v>732</v>
      </c>
      <c r="BC139" t="s">
        <v>731</v>
      </c>
      <c r="BD139" t="s">
        <v>733</v>
      </c>
      <c r="BE139" t="s">
        <v>348</v>
      </c>
      <c r="BF139" t="s">
        <v>348</v>
      </c>
      <c r="BG139" t="s">
        <v>349</v>
      </c>
      <c r="BH139" t="s">
        <v>349</v>
      </c>
      <c r="BI139" t="s">
        <v>349</v>
      </c>
      <c r="BJ139" t="s">
        <v>391</v>
      </c>
      <c r="BK139" t="s">
        <v>391</v>
      </c>
      <c r="BL139" t="s">
        <v>391</v>
      </c>
      <c r="BM139" t="s">
        <v>391</v>
      </c>
      <c r="BN139" t="s">
        <v>391</v>
      </c>
      <c r="BO139" t="s">
        <v>391</v>
      </c>
      <c r="BP139" t="s">
        <v>391</v>
      </c>
      <c r="BQ139" t="s">
        <v>358</v>
      </c>
      <c r="BR139" t="s">
        <v>429</v>
      </c>
      <c r="BS139" t="s">
        <v>391</v>
      </c>
      <c r="BT139" t="s">
        <v>352</v>
      </c>
      <c r="BU139" t="s">
        <v>391</v>
      </c>
      <c r="BV139" t="s">
        <v>351</v>
      </c>
      <c r="BW139" t="s">
        <v>354</v>
      </c>
      <c r="BX139" t="s">
        <v>356</v>
      </c>
      <c r="BY139" t="s">
        <v>353</v>
      </c>
      <c r="BZ139" t="s">
        <v>355</v>
      </c>
      <c r="CA139" t="s">
        <v>356</v>
      </c>
      <c r="CB139" t="s">
        <v>353</v>
      </c>
      <c r="CC139" t="s">
        <v>354</v>
      </c>
      <c r="CD139" t="s">
        <v>391</v>
      </c>
      <c r="CE139" t="s">
        <v>391</v>
      </c>
      <c r="CF139" t="s">
        <v>391</v>
      </c>
      <c r="CG139" t="s">
        <v>420</v>
      </c>
      <c r="CH139" t="s">
        <v>421</v>
      </c>
      <c r="CI139" t="s">
        <v>392</v>
      </c>
      <c r="CJ139" t="s">
        <v>420</v>
      </c>
      <c r="CK139" t="s">
        <v>1003</v>
      </c>
      <c r="CL139" t="s">
        <v>344</v>
      </c>
      <c r="CM139" t="s">
        <v>344</v>
      </c>
      <c r="CN139" t="s">
        <v>344</v>
      </c>
      <c r="CO139" t="s">
        <v>344</v>
      </c>
      <c r="CP139" t="s">
        <v>345</v>
      </c>
      <c r="CQ139" t="s">
        <v>344</v>
      </c>
      <c r="CR139" t="s">
        <v>655</v>
      </c>
      <c r="CS139">
        <v>50</v>
      </c>
      <c r="CT139">
        <v>10</v>
      </c>
      <c r="CU139">
        <v>100</v>
      </c>
      <c r="CV139">
        <v>50</v>
      </c>
      <c r="CW139" t="s">
        <v>364</v>
      </c>
      <c r="CX139" t="s">
        <v>395</v>
      </c>
      <c r="CY139" t="s">
        <v>471</v>
      </c>
      <c r="CZ139" t="s">
        <v>397</v>
      </c>
      <c r="DA139" t="s">
        <v>397</v>
      </c>
      <c r="DB139" t="s">
        <v>397</v>
      </c>
      <c r="DC139" t="s">
        <v>397</v>
      </c>
      <c r="DD139" t="s">
        <v>397</v>
      </c>
      <c r="DE139" t="s">
        <v>365</v>
      </c>
      <c r="DF139" t="s">
        <v>397</v>
      </c>
      <c r="DG139" t="s">
        <v>397</v>
      </c>
      <c r="DH139" t="s">
        <v>397</v>
      </c>
      <c r="DI139" t="s">
        <v>397</v>
      </c>
      <c r="DK139" t="s">
        <v>367</v>
      </c>
      <c r="DL139" t="s">
        <v>368</v>
      </c>
      <c r="DM139" t="s">
        <v>368</v>
      </c>
      <c r="DN139" t="s">
        <v>368</v>
      </c>
      <c r="DO139" t="s">
        <v>368</v>
      </c>
      <c r="DP139" t="s">
        <v>368</v>
      </c>
      <c r="DQ139" t="s">
        <v>368</v>
      </c>
      <c r="DR139" t="s">
        <v>368</v>
      </c>
      <c r="DS139" t="s">
        <v>345</v>
      </c>
      <c r="DT139" t="s">
        <v>368</v>
      </c>
      <c r="DU139" t="s">
        <v>368</v>
      </c>
      <c r="DV139" t="s">
        <v>368</v>
      </c>
      <c r="DW139" t="s">
        <v>345</v>
      </c>
      <c r="DX139" t="s">
        <v>369</v>
      </c>
      <c r="DY139" t="s">
        <v>370</v>
      </c>
      <c r="DZ139" t="s">
        <v>369</v>
      </c>
      <c r="EA139" t="s">
        <v>399</v>
      </c>
      <c r="EB139" t="s">
        <v>369</v>
      </c>
      <c r="EC139" t="s">
        <v>371</v>
      </c>
      <c r="ED139" t="s">
        <v>371</v>
      </c>
      <c r="EE139" t="s">
        <v>370</v>
      </c>
      <c r="EF139" t="s">
        <v>370</v>
      </c>
      <c r="EG139" t="s">
        <v>370</v>
      </c>
      <c r="EH139" t="s">
        <v>370</v>
      </c>
      <c r="EI139" t="s">
        <v>370</v>
      </c>
      <c r="EJ139" t="s">
        <v>370</v>
      </c>
      <c r="EK139" t="s">
        <v>370</v>
      </c>
      <c r="EL139" t="s">
        <v>373</v>
      </c>
      <c r="EM139" t="s">
        <v>372</v>
      </c>
      <c r="EN139" t="s">
        <v>440</v>
      </c>
      <c r="EQ139" t="s">
        <v>375</v>
      </c>
      <c r="ER139" t="s">
        <v>375</v>
      </c>
      <c r="ES139" t="s">
        <v>391</v>
      </c>
      <c r="ET139" t="s">
        <v>391</v>
      </c>
      <c r="EU139" t="s">
        <v>391</v>
      </c>
      <c r="EV139" t="s">
        <v>400</v>
      </c>
      <c r="EX139" t="s">
        <v>368</v>
      </c>
      <c r="EY139" t="s">
        <v>368</v>
      </c>
      <c r="EZ139" t="s">
        <v>368</v>
      </c>
      <c r="FA139" t="s">
        <v>345</v>
      </c>
      <c r="FB139" t="s">
        <v>381</v>
      </c>
      <c r="FD139" t="s">
        <v>381</v>
      </c>
      <c r="FF139" t="s">
        <v>412</v>
      </c>
      <c r="FG139" t="s">
        <v>413</v>
      </c>
      <c r="FH139" t="s">
        <v>384</v>
      </c>
      <c r="FI139" t="s">
        <v>403</v>
      </c>
      <c r="GA139" t="s">
        <v>368</v>
      </c>
      <c r="GB139" t="s">
        <v>368</v>
      </c>
      <c r="GC139" t="s">
        <v>368</v>
      </c>
      <c r="GD139" t="s">
        <v>368</v>
      </c>
      <c r="GE139" t="s">
        <v>368</v>
      </c>
      <c r="GF139" t="s">
        <v>368</v>
      </c>
      <c r="GL139" t="s">
        <v>344</v>
      </c>
      <c r="GM139" t="s">
        <v>344</v>
      </c>
      <c r="GN139" t="s">
        <v>344</v>
      </c>
      <c r="GO139" t="s">
        <v>344</v>
      </c>
      <c r="GP139" t="s">
        <v>344</v>
      </c>
      <c r="GQ139" t="s">
        <v>344</v>
      </c>
      <c r="GR139" t="s">
        <v>344</v>
      </c>
      <c r="GS139" t="s">
        <v>344</v>
      </c>
      <c r="GT139" t="s">
        <v>344</v>
      </c>
      <c r="GU139" t="s">
        <v>344</v>
      </c>
      <c r="GV139" t="s">
        <v>344</v>
      </c>
      <c r="GW139" t="s">
        <v>344</v>
      </c>
      <c r="GX139" t="s">
        <v>344</v>
      </c>
      <c r="GY139" t="s">
        <v>344</v>
      </c>
      <c r="GZ139" t="s">
        <v>345</v>
      </c>
      <c r="HB139" t="s">
        <v>344</v>
      </c>
      <c r="HD139" t="s">
        <v>344</v>
      </c>
      <c r="HF139" t="s">
        <v>344</v>
      </c>
      <c r="HH139" t="s">
        <v>344</v>
      </c>
      <c r="HJ139" t="s">
        <v>344</v>
      </c>
      <c r="HK139" t="s">
        <v>344</v>
      </c>
      <c r="HL139" t="s">
        <v>344</v>
      </c>
      <c r="HM139" t="s">
        <v>344</v>
      </c>
      <c r="HN139" t="s">
        <v>344</v>
      </c>
      <c r="HO139" t="s">
        <v>344</v>
      </c>
      <c r="HP139" t="s">
        <v>344</v>
      </c>
      <c r="HQ139" t="s">
        <v>344</v>
      </c>
      <c r="HR139" t="s">
        <v>344</v>
      </c>
      <c r="HS139" t="s">
        <v>344</v>
      </c>
      <c r="HT139" t="s">
        <v>344</v>
      </c>
      <c r="HU139" t="s">
        <v>344</v>
      </c>
      <c r="HV139" t="s">
        <v>344</v>
      </c>
      <c r="HW139" t="s">
        <v>344</v>
      </c>
      <c r="HX139" t="s">
        <v>345</v>
      </c>
      <c r="HZ139" t="s">
        <v>344</v>
      </c>
      <c r="IB139" t="s">
        <v>344</v>
      </c>
      <c r="ID139" t="s">
        <v>344</v>
      </c>
      <c r="IF139" t="s">
        <v>344</v>
      </c>
      <c r="IH139" t="s">
        <v>344</v>
      </c>
      <c r="II139" t="s">
        <v>345</v>
      </c>
      <c r="IJ139" t="s">
        <v>344</v>
      </c>
      <c r="IK139" t="s">
        <v>344</v>
      </c>
      <c r="IL139" t="s">
        <v>345</v>
      </c>
      <c r="IM139" t="s">
        <v>345</v>
      </c>
      <c r="IN139" t="s">
        <v>344</v>
      </c>
      <c r="IO139" t="s">
        <v>344</v>
      </c>
      <c r="IP139" t="s">
        <v>344</v>
      </c>
      <c r="IQ139" t="s">
        <v>344</v>
      </c>
      <c r="IR139" t="s">
        <v>344</v>
      </c>
      <c r="IS139" t="s">
        <v>344</v>
      </c>
      <c r="IW139" s="9"/>
      <c r="IX139" s="9"/>
      <c r="IY139" s="9"/>
      <c r="IZ139" s="9"/>
      <c r="JA139" s="9"/>
      <c r="JB139" s="9"/>
      <c r="JC139" s="9"/>
      <c r="JD139" s="9"/>
      <c r="JE139" s="9"/>
      <c r="JF139" s="9"/>
      <c r="JG139" s="9"/>
      <c r="JH139" s="9"/>
    </row>
    <row r="140" spans="1:268" x14ac:dyDescent="0.3">
      <c r="A140" s="20" t="s">
        <v>727</v>
      </c>
      <c r="B140">
        <v>234</v>
      </c>
      <c r="C140" t="s">
        <v>1004</v>
      </c>
      <c r="D140">
        <v>14</v>
      </c>
      <c r="E140" t="s">
        <v>340</v>
      </c>
      <c r="F140">
        <v>1958945734</v>
      </c>
      <c r="G140" t="s">
        <v>1005</v>
      </c>
      <c r="H140" t="s">
        <v>1004</v>
      </c>
      <c r="I140" t="s">
        <v>977</v>
      </c>
      <c r="J140">
        <v>17</v>
      </c>
      <c r="K140" t="s">
        <v>406</v>
      </c>
      <c r="M140" t="s">
        <v>344</v>
      </c>
      <c r="N140" t="s">
        <v>345</v>
      </c>
      <c r="O140" t="s">
        <v>344</v>
      </c>
      <c r="P140" t="s">
        <v>344</v>
      </c>
      <c r="Q140" t="s">
        <v>344</v>
      </c>
      <c r="S140" t="s">
        <v>475</v>
      </c>
      <c r="U140" t="s">
        <v>418</v>
      </c>
      <c r="W140" t="s">
        <v>345</v>
      </c>
      <c r="X140" t="s">
        <v>344</v>
      </c>
      <c r="Y140" t="s">
        <v>344</v>
      </c>
      <c r="Z140" t="s">
        <v>344</v>
      </c>
      <c r="AA140" t="s">
        <v>344</v>
      </c>
      <c r="AB140" t="s">
        <v>344</v>
      </c>
      <c r="AC140" t="s">
        <v>344</v>
      </c>
      <c r="AD140" t="s">
        <v>344</v>
      </c>
      <c r="AE140" t="s">
        <v>345</v>
      </c>
      <c r="AF140" t="s">
        <v>344</v>
      </c>
      <c r="AG140" t="s">
        <v>344</v>
      </c>
      <c r="AH140" t="s">
        <v>344</v>
      </c>
      <c r="AI140" t="s">
        <v>344</v>
      </c>
      <c r="AJ140" t="s">
        <v>344</v>
      </c>
      <c r="AK140" t="s">
        <v>345</v>
      </c>
      <c r="AL140" t="s">
        <v>344</v>
      </c>
      <c r="AM140" t="s">
        <v>344</v>
      </c>
      <c r="AN140" t="s">
        <v>344</v>
      </c>
      <c r="AO140" t="s">
        <v>344</v>
      </c>
      <c r="AP140" t="s">
        <v>344</v>
      </c>
      <c r="AQ140" t="s">
        <v>344</v>
      </c>
      <c r="AR140" t="s">
        <v>345</v>
      </c>
      <c r="AS140" t="s">
        <v>344</v>
      </c>
      <c r="AT140" t="s">
        <v>344</v>
      </c>
      <c r="AU140" t="s">
        <v>344</v>
      </c>
      <c r="AV140" t="s">
        <v>344</v>
      </c>
      <c r="AW140" t="s">
        <v>344</v>
      </c>
      <c r="AX140" t="s">
        <v>344</v>
      </c>
      <c r="AY140" t="s">
        <v>731</v>
      </c>
      <c r="AZ140" t="s">
        <v>733</v>
      </c>
      <c r="BA140" t="s">
        <v>731</v>
      </c>
      <c r="BB140" t="s">
        <v>391</v>
      </c>
      <c r="BC140" t="s">
        <v>731</v>
      </c>
      <c r="BD140" t="s">
        <v>731</v>
      </c>
      <c r="BE140" t="s">
        <v>390</v>
      </c>
      <c r="BF140" t="s">
        <v>390</v>
      </c>
      <c r="BG140" t="s">
        <v>390</v>
      </c>
      <c r="BH140" t="s">
        <v>390</v>
      </c>
      <c r="BI140" t="s">
        <v>390</v>
      </c>
      <c r="BJ140" t="s">
        <v>354</v>
      </c>
      <c r="BK140" t="s">
        <v>357</v>
      </c>
      <c r="BL140" t="s">
        <v>353</v>
      </c>
      <c r="BM140" t="s">
        <v>356</v>
      </c>
      <c r="BN140" t="s">
        <v>391</v>
      </c>
      <c r="BO140" t="s">
        <v>351</v>
      </c>
      <c r="BP140" t="s">
        <v>355</v>
      </c>
      <c r="BQ140" t="s">
        <v>419</v>
      </c>
      <c r="BR140" t="s">
        <v>429</v>
      </c>
      <c r="BS140" t="s">
        <v>355</v>
      </c>
      <c r="BT140" t="s">
        <v>351</v>
      </c>
      <c r="BU140" t="s">
        <v>354</v>
      </c>
      <c r="BV140" t="s">
        <v>356</v>
      </c>
      <c r="BW140" t="s">
        <v>352</v>
      </c>
      <c r="BX140" t="s">
        <v>353</v>
      </c>
      <c r="BY140" t="s">
        <v>357</v>
      </c>
      <c r="BZ140" t="s">
        <v>357</v>
      </c>
      <c r="CA140" t="s">
        <v>352</v>
      </c>
      <c r="CB140" t="s">
        <v>355</v>
      </c>
      <c r="CC140" t="s">
        <v>354</v>
      </c>
      <c r="CD140" t="s">
        <v>351</v>
      </c>
      <c r="CE140" t="s">
        <v>356</v>
      </c>
      <c r="CF140" t="s">
        <v>353</v>
      </c>
      <c r="CG140" t="s">
        <v>420</v>
      </c>
      <c r="CH140" t="s">
        <v>420</v>
      </c>
      <c r="CI140" t="s">
        <v>392</v>
      </c>
      <c r="CJ140" t="s">
        <v>392</v>
      </c>
      <c r="CK140" t="s">
        <v>1006</v>
      </c>
      <c r="CL140" t="s">
        <v>344</v>
      </c>
      <c r="CM140" t="s">
        <v>344</v>
      </c>
      <c r="CN140" t="s">
        <v>345</v>
      </c>
      <c r="CO140" t="s">
        <v>344</v>
      </c>
      <c r="CP140" t="s">
        <v>345</v>
      </c>
      <c r="CQ140" t="s">
        <v>344</v>
      </c>
      <c r="CR140" t="s">
        <v>667</v>
      </c>
      <c r="CS140">
        <v>50</v>
      </c>
      <c r="CT140">
        <v>29</v>
      </c>
      <c r="CU140">
        <v>90</v>
      </c>
      <c r="CV140">
        <v>30</v>
      </c>
      <c r="CW140" t="s">
        <v>395</v>
      </c>
      <c r="CX140" t="s">
        <v>396</v>
      </c>
      <c r="CY140" t="s">
        <v>396</v>
      </c>
      <c r="CZ140" t="s">
        <v>397</v>
      </c>
      <c r="DA140" t="s">
        <v>397</v>
      </c>
      <c r="DB140" t="s">
        <v>397</v>
      </c>
      <c r="DC140" t="s">
        <v>366</v>
      </c>
      <c r="DD140" t="s">
        <v>366</v>
      </c>
      <c r="DE140" t="s">
        <v>397</v>
      </c>
      <c r="DF140" t="s">
        <v>397</v>
      </c>
      <c r="DG140" t="s">
        <v>397</v>
      </c>
      <c r="DH140" t="s">
        <v>366</v>
      </c>
      <c r="DI140" t="s">
        <v>366</v>
      </c>
      <c r="DJ140" t="s">
        <v>1007</v>
      </c>
      <c r="DK140" t="s">
        <v>367</v>
      </c>
      <c r="DL140" t="s">
        <v>368</v>
      </c>
      <c r="DM140" t="s">
        <v>368</v>
      </c>
      <c r="DN140" t="s">
        <v>368</v>
      </c>
      <c r="DO140" t="s">
        <v>368</v>
      </c>
      <c r="DP140" t="s">
        <v>345</v>
      </c>
      <c r="DQ140" t="s">
        <v>344</v>
      </c>
      <c r="DR140" t="s">
        <v>344</v>
      </c>
      <c r="DS140" t="s">
        <v>344</v>
      </c>
      <c r="DT140" t="s">
        <v>345</v>
      </c>
      <c r="DU140" t="s">
        <v>345</v>
      </c>
      <c r="DV140" t="s">
        <v>344</v>
      </c>
      <c r="DW140" t="s">
        <v>344</v>
      </c>
      <c r="DX140" t="s">
        <v>369</v>
      </c>
      <c r="DY140" t="s">
        <v>371</v>
      </c>
      <c r="DZ140" t="s">
        <v>369</v>
      </c>
      <c r="EA140" t="s">
        <v>369</v>
      </c>
      <c r="EB140" t="s">
        <v>369</v>
      </c>
      <c r="EC140" t="s">
        <v>369</v>
      </c>
      <c r="ED140" t="s">
        <v>371</v>
      </c>
      <c r="EE140" t="s">
        <v>370</v>
      </c>
      <c r="EF140" t="s">
        <v>370</v>
      </c>
      <c r="EG140" t="s">
        <v>369</v>
      </c>
      <c r="EH140" t="s">
        <v>370</v>
      </c>
      <c r="EI140" t="s">
        <v>370</v>
      </c>
      <c r="EJ140" t="s">
        <v>370</v>
      </c>
      <c r="EK140" t="s">
        <v>370</v>
      </c>
      <c r="EL140" t="s">
        <v>440</v>
      </c>
      <c r="EM140" t="s">
        <v>372</v>
      </c>
      <c r="EN140" t="s">
        <v>373</v>
      </c>
      <c r="EQ140" t="s">
        <v>375</v>
      </c>
      <c r="ER140" t="s">
        <v>378</v>
      </c>
      <c r="ES140" t="s">
        <v>375</v>
      </c>
      <c r="ET140" t="s">
        <v>391</v>
      </c>
      <c r="EU140" t="s">
        <v>378</v>
      </c>
      <c r="EV140" t="s">
        <v>400</v>
      </c>
      <c r="EX140" t="s">
        <v>368</v>
      </c>
      <c r="EY140" t="s">
        <v>368</v>
      </c>
      <c r="EZ140" t="s">
        <v>368</v>
      </c>
      <c r="FA140" t="s">
        <v>345</v>
      </c>
      <c r="FB140" t="s">
        <v>380</v>
      </c>
      <c r="FD140" t="s">
        <v>380</v>
      </c>
      <c r="FF140" t="s">
        <v>382</v>
      </c>
      <c r="FG140" t="s">
        <v>383</v>
      </c>
      <c r="FH140" t="s">
        <v>432</v>
      </c>
      <c r="FI140" t="s">
        <v>403</v>
      </c>
      <c r="GA140" t="s">
        <v>368</v>
      </c>
      <c r="GB140" t="s">
        <v>368</v>
      </c>
      <c r="GC140" t="s">
        <v>368</v>
      </c>
      <c r="GD140" t="s">
        <v>368</v>
      </c>
      <c r="GE140" t="s">
        <v>368</v>
      </c>
      <c r="GF140" t="s">
        <v>368</v>
      </c>
      <c r="GL140" t="s">
        <v>344</v>
      </c>
      <c r="GM140" t="s">
        <v>344</v>
      </c>
      <c r="GN140" t="s">
        <v>344</v>
      </c>
      <c r="GO140" t="s">
        <v>344</v>
      </c>
      <c r="GP140" t="s">
        <v>344</v>
      </c>
      <c r="GQ140" t="s">
        <v>344</v>
      </c>
      <c r="GR140" t="s">
        <v>344</v>
      </c>
      <c r="GS140" t="s">
        <v>344</v>
      </c>
      <c r="GT140" t="s">
        <v>344</v>
      </c>
      <c r="GU140" t="s">
        <v>344</v>
      </c>
      <c r="GV140" t="s">
        <v>344</v>
      </c>
      <c r="GW140" t="s">
        <v>344</v>
      </c>
      <c r="GX140" t="s">
        <v>344</v>
      </c>
      <c r="GY140" t="s">
        <v>344</v>
      </c>
      <c r="GZ140" t="s">
        <v>345</v>
      </c>
      <c r="HB140" t="s">
        <v>344</v>
      </c>
      <c r="HD140" t="s">
        <v>344</v>
      </c>
      <c r="HF140" t="s">
        <v>344</v>
      </c>
      <c r="HH140" t="s">
        <v>344</v>
      </c>
      <c r="HJ140" t="s">
        <v>344</v>
      </c>
      <c r="HK140" t="s">
        <v>344</v>
      </c>
      <c r="HL140" t="s">
        <v>344</v>
      </c>
      <c r="HM140" t="s">
        <v>345</v>
      </c>
      <c r="HN140" t="s">
        <v>344</v>
      </c>
      <c r="HO140" t="s">
        <v>344</v>
      </c>
      <c r="HP140" t="s">
        <v>344</v>
      </c>
      <c r="HQ140" t="s">
        <v>344</v>
      </c>
      <c r="HR140" t="s">
        <v>344</v>
      </c>
      <c r="HS140" t="s">
        <v>344</v>
      </c>
      <c r="HT140" t="s">
        <v>344</v>
      </c>
      <c r="HU140" t="s">
        <v>344</v>
      </c>
      <c r="HV140" t="s">
        <v>344</v>
      </c>
      <c r="HW140" t="s">
        <v>344</v>
      </c>
      <c r="HX140" t="s">
        <v>344</v>
      </c>
      <c r="HZ140" t="s">
        <v>344</v>
      </c>
      <c r="IB140" t="s">
        <v>344</v>
      </c>
      <c r="ID140" t="s">
        <v>344</v>
      </c>
      <c r="IF140" t="s">
        <v>344</v>
      </c>
      <c r="IH140" t="s">
        <v>345</v>
      </c>
      <c r="II140" t="s">
        <v>345</v>
      </c>
      <c r="IJ140" t="s">
        <v>344</v>
      </c>
      <c r="IK140" t="s">
        <v>344</v>
      </c>
      <c r="IL140" t="s">
        <v>345</v>
      </c>
      <c r="IM140" t="s">
        <v>344</v>
      </c>
      <c r="IN140" t="s">
        <v>344</v>
      </c>
      <c r="IO140" t="s">
        <v>345</v>
      </c>
      <c r="IP140" t="s">
        <v>344</v>
      </c>
      <c r="IQ140" t="s">
        <v>344</v>
      </c>
      <c r="IR140" t="s">
        <v>344</v>
      </c>
      <c r="IS140" t="s">
        <v>344</v>
      </c>
      <c r="IU140" t="s">
        <v>685</v>
      </c>
      <c r="IW140" s="9"/>
      <c r="IX140" s="9"/>
      <c r="IY140" s="9"/>
      <c r="IZ140" s="9"/>
      <c r="JA140" s="9"/>
      <c r="JB140" s="9"/>
      <c r="JC140" s="9"/>
      <c r="JD140" s="9"/>
      <c r="JE140" s="9"/>
      <c r="JF140" s="9"/>
      <c r="JG140" s="9"/>
      <c r="JH140" s="9"/>
    </row>
    <row r="141" spans="1:268" x14ac:dyDescent="0.3">
      <c r="A141" s="20" t="s">
        <v>727</v>
      </c>
      <c r="B141">
        <v>235</v>
      </c>
      <c r="C141" t="s">
        <v>1008</v>
      </c>
      <c r="D141">
        <v>14</v>
      </c>
      <c r="E141" t="s">
        <v>340</v>
      </c>
      <c r="F141">
        <v>1179524459</v>
      </c>
      <c r="G141" t="s">
        <v>1009</v>
      </c>
      <c r="H141" t="s">
        <v>1008</v>
      </c>
      <c r="I141" t="s">
        <v>977</v>
      </c>
      <c r="J141">
        <v>17</v>
      </c>
      <c r="K141" t="s">
        <v>406</v>
      </c>
      <c r="M141" t="s">
        <v>344</v>
      </c>
      <c r="N141" t="s">
        <v>345</v>
      </c>
      <c r="O141" t="s">
        <v>344</v>
      </c>
      <c r="P141" t="s">
        <v>344</v>
      </c>
      <c r="Q141" t="s">
        <v>344</v>
      </c>
      <c r="S141" t="s">
        <v>475</v>
      </c>
      <c r="U141" t="s">
        <v>347</v>
      </c>
      <c r="W141" t="s">
        <v>345</v>
      </c>
      <c r="X141" t="s">
        <v>344</v>
      </c>
      <c r="Y141" t="s">
        <v>344</v>
      </c>
      <c r="Z141" t="s">
        <v>345</v>
      </c>
      <c r="AA141" t="s">
        <v>345</v>
      </c>
      <c r="AB141" t="s">
        <v>344</v>
      </c>
      <c r="AC141" t="s">
        <v>344</v>
      </c>
      <c r="AD141" t="s">
        <v>344</v>
      </c>
      <c r="AE141" t="s">
        <v>345</v>
      </c>
      <c r="AF141" t="s">
        <v>344</v>
      </c>
      <c r="AG141" t="s">
        <v>344</v>
      </c>
      <c r="AH141" t="s">
        <v>345</v>
      </c>
      <c r="AI141" t="s">
        <v>345</v>
      </c>
      <c r="AJ141" t="s">
        <v>344</v>
      </c>
      <c r="AK141" t="s">
        <v>345</v>
      </c>
      <c r="AL141" t="s">
        <v>344</v>
      </c>
      <c r="AM141" t="s">
        <v>345</v>
      </c>
      <c r="AN141" t="s">
        <v>344</v>
      </c>
      <c r="AO141" t="s">
        <v>344</v>
      </c>
      <c r="AP141" t="s">
        <v>344</v>
      </c>
      <c r="AQ141" t="s">
        <v>344</v>
      </c>
      <c r="AR141" t="s">
        <v>368</v>
      </c>
      <c r="AS141" t="s">
        <v>368</v>
      </c>
      <c r="AT141" t="s">
        <v>368</v>
      </c>
      <c r="AU141" t="s">
        <v>368</v>
      </c>
      <c r="AV141" t="s">
        <v>368</v>
      </c>
      <c r="AW141" t="s">
        <v>368</v>
      </c>
      <c r="AX141" t="s">
        <v>345</v>
      </c>
      <c r="AY141" t="s">
        <v>732</v>
      </c>
      <c r="AZ141" t="s">
        <v>733</v>
      </c>
      <c r="BA141" t="s">
        <v>391</v>
      </c>
      <c r="BB141" t="s">
        <v>731</v>
      </c>
      <c r="BC141" t="s">
        <v>731</v>
      </c>
      <c r="BD141" t="s">
        <v>731</v>
      </c>
      <c r="BE141" t="s">
        <v>348</v>
      </c>
      <c r="BF141" t="s">
        <v>348</v>
      </c>
      <c r="BG141" t="s">
        <v>390</v>
      </c>
      <c r="BH141" t="s">
        <v>349</v>
      </c>
      <c r="BI141" t="s">
        <v>349</v>
      </c>
      <c r="BJ141" t="s">
        <v>353</v>
      </c>
      <c r="BK141" t="s">
        <v>356</v>
      </c>
      <c r="BL141" t="s">
        <v>354</v>
      </c>
      <c r="BM141" t="s">
        <v>351</v>
      </c>
      <c r="BN141" t="s">
        <v>357</v>
      </c>
      <c r="BO141" t="s">
        <v>355</v>
      </c>
      <c r="BP141" t="s">
        <v>391</v>
      </c>
      <c r="BQ141" t="s">
        <v>358</v>
      </c>
      <c r="BR141" t="s">
        <v>429</v>
      </c>
      <c r="BS141" t="s">
        <v>354</v>
      </c>
      <c r="BT141" t="s">
        <v>356</v>
      </c>
      <c r="BU141" t="s">
        <v>355</v>
      </c>
      <c r="BV141" t="s">
        <v>352</v>
      </c>
      <c r="BW141" t="s">
        <v>353</v>
      </c>
      <c r="BX141" t="s">
        <v>351</v>
      </c>
      <c r="BY141" t="s">
        <v>357</v>
      </c>
      <c r="BZ141" t="s">
        <v>355</v>
      </c>
      <c r="CA141" t="s">
        <v>354</v>
      </c>
      <c r="CB141" t="s">
        <v>351</v>
      </c>
      <c r="CC141" t="s">
        <v>353</v>
      </c>
      <c r="CD141" t="s">
        <v>352</v>
      </c>
      <c r="CE141" t="s">
        <v>356</v>
      </c>
      <c r="CF141" t="s">
        <v>357</v>
      </c>
      <c r="CG141" t="s">
        <v>421</v>
      </c>
      <c r="CH141" t="s">
        <v>421</v>
      </c>
      <c r="CI141" t="s">
        <v>421</v>
      </c>
      <c r="CJ141" t="s">
        <v>421</v>
      </c>
      <c r="CK141" t="s">
        <v>510</v>
      </c>
      <c r="CL141" t="s">
        <v>344</v>
      </c>
      <c r="CM141" t="s">
        <v>344</v>
      </c>
      <c r="CN141" t="s">
        <v>344</v>
      </c>
      <c r="CO141" t="s">
        <v>345</v>
      </c>
      <c r="CP141" t="s">
        <v>345</v>
      </c>
      <c r="CQ141" t="s">
        <v>344</v>
      </c>
      <c r="CR141" t="s">
        <v>667</v>
      </c>
      <c r="CS141">
        <v>50</v>
      </c>
      <c r="CT141">
        <v>1</v>
      </c>
      <c r="CU141">
        <v>100</v>
      </c>
      <c r="CV141">
        <v>1</v>
      </c>
      <c r="CW141" t="s">
        <v>363</v>
      </c>
      <c r="CX141" t="s">
        <v>395</v>
      </c>
      <c r="CY141" t="s">
        <v>396</v>
      </c>
      <c r="CZ141" t="s">
        <v>397</v>
      </c>
      <c r="DA141" t="s">
        <v>397</v>
      </c>
      <c r="DB141" t="s">
        <v>397</v>
      </c>
      <c r="DC141" t="s">
        <v>397</v>
      </c>
      <c r="DD141" t="s">
        <v>397</v>
      </c>
      <c r="DE141" t="s">
        <v>397</v>
      </c>
      <c r="DF141" t="s">
        <v>397</v>
      </c>
      <c r="DG141" t="s">
        <v>397</v>
      </c>
      <c r="DH141" t="s">
        <v>397</v>
      </c>
      <c r="DI141" t="s">
        <v>365</v>
      </c>
      <c r="DK141" t="s">
        <v>367</v>
      </c>
      <c r="DL141" t="s">
        <v>368</v>
      </c>
      <c r="DM141" t="s">
        <v>368</v>
      </c>
      <c r="DN141" t="s">
        <v>368</v>
      </c>
      <c r="DO141" t="s">
        <v>368</v>
      </c>
      <c r="DP141" t="s">
        <v>368</v>
      </c>
      <c r="DQ141" t="s">
        <v>368</v>
      </c>
      <c r="DR141" t="s">
        <v>368</v>
      </c>
      <c r="DS141" t="s">
        <v>345</v>
      </c>
      <c r="DT141" t="s">
        <v>368</v>
      </c>
      <c r="DU141" t="s">
        <v>368</v>
      </c>
      <c r="DV141" t="s">
        <v>368</v>
      </c>
      <c r="DW141" t="s">
        <v>345</v>
      </c>
      <c r="DX141" t="s">
        <v>369</v>
      </c>
      <c r="DY141" t="s">
        <v>399</v>
      </c>
      <c r="DZ141" t="s">
        <v>369</v>
      </c>
      <c r="EA141" t="s">
        <v>399</v>
      </c>
      <c r="EB141" t="s">
        <v>369</v>
      </c>
      <c r="EC141" t="s">
        <v>369</v>
      </c>
      <c r="ED141" t="s">
        <v>399</v>
      </c>
      <c r="EE141" t="s">
        <v>370</v>
      </c>
      <c r="EF141" t="s">
        <v>370</v>
      </c>
      <c r="EG141" t="s">
        <v>370</v>
      </c>
      <c r="EH141" t="s">
        <v>370</v>
      </c>
      <c r="EI141" t="s">
        <v>370</v>
      </c>
      <c r="EJ141" t="s">
        <v>370</v>
      </c>
      <c r="EK141" t="s">
        <v>370</v>
      </c>
      <c r="EL141" t="s">
        <v>374</v>
      </c>
      <c r="EM141" t="s">
        <v>440</v>
      </c>
      <c r="EN141" t="s">
        <v>373</v>
      </c>
      <c r="EQ141" t="s">
        <v>378</v>
      </c>
      <c r="ER141" t="s">
        <v>378</v>
      </c>
      <c r="ES141" t="s">
        <v>375</v>
      </c>
      <c r="ET141" t="s">
        <v>377</v>
      </c>
      <c r="EU141" t="s">
        <v>391</v>
      </c>
      <c r="EV141" t="s">
        <v>400</v>
      </c>
      <c r="EX141" t="s">
        <v>368</v>
      </c>
      <c r="EY141" t="s">
        <v>368</v>
      </c>
      <c r="EZ141" t="s">
        <v>368</v>
      </c>
      <c r="FA141" t="s">
        <v>345</v>
      </c>
      <c r="FB141" t="s">
        <v>380</v>
      </c>
      <c r="FD141" t="s">
        <v>381</v>
      </c>
      <c r="FF141" t="s">
        <v>382</v>
      </c>
      <c r="FG141" t="s">
        <v>402</v>
      </c>
      <c r="FH141" t="s">
        <v>432</v>
      </c>
      <c r="FI141" t="s">
        <v>403</v>
      </c>
      <c r="GA141" t="s">
        <v>368</v>
      </c>
      <c r="GB141" t="s">
        <v>368</v>
      </c>
      <c r="GC141" t="s">
        <v>368</v>
      </c>
      <c r="GD141" t="s">
        <v>368</v>
      </c>
      <c r="GE141" t="s">
        <v>368</v>
      </c>
      <c r="GF141" t="s">
        <v>368</v>
      </c>
      <c r="GL141" t="s">
        <v>344</v>
      </c>
      <c r="GM141" t="s">
        <v>344</v>
      </c>
      <c r="GN141" t="s">
        <v>344</v>
      </c>
      <c r="GO141" t="s">
        <v>344</v>
      </c>
      <c r="GP141" t="s">
        <v>344</v>
      </c>
      <c r="GQ141" t="s">
        <v>344</v>
      </c>
      <c r="GR141" t="s">
        <v>344</v>
      </c>
      <c r="GS141" t="s">
        <v>344</v>
      </c>
      <c r="GT141" t="s">
        <v>344</v>
      </c>
      <c r="GU141" t="s">
        <v>344</v>
      </c>
      <c r="GV141" t="s">
        <v>344</v>
      </c>
      <c r="GW141" t="s">
        <v>344</v>
      </c>
      <c r="GX141" t="s">
        <v>344</v>
      </c>
      <c r="GY141" t="s">
        <v>344</v>
      </c>
      <c r="GZ141" t="s">
        <v>345</v>
      </c>
      <c r="HB141" t="s">
        <v>344</v>
      </c>
      <c r="HD141" t="s">
        <v>344</v>
      </c>
      <c r="HF141" t="s">
        <v>344</v>
      </c>
      <c r="HH141" t="s">
        <v>344</v>
      </c>
      <c r="HJ141" t="s">
        <v>344</v>
      </c>
      <c r="HK141" t="s">
        <v>344</v>
      </c>
      <c r="HL141" t="s">
        <v>344</v>
      </c>
      <c r="HM141" t="s">
        <v>344</v>
      </c>
      <c r="HN141" t="s">
        <v>344</v>
      </c>
      <c r="HO141" t="s">
        <v>344</v>
      </c>
      <c r="HP141" t="s">
        <v>344</v>
      </c>
      <c r="HQ141" t="s">
        <v>344</v>
      </c>
      <c r="HR141" t="s">
        <v>344</v>
      </c>
      <c r="HS141" t="s">
        <v>344</v>
      </c>
      <c r="HT141" t="s">
        <v>344</v>
      </c>
      <c r="HU141" t="s">
        <v>344</v>
      </c>
      <c r="HV141" t="s">
        <v>344</v>
      </c>
      <c r="HW141" t="s">
        <v>344</v>
      </c>
      <c r="HX141" t="s">
        <v>345</v>
      </c>
      <c r="HZ141" t="s">
        <v>344</v>
      </c>
      <c r="IB141" t="s">
        <v>344</v>
      </c>
      <c r="ID141" t="s">
        <v>344</v>
      </c>
      <c r="IF141" t="s">
        <v>344</v>
      </c>
      <c r="IH141" t="s">
        <v>344</v>
      </c>
      <c r="II141" t="s">
        <v>345</v>
      </c>
      <c r="IJ141" t="s">
        <v>344</v>
      </c>
      <c r="IK141" t="s">
        <v>344</v>
      </c>
      <c r="IL141" t="s">
        <v>345</v>
      </c>
      <c r="IM141" t="s">
        <v>345</v>
      </c>
      <c r="IN141" t="s">
        <v>344</v>
      </c>
      <c r="IO141" t="s">
        <v>345</v>
      </c>
      <c r="IP141" t="s">
        <v>344</v>
      </c>
      <c r="IQ141" t="s">
        <v>344</v>
      </c>
      <c r="IR141" t="s">
        <v>344</v>
      </c>
      <c r="IS141" t="s">
        <v>344</v>
      </c>
      <c r="IW141" s="9"/>
      <c r="IX141" s="9"/>
      <c r="IY141" s="9"/>
      <c r="IZ141" s="9"/>
      <c r="JA141" s="9"/>
      <c r="JB141" s="9"/>
      <c r="JC141" s="9"/>
      <c r="JD141" s="9"/>
      <c r="JE141" s="9"/>
      <c r="JF141" s="9"/>
      <c r="JG141" s="9"/>
      <c r="JH141" s="9"/>
    </row>
    <row r="142" spans="1:268" x14ac:dyDescent="0.3">
      <c r="A142" s="20" t="s">
        <v>727</v>
      </c>
      <c r="B142">
        <v>236</v>
      </c>
      <c r="C142" t="s">
        <v>1010</v>
      </c>
      <c r="D142">
        <v>14</v>
      </c>
      <c r="E142" t="s">
        <v>340</v>
      </c>
      <c r="F142">
        <v>100914976</v>
      </c>
      <c r="G142" t="s">
        <v>1011</v>
      </c>
      <c r="H142" t="s">
        <v>1010</v>
      </c>
      <c r="I142" t="s">
        <v>977</v>
      </c>
      <c r="J142">
        <v>18</v>
      </c>
      <c r="K142" t="s">
        <v>389</v>
      </c>
      <c r="M142" t="s">
        <v>344</v>
      </c>
      <c r="N142" t="s">
        <v>345</v>
      </c>
      <c r="O142" t="s">
        <v>344</v>
      </c>
      <c r="P142" t="s">
        <v>344</v>
      </c>
      <c r="Q142" t="s">
        <v>344</v>
      </c>
      <c r="S142" t="s">
        <v>475</v>
      </c>
      <c r="U142" t="s">
        <v>418</v>
      </c>
      <c r="W142" t="s">
        <v>345</v>
      </c>
      <c r="X142" t="s">
        <v>345</v>
      </c>
      <c r="Y142" t="s">
        <v>344</v>
      </c>
      <c r="Z142" t="s">
        <v>344</v>
      </c>
      <c r="AA142" t="s">
        <v>344</v>
      </c>
      <c r="AB142" t="s">
        <v>344</v>
      </c>
      <c r="AC142" t="s">
        <v>344</v>
      </c>
      <c r="AD142" t="s">
        <v>345</v>
      </c>
      <c r="AE142" t="s">
        <v>345</v>
      </c>
      <c r="AF142" t="s">
        <v>345</v>
      </c>
      <c r="AG142" t="s">
        <v>344</v>
      </c>
      <c r="AH142" t="s">
        <v>345</v>
      </c>
      <c r="AI142" t="s">
        <v>344</v>
      </c>
      <c r="AJ142" t="s">
        <v>344</v>
      </c>
      <c r="AK142" t="s">
        <v>344</v>
      </c>
      <c r="AL142" t="s">
        <v>344</v>
      </c>
      <c r="AM142" t="s">
        <v>345</v>
      </c>
      <c r="AN142" t="s">
        <v>345</v>
      </c>
      <c r="AO142" t="s">
        <v>345</v>
      </c>
      <c r="AP142" t="s">
        <v>344</v>
      </c>
      <c r="AQ142" t="s">
        <v>344</v>
      </c>
      <c r="AR142" t="s">
        <v>345</v>
      </c>
      <c r="AS142" t="s">
        <v>345</v>
      </c>
      <c r="AT142" t="s">
        <v>344</v>
      </c>
      <c r="AU142" t="s">
        <v>345</v>
      </c>
      <c r="AV142" t="s">
        <v>344</v>
      </c>
      <c r="AW142" t="s">
        <v>345</v>
      </c>
      <c r="AX142" t="s">
        <v>344</v>
      </c>
      <c r="AY142" t="s">
        <v>733</v>
      </c>
      <c r="AZ142" t="s">
        <v>737</v>
      </c>
      <c r="BA142" t="s">
        <v>737</v>
      </c>
      <c r="BB142" t="s">
        <v>733</v>
      </c>
      <c r="BC142" t="s">
        <v>733</v>
      </c>
      <c r="BD142" t="s">
        <v>733</v>
      </c>
      <c r="BE142" t="s">
        <v>390</v>
      </c>
      <c r="BF142" t="s">
        <v>348</v>
      </c>
      <c r="BG142" t="s">
        <v>390</v>
      </c>
      <c r="BH142" t="s">
        <v>390</v>
      </c>
      <c r="BI142" t="s">
        <v>348</v>
      </c>
      <c r="BJ142" t="s">
        <v>352</v>
      </c>
      <c r="BK142" t="s">
        <v>356</v>
      </c>
      <c r="BL142" t="s">
        <v>353</v>
      </c>
      <c r="BM142" t="s">
        <v>355</v>
      </c>
      <c r="BN142" t="s">
        <v>351</v>
      </c>
      <c r="BO142" t="s">
        <v>357</v>
      </c>
      <c r="BP142" t="s">
        <v>354</v>
      </c>
      <c r="BQ142" t="s">
        <v>419</v>
      </c>
      <c r="BR142" t="s">
        <v>429</v>
      </c>
      <c r="BS142" t="s">
        <v>354</v>
      </c>
      <c r="BT142" t="s">
        <v>357</v>
      </c>
      <c r="BU142" t="s">
        <v>353</v>
      </c>
      <c r="BV142" t="s">
        <v>352</v>
      </c>
      <c r="BW142" t="s">
        <v>356</v>
      </c>
      <c r="BX142" t="s">
        <v>351</v>
      </c>
      <c r="BY142" t="s">
        <v>355</v>
      </c>
      <c r="BZ142" t="s">
        <v>355</v>
      </c>
      <c r="CA142" t="s">
        <v>354</v>
      </c>
      <c r="CB142" t="s">
        <v>357</v>
      </c>
      <c r="CC142" t="s">
        <v>356</v>
      </c>
      <c r="CD142" t="s">
        <v>352</v>
      </c>
      <c r="CE142" t="s">
        <v>351</v>
      </c>
      <c r="CF142" t="s">
        <v>353</v>
      </c>
      <c r="CG142" t="s">
        <v>392</v>
      </c>
      <c r="CH142" t="s">
        <v>421</v>
      </c>
      <c r="CI142" t="s">
        <v>392</v>
      </c>
      <c r="CJ142" t="s">
        <v>420</v>
      </c>
      <c r="CK142" t="s">
        <v>1012</v>
      </c>
      <c r="CL142" t="s">
        <v>344</v>
      </c>
      <c r="CM142" t="s">
        <v>344</v>
      </c>
      <c r="CN142" t="s">
        <v>344</v>
      </c>
      <c r="CO142" t="s">
        <v>344</v>
      </c>
      <c r="CP142" t="s">
        <v>345</v>
      </c>
      <c r="CQ142" t="s">
        <v>344</v>
      </c>
      <c r="CR142" t="s">
        <v>667</v>
      </c>
      <c r="CS142">
        <v>50</v>
      </c>
      <c r="CT142">
        <v>23</v>
      </c>
      <c r="CU142">
        <v>30</v>
      </c>
      <c r="CV142">
        <v>1</v>
      </c>
      <c r="CW142" t="s">
        <v>363</v>
      </c>
      <c r="CX142" t="s">
        <v>395</v>
      </c>
      <c r="CY142" t="s">
        <v>396</v>
      </c>
      <c r="CZ142" t="s">
        <v>397</v>
      </c>
      <c r="DA142" t="s">
        <v>397</v>
      </c>
      <c r="DB142" t="s">
        <v>397</v>
      </c>
      <c r="DC142" t="s">
        <v>397</v>
      </c>
      <c r="DD142" t="s">
        <v>397</v>
      </c>
      <c r="DE142" t="s">
        <v>397</v>
      </c>
      <c r="DF142" t="s">
        <v>397</v>
      </c>
      <c r="DG142" t="s">
        <v>397</v>
      </c>
      <c r="DH142" t="s">
        <v>397</v>
      </c>
      <c r="DI142" t="s">
        <v>397</v>
      </c>
      <c r="DK142" t="s">
        <v>367</v>
      </c>
      <c r="DL142" t="s">
        <v>368</v>
      </c>
      <c r="DM142" t="s">
        <v>368</v>
      </c>
      <c r="DN142" t="s">
        <v>368</v>
      </c>
      <c r="DO142" t="s">
        <v>368</v>
      </c>
      <c r="DP142" t="s">
        <v>345</v>
      </c>
      <c r="DQ142" t="s">
        <v>345</v>
      </c>
      <c r="DR142" t="s">
        <v>344</v>
      </c>
      <c r="DS142" t="s">
        <v>344</v>
      </c>
      <c r="DT142" t="s">
        <v>344</v>
      </c>
      <c r="DU142" t="s">
        <v>345</v>
      </c>
      <c r="DV142" t="s">
        <v>344</v>
      </c>
      <c r="DW142" t="s">
        <v>344</v>
      </c>
      <c r="DX142" t="s">
        <v>369</v>
      </c>
      <c r="DY142" t="s">
        <v>369</v>
      </c>
      <c r="DZ142" t="s">
        <v>369</v>
      </c>
      <c r="EA142" t="s">
        <v>369</v>
      </c>
      <c r="EB142" t="s">
        <v>369</v>
      </c>
      <c r="EC142" t="s">
        <v>369</v>
      </c>
      <c r="ED142" t="s">
        <v>398</v>
      </c>
      <c r="EE142" t="s">
        <v>370</v>
      </c>
      <c r="EF142" t="s">
        <v>370</v>
      </c>
      <c r="EG142" t="s">
        <v>370</v>
      </c>
      <c r="EH142" t="s">
        <v>370</v>
      </c>
      <c r="EI142" t="s">
        <v>370</v>
      </c>
      <c r="EJ142" t="s">
        <v>370</v>
      </c>
      <c r="EK142" t="s">
        <v>370</v>
      </c>
      <c r="EL142" t="s">
        <v>373</v>
      </c>
      <c r="EM142" t="s">
        <v>374</v>
      </c>
      <c r="EN142" t="s">
        <v>372</v>
      </c>
      <c r="EQ142" t="s">
        <v>378</v>
      </c>
      <c r="ER142" t="s">
        <v>375</v>
      </c>
      <c r="ES142" t="s">
        <v>375</v>
      </c>
      <c r="ET142" t="s">
        <v>378</v>
      </c>
      <c r="EU142" t="s">
        <v>377</v>
      </c>
      <c r="EV142" t="s">
        <v>400</v>
      </c>
      <c r="EX142" t="s">
        <v>368</v>
      </c>
      <c r="EY142" t="s">
        <v>368</v>
      </c>
      <c r="EZ142" t="s">
        <v>368</v>
      </c>
      <c r="FA142" t="s">
        <v>345</v>
      </c>
      <c r="FB142" t="s">
        <v>381</v>
      </c>
      <c r="FD142" t="s">
        <v>401</v>
      </c>
      <c r="FF142" t="s">
        <v>412</v>
      </c>
      <c r="FG142" t="s">
        <v>413</v>
      </c>
      <c r="FH142" t="s">
        <v>384</v>
      </c>
      <c r="FI142" t="s">
        <v>385</v>
      </c>
      <c r="GA142" t="s">
        <v>368</v>
      </c>
      <c r="GB142" t="s">
        <v>368</v>
      </c>
      <c r="GC142" t="s">
        <v>368</v>
      </c>
      <c r="GD142" t="s">
        <v>368</v>
      </c>
      <c r="GE142" t="s">
        <v>368</v>
      </c>
      <c r="GF142" t="s">
        <v>368</v>
      </c>
      <c r="GL142" t="s">
        <v>344</v>
      </c>
      <c r="GM142" t="s">
        <v>344</v>
      </c>
      <c r="GN142" t="s">
        <v>344</v>
      </c>
      <c r="GO142" t="s">
        <v>344</v>
      </c>
      <c r="GP142" t="s">
        <v>344</v>
      </c>
      <c r="GQ142" t="s">
        <v>344</v>
      </c>
      <c r="GR142" t="s">
        <v>344</v>
      </c>
      <c r="GS142" t="s">
        <v>344</v>
      </c>
      <c r="GT142" t="s">
        <v>344</v>
      </c>
      <c r="GU142" t="s">
        <v>344</v>
      </c>
      <c r="GV142" t="s">
        <v>345</v>
      </c>
      <c r="GW142" t="s">
        <v>344</v>
      </c>
      <c r="GX142" t="s">
        <v>344</v>
      </c>
      <c r="GY142" t="s">
        <v>344</v>
      </c>
      <c r="GZ142" t="s">
        <v>344</v>
      </c>
      <c r="HB142" t="s">
        <v>344</v>
      </c>
      <c r="HD142" t="s">
        <v>344</v>
      </c>
      <c r="HF142" t="s">
        <v>344</v>
      </c>
      <c r="HH142" t="s">
        <v>344</v>
      </c>
      <c r="HJ142" t="s">
        <v>344</v>
      </c>
      <c r="HK142" t="s">
        <v>344</v>
      </c>
      <c r="HL142" t="s">
        <v>344</v>
      </c>
      <c r="HM142" t="s">
        <v>344</v>
      </c>
      <c r="HN142" t="s">
        <v>344</v>
      </c>
      <c r="HO142" t="s">
        <v>344</v>
      </c>
      <c r="HP142" t="s">
        <v>344</v>
      </c>
      <c r="HQ142" t="s">
        <v>344</v>
      </c>
      <c r="HR142" t="s">
        <v>344</v>
      </c>
      <c r="HS142" t="s">
        <v>344</v>
      </c>
      <c r="HT142" t="s">
        <v>344</v>
      </c>
      <c r="HU142" t="s">
        <v>344</v>
      </c>
      <c r="HV142" t="s">
        <v>344</v>
      </c>
      <c r="HW142" t="s">
        <v>344</v>
      </c>
      <c r="HX142" t="s">
        <v>345</v>
      </c>
      <c r="HZ142" t="s">
        <v>344</v>
      </c>
      <c r="IB142" t="s">
        <v>344</v>
      </c>
      <c r="ID142" t="s">
        <v>344</v>
      </c>
      <c r="IF142" t="s">
        <v>344</v>
      </c>
      <c r="IH142" t="s">
        <v>344</v>
      </c>
      <c r="II142" t="s">
        <v>344</v>
      </c>
      <c r="IJ142" t="s">
        <v>344</v>
      </c>
      <c r="IK142" t="s">
        <v>345</v>
      </c>
      <c r="IL142" t="s">
        <v>345</v>
      </c>
      <c r="IM142" t="s">
        <v>345</v>
      </c>
      <c r="IN142" t="s">
        <v>344</v>
      </c>
      <c r="IO142" t="s">
        <v>345</v>
      </c>
      <c r="IP142" t="s">
        <v>345</v>
      </c>
      <c r="IQ142" t="s">
        <v>344</v>
      </c>
      <c r="IR142" t="s">
        <v>344</v>
      </c>
      <c r="IS142" t="s">
        <v>344</v>
      </c>
      <c r="IW142" s="9"/>
      <c r="IX142" s="9"/>
      <c r="IY142" s="9"/>
      <c r="IZ142" s="9"/>
      <c r="JA142" s="9"/>
      <c r="JB142" s="9"/>
      <c r="JC142" s="9"/>
      <c r="JD142" s="9"/>
      <c r="JE142" s="9"/>
      <c r="JF142" s="9"/>
      <c r="JG142" s="9"/>
      <c r="JH142" s="9"/>
    </row>
    <row r="143" spans="1:268" s="122" customFormat="1" x14ac:dyDescent="0.3">
      <c r="A143" s="165" t="s">
        <v>727</v>
      </c>
      <c r="B143" s="122">
        <v>237</v>
      </c>
      <c r="C143" s="122" t="s">
        <v>1013</v>
      </c>
      <c r="D143" s="122">
        <v>14</v>
      </c>
      <c r="E143" s="122" t="s">
        <v>340</v>
      </c>
      <c r="F143" s="122">
        <v>1542468548</v>
      </c>
      <c r="G143" s="122" t="s">
        <v>1014</v>
      </c>
      <c r="H143" s="122" t="s">
        <v>1013</v>
      </c>
      <c r="I143" s="122" t="s">
        <v>977</v>
      </c>
      <c r="J143" s="122">
        <v>17</v>
      </c>
      <c r="K143" s="122" t="s">
        <v>406</v>
      </c>
      <c r="M143" s="122" t="s">
        <v>344</v>
      </c>
      <c r="N143" s="122" t="s">
        <v>345</v>
      </c>
      <c r="O143" s="122" t="s">
        <v>344</v>
      </c>
      <c r="P143" s="122" t="s">
        <v>344</v>
      </c>
      <c r="Q143" s="122" t="s">
        <v>344</v>
      </c>
      <c r="S143" s="122" t="s">
        <v>475</v>
      </c>
      <c r="U143" s="122" t="s">
        <v>418</v>
      </c>
      <c r="W143" s="122" t="s">
        <v>344</v>
      </c>
      <c r="X143" s="122" t="s">
        <v>345</v>
      </c>
      <c r="Y143" s="122" t="s">
        <v>344</v>
      </c>
      <c r="Z143" s="122" t="s">
        <v>344</v>
      </c>
      <c r="AA143" s="122" t="s">
        <v>344</v>
      </c>
      <c r="AB143" s="122" t="s">
        <v>344</v>
      </c>
      <c r="AC143" s="122" t="s">
        <v>344</v>
      </c>
      <c r="AD143" s="122" t="s">
        <v>345</v>
      </c>
      <c r="AE143" s="122" t="s">
        <v>344</v>
      </c>
      <c r="AF143" s="122" t="s">
        <v>344</v>
      </c>
      <c r="AG143" s="122" t="s">
        <v>344</v>
      </c>
      <c r="AH143" s="122" t="s">
        <v>345</v>
      </c>
      <c r="AI143" s="122" t="s">
        <v>344</v>
      </c>
      <c r="AJ143" s="122" t="s">
        <v>344</v>
      </c>
      <c r="AK143" s="122" t="s">
        <v>344</v>
      </c>
      <c r="AL143" s="122" t="s">
        <v>344</v>
      </c>
      <c r="AM143" s="122" t="s">
        <v>344</v>
      </c>
      <c r="AN143" s="122" t="s">
        <v>345</v>
      </c>
      <c r="AO143" s="122" t="s">
        <v>344</v>
      </c>
      <c r="AP143" s="122" t="s">
        <v>344</v>
      </c>
      <c r="AQ143" s="122" t="s">
        <v>344</v>
      </c>
      <c r="AR143" s="122" t="s">
        <v>344</v>
      </c>
      <c r="AS143" s="122" t="s">
        <v>344</v>
      </c>
      <c r="AT143" s="122" t="s">
        <v>344</v>
      </c>
      <c r="AU143" s="122" t="s">
        <v>345</v>
      </c>
      <c r="AV143" s="122" t="s">
        <v>344</v>
      </c>
      <c r="AW143" s="122" t="s">
        <v>345</v>
      </c>
      <c r="AX143" s="122" t="s">
        <v>344</v>
      </c>
      <c r="AY143" s="122" t="s">
        <v>733</v>
      </c>
      <c r="AZ143" s="122" t="s">
        <v>732</v>
      </c>
      <c r="BA143" s="122" t="s">
        <v>732</v>
      </c>
      <c r="BB143" s="122" t="s">
        <v>732</v>
      </c>
      <c r="BC143" s="122" t="s">
        <v>731</v>
      </c>
      <c r="BD143" s="122" t="s">
        <v>731</v>
      </c>
      <c r="BE143" s="122" t="s">
        <v>390</v>
      </c>
      <c r="BF143" s="122" t="s">
        <v>349</v>
      </c>
      <c r="BG143" s="122" t="s">
        <v>390</v>
      </c>
      <c r="BH143" s="122" t="s">
        <v>390</v>
      </c>
      <c r="BI143" s="122" t="s">
        <v>348</v>
      </c>
      <c r="BJ143" s="122" t="s">
        <v>352</v>
      </c>
      <c r="BK143" s="122" t="s">
        <v>353</v>
      </c>
      <c r="BL143" s="122" t="s">
        <v>357</v>
      </c>
      <c r="BM143" s="122" t="s">
        <v>391</v>
      </c>
      <c r="BN143" s="122" t="s">
        <v>355</v>
      </c>
      <c r="BO143" s="122" t="s">
        <v>356</v>
      </c>
      <c r="BP143" s="122" t="s">
        <v>391</v>
      </c>
      <c r="BQ143" s="122" t="s">
        <v>407</v>
      </c>
      <c r="BR143" s="122" t="s">
        <v>429</v>
      </c>
      <c r="BS143" s="122" t="s">
        <v>356</v>
      </c>
      <c r="BT143" s="122" t="s">
        <v>357</v>
      </c>
      <c r="BU143" s="122" t="s">
        <v>352</v>
      </c>
      <c r="BV143" s="122" t="s">
        <v>391</v>
      </c>
      <c r="BW143" s="122" t="s">
        <v>391</v>
      </c>
      <c r="BX143" s="122" t="s">
        <v>351</v>
      </c>
      <c r="BY143" s="122" t="s">
        <v>391</v>
      </c>
      <c r="BZ143" s="122" t="s">
        <v>355</v>
      </c>
      <c r="CA143" s="122" t="s">
        <v>354</v>
      </c>
      <c r="CB143" s="122" t="s">
        <v>357</v>
      </c>
      <c r="CC143" s="122" t="s">
        <v>391</v>
      </c>
      <c r="CD143" s="122" t="s">
        <v>356</v>
      </c>
      <c r="CE143" s="122" t="s">
        <v>391</v>
      </c>
      <c r="CF143" s="122" t="s">
        <v>391</v>
      </c>
      <c r="CG143" s="122" t="s">
        <v>393</v>
      </c>
      <c r="CH143" s="122" t="s">
        <v>393</v>
      </c>
      <c r="CI143" s="122" t="s">
        <v>393</v>
      </c>
      <c r="CJ143" s="122" t="s">
        <v>420</v>
      </c>
      <c r="CK143" s="122" t="s">
        <v>510</v>
      </c>
      <c r="CL143" s="122" t="s">
        <v>344</v>
      </c>
      <c r="CM143" s="122" t="s">
        <v>344</v>
      </c>
      <c r="CN143" s="122" t="s">
        <v>344</v>
      </c>
      <c r="CO143" s="122" t="s">
        <v>345</v>
      </c>
      <c r="CP143" s="122" t="s">
        <v>344</v>
      </c>
      <c r="CQ143" s="122" t="s">
        <v>344</v>
      </c>
      <c r="CR143" s="122" t="s">
        <v>667</v>
      </c>
      <c r="CS143" s="122">
        <v>50</v>
      </c>
      <c r="CT143" s="122">
        <v>50</v>
      </c>
      <c r="CU143" s="122">
        <v>70</v>
      </c>
      <c r="CV143" s="122">
        <v>1</v>
      </c>
      <c r="CW143" s="122" t="s">
        <v>395</v>
      </c>
      <c r="CX143" s="122" t="s">
        <v>363</v>
      </c>
      <c r="CY143" s="122" t="s">
        <v>396</v>
      </c>
      <c r="CZ143" s="122" t="s">
        <v>397</v>
      </c>
      <c r="DA143" s="122" t="s">
        <v>397</v>
      </c>
      <c r="DB143" s="122" t="s">
        <v>397</v>
      </c>
      <c r="DC143" s="122" t="s">
        <v>397</v>
      </c>
      <c r="DD143" s="122" t="s">
        <v>397</v>
      </c>
      <c r="DE143" s="122" t="s">
        <v>397</v>
      </c>
      <c r="DF143" s="122" t="s">
        <v>397</v>
      </c>
      <c r="DG143" s="122" t="s">
        <v>397</v>
      </c>
      <c r="DH143" s="122" t="s">
        <v>397</v>
      </c>
      <c r="DI143" s="122" t="s">
        <v>397</v>
      </c>
      <c r="DK143" s="122" t="s">
        <v>367</v>
      </c>
      <c r="DL143" s="122" t="s">
        <v>368</v>
      </c>
      <c r="DM143" s="122" t="s">
        <v>368</v>
      </c>
      <c r="DN143" s="122" t="s">
        <v>368</v>
      </c>
      <c r="DO143" s="122" t="s">
        <v>368</v>
      </c>
      <c r="DP143" s="122" t="s">
        <v>368</v>
      </c>
      <c r="DQ143" s="122" t="s">
        <v>368</v>
      </c>
      <c r="DR143" s="122" t="s">
        <v>368</v>
      </c>
      <c r="DS143" s="122" t="s">
        <v>345</v>
      </c>
      <c r="DT143" s="122" t="s">
        <v>368</v>
      </c>
      <c r="DU143" s="122" t="s">
        <v>368</v>
      </c>
      <c r="DV143" s="122" t="s">
        <v>368</v>
      </c>
      <c r="DW143" s="122" t="s">
        <v>345</v>
      </c>
      <c r="DX143" s="122" t="s">
        <v>369</v>
      </c>
      <c r="DY143" s="122" t="s">
        <v>370</v>
      </c>
      <c r="DZ143" s="122" t="s">
        <v>369</v>
      </c>
      <c r="EA143" s="122" t="s">
        <v>369</v>
      </c>
      <c r="EB143" s="122" t="s">
        <v>369</v>
      </c>
      <c r="EC143" s="122" t="s">
        <v>369</v>
      </c>
      <c r="ED143" s="122" t="s">
        <v>371</v>
      </c>
      <c r="EE143" s="122" t="s">
        <v>370</v>
      </c>
      <c r="EF143" s="122" t="s">
        <v>370</v>
      </c>
      <c r="EG143" s="122" t="s">
        <v>369</v>
      </c>
      <c r="EH143" s="122" t="s">
        <v>370</v>
      </c>
      <c r="EI143" s="122" t="s">
        <v>370</v>
      </c>
      <c r="EJ143" s="122" t="s">
        <v>370</v>
      </c>
      <c r="EK143" s="122" t="s">
        <v>370</v>
      </c>
      <c r="EL143" s="122" t="s">
        <v>374</v>
      </c>
      <c r="EM143" s="122" t="s">
        <v>373</v>
      </c>
      <c r="EN143" s="122" t="s">
        <v>440</v>
      </c>
      <c r="EQ143" s="122" t="s">
        <v>376</v>
      </c>
      <c r="ER143" s="122" t="s">
        <v>375</v>
      </c>
      <c r="ES143" s="122" t="s">
        <v>375</v>
      </c>
      <c r="ET143" s="122" t="s">
        <v>376</v>
      </c>
      <c r="EU143" s="122" t="s">
        <v>375</v>
      </c>
      <c r="EV143" s="122" t="s">
        <v>400</v>
      </c>
      <c r="EX143" s="155" t="s">
        <v>344</v>
      </c>
      <c r="EY143" s="155" t="s">
        <v>345</v>
      </c>
      <c r="EZ143" s="155" t="s">
        <v>344</v>
      </c>
      <c r="FA143" s="122" t="s">
        <v>344</v>
      </c>
      <c r="FB143" s="122" t="s">
        <v>380</v>
      </c>
      <c r="FD143" s="122" t="s">
        <v>381</v>
      </c>
      <c r="FF143" s="122" t="s">
        <v>382</v>
      </c>
      <c r="FG143" s="122" t="s">
        <v>413</v>
      </c>
      <c r="FH143" s="122" t="s">
        <v>451</v>
      </c>
      <c r="FI143" s="122" t="s">
        <v>403</v>
      </c>
      <c r="GA143" s="122" t="s">
        <v>368</v>
      </c>
      <c r="GB143" s="122" t="s">
        <v>368</v>
      </c>
      <c r="GC143" s="122" t="s">
        <v>368</v>
      </c>
      <c r="GD143" s="122" t="s">
        <v>368</v>
      </c>
      <c r="GE143" s="122" t="s">
        <v>368</v>
      </c>
      <c r="GF143" s="122" t="s">
        <v>368</v>
      </c>
      <c r="GL143" s="122" t="s">
        <v>344</v>
      </c>
      <c r="GM143" s="122" t="s">
        <v>344</v>
      </c>
      <c r="GN143" s="122" t="s">
        <v>344</v>
      </c>
      <c r="GO143" s="122" t="s">
        <v>344</v>
      </c>
      <c r="GP143" s="122" t="s">
        <v>344</v>
      </c>
      <c r="GQ143" s="122" t="s">
        <v>344</v>
      </c>
      <c r="GR143" s="122" t="s">
        <v>344</v>
      </c>
      <c r="GS143" s="122" t="s">
        <v>344</v>
      </c>
      <c r="GT143" s="122" t="s">
        <v>344</v>
      </c>
      <c r="GU143" s="122" t="s">
        <v>344</v>
      </c>
      <c r="GV143" s="122" t="s">
        <v>344</v>
      </c>
      <c r="GW143" s="122" t="s">
        <v>344</v>
      </c>
      <c r="GX143" s="122" t="s">
        <v>344</v>
      </c>
      <c r="GY143" s="122" t="s">
        <v>344</v>
      </c>
      <c r="GZ143" s="122" t="s">
        <v>345</v>
      </c>
      <c r="HB143" s="122" t="s">
        <v>344</v>
      </c>
      <c r="HD143" s="122" t="s">
        <v>344</v>
      </c>
      <c r="HF143" s="122" t="s">
        <v>344</v>
      </c>
      <c r="HH143" s="122" t="s">
        <v>344</v>
      </c>
      <c r="HJ143" s="122" t="s">
        <v>344</v>
      </c>
      <c r="HK143" s="122" t="s">
        <v>344</v>
      </c>
      <c r="HL143" s="122" t="s">
        <v>344</v>
      </c>
      <c r="HM143" s="122" t="s">
        <v>344</v>
      </c>
      <c r="HN143" s="122" t="s">
        <v>344</v>
      </c>
      <c r="HO143" s="122" t="s">
        <v>344</v>
      </c>
      <c r="HP143" s="122" t="s">
        <v>344</v>
      </c>
      <c r="HQ143" s="122" t="s">
        <v>344</v>
      </c>
      <c r="HR143" s="122" t="s">
        <v>344</v>
      </c>
      <c r="HS143" s="122" t="s">
        <v>344</v>
      </c>
      <c r="HT143" s="122" t="s">
        <v>344</v>
      </c>
      <c r="HU143" s="122" t="s">
        <v>344</v>
      </c>
      <c r="HV143" s="122" t="s">
        <v>345</v>
      </c>
      <c r="HW143" s="122" t="s">
        <v>344</v>
      </c>
      <c r="HX143" s="122" t="s">
        <v>344</v>
      </c>
      <c r="HZ143" s="122" t="s">
        <v>344</v>
      </c>
      <c r="IB143" s="122" t="s">
        <v>344</v>
      </c>
      <c r="ID143" s="122" t="s">
        <v>344</v>
      </c>
      <c r="IF143" s="122" t="s">
        <v>344</v>
      </c>
      <c r="IH143" s="122" t="s">
        <v>344</v>
      </c>
      <c r="II143" s="122" t="s">
        <v>345</v>
      </c>
      <c r="IJ143" s="122" t="s">
        <v>344</v>
      </c>
      <c r="IK143" s="122" t="s">
        <v>344</v>
      </c>
      <c r="IL143" s="122" t="s">
        <v>345</v>
      </c>
      <c r="IM143" s="122" t="s">
        <v>345</v>
      </c>
      <c r="IN143" s="122" t="s">
        <v>344</v>
      </c>
      <c r="IO143" s="122" t="s">
        <v>345</v>
      </c>
      <c r="IP143" s="122" t="s">
        <v>344</v>
      </c>
      <c r="IQ143" s="122" t="s">
        <v>344</v>
      </c>
      <c r="IR143" s="122" t="s">
        <v>344</v>
      </c>
      <c r="IS143" s="122" t="s">
        <v>344</v>
      </c>
      <c r="IW143" s="166"/>
      <c r="IX143" s="166"/>
      <c r="IY143" s="166"/>
      <c r="IZ143" s="166"/>
      <c r="JA143" s="166"/>
      <c r="JB143" s="166"/>
      <c r="JC143" s="166"/>
      <c r="JD143" s="166"/>
      <c r="JE143" s="166"/>
      <c r="JF143" s="166"/>
      <c r="JG143" s="166"/>
      <c r="JH143" s="166"/>
    </row>
    <row r="144" spans="1:268" x14ac:dyDescent="0.3">
      <c r="A144" s="20" t="s">
        <v>727</v>
      </c>
      <c r="B144">
        <v>238</v>
      </c>
      <c r="C144" t="s">
        <v>1015</v>
      </c>
      <c r="D144">
        <v>14</v>
      </c>
      <c r="E144" t="s">
        <v>340</v>
      </c>
      <c r="F144">
        <v>1168135659</v>
      </c>
      <c r="G144" t="s">
        <v>1016</v>
      </c>
      <c r="H144" t="s">
        <v>1015</v>
      </c>
      <c r="I144" t="s">
        <v>1017</v>
      </c>
      <c r="J144">
        <v>17</v>
      </c>
      <c r="K144" t="s">
        <v>406</v>
      </c>
      <c r="M144" t="s">
        <v>345</v>
      </c>
      <c r="N144" t="s">
        <v>345</v>
      </c>
      <c r="O144" t="s">
        <v>344</v>
      </c>
      <c r="P144" t="s">
        <v>344</v>
      </c>
      <c r="Q144" t="s">
        <v>344</v>
      </c>
      <c r="S144" t="s">
        <v>475</v>
      </c>
      <c r="U144" t="s">
        <v>347</v>
      </c>
      <c r="W144" t="s">
        <v>344</v>
      </c>
      <c r="X144" t="s">
        <v>345</v>
      </c>
      <c r="Y144" t="s">
        <v>344</v>
      </c>
      <c r="Z144" t="s">
        <v>344</v>
      </c>
      <c r="AA144" t="s">
        <v>344</v>
      </c>
      <c r="AB144" t="s">
        <v>344</v>
      </c>
      <c r="AC144" t="s">
        <v>344</v>
      </c>
      <c r="AD144" t="s">
        <v>344</v>
      </c>
      <c r="AE144" t="s">
        <v>344</v>
      </c>
      <c r="AF144" t="s">
        <v>344</v>
      </c>
      <c r="AG144" t="s">
        <v>344</v>
      </c>
      <c r="AH144" t="s">
        <v>344</v>
      </c>
      <c r="AI144" t="s">
        <v>345</v>
      </c>
      <c r="AJ144" t="s">
        <v>344</v>
      </c>
      <c r="AK144" t="s">
        <v>344</v>
      </c>
      <c r="AL144" t="s">
        <v>344</v>
      </c>
      <c r="AM144" t="s">
        <v>345</v>
      </c>
      <c r="AN144" t="s">
        <v>344</v>
      </c>
      <c r="AO144" t="s">
        <v>344</v>
      </c>
      <c r="AP144" t="s">
        <v>344</v>
      </c>
      <c r="AQ144" t="s">
        <v>344</v>
      </c>
      <c r="AR144" t="s">
        <v>345</v>
      </c>
      <c r="AS144" t="s">
        <v>345</v>
      </c>
      <c r="AT144" t="s">
        <v>344</v>
      </c>
      <c r="AU144" t="s">
        <v>344</v>
      </c>
      <c r="AV144" t="s">
        <v>345</v>
      </c>
      <c r="AW144" t="s">
        <v>344</v>
      </c>
      <c r="AX144" t="s">
        <v>344</v>
      </c>
      <c r="AY144" t="s">
        <v>391</v>
      </c>
      <c r="AZ144" t="s">
        <v>391</v>
      </c>
      <c r="BA144" t="s">
        <v>391</v>
      </c>
      <c r="BB144" t="s">
        <v>391</v>
      </c>
      <c r="BC144" t="s">
        <v>391</v>
      </c>
      <c r="BD144" t="s">
        <v>391</v>
      </c>
      <c r="BE144" t="s">
        <v>348</v>
      </c>
      <c r="BF144" t="s">
        <v>348</v>
      </c>
      <c r="BG144" t="s">
        <v>349</v>
      </c>
      <c r="BH144" t="s">
        <v>349</v>
      </c>
      <c r="BI144" t="s">
        <v>350</v>
      </c>
      <c r="BJ144" t="s">
        <v>391</v>
      </c>
      <c r="BK144" t="s">
        <v>391</v>
      </c>
      <c r="BL144" t="s">
        <v>391</v>
      </c>
      <c r="BM144" t="s">
        <v>391</v>
      </c>
      <c r="BN144" t="s">
        <v>391</v>
      </c>
      <c r="BO144" t="s">
        <v>391</v>
      </c>
      <c r="BP144" t="s">
        <v>391</v>
      </c>
      <c r="BQ144" t="s">
        <v>407</v>
      </c>
      <c r="BR144" t="s">
        <v>429</v>
      </c>
      <c r="BS144" t="s">
        <v>391</v>
      </c>
      <c r="BT144" t="s">
        <v>391</v>
      </c>
      <c r="BU144" t="s">
        <v>391</v>
      </c>
      <c r="BV144" t="s">
        <v>391</v>
      </c>
      <c r="BW144" t="s">
        <v>391</v>
      </c>
      <c r="BX144" t="s">
        <v>391</v>
      </c>
      <c r="BY144" t="s">
        <v>391</v>
      </c>
      <c r="BZ144" t="s">
        <v>391</v>
      </c>
      <c r="CA144" t="s">
        <v>391</v>
      </c>
      <c r="CB144" t="s">
        <v>391</v>
      </c>
      <c r="CC144" t="s">
        <v>391</v>
      </c>
      <c r="CD144" t="s">
        <v>391</v>
      </c>
      <c r="CE144" t="s">
        <v>391</v>
      </c>
      <c r="CF144" t="s">
        <v>391</v>
      </c>
      <c r="CG144" t="s">
        <v>420</v>
      </c>
      <c r="CH144" t="s">
        <v>420</v>
      </c>
      <c r="CI144" t="s">
        <v>420</v>
      </c>
      <c r="CJ144" t="s">
        <v>420</v>
      </c>
      <c r="CK144" t="s">
        <v>938</v>
      </c>
      <c r="CL144" t="s">
        <v>344</v>
      </c>
      <c r="CM144" t="s">
        <v>344</v>
      </c>
      <c r="CN144" t="s">
        <v>344</v>
      </c>
      <c r="CO144" t="s">
        <v>345</v>
      </c>
      <c r="CP144" t="s">
        <v>345</v>
      </c>
      <c r="CQ144" t="s">
        <v>344</v>
      </c>
      <c r="CR144" t="s">
        <v>667</v>
      </c>
      <c r="CS144">
        <v>75</v>
      </c>
      <c r="CT144">
        <v>65</v>
      </c>
      <c r="CU144">
        <v>75</v>
      </c>
      <c r="CV144">
        <v>10</v>
      </c>
      <c r="CW144" t="s">
        <v>364</v>
      </c>
      <c r="CX144" t="s">
        <v>395</v>
      </c>
      <c r="CY144" t="s">
        <v>396</v>
      </c>
      <c r="CZ144" t="s">
        <v>397</v>
      </c>
      <c r="DA144" t="s">
        <v>397</v>
      </c>
      <c r="DB144" t="s">
        <v>397</v>
      </c>
      <c r="DC144" t="s">
        <v>397</v>
      </c>
      <c r="DD144" t="s">
        <v>397</v>
      </c>
      <c r="DE144" t="s">
        <v>366</v>
      </c>
      <c r="DF144" t="s">
        <v>366</v>
      </c>
      <c r="DG144" t="s">
        <v>397</v>
      </c>
      <c r="DH144" t="s">
        <v>366</v>
      </c>
      <c r="DI144" t="s">
        <v>366</v>
      </c>
      <c r="DJ144" t="s">
        <v>1018</v>
      </c>
      <c r="DK144" t="s">
        <v>367</v>
      </c>
      <c r="DL144" t="s">
        <v>368</v>
      </c>
      <c r="DM144" t="s">
        <v>368</v>
      </c>
      <c r="DN144" t="s">
        <v>368</v>
      </c>
      <c r="DO144" t="s">
        <v>368</v>
      </c>
      <c r="DP144" t="s">
        <v>345</v>
      </c>
      <c r="DQ144" t="s">
        <v>344</v>
      </c>
      <c r="DR144" t="s">
        <v>344</v>
      </c>
      <c r="DS144" t="s">
        <v>344</v>
      </c>
      <c r="DT144" t="s">
        <v>345</v>
      </c>
      <c r="DU144" t="s">
        <v>344</v>
      </c>
      <c r="DV144" t="s">
        <v>344</v>
      </c>
      <c r="DW144" t="s">
        <v>344</v>
      </c>
      <c r="DX144" t="s">
        <v>371</v>
      </c>
      <c r="DY144" t="s">
        <v>370</v>
      </c>
      <c r="DZ144" t="s">
        <v>369</v>
      </c>
      <c r="EA144" t="s">
        <v>398</v>
      </c>
      <c r="EB144" t="s">
        <v>369</v>
      </c>
      <c r="EC144" t="s">
        <v>398</v>
      </c>
      <c r="ED144" t="s">
        <v>370</v>
      </c>
      <c r="EE144" t="s">
        <v>370</v>
      </c>
      <c r="EF144" t="s">
        <v>370</v>
      </c>
      <c r="EG144" t="s">
        <v>369</v>
      </c>
      <c r="EH144" t="s">
        <v>370</v>
      </c>
      <c r="EI144" t="s">
        <v>369</v>
      </c>
      <c r="EJ144" t="s">
        <v>370</v>
      </c>
      <c r="EK144" t="s">
        <v>399</v>
      </c>
      <c r="EL144" t="s">
        <v>424</v>
      </c>
      <c r="EM144" t="s">
        <v>372</v>
      </c>
      <c r="EN144" t="s">
        <v>374</v>
      </c>
      <c r="EQ144" t="s">
        <v>375</v>
      </c>
      <c r="ER144" t="s">
        <v>375</v>
      </c>
      <c r="ES144" t="s">
        <v>378</v>
      </c>
      <c r="ET144" t="s">
        <v>391</v>
      </c>
      <c r="EU144" t="s">
        <v>377</v>
      </c>
      <c r="EV144" t="s">
        <v>400</v>
      </c>
      <c r="EX144" t="s">
        <v>368</v>
      </c>
      <c r="EY144" t="s">
        <v>368</v>
      </c>
      <c r="EZ144" t="s">
        <v>368</v>
      </c>
      <c r="FA144" t="s">
        <v>345</v>
      </c>
      <c r="FB144" t="s">
        <v>401</v>
      </c>
      <c r="FD144" t="s">
        <v>401</v>
      </c>
      <c r="GA144" t="s">
        <v>368</v>
      </c>
      <c r="GB144" t="s">
        <v>368</v>
      </c>
      <c r="GC144" t="s">
        <v>368</v>
      </c>
      <c r="GD144" t="s">
        <v>368</v>
      </c>
      <c r="GE144" t="s">
        <v>368</v>
      </c>
      <c r="GF144" t="s">
        <v>368</v>
      </c>
      <c r="GL144" t="s">
        <v>344</v>
      </c>
      <c r="GM144" t="s">
        <v>344</v>
      </c>
      <c r="GN144" t="s">
        <v>344</v>
      </c>
      <c r="GO144" t="s">
        <v>344</v>
      </c>
      <c r="GP144" t="s">
        <v>344</v>
      </c>
      <c r="GQ144" t="s">
        <v>344</v>
      </c>
      <c r="GR144" t="s">
        <v>344</v>
      </c>
      <c r="GS144" t="s">
        <v>344</v>
      </c>
      <c r="GT144" t="s">
        <v>344</v>
      </c>
      <c r="GU144" t="s">
        <v>344</v>
      </c>
      <c r="GV144" t="s">
        <v>344</v>
      </c>
      <c r="GW144" t="s">
        <v>344</v>
      </c>
      <c r="GX144" t="s">
        <v>344</v>
      </c>
      <c r="GY144" t="s">
        <v>344</v>
      </c>
      <c r="GZ144" t="s">
        <v>345</v>
      </c>
      <c r="HB144" t="s">
        <v>344</v>
      </c>
      <c r="HD144" t="s">
        <v>344</v>
      </c>
      <c r="HF144" t="s">
        <v>344</v>
      </c>
      <c r="HH144" t="s">
        <v>344</v>
      </c>
      <c r="HJ144" t="s">
        <v>344</v>
      </c>
      <c r="HK144" t="s">
        <v>344</v>
      </c>
      <c r="HL144" t="s">
        <v>344</v>
      </c>
      <c r="HM144" t="s">
        <v>344</v>
      </c>
      <c r="HN144" t="s">
        <v>344</v>
      </c>
      <c r="HO144" t="s">
        <v>344</v>
      </c>
      <c r="HP144" t="s">
        <v>344</v>
      </c>
      <c r="HQ144" t="s">
        <v>344</v>
      </c>
      <c r="HR144" t="s">
        <v>344</v>
      </c>
      <c r="HS144" t="s">
        <v>344</v>
      </c>
      <c r="HT144" t="s">
        <v>344</v>
      </c>
      <c r="HU144" t="s">
        <v>344</v>
      </c>
      <c r="HV144" t="s">
        <v>344</v>
      </c>
      <c r="HW144" t="s">
        <v>344</v>
      </c>
      <c r="HX144" t="s">
        <v>345</v>
      </c>
      <c r="HZ144" t="s">
        <v>344</v>
      </c>
      <c r="IB144" t="s">
        <v>344</v>
      </c>
      <c r="ID144" t="s">
        <v>344</v>
      </c>
      <c r="IF144" t="s">
        <v>344</v>
      </c>
      <c r="IH144" t="s">
        <v>344</v>
      </c>
      <c r="II144" t="s">
        <v>345</v>
      </c>
      <c r="IJ144" t="s">
        <v>344</v>
      </c>
      <c r="IK144" t="s">
        <v>344</v>
      </c>
      <c r="IL144" t="s">
        <v>345</v>
      </c>
      <c r="IM144" t="s">
        <v>345</v>
      </c>
      <c r="IN144" t="s">
        <v>344</v>
      </c>
      <c r="IO144" t="s">
        <v>345</v>
      </c>
      <c r="IP144" t="s">
        <v>344</v>
      </c>
      <c r="IQ144" t="s">
        <v>344</v>
      </c>
      <c r="IR144" t="s">
        <v>344</v>
      </c>
      <c r="IS144" t="s">
        <v>344</v>
      </c>
      <c r="IT144" t="s">
        <v>1019</v>
      </c>
      <c r="IW144" s="9"/>
      <c r="IX144" s="9"/>
      <c r="IY144" s="9"/>
      <c r="IZ144" s="9"/>
      <c r="JA144" s="9"/>
      <c r="JB144" s="9"/>
      <c r="JC144" s="9"/>
      <c r="JD144" s="9"/>
      <c r="JE144" s="9"/>
      <c r="JF144" s="9"/>
      <c r="JG144" s="9"/>
      <c r="JH144" s="9"/>
    </row>
    <row r="145" spans="1:268" x14ac:dyDescent="0.3">
      <c r="A145" s="20" t="s">
        <v>727</v>
      </c>
      <c r="B145">
        <v>239</v>
      </c>
      <c r="C145" t="s">
        <v>1020</v>
      </c>
      <c r="D145">
        <v>14</v>
      </c>
      <c r="E145" t="s">
        <v>387</v>
      </c>
      <c r="F145">
        <v>60108381</v>
      </c>
      <c r="G145" t="s">
        <v>1021</v>
      </c>
      <c r="H145" t="s">
        <v>1020</v>
      </c>
      <c r="I145" t="s">
        <v>1017</v>
      </c>
      <c r="J145">
        <v>17</v>
      </c>
      <c r="K145" t="s">
        <v>406</v>
      </c>
      <c r="M145" t="s">
        <v>344</v>
      </c>
      <c r="N145" t="s">
        <v>344</v>
      </c>
      <c r="O145" t="s">
        <v>344</v>
      </c>
      <c r="P145" t="s">
        <v>344</v>
      </c>
      <c r="Q145" t="s">
        <v>344</v>
      </c>
      <c r="R145" s="21" t="s">
        <v>1022</v>
      </c>
      <c r="S145" t="s">
        <v>475</v>
      </c>
      <c r="U145" t="s">
        <v>571</v>
      </c>
      <c r="W145" t="s">
        <v>345</v>
      </c>
      <c r="X145" t="s">
        <v>345</v>
      </c>
      <c r="Y145" t="s">
        <v>344</v>
      </c>
      <c r="Z145" t="s">
        <v>345</v>
      </c>
      <c r="AA145" t="s">
        <v>345</v>
      </c>
      <c r="AB145" t="s">
        <v>344</v>
      </c>
      <c r="AC145" t="s">
        <v>344</v>
      </c>
      <c r="AD145" t="s">
        <v>344</v>
      </c>
      <c r="AE145" t="s">
        <v>345</v>
      </c>
      <c r="AF145" t="s">
        <v>344</v>
      </c>
      <c r="AG145" t="s">
        <v>344</v>
      </c>
      <c r="AH145" t="s">
        <v>345</v>
      </c>
      <c r="AI145" t="s">
        <v>345</v>
      </c>
      <c r="AJ145" t="s">
        <v>344</v>
      </c>
      <c r="AK145" t="s">
        <v>345</v>
      </c>
      <c r="AL145" t="s">
        <v>344</v>
      </c>
      <c r="AM145" t="s">
        <v>345</v>
      </c>
      <c r="AN145" t="s">
        <v>345</v>
      </c>
      <c r="AO145" t="s">
        <v>344</v>
      </c>
      <c r="AP145" t="s">
        <v>345</v>
      </c>
      <c r="AQ145" t="s">
        <v>344</v>
      </c>
      <c r="AR145" t="s">
        <v>344</v>
      </c>
      <c r="AS145" t="s">
        <v>345</v>
      </c>
      <c r="AT145" t="s">
        <v>345</v>
      </c>
      <c r="AU145" t="s">
        <v>344</v>
      </c>
      <c r="AV145" t="s">
        <v>344</v>
      </c>
      <c r="AW145" t="s">
        <v>345</v>
      </c>
      <c r="AX145" t="s">
        <v>344</v>
      </c>
      <c r="AY145" t="s">
        <v>737</v>
      </c>
      <c r="AZ145" t="s">
        <v>733</v>
      </c>
      <c r="BA145" t="s">
        <v>737</v>
      </c>
      <c r="BB145" t="s">
        <v>733</v>
      </c>
      <c r="BC145" t="s">
        <v>733</v>
      </c>
      <c r="BD145" t="s">
        <v>732</v>
      </c>
      <c r="BE145" t="s">
        <v>390</v>
      </c>
      <c r="BF145" t="s">
        <v>390</v>
      </c>
      <c r="BG145" t="s">
        <v>349</v>
      </c>
      <c r="BH145" t="s">
        <v>348</v>
      </c>
      <c r="BI145" t="s">
        <v>390</v>
      </c>
      <c r="BJ145" t="s">
        <v>357</v>
      </c>
      <c r="BK145" t="s">
        <v>355</v>
      </c>
      <c r="BL145" t="s">
        <v>351</v>
      </c>
      <c r="BM145" t="s">
        <v>391</v>
      </c>
      <c r="BN145" t="s">
        <v>353</v>
      </c>
      <c r="BO145" t="s">
        <v>354</v>
      </c>
      <c r="BP145" t="s">
        <v>391</v>
      </c>
      <c r="BQ145" t="s">
        <v>455</v>
      </c>
      <c r="BR145" t="s">
        <v>408</v>
      </c>
      <c r="BS145" t="s">
        <v>391</v>
      </c>
      <c r="BT145" t="s">
        <v>391</v>
      </c>
      <c r="BU145" t="s">
        <v>391</v>
      </c>
      <c r="BV145" t="s">
        <v>391</v>
      </c>
      <c r="BW145" t="s">
        <v>391</v>
      </c>
      <c r="BX145" t="s">
        <v>391</v>
      </c>
      <c r="BY145" t="s">
        <v>391</v>
      </c>
      <c r="BZ145" t="s">
        <v>354</v>
      </c>
      <c r="CA145" t="s">
        <v>353</v>
      </c>
      <c r="CB145" t="s">
        <v>351</v>
      </c>
      <c r="CC145" t="s">
        <v>355</v>
      </c>
      <c r="CD145" t="s">
        <v>357</v>
      </c>
      <c r="CE145" t="s">
        <v>356</v>
      </c>
      <c r="CF145" t="s">
        <v>352</v>
      </c>
      <c r="CG145" t="s">
        <v>420</v>
      </c>
      <c r="CH145" t="s">
        <v>421</v>
      </c>
      <c r="CI145" t="s">
        <v>360</v>
      </c>
      <c r="CJ145" t="s">
        <v>393</v>
      </c>
      <c r="CK145" t="s">
        <v>1023</v>
      </c>
      <c r="CL145" t="s">
        <v>368</v>
      </c>
      <c r="CM145" t="s">
        <v>368</v>
      </c>
      <c r="CN145" t="s">
        <v>368</v>
      </c>
      <c r="CO145" t="s">
        <v>368</v>
      </c>
      <c r="CP145" t="s">
        <v>368</v>
      </c>
      <c r="CQ145" t="s">
        <v>368</v>
      </c>
      <c r="DK145" t="s">
        <v>449</v>
      </c>
      <c r="DL145" t="s">
        <v>368</v>
      </c>
      <c r="DM145" t="s">
        <v>368</v>
      </c>
      <c r="DN145" t="s">
        <v>368</v>
      </c>
      <c r="DO145" t="s">
        <v>345</v>
      </c>
      <c r="DP145" t="s">
        <v>345</v>
      </c>
      <c r="DQ145" t="s">
        <v>344</v>
      </c>
      <c r="DR145" t="s">
        <v>344</v>
      </c>
      <c r="DS145" t="s">
        <v>344</v>
      </c>
      <c r="DT145" t="s">
        <v>344</v>
      </c>
      <c r="DU145" t="s">
        <v>345</v>
      </c>
      <c r="DV145" t="s">
        <v>344</v>
      </c>
      <c r="DW145" t="s">
        <v>344</v>
      </c>
      <c r="EL145" t="s">
        <v>373</v>
      </c>
      <c r="EM145" t="s">
        <v>374</v>
      </c>
      <c r="EN145" t="s">
        <v>440</v>
      </c>
      <c r="EQ145" t="s">
        <v>375</v>
      </c>
      <c r="ER145" t="s">
        <v>377</v>
      </c>
      <c r="ES145" t="s">
        <v>376</v>
      </c>
      <c r="ET145" t="s">
        <v>378</v>
      </c>
      <c r="EU145" t="s">
        <v>378</v>
      </c>
      <c r="EV145" t="s">
        <v>400</v>
      </c>
      <c r="EX145" s="155" t="s">
        <v>344</v>
      </c>
      <c r="EY145" s="155" t="s">
        <v>345</v>
      </c>
      <c r="EZ145" s="155" t="s">
        <v>344</v>
      </c>
      <c r="FA145" t="s">
        <v>344</v>
      </c>
      <c r="FB145" t="s">
        <v>380</v>
      </c>
      <c r="FD145" t="s">
        <v>380</v>
      </c>
      <c r="FJ145" t="s">
        <v>382</v>
      </c>
      <c r="FK145" t="s">
        <v>402</v>
      </c>
      <c r="FL145" t="s">
        <v>451</v>
      </c>
      <c r="FM145" t="s">
        <v>385</v>
      </c>
      <c r="FN145" t="s">
        <v>423</v>
      </c>
      <c r="FO145" t="s">
        <v>423</v>
      </c>
      <c r="FP145" t="s">
        <v>366</v>
      </c>
      <c r="FQ145" t="s">
        <v>366</v>
      </c>
      <c r="FR145" t="s">
        <v>365</v>
      </c>
      <c r="FS145" t="s">
        <v>365</v>
      </c>
      <c r="FT145" t="s">
        <v>423</v>
      </c>
      <c r="FU145" t="s">
        <v>423</v>
      </c>
      <c r="FV145" t="s">
        <v>365</v>
      </c>
      <c r="FW145" t="s">
        <v>365</v>
      </c>
      <c r="FX145" t="s">
        <v>1024</v>
      </c>
      <c r="FZ145" t="s">
        <v>1025</v>
      </c>
      <c r="GA145" t="s">
        <v>344</v>
      </c>
      <c r="GB145" t="s">
        <v>344</v>
      </c>
      <c r="GC145" t="s">
        <v>344</v>
      </c>
      <c r="GD145" t="s">
        <v>345</v>
      </c>
      <c r="GE145" t="s">
        <v>345</v>
      </c>
      <c r="GF145" t="s">
        <v>344</v>
      </c>
      <c r="GG145">
        <v>51</v>
      </c>
      <c r="GH145">
        <v>44</v>
      </c>
      <c r="GL145" t="s">
        <v>344</v>
      </c>
      <c r="GM145" t="s">
        <v>344</v>
      </c>
      <c r="GN145" t="s">
        <v>344</v>
      </c>
      <c r="GO145" t="s">
        <v>344</v>
      </c>
      <c r="GP145" t="s">
        <v>344</v>
      </c>
      <c r="GQ145" t="s">
        <v>344</v>
      </c>
      <c r="GR145" t="s">
        <v>344</v>
      </c>
      <c r="GS145" t="s">
        <v>344</v>
      </c>
      <c r="GT145" t="s">
        <v>344</v>
      </c>
      <c r="GU145" t="s">
        <v>344</v>
      </c>
      <c r="GV145" t="s">
        <v>344</v>
      </c>
      <c r="GW145" t="s">
        <v>344</v>
      </c>
      <c r="GX145" t="s">
        <v>344</v>
      </c>
      <c r="GY145" t="s">
        <v>344</v>
      </c>
      <c r="GZ145" t="s">
        <v>345</v>
      </c>
      <c r="HB145" t="s">
        <v>344</v>
      </c>
      <c r="HD145" t="s">
        <v>344</v>
      </c>
      <c r="HF145" t="s">
        <v>344</v>
      </c>
      <c r="HH145" t="s">
        <v>344</v>
      </c>
      <c r="HJ145" t="s">
        <v>345</v>
      </c>
      <c r="HK145" t="s">
        <v>344</v>
      </c>
      <c r="HL145" t="s">
        <v>344</v>
      </c>
      <c r="HM145" t="s">
        <v>344</v>
      </c>
      <c r="HN145" t="s">
        <v>344</v>
      </c>
      <c r="HO145" t="s">
        <v>344</v>
      </c>
      <c r="HP145" t="s">
        <v>344</v>
      </c>
      <c r="HQ145" t="s">
        <v>344</v>
      </c>
      <c r="HR145" t="s">
        <v>344</v>
      </c>
      <c r="HS145" t="s">
        <v>344</v>
      </c>
      <c r="HT145" t="s">
        <v>344</v>
      </c>
      <c r="HU145" t="s">
        <v>344</v>
      </c>
      <c r="HV145" t="s">
        <v>344</v>
      </c>
      <c r="HW145" t="s">
        <v>344</v>
      </c>
      <c r="HX145" t="s">
        <v>344</v>
      </c>
      <c r="HZ145" t="s">
        <v>344</v>
      </c>
      <c r="IB145" t="s">
        <v>344</v>
      </c>
      <c r="ID145" t="s">
        <v>344</v>
      </c>
      <c r="IF145" t="s">
        <v>344</v>
      </c>
      <c r="IH145" t="s">
        <v>345</v>
      </c>
      <c r="II145" t="s">
        <v>345</v>
      </c>
      <c r="IJ145" t="s">
        <v>345</v>
      </c>
      <c r="IK145" t="s">
        <v>344</v>
      </c>
      <c r="IL145" t="s">
        <v>344</v>
      </c>
      <c r="IM145" t="s">
        <v>345</v>
      </c>
      <c r="IN145" t="s">
        <v>344</v>
      </c>
      <c r="IO145" t="s">
        <v>345</v>
      </c>
      <c r="IP145" t="s">
        <v>344</v>
      </c>
      <c r="IQ145" t="s">
        <v>344</v>
      </c>
      <c r="IR145" t="s">
        <v>344</v>
      </c>
      <c r="IS145" t="s">
        <v>344</v>
      </c>
    </row>
    <row r="146" spans="1:268" x14ac:dyDescent="0.3">
      <c r="A146" s="20" t="s">
        <v>727</v>
      </c>
      <c r="B146">
        <v>240</v>
      </c>
      <c r="C146" t="s">
        <v>1026</v>
      </c>
      <c r="D146">
        <v>14</v>
      </c>
      <c r="E146" t="s">
        <v>340</v>
      </c>
      <c r="F146">
        <v>1412113264</v>
      </c>
      <c r="G146" t="s">
        <v>1027</v>
      </c>
      <c r="H146" t="s">
        <v>1026</v>
      </c>
      <c r="I146" t="s">
        <v>977</v>
      </c>
      <c r="J146">
        <v>17</v>
      </c>
      <c r="K146" t="s">
        <v>389</v>
      </c>
      <c r="M146" t="s">
        <v>345</v>
      </c>
      <c r="N146" t="s">
        <v>345</v>
      </c>
      <c r="O146" t="s">
        <v>344</v>
      </c>
      <c r="P146" t="s">
        <v>344</v>
      </c>
      <c r="Q146" t="s">
        <v>344</v>
      </c>
      <c r="S146" t="s">
        <v>475</v>
      </c>
      <c r="U146" t="s">
        <v>418</v>
      </c>
      <c r="W146" t="s">
        <v>344</v>
      </c>
      <c r="X146" t="s">
        <v>344</v>
      </c>
      <c r="Y146" t="s">
        <v>344</v>
      </c>
      <c r="Z146" t="s">
        <v>344</v>
      </c>
      <c r="AA146" t="s">
        <v>345</v>
      </c>
      <c r="AB146" t="s">
        <v>344</v>
      </c>
      <c r="AC146" t="s">
        <v>344</v>
      </c>
      <c r="AD146" t="s">
        <v>344</v>
      </c>
      <c r="AE146" t="s">
        <v>344</v>
      </c>
      <c r="AF146" t="s">
        <v>345</v>
      </c>
      <c r="AG146" t="s">
        <v>344</v>
      </c>
      <c r="AH146" t="s">
        <v>344</v>
      </c>
      <c r="AI146" t="s">
        <v>344</v>
      </c>
      <c r="AJ146" t="s">
        <v>344</v>
      </c>
      <c r="AK146" t="s">
        <v>344</v>
      </c>
      <c r="AL146" t="s">
        <v>344</v>
      </c>
      <c r="AM146" t="s">
        <v>344</v>
      </c>
      <c r="AN146" t="s">
        <v>345</v>
      </c>
      <c r="AO146" t="s">
        <v>345</v>
      </c>
      <c r="AP146" t="s">
        <v>344</v>
      </c>
      <c r="AQ146" t="s">
        <v>344</v>
      </c>
      <c r="AR146" t="s">
        <v>344</v>
      </c>
      <c r="AS146" t="s">
        <v>344</v>
      </c>
      <c r="AT146" t="s">
        <v>344</v>
      </c>
      <c r="AU146" t="s">
        <v>345</v>
      </c>
      <c r="AV146" t="s">
        <v>345</v>
      </c>
      <c r="AW146" t="s">
        <v>344</v>
      </c>
      <c r="AX146" t="s">
        <v>344</v>
      </c>
      <c r="AY146" t="s">
        <v>391</v>
      </c>
      <c r="AZ146" t="s">
        <v>391</v>
      </c>
      <c r="BA146" t="s">
        <v>391</v>
      </c>
      <c r="BB146" t="s">
        <v>391</v>
      </c>
      <c r="BC146" t="s">
        <v>391</v>
      </c>
      <c r="BD146" t="s">
        <v>391</v>
      </c>
      <c r="BE146" t="s">
        <v>390</v>
      </c>
      <c r="BF146" t="s">
        <v>349</v>
      </c>
      <c r="BG146" t="s">
        <v>390</v>
      </c>
      <c r="BH146" t="s">
        <v>390</v>
      </c>
      <c r="BI146" t="s">
        <v>390</v>
      </c>
      <c r="BJ146" t="s">
        <v>391</v>
      </c>
      <c r="BK146" t="s">
        <v>391</v>
      </c>
      <c r="BL146" t="s">
        <v>391</v>
      </c>
      <c r="BM146" t="s">
        <v>391</v>
      </c>
      <c r="BN146" t="s">
        <v>391</v>
      </c>
      <c r="BO146" t="s">
        <v>391</v>
      </c>
      <c r="BP146" t="s">
        <v>391</v>
      </c>
      <c r="BQ146" t="s">
        <v>419</v>
      </c>
      <c r="BR146" t="s">
        <v>367</v>
      </c>
      <c r="BS146" t="s">
        <v>391</v>
      </c>
      <c r="BT146" t="s">
        <v>391</v>
      </c>
      <c r="BU146" t="s">
        <v>391</v>
      </c>
      <c r="BV146" t="s">
        <v>391</v>
      </c>
      <c r="BW146" t="s">
        <v>391</v>
      </c>
      <c r="BX146" t="s">
        <v>391</v>
      </c>
      <c r="BY146" t="s">
        <v>391</v>
      </c>
      <c r="BZ146" t="s">
        <v>391</v>
      </c>
      <c r="CA146" t="s">
        <v>391</v>
      </c>
      <c r="CB146" t="s">
        <v>391</v>
      </c>
      <c r="CC146" t="s">
        <v>391</v>
      </c>
      <c r="CD146" t="s">
        <v>391</v>
      </c>
      <c r="CE146" t="s">
        <v>391</v>
      </c>
      <c r="CF146" t="s">
        <v>391</v>
      </c>
      <c r="CG146" t="s">
        <v>392</v>
      </c>
      <c r="CH146" t="s">
        <v>421</v>
      </c>
      <c r="CI146" t="s">
        <v>360</v>
      </c>
      <c r="CJ146" t="s">
        <v>421</v>
      </c>
      <c r="CK146" t="s">
        <v>510</v>
      </c>
      <c r="CL146" t="s">
        <v>344</v>
      </c>
      <c r="CM146" t="s">
        <v>344</v>
      </c>
      <c r="CN146" t="s">
        <v>345</v>
      </c>
      <c r="CO146" t="s">
        <v>344</v>
      </c>
      <c r="CP146" t="s">
        <v>345</v>
      </c>
      <c r="CQ146" t="s">
        <v>344</v>
      </c>
      <c r="CR146" t="s">
        <v>1028</v>
      </c>
      <c r="CS146">
        <v>50</v>
      </c>
      <c r="CT146">
        <v>35</v>
      </c>
      <c r="CU146">
        <v>90</v>
      </c>
      <c r="CV146">
        <v>80</v>
      </c>
      <c r="CW146" t="s">
        <v>396</v>
      </c>
      <c r="CX146" t="s">
        <v>396</v>
      </c>
      <c r="CY146" t="s">
        <v>396</v>
      </c>
      <c r="CZ146" t="s">
        <v>397</v>
      </c>
      <c r="DA146" t="s">
        <v>397</v>
      </c>
      <c r="DB146" t="s">
        <v>397</v>
      </c>
      <c r="DC146" t="s">
        <v>397</v>
      </c>
      <c r="DD146" t="s">
        <v>397</v>
      </c>
      <c r="DE146" t="s">
        <v>365</v>
      </c>
      <c r="DF146" t="s">
        <v>366</v>
      </c>
      <c r="DG146" t="s">
        <v>397</v>
      </c>
      <c r="DH146" t="s">
        <v>397</v>
      </c>
      <c r="DI146" t="s">
        <v>397</v>
      </c>
      <c r="DJ146" t="s">
        <v>1029</v>
      </c>
      <c r="DK146" t="s">
        <v>367</v>
      </c>
      <c r="DL146" t="s">
        <v>368</v>
      </c>
      <c r="DM146" t="s">
        <v>368</v>
      </c>
      <c r="DN146" t="s">
        <v>368</v>
      </c>
      <c r="DO146" t="s">
        <v>368</v>
      </c>
      <c r="DP146" t="s">
        <v>368</v>
      </c>
      <c r="DQ146" t="s">
        <v>368</v>
      </c>
      <c r="DR146" t="s">
        <v>368</v>
      </c>
      <c r="DS146" t="s">
        <v>345</v>
      </c>
      <c r="DT146" t="s">
        <v>368</v>
      </c>
      <c r="DU146" t="s">
        <v>368</v>
      </c>
      <c r="DV146" t="s">
        <v>368</v>
      </c>
      <c r="DW146" t="s">
        <v>345</v>
      </c>
      <c r="DX146" t="s">
        <v>369</v>
      </c>
      <c r="DY146" t="s">
        <v>369</v>
      </c>
      <c r="DZ146" t="s">
        <v>370</v>
      </c>
      <c r="EA146" t="s">
        <v>369</v>
      </c>
      <c r="EB146" t="s">
        <v>399</v>
      </c>
      <c r="EC146" t="s">
        <v>369</v>
      </c>
      <c r="ED146" t="s">
        <v>399</v>
      </c>
      <c r="EE146" t="s">
        <v>370</v>
      </c>
      <c r="EF146" t="s">
        <v>370</v>
      </c>
      <c r="EG146" t="s">
        <v>371</v>
      </c>
      <c r="EH146" t="s">
        <v>370</v>
      </c>
      <c r="EI146" t="s">
        <v>370</v>
      </c>
      <c r="EJ146" t="s">
        <v>370</v>
      </c>
      <c r="EK146" t="s">
        <v>371</v>
      </c>
      <c r="EL146" t="s">
        <v>440</v>
      </c>
      <c r="EM146" t="s">
        <v>373</v>
      </c>
      <c r="EN146" t="s">
        <v>424</v>
      </c>
      <c r="EQ146" t="s">
        <v>376</v>
      </c>
      <c r="ER146" t="s">
        <v>377</v>
      </c>
      <c r="ES146" t="s">
        <v>411</v>
      </c>
      <c r="ET146" t="s">
        <v>391</v>
      </c>
      <c r="EU146" t="s">
        <v>391</v>
      </c>
      <c r="EV146" t="s">
        <v>400</v>
      </c>
      <c r="EX146" t="s">
        <v>368</v>
      </c>
      <c r="EY146" t="s">
        <v>368</v>
      </c>
      <c r="EZ146" t="s">
        <v>368</v>
      </c>
      <c r="FA146" t="s">
        <v>345</v>
      </c>
      <c r="FB146" t="s">
        <v>401</v>
      </c>
      <c r="FD146" t="s">
        <v>381</v>
      </c>
      <c r="GA146" t="s">
        <v>368</v>
      </c>
      <c r="GB146" t="s">
        <v>368</v>
      </c>
      <c r="GC146" t="s">
        <v>368</v>
      </c>
      <c r="GD146" t="s">
        <v>368</v>
      </c>
      <c r="GE146" t="s">
        <v>368</v>
      </c>
      <c r="GF146" t="s">
        <v>368</v>
      </c>
      <c r="GL146" t="s">
        <v>344</v>
      </c>
      <c r="GM146" t="s">
        <v>344</v>
      </c>
      <c r="GN146" t="s">
        <v>344</v>
      </c>
      <c r="GO146" t="s">
        <v>344</v>
      </c>
      <c r="GP146" t="s">
        <v>344</v>
      </c>
      <c r="GQ146" t="s">
        <v>344</v>
      </c>
      <c r="GR146" t="s">
        <v>344</v>
      </c>
      <c r="GS146" t="s">
        <v>344</v>
      </c>
      <c r="GT146" t="s">
        <v>344</v>
      </c>
      <c r="GU146" t="s">
        <v>344</v>
      </c>
      <c r="GV146" t="s">
        <v>344</v>
      </c>
      <c r="GW146" t="s">
        <v>344</v>
      </c>
      <c r="GX146" t="s">
        <v>344</v>
      </c>
      <c r="GY146" t="s">
        <v>344</v>
      </c>
      <c r="GZ146" t="s">
        <v>345</v>
      </c>
      <c r="HB146" t="s">
        <v>344</v>
      </c>
      <c r="HD146" t="s">
        <v>344</v>
      </c>
      <c r="HF146" t="s">
        <v>344</v>
      </c>
      <c r="HH146" t="s">
        <v>344</v>
      </c>
      <c r="HJ146" t="s">
        <v>344</v>
      </c>
      <c r="HK146" t="s">
        <v>344</v>
      </c>
      <c r="HL146" t="s">
        <v>344</v>
      </c>
      <c r="HM146" t="s">
        <v>344</v>
      </c>
      <c r="HN146" t="s">
        <v>344</v>
      </c>
      <c r="HO146" t="s">
        <v>344</v>
      </c>
      <c r="HP146" t="s">
        <v>344</v>
      </c>
      <c r="HQ146" t="s">
        <v>344</v>
      </c>
      <c r="HR146" t="s">
        <v>344</v>
      </c>
      <c r="HS146" t="s">
        <v>344</v>
      </c>
      <c r="HT146" t="s">
        <v>344</v>
      </c>
      <c r="HU146" t="s">
        <v>344</v>
      </c>
      <c r="HV146" t="s">
        <v>345</v>
      </c>
      <c r="HW146" t="s">
        <v>344</v>
      </c>
      <c r="HX146" t="s">
        <v>344</v>
      </c>
      <c r="HZ146" t="s">
        <v>344</v>
      </c>
      <c r="IB146" t="s">
        <v>344</v>
      </c>
      <c r="ID146" t="s">
        <v>344</v>
      </c>
      <c r="IF146" t="s">
        <v>344</v>
      </c>
      <c r="IH146" t="s">
        <v>345</v>
      </c>
      <c r="II146" t="s">
        <v>345</v>
      </c>
      <c r="IJ146" t="s">
        <v>344</v>
      </c>
      <c r="IK146" t="s">
        <v>345</v>
      </c>
      <c r="IL146" t="s">
        <v>345</v>
      </c>
      <c r="IM146" t="s">
        <v>345</v>
      </c>
      <c r="IN146" t="s">
        <v>344</v>
      </c>
      <c r="IO146" t="s">
        <v>345</v>
      </c>
      <c r="IP146" t="s">
        <v>344</v>
      </c>
      <c r="IQ146" t="s">
        <v>344</v>
      </c>
      <c r="IR146" t="s">
        <v>344</v>
      </c>
      <c r="IS146" t="s">
        <v>344</v>
      </c>
      <c r="IW146" s="9"/>
      <c r="IX146" s="9"/>
      <c r="IY146" s="9"/>
      <c r="IZ146" s="9"/>
      <c r="JA146" s="9"/>
      <c r="JB146" s="9"/>
      <c r="JC146" s="9"/>
      <c r="JD146" s="9"/>
      <c r="JE146" s="9"/>
      <c r="JF146" s="9"/>
      <c r="JG146" s="9"/>
      <c r="JH146" s="9"/>
    </row>
    <row r="147" spans="1:268" x14ac:dyDescent="0.3">
      <c r="A147" s="20" t="s">
        <v>727</v>
      </c>
      <c r="B147">
        <v>241</v>
      </c>
      <c r="C147" t="s">
        <v>1030</v>
      </c>
      <c r="D147">
        <v>14</v>
      </c>
      <c r="E147" t="s">
        <v>340</v>
      </c>
      <c r="F147">
        <v>847768288</v>
      </c>
      <c r="G147" t="s">
        <v>1031</v>
      </c>
      <c r="H147" t="s">
        <v>1030</v>
      </c>
      <c r="I147" t="s">
        <v>1017</v>
      </c>
      <c r="J147">
        <v>17</v>
      </c>
      <c r="K147" t="s">
        <v>389</v>
      </c>
      <c r="M147" t="s">
        <v>344</v>
      </c>
      <c r="N147" t="s">
        <v>345</v>
      </c>
      <c r="O147" t="s">
        <v>344</v>
      </c>
      <c r="P147" t="s">
        <v>344</v>
      </c>
      <c r="Q147" t="s">
        <v>344</v>
      </c>
      <c r="S147" t="s">
        <v>475</v>
      </c>
      <c r="U147" t="s">
        <v>347</v>
      </c>
      <c r="W147" t="s">
        <v>344</v>
      </c>
      <c r="X147" t="s">
        <v>344</v>
      </c>
      <c r="Y147" t="s">
        <v>344</v>
      </c>
      <c r="Z147" t="s">
        <v>344</v>
      </c>
      <c r="AA147" t="s">
        <v>344</v>
      </c>
      <c r="AB147" t="s">
        <v>345</v>
      </c>
      <c r="AC147" t="s">
        <v>344</v>
      </c>
      <c r="AD147" t="s">
        <v>345</v>
      </c>
      <c r="AE147" t="s">
        <v>345</v>
      </c>
      <c r="AF147" t="s">
        <v>344</v>
      </c>
      <c r="AG147" t="s">
        <v>344</v>
      </c>
      <c r="AH147" t="s">
        <v>344</v>
      </c>
      <c r="AI147" t="s">
        <v>344</v>
      </c>
      <c r="AJ147" t="s">
        <v>344</v>
      </c>
      <c r="AK147" t="s">
        <v>345</v>
      </c>
      <c r="AL147" t="s">
        <v>344</v>
      </c>
      <c r="AM147" t="s">
        <v>344</v>
      </c>
      <c r="AN147" t="s">
        <v>345</v>
      </c>
      <c r="AO147" t="s">
        <v>344</v>
      </c>
      <c r="AP147" t="s">
        <v>344</v>
      </c>
      <c r="AQ147" t="s">
        <v>344</v>
      </c>
      <c r="AR147" t="s">
        <v>344</v>
      </c>
      <c r="AS147" t="s">
        <v>345</v>
      </c>
      <c r="AT147" t="s">
        <v>344</v>
      </c>
      <c r="AU147" t="s">
        <v>345</v>
      </c>
      <c r="AV147" t="s">
        <v>344</v>
      </c>
      <c r="AW147" t="s">
        <v>345</v>
      </c>
      <c r="AX147" t="s">
        <v>344</v>
      </c>
      <c r="AY147" t="s">
        <v>391</v>
      </c>
      <c r="AZ147" t="s">
        <v>391</v>
      </c>
      <c r="BA147" t="s">
        <v>731</v>
      </c>
      <c r="BB147" t="s">
        <v>737</v>
      </c>
      <c r="BC147" t="s">
        <v>731</v>
      </c>
      <c r="BD147" t="s">
        <v>731</v>
      </c>
      <c r="BE147" t="s">
        <v>349</v>
      </c>
      <c r="BF147" t="s">
        <v>348</v>
      </c>
      <c r="BG147" t="s">
        <v>348</v>
      </c>
      <c r="BH147" t="s">
        <v>349</v>
      </c>
      <c r="BI147" t="s">
        <v>348</v>
      </c>
      <c r="BJ147" t="s">
        <v>391</v>
      </c>
      <c r="BK147" t="s">
        <v>391</v>
      </c>
      <c r="BL147" t="s">
        <v>391</v>
      </c>
      <c r="BM147" t="s">
        <v>391</v>
      </c>
      <c r="BN147" t="s">
        <v>391</v>
      </c>
      <c r="BO147" t="s">
        <v>391</v>
      </c>
      <c r="BP147" t="s">
        <v>391</v>
      </c>
      <c r="BQ147" t="s">
        <v>358</v>
      </c>
      <c r="BR147" t="s">
        <v>408</v>
      </c>
      <c r="BS147" t="s">
        <v>391</v>
      </c>
      <c r="BT147" t="s">
        <v>391</v>
      </c>
      <c r="BU147" t="s">
        <v>391</v>
      </c>
      <c r="BV147" t="s">
        <v>391</v>
      </c>
      <c r="BW147" t="s">
        <v>391</v>
      </c>
      <c r="BX147" t="s">
        <v>391</v>
      </c>
      <c r="BY147" t="s">
        <v>391</v>
      </c>
      <c r="BZ147" t="s">
        <v>391</v>
      </c>
      <c r="CA147" t="s">
        <v>391</v>
      </c>
      <c r="CB147" t="s">
        <v>391</v>
      </c>
      <c r="CC147" t="s">
        <v>391</v>
      </c>
      <c r="CD147" t="s">
        <v>391</v>
      </c>
      <c r="CE147" t="s">
        <v>391</v>
      </c>
      <c r="CF147" t="s">
        <v>391</v>
      </c>
      <c r="CG147" t="s">
        <v>420</v>
      </c>
      <c r="CH147" t="s">
        <v>421</v>
      </c>
      <c r="CI147" t="s">
        <v>420</v>
      </c>
      <c r="CJ147" t="s">
        <v>421</v>
      </c>
      <c r="CK147" t="s">
        <v>510</v>
      </c>
      <c r="CL147" t="s">
        <v>344</v>
      </c>
      <c r="CM147" t="s">
        <v>344</v>
      </c>
      <c r="CN147" t="s">
        <v>345</v>
      </c>
      <c r="CO147" t="s">
        <v>344</v>
      </c>
      <c r="CP147" t="s">
        <v>344</v>
      </c>
      <c r="CQ147" t="s">
        <v>344</v>
      </c>
      <c r="CR147" t="s">
        <v>655</v>
      </c>
      <c r="CS147">
        <v>80</v>
      </c>
      <c r="CT147">
        <v>30</v>
      </c>
      <c r="CU147">
        <v>85</v>
      </c>
      <c r="CV147">
        <v>20</v>
      </c>
      <c r="CW147" t="s">
        <v>363</v>
      </c>
      <c r="CX147" t="s">
        <v>363</v>
      </c>
      <c r="CY147" t="s">
        <v>395</v>
      </c>
      <c r="CZ147" t="s">
        <v>397</v>
      </c>
      <c r="DA147" t="s">
        <v>366</v>
      </c>
      <c r="DB147" t="s">
        <v>397</v>
      </c>
      <c r="DC147" t="s">
        <v>366</v>
      </c>
      <c r="DD147" t="s">
        <v>397</v>
      </c>
      <c r="DE147" t="s">
        <v>397</v>
      </c>
      <c r="DF147" t="s">
        <v>366</v>
      </c>
      <c r="DG147" t="s">
        <v>397</v>
      </c>
      <c r="DH147" t="s">
        <v>365</v>
      </c>
      <c r="DI147" t="s">
        <v>423</v>
      </c>
      <c r="DJ147" t="s">
        <v>1032</v>
      </c>
      <c r="DK147" t="s">
        <v>367</v>
      </c>
      <c r="DL147" t="s">
        <v>368</v>
      </c>
      <c r="DM147" t="s">
        <v>368</v>
      </c>
      <c r="DN147" t="s">
        <v>368</v>
      </c>
      <c r="DO147" t="s">
        <v>368</v>
      </c>
      <c r="DP147" t="s">
        <v>368</v>
      </c>
      <c r="DQ147" t="s">
        <v>368</v>
      </c>
      <c r="DR147" t="s">
        <v>368</v>
      </c>
      <c r="DS147" t="s">
        <v>345</v>
      </c>
      <c r="DT147" t="s">
        <v>368</v>
      </c>
      <c r="DU147" t="s">
        <v>368</v>
      </c>
      <c r="DV147" t="s">
        <v>368</v>
      </c>
      <c r="DW147" t="s">
        <v>345</v>
      </c>
      <c r="DX147" t="s">
        <v>369</v>
      </c>
      <c r="DY147" t="s">
        <v>369</v>
      </c>
      <c r="DZ147" t="s">
        <v>369</v>
      </c>
      <c r="EA147" t="s">
        <v>371</v>
      </c>
      <c r="EB147" t="s">
        <v>369</v>
      </c>
      <c r="EC147" t="s">
        <v>369</v>
      </c>
      <c r="ED147" t="s">
        <v>371</v>
      </c>
      <c r="EE147" t="s">
        <v>370</v>
      </c>
      <c r="EF147" t="s">
        <v>370</v>
      </c>
      <c r="EG147" t="s">
        <v>369</v>
      </c>
      <c r="EH147" t="s">
        <v>370</v>
      </c>
      <c r="EI147" t="s">
        <v>370</v>
      </c>
      <c r="EJ147" t="s">
        <v>370</v>
      </c>
      <c r="EK147" t="s">
        <v>370</v>
      </c>
      <c r="EL147" t="s">
        <v>440</v>
      </c>
      <c r="EM147" t="s">
        <v>373</v>
      </c>
      <c r="EN147" t="s">
        <v>374</v>
      </c>
      <c r="EQ147" t="s">
        <v>375</v>
      </c>
      <c r="ER147" t="s">
        <v>375</v>
      </c>
      <c r="ES147" t="s">
        <v>375</v>
      </c>
      <c r="ET147" t="s">
        <v>378</v>
      </c>
      <c r="EU147" t="s">
        <v>378</v>
      </c>
      <c r="EV147" t="s">
        <v>400</v>
      </c>
      <c r="EX147" t="s">
        <v>368</v>
      </c>
      <c r="EY147" t="s">
        <v>368</v>
      </c>
      <c r="EZ147" t="s">
        <v>368</v>
      </c>
      <c r="FA147" t="s">
        <v>345</v>
      </c>
      <c r="FB147" t="s">
        <v>380</v>
      </c>
      <c r="FD147" t="s">
        <v>381</v>
      </c>
      <c r="FF147" t="s">
        <v>382</v>
      </c>
      <c r="FG147" t="s">
        <v>402</v>
      </c>
      <c r="FH147" t="s">
        <v>432</v>
      </c>
      <c r="FI147" t="s">
        <v>403</v>
      </c>
      <c r="GA147" t="s">
        <v>368</v>
      </c>
      <c r="GB147" t="s">
        <v>368</v>
      </c>
      <c r="GC147" t="s">
        <v>368</v>
      </c>
      <c r="GD147" t="s">
        <v>368</v>
      </c>
      <c r="GE147" t="s">
        <v>368</v>
      </c>
      <c r="GF147" t="s">
        <v>368</v>
      </c>
      <c r="GL147" t="s">
        <v>344</v>
      </c>
      <c r="GM147" t="s">
        <v>344</v>
      </c>
      <c r="GN147" t="s">
        <v>344</v>
      </c>
      <c r="GO147" t="s">
        <v>344</v>
      </c>
      <c r="GP147" t="s">
        <v>344</v>
      </c>
      <c r="GQ147" t="s">
        <v>344</v>
      </c>
      <c r="GR147" t="s">
        <v>344</v>
      </c>
      <c r="GS147" t="s">
        <v>344</v>
      </c>
      <c r="GT147" t="s">
        <v>344</v>
      </c>
      <c r="GU147" t="s">
        <v>344</v>
      </c>
      <c r="GV147" t="s">
        <v>344</v>
      </c>
      <c r="GW147" t="s">
        <v>344</v>
      </c>
      <c r="GX147" t="s">
        <v>344</v>
      </c>
      <c r="GY147" t="s">
        <v>344</v>
      </c>
      <c r="GZ147" t="s">
        <v>345</v>
      </c>
      <c r="HB147" t="s">
        <v>344</v>
      </c>
      <c r="HD147" t="s">
        <v>344</v>
      </c>
      <c r="HF147" t="s">
        <v>344</v>
      </c>
      <c r="HH147" t="s">
        <v>344</v>
      </c>
      <c r="HJ147" t="s">
        <v>344</v>
      </c>
      <c r="HK147" t="s">
        <v>344</v>
      </c>
      <c r="HL147" t="s">
        <v>344</v>
      </c>
      <c r="HM147" t="s">
        <v>344</v>
      </c>
      <c r="HN147" t="s">
        <v>344</v>
      </c>
      <c r="HO147" t="s">
        <v>344</v>
      </c>
      <c r="HP147" t="s">
        <v>344</v>
      </c>
      <c r="HQ147" t="s">
        <v>344</v>
      </c>
      <c r="HR147" t="s">
        <v>344</v>
      </c>
      <c r="HS147" t="s">
        <v>344</v>
      </c>
      <c r="HT147" t="s">
        <v>344</v>
      </c>
      <c r="HU147" t="s">
        <v>344</v>
      </c>
      <c r="HV147" t="s">
        <v>344</v>
      </c>
      <c r="HW147" t="s">
        <v>344</v>
      </c>
      <c r="HX147" t="s">
        <v>345</v>
      </c>
      <c r="HZ147" t="s">
        <v>344</v>
      </c>
      <c r="IB147" t="s">
        <v>344</v>
      </c>
      <c r="ID147" t="s">
        <v>344</v>
      </c>
      <c r="IF147" t="s">
        <v>344</v>
      </c>
      <c r="IH147" t="s">
        <v>345</v>
      </c>
      <c r="II147" t="s">
        <v>344</v>
      </c>
      <c r="IJ147" t="s">
        <v>344</v>
      </c>
      <c r="IK147" t="s">
        <v>345</v>
      </c>
      <c r="IL147" t="s">
        <v>345</v>
      </c>
      <c r="IM147" t="s">
        <v>345</v>
      </c>
      <c r="IN147" t="s">
        <v>344</v>
      </c>
      <c r="IO147" t="s">
        <v>345</v>
      </c>
      <c r="IP147" t="s">
        <v>344</v>
      </c>
      <c r="IQ147" t="s">
        <v>344</v>
      </c>
      <c r="IR147" t="s">
        <v>344</v>
      </c>
      <c r="IS147" t="s">
        <v>344</v>
      </c>
      <c r="IW147" s="9"/>
      <c r="IX147" s="9"/>
      <c r="IY147" s="9"/>
      <c r="IZ147" s="9"/>
      <c r="JA147" s="9"/>
      <c r="JB147" s="9"/>
      <c r="JC147" s="9"/>
      <c r="JD147" s="9"/>
      <c r="JE147" s="9"/>
      <c r="JF147" s="9"/>
      <c r="JG147" s="9"/>
      <c r="JH147" s="9"/>
    </row>
    <row r="148" spans="1:268" x14ac:dyDescent="0.3">
      <c r="A148" s="22" t="s">
        <v>813</v>
      </c>
      <c r="B148" s="22">
        <v>243</v>
      </c>
      <c r="C148" s="22"/>
      <c r="D148" s="22">
        <v>13</v>
      </c>
      <c r="E148" s="22" t="s">
        <v>387</v>
      </c>
      <c r="F148" s="22">
        <v>699252268</v>
      </c>
      <c r="G148" s="22" t="s">
        <v>1033</v>
      </c>
      <c r="H148" s="22" t="s">
        <v>1034</v>
      </c>
      <c r="I148" s="22" t="s">
        <v>1035</v>
      </c>
      <c r="J148" s="22">
        <v>17</v>
      </c>
      <c r="K148" s="22" t="s">
        <v>406</v>
      </c>
      <c r="L148" s="22"/>
      <c r="M148" s="22" t="s">
        <v>344</v>
      </c>
      <c r="N148" s="22" t="s">
        <v>345</v>
      </c>
      <c r="O148" s="22" t="s">
        <v>344</v>
      </c>
      <c r="P148" s="22" t="s">
        <v>344</v>
      </c>
      <c r="Q148" s="22" t="s">
        <v>344</v>
      </c>
      <c r="R148" s="22"/>
      <c r="S148" s="22" t="s">
        <v>522</v>
      </c>
      <c r="T148" s="22"/>
      <c r="U148" s="22" t="s">
        <v>418</v>
      </c>
      <c r="V148" s="22"/>
      <c r="W148" s="22" t="s">
        <v>345</v>
      </c>
      <c r="X148" s="22" t="s">
        <v>344</v>
      </c>
      <c r="Y148" s="22" t="s">
        <v>344</v>
      </c>
      <c r="Z148" s="22" t="s">
        <v>344</v>
      </c>
      <c r="AA148" s="22" t="s">
        <v>344</v>
      </c>
      <c r="AB148" s="22" t="s">
        <v>344</v>
      </c>
      <c r="AC148" s="22" t="s">
        <v>344</v>
      </c>
      <c r="AD148" s="22" t="s">
        <v>344</v>
      </c>
      <c r="AE148" s="22" t="s">
        <v>345</v>
      </c>
      <c r="AF148" s="22" t="s">
        <v>344</v>
      </c>
      <c r="AG148" s="22" t="s">
        <v>344</v>
      </c>
      <c r="AH148" s="22" t="s">
        <v>344</v>
      </c>
      <c r="AI148" s="22" t="s">
        <v>344</v>
      </c>
      <c r="AJ148" s="22" t="s">
        <v>344</v>
      </c>
      <c r="AK148" s="22" t="s">
        <v>345</v>
      </c>
      <c r="AL148" s="22" t="s">
        <v>344</v>
      </c>
      <c r="AM148" s="22" t="s">
        <v>344</v>
      </c>
      <c r="AN148" s="22" t="s">
        <v>344</v>
      </c>
      <c r="AO148" s="22" t="s">
        <v>344</v>
      </c>
      <c r="AP148" s="22" t="s">
        <v>344</v>
      </c>
      <c r="AQ148" s="22" t="s">
        <v>344</v>
      </c>
      <c r="AR148" s="22" t="s">
        <v>344</v>
      </c>
      <c r="AS148" s="22" t="s">
        <v>345</v>
      </c>
      <c r="AT148" s="22" t="s">
        <v>344</v>
      </c>
      <c r="AU148" s="22" t="s">
        <v>344</v>
      </c>
      <c r="AV148" s="22" t="s">
        <v>344</v>
      </c>
      <c r="AW148" s="22" t="s">
        <v>344</v>
      </c>
      <c r="AX148" s="22" t="s">
        <v>344</v>
      </c>
      <c r="AY148" s="22" t="s">
        <v>391</v>
      </c>
      <c r="AZ148" s="22" t="s">
        <v>391</v>
      </c>
      <c r="BA148" s="22" t="s">
        <v>391</v>
      </c>
      <c r="BB148" s="22" t="s">
        <v>391</v>
      </c>
      <c r="BC148" s="22" t="s">
        <v>391</v>
      </c>
      <c r="BD148" s="22" t="s">
        <v>391</v>
      </c>
      <c r="BE148" s="22" t="s">
        <v>348</v>
      </c>
      <c r="BF148" s="22" t="s">
        <v>348</v>
      </c>
      <c r="BG148" s="22" t="s">
        <v>390</v>
      </c>
      <c r="BH148" s="22" t="s">
        <v>390</v>
      </c>
      <c r="BI148" s="22" t="s">
        <v>390</v>
      </c>
      <c r="BJ148" s="22" t="s">
        <v>356</v>
      </c>
      <c r="BK148" s="22" t="s">
        <v>357</v>
      </c>
      <c r="BL148" s="22" t="s">
        <v>356</v>
      </c>
      <c r="BM148" s="22" t="s">
        <v>356</v>
      </c>
      <c r="BN148" s="22" t="s">
        <v>356</v>
      </c>
      <c r="BO148" s="22" t="s">
        <v>356</v>
      </c>
      <c r="BP148" s="22" t="s">
        <v>353</v>
      </c>
      <c r="BQ148" s="22" t="s">
        <v>455</v>
      </c>
      <c r="BR148" s="22" t="s">
        <v>367</v>
      </c>
      <c r="BS148" s="22" t="s">
        <v>351</v>
      </c>
      <c r="BT148" s="22" t="s">
        <v>391</v>
      </c>
      <c r="BU148" s="22" t="s">
        <v>391</v>
      </c>
      <c r="BV148" s="22" t="s">
        <v>391</v>
      </c>
      <c r="BW148" s="22" t="s">
        <v>355</v>
      </c>
      <c r="BX148" s="22" t="s">
        <v>356</v>
      </c>
      <c r="BY148" s="22" t="s">
        <v>353</v>
      </c>
      <c r="BZ148" s="22" t="s">
        <v>353</v>
      </c>
      <c r="CA148" s="22" t="s">
        <v>355</v>
      </c>
      <c r="CB148" s="22" t="s">
        <v>356</v>
      </c>
      <c r="CC148" s="22" t="s">
        <v>355</v>
      </c>
      <c r="CD148" s="22" t="s">
        <v>391</v>
      </c>
      <c r="CE148" s="22" t="s">
        <v>391</v>
      </c>
      <c r="CF148" s="22" t="s">
        <v>391</v>
      </c>
      <c r="CG148" s="22" t="s">
        <v>421</v>
      </c>
      <c r="CH148" s="22" t="s">
        <v>421</v>
      </c>
      <c r="CI148" s="22" t="s">
        <v>393</v>
      </c>
      <c r="CJ148" s="22" t="s">
        <v>420</v>
      </c>
      <c r="CK148" s="22" t="s">
        <v>391</v>
      </c>
      <c r="CL148" s="22" t="s">
        <v>344</v>
      </c>
      <c r="CM148" s="22" t="s">
        <v>344</v>
      </c>
      <c r="CN148" s="22" t="s">
        <v>344</v>
      </c>
      <c r="CO148" s="22" t="s">
        <v>345</v>
      </c>
      <c r="CP148" s="22" t="s">
        <v>345</v>
      </c>
      <c r="CQ148" s="22" t="s">
        <v>344</v>
      </c>
      <c r="CR148" s="22" t="s">
        <v>655</v>
      </c>
      <c r="CS148" s="22">
        <v>48</v>
      </c>
      <c r="CT148" s="22">
        <v>73</v>
      </c>
      <c r="CU148" s="22">
        <v>28</v>
      </c>
      <c r="CV148" s="22">
        <v>92</v>
      </c>
      <c r="CW148" s="22" t="s">
        <v>471</v>
      </c>
      <c r="CX148" s="22" t="s">
        <v>471</v>
      </c>
      <c r="CY148" s="22" t="s">
        <v>471</v>
      </c>
      <c r="CZ148" s="22" t="s">
        <v>397</v>
      </c>
      <c r="DA148" s="22" t="s">
        <v>397</v>
      </c>
      <c r="DB148" s="22" t="s">
        <v>397</v>
      </c>
      <c r="DC148" s="22" t="s">
        <v>397</v>
      </c>
      <c r="DD148" s="22" t="s">
        <v>397</v>
      </c>
      <c r="DE148" s="22" t="s">
        <v>397</v>
      </c>
      <c r="DF148" s="22" t="s">
        <v>397</v>
      </c>
      <c r="DG148" s="22" t="s">
        <v>397</v>
      </c>
      <c r="DH148" s="22" t="s">
        <v>397</v>
      </c>
      <c r="DI148" s="22" t="s">
        <v>397</v>
      </c>
      <c r="DJ148" s="22"/>
      <c r="DK148" s="22" t="s">
        <v>367</v>
      </c>
      <c r="DL148" s="22" t="s">
        <v>368</v>
      </c>
      <c r="DM148" s="22" t="s">
        <v>368</v>
      </c>
      <c r="DN148" s="22" t="s">
        <v>368</v>
      </c>
      <c r="DO148" s="22" t="s">
        <v>368</v>
      </c>
      <c r="DP148" s="22" t="s">
        <v>368</v>
      </c>
      <c r="DQ148" s="22" t="s">
        <v>368</v>
      </c>
      <c r="DR148" s="22" t="s">
        <v>368</v>
      </c>
      <c r="DS148" s="22" t="s">
        <v>345</v>
      </c>
      <c r="DT148" s="22" t="s">
        <v>368</v>
      </c>
      <c r="DU148" s="22" t="s">
        <v>368</v>
      </c>
      <c r="DV148" s="22" t="s">
        <v>368</v>
      </c>
      <c r="DW148" s="22" t="s">
        <v>345</v>
      </c>
      <c r="DX148" s="22" t="s">
        <v>398</v>
      </c>
      <c r="DY148" s="22" t="s">
        <v>370</v>
      </c>
      <c r="DZ148" s="22" t="s">
        <v>369</v>
      </c>
      <c r="EA148" s="22" t="s">
        <v>369</v>
      </c>
      <c r="EB148" s="22" t="s">
        <v>371</v>
      </c>
      <c r="EC148" s="22" t="s">
        <v>371</v>
      </c>
      <c r="ED148" s="22" t="s">
        <v>370</v>
      </c>
      <c r="EE148" s="22" t="s">
        <v>370</v>
      </c>
      <c r="EF148" s="22" t="s">
        <v>370</v>
      </c>
      <c r="EG148" s="22" t="s">
        <v>370</v>
      </c>
      <c r="EH148" s="22" t="s">
        <v>370</v>
      </c>
      <c r="EI148" s="22" t="s">
        <v>370</v>
      </c>
      <c r="EJ148" s="22" t="s">
        <v>370</v>
      </c>
      <c r="EK148" s="22" t="s">
        <v>371</v>
      </c>
      <c r="EL148" s="22" t="s">
        <v>372</v>
      </c>
      <c r="EM148" s="22" t="s">
        <v>374</v>
      </c>
      <c r="EN148" s="22" t="s">
        <v>424</v>
      </c>
      <c r="EO148" s="22"/>
      <c r="EP148" s="22"/>
      <c r="EQ148" s="22" t="s">
        <v>391</v>
      </c>
      <c r="ER148" s="22" t="s">
        <v>391</v>
      </c>
      <c r="ES148" s="22" t="s">
        <v>391</v>
      </c>
      <c r="ET148" s="22" t="s">
        <v>391</v>
      </c>
      <c r="EU148" s="22" t="s">
        <v>391</v>
      </c>
      <c r="EV148" s="22" t="s">
        <v>400</v>
      </c>
      <c r="EW148" s="22"/>
      <c r="EX148" s="22" t="s">
        <v>368</v>
      </c>
      <c r="EY148" s="22" t="s">
        <v>368</v>
      </c>
      <c r="EZ148" s="22" t="s">
        <v>368</v>
      </c>
      <c r="FA148" s="22" t="s">
        <v>345</v>
      </c>
      <c r="FB148" s="22" t="s">
        <v>401</v>
      </c>
      <c r="FC148" s="22"/>
      <c r="FD148" s="22" t="s">
        <v>401</v>
      </c>
      <c r="FE148" s="22"/>
      <c r="FF148" s="22" t="s">
        <v>412</v>
      </c>
      <c r="FG148" s="22" t="s">
        <v>413</v>
      </c>
      <c r="FH148" s="22" t="s">
        <v>451</v>
      </c>
      <c r="FI148" s="22" t="s">
        <v>385</v>
      </c>
      <c r="FJ148" s="22"/>
      <c r="FK148" s="22"/>
      <c r="FL148" s="22"/>
      <c r="FM148" s="22"/>
      <c r="FN148" s="22"/>
      <c r="FO148" s="22"/>
      <c r="FP148" s="22"/>
      <c r="FQ148" s="22"/>
      <c r="FR148" s="22"/>
      <c r="FS148" s="22"/>
      <c r="FT148" s="22"/>
      <c r="FU148" s="22"/>
      <c r="FV148" s="22"/>
      <c r="FW148" s="22"/>
      <c r="FX148" s="22"/>
      <c r="FY148" s="22"/>
      <c r="FZ148" s="22"/>
      <c r="GA148" s="22" t="s">
        <v>368</v>
      </c>
      <c r="GB148" s="22" t="s">
        <v>368</v>
      </c>
      <c r="GC148" s="22" t="s">
        <v>368</v>
      </c>
      <c r="GD148" s="22" t="s">
        <v>368</v>
      </c>
      <c r="GE148" s="22" t="s">
        <v>368</v>
      </c>
      <c r="GF148" s="22" t="s">
        <v>368</v>
      </c>
      <c r="GG148" s="22"/>
      <c r="GH148" s="22"/>
      <c r="GI148" s="22"/>
      <c r="GJ148" s="22"/>
      <c r="GK148" s="22"/>
      <c r="GL148" s="22" t="s">
        <v>344</v>
      </c>
      <c r="GM148" s="22" t="s">
        <v>344</v>
      </c>
      <c r="GN148" s="22" t="s">
        <v>344</v>
      </c>
      <c r="GO148" s="22" t="s">
        <v>345</v>
      </c>
      <c r="GP148" s="22" t="s">
        <v>344</v>
      </c>
      <c r="GQ148" s="22" t="s">
        <v>344</v>
      </c>
      <c r="GR148" s="22" t="s">
        <v>344</v>
      </c>
      <c r="GS148" s="22" t="s">
        <v>344</v>
      </c>
      <c r="GT148" s="22" t="s">
        <v>344</v>
      </c>
      <c r="GU148" s="22" t="s">
        <v>344</v>
      </c>
      <c r="GV148" s="22" t="s">
        <v>344</v>
      </c>
      <c r="GW148" s="22" t="s">
        <v>344</v>
      </c>
      <c r="GX148" s="22" t="s">
        <v>344</v>
      </c>
      <c r="GY148" s="22" t="s">
        <v>344</v>
      </c>
      <c r="GZ148" s="22" t="s">
        <v>344</v>
      </c>
      <c r="HA148" s="22"/>
      <c r="HB148" s="22" t="s">
        <v>344</v>
      </c>
      <c r="HC148" s="22"/>
      <c r="HD148" s="22" t="s">
        <v>345</v>
      </c>
      <c r="HE148" s="22" t="s">
        <v>1036</v>
      </c>
      <c r="HF148" s="22" t="s">
        <v>344</v>
      </c>
      <c r="HG148" s="22"/>
      <c r="HH148" s="22" t="s">
        <v>344</v>
      </c>
      <c r="HI148" s="22"/>
      <c r="HJ148" s="22" t="s">
        <v>344</v>
      </c>
      <c r="HK148" s="22" t="s">
        <v>344</v>
      </c>
      <c r="HL148" s="22" t="s">
        <v>344</v>
      </c>
      <c r="HM148" s="22" t="s">
        <v>344</v>
      </c>
      <c r="HN148" s="22" t="s">
        <v>344</v>
      </c>
      <c r="HO148" s="22" t="s">
        <v>344</v>
      </c>
      <c r="HP148" s="22" t="s">
        <v>344</v>
      </c>
      <c r="HQ148" s="22" t="s">
        <v>344</v>
      </c>
      <c r="HR148" s="22" t="s">
        <v>344</v>
      </c>
      <c r="HS148" s="22" t="s">
        <v>344</v>
      </c>
      <c r="HT148" s="22" t="s">
        <v>344</v>
      </c>
      <c r="HU148" s="22" t="s">
        <v>345</v>
      </c>
      <c r="HV148" s="22" t="s">
        <v>344</v>
      </c>
      <c r="HW148" s="22" t="s">
        <v>344</v>
      </c>
      <c r="HX148" s="22" t="s">
        <v>344</v>
      </c>
      <c r="HY148" s="22"/>
      <c r="HZ148" s="22" t="s">
        <v>345</v>
      </c>
      <c r="IA148" s="22" t="s">
        <v>1037</v>
      </c>
      <c r="IB148" s="22" t="s">
        <v>344</v>
      </c>
      <c r="IC148" s="22"/>
      <c r="ID148" s="22" t="s">
        <v>344</v>
      </c>
      <c r="IE148" s="22"/>
      <c r="IF148" s="22" t="s">
        <v>344</v>
      </c>
      <c r="IG148" s="22"/>
      <c r="IH148" s="22" t="s">
        <v>345</v>
      </c>
      <c r="II148" s="22" t="s">
        <v>345</v>
      </c>
      <c r="IJ148" s="22" t="s">
        <v>345</v>
      </c>
      <c r="IK148" s="22" t="s">
        <v>344</v>
      </c>
      <c r="IL148" s="22" t="s">
        <v>344</v>
      </c>
      <c r="IM148" s="22" t="s">
        <v>344</v>
      </c>
      <c r="IN148" s="22" t="s">
        <v>344</v>
      </c>
      <c r="IO148" s="22" t="s">
        <v>344</v>
      </c>
      <c r="IP148" s="22" t="s">
        <v>344</v>
      </c>
      <c r="IQ148" s="22" t="s">
        <v>344</v>
      </c>
      <c r="IR148" s="22" t="s">
        <v>344</v>
      </c>
      <c r="IS148" s="22" t="s">
        <v>344</v>
      </c>
      <c r="IT148" s="22"/>
      <c r="IU148" s="22"/>
      <c r="IV148" s="22"/>
      <c r="IW148" s="22"/>
      <c r="IX148" s="22"/>
      <c r="IY148" s="22"/>
      <c r="IZ148" s="22"/>
      <c r="JA148" s="22"/>
      <c r="JB148" s="22"/>
      <c r="JC148" s="22"/>
      <c r="JD148" s="22"/>
      <c r="JE148" s="22"/>
      <c r="JF148" s="22"/>
      <c r="JG148" s="22"/>
      <c r="JH148" s="22"/>
    </row>
    <row r="149" spans="1:268" x14ac:dyDescent="0.3">
      <c r="A149" s="22" t="s">
        <v>813</v>
      </c>
      <c r="B149" s="22">
        <v>244</v>
      </c>
      <c r="C149" s="22" t="s">
        <v>1038</v>
      </c>
      <c r="D149" s="22">
        <v>14</v>
      </c>
      <c r="E149" s="22" t="s">
        <v>340</v>
      </c>
      <c r="F149" s="22">
        <v>612067582</v>
      </c>
      <c r="G149" s="22" t="s">
        <v>1039</v>
      </c>
      <c r="H149" s="22" t="s">
        <v>1038</v>
      </c>
      <c r="I149" s="22" t="s">
        <v>1040</v>
      </c>
      <c r="J149" s="22">
        <v>17</v>
      </c>
      <c r="K149" s="22" t="s">
        <v>406</v>
      </c>
      <c r="L149" s="22"/>
      <c r="M149" s="22" t="s">
        <v>345</v>
      </c>
      <c r="N149" s="22" t="s">
        <v>345</v>
      </c>
      <c r="O149" s="22" t="s">
        <v>344</v>
      </c>
      <c r="P149" s="22" t="s">
        <v>344</v>
      </c>
      <c r="Q149" s="22" t="s">
        <v>344</v>
      </c>
      <c r="R149" s="22"/>
      <c r="S149" s="22" t="s">
        <v>522</v>
      </c>
      <c r="T149" s="22"/>
      <c r="U149" s="22" t="s">
        <v>343</v>
      </c>
      <c r="V149" s="22" t="s">
        <v>1041</v>
      </c>
      <c r="W149" s="22" t="s">
        <v>345</v>
      </c>
      <c r="X149" s="22" t="s">
        <v>345</v>
      </c>
      <c r="Y149" s="22" t="s">
        <v>344</v>
      </c>
      <c r="Z149" s="22" t="s">
        <v>344</v>
      </c>
      <c r="AA149" s="22" t="s">
        <v>344</v>
      </c>
      <c r="AB149" s="22" t="s">
        <v>344</v>
      </c>
      <c r="AC149" s="22" t="s">
        <v>344</v>
      </c>
      <c r="AD149" s="22" t="s">
        <v>344</v>
      </c>
      <c r="AE149" s="22" t="s">
        <v>345</v>
      </c>
      <c r="AF149" s="22" t="s">
        <v>344</v>
      </c>
      <c r="AG149" s="22" t="s">
        <v>344</v>
      </c>
      <c r="AH149" s="22" t="s">
        <v>345</v>
      </c>
      <c r="AI149" s="22" t="s">
        <v>344</v>
      </c>
      <c r="AJ149" s="22" t="s">
        <v>344</v>
      </c>
      <c r="AK149" s="22" t="s">
        <v>345</v>
      </c>
      <c r="AL149" s="22" t="s">
        <v>344</v>
      </c>
      <c r="AM149" s="22" t="s">
        <v>344</v>
      </c>
      <c r="AN149" s="22" t="s">
        <v>345</v>
      </c>
      <c r="AO149" s="22" t="s">
        <v>344</v>
      </c>
      <c r="AP149" s="22" t="s">
        <v>344</v>
      </c>
      <c r="AQ149" s="22" t="s">
        <v>344</v>
      </c>
      <c r="AR149" s="22" t="s">
        <v>344</v>
      </c>
      <c r="AS149" s="22" t="s">
        <v>345</v>
      </c>
      <c r="AT149" s="22" t="s">
        <v>344</v>
      </c>
      <c r="AU149" s="22" t="s">
        <v>344</v>
      </c>
      <c r="AV149" s="22" t="s">
        <v>344</v>
      </c>
      <c r="AW149" s="22" t="s">
        <v>344</v>
      </c>
      <c r="AX149" s="22" t="s">
        <v>344</v>
      </c>
      <c r="AY149" s="22" t="s">
        <v>391</v>
      </c>
      <c r="AZ149" s="22" t="s">
        <v>732</v>
      </c>
      <c r="BA149" s="22" t="s">
        <v>732</v>
      </c>
      <c r="BB149" s="22" t="s">
        <v>733</v>
      </c>
      <c r="BC149" s="22" t="s">
        <v>391</v>
      </c>
      <c r="BD149" s="22" t="s">
        <v>731</v>
      </c>
      <c r="BE149" s="22" t="s">
        <v>348</v>
      </c>
      <c r="BF149" s="22" t="s">
        <v>349</v>
      </c>
      <c r="BG149" s="22" t="s">
        <v>390</v>
      </c>
      <c r="BH149" s="22" t="s">
        <v>348</v>
      </c>
      <c r="BI149" s="22" t="s">
        <v>350</v>
      </c>
      <c r="BJ149" s="22" t="s">
        <v>353</v>
      </c>
      <c r="BK149" s="22" t="s">
        <v>356</v>
      </c>
      <c r="BL149" s="22" t="s">
        <v>351</v>
      </c>
      <c r="BM149" s="22" t="s">
        <v>355</v>
      </c>
      <c r="BN149" s="22" t="s">
        <v>351</v>
      </c>
      <c r="BO149" s="22" t="s">
        <v>356</v>
      </c>
      <c r="BP149" s="22" t="s">
        <v>354</v>
      </c>
      <c r="BQ149" s="22" t="s">
        <v>358</v>
      </c>
      <c r="BR149" s="22" t="s">
        <v>429</v>
      </c>
      <c r="BS149" s="22" t="s">
        <v>354</v>
      </c>
      <c r="BT149" s="22" t="s">
        <v>391</v>
      </c>
      <c r="BU149" s="22" t="s">
        <v>351</v>
      </c>
      <c r="BV149" s="22" t="s">
        <v>352</v>
      </c>
      <c r="BW149" s="22" t="s">
        <v>351</v>
      </c>
      <c r="BX149" s="22" t="s">
        <v>351</v>
      </c>
      <c r="BY149" s="22" t="s">
        <v>357</v>
      </c>
      <c r="BZ149" s="22" t="s">
        <v>354</v>
      </c>
      <c r="CA149" s="22" t="s">
        <v>357</v>
      </c>
      <c r="CB149" s="22" t="s">
        <v>353</v>
      </c>
      <c r="CC149" s="22" t="s">
        <v>356</v>
      </c>
      <c r="CD149" s="22" t="s">
        <v>352</v>
      </c>
      <c r="CE149" s="22" t="s">
        <v>354</v>
      </c>
      <c r="CF149" s="22" t="s">
        <v>354</v>
      </c>
      <c r="CG149" s="22" t="s">
        <v>392</v>
      </c>
      <c r="CH149" s="22" t="s">
        <v>392</v>
      </c>
      <c r="CI149" s="22" t="s">
        <v>420</v>
      </c>
      <c r="CJ149" s="22" t="s">
        <v>360</v>
      </c>
      <c r="CK149" s="22" t="s">
        <v>510</v>
      </c>
      <c r="CL149" s="22" t="s">
        <v>344</v>
      </c>
      <c r="CM149" s="22" t="s">
        <v>344</v>
      </c>
      <c r="CN149" s="22" t="s">
        <v>344</v>
      </c>
      <c r="CO149" s="22" t="s">
        <v>344</v>
      </c>
      <c r="CP149" s="22" t="s">
        <v>345</v>
      </c>
      <c r="CQ149" s="22" t="s">
        <v>344</v>
      </c>
      <c r="CR149" s="22" t="s">
        <v>667</v>
      </c>
      <c r="CS149" s="22">
        <v>66</v>
      </c>
      <c r="CT149" s="22">
        <v>75</v>
      </c>
      <c r="CU149" s="22">
        <v>41</v>
      </c>
      <c r="CV149" s="22">
        <v>1</v>
      </c>
      <c r="CW149" s="22" t="s">
        <v>364</v>
      </c>
      <c r="CX149" s="22" t="s">
        <v>396</v>
      </c>
      <c r="CY149" s="22" t="s">
        <v>396</v>
      </c>
      <c r="CZ149" s="22" t="s">
        <v>397</v>
      </c>
      <c r="DA149" s="22" t="s">
        <v>397</v>
      </c>
      <c r="DB149" s="22" t="s">
        <v>397</v>
      </c>
      <c r="DC149" s="22" t="s">
        <v>397</v>
      </c>
      <c r="DD149" s="22" t="s">
        <v>397</v>
      </c>
      <c r="DE149" s="22" t="s">
        <v>397</v>
      </c>
      <c r="DF149" s="22" t="s">
        <v>397</v>
      </c>
      <c r="DG149" s="22" t="s">
        <v>397</v>
      </c>
      <c r="DH149" s="22" t="s">
        <v>397</v>
      </c>
      <c r="DI149" s="22" t="s">
        <v>397</v>
      </c>
      <c r="DJ149" s="22"/>
      <c r="DK149" s="22" t="s">
        <v>367</v>
      </c>
      <c r="DL149" s="22" t="s">
        <v>368</v>
      </c>
      <c r="DM149" s="22" t="s">
        <v>368</v>
      </c>
      <c r="DN149" s="22" t="s">
        <v>368</v>
      </c>
      <c r="DO149" s="22" t="s">
        <v>368</v>
      </c>
      <c r="DP149" s="22" t="s">
        <v>368</v>
      </c>
      <c r="DQ149" s="22" t="s">
        <v>368</v>
      </c>
      <c r="DR149" s="22" t="s">
        <v>368</v>
      </c>
      <c r="DS149" s="22" t="s">
        <v>345</v>
      </c>
      <c r="DT149" s="22" t="s">
        <v>344</v>
      </c>
      <c r="DU149" s="22" t="s">
        <v>345</v>
      </c>
      <c r="DV149" s="22" t="s">
        <v>344</v>
      </c>
      <c r="DW149" s="22" t="s">
        <v>344</v>
      </c>
      <c r="DX149" s="22" t="s">
        <v>399</v>
      </c>
      <c r="DY149" s="22" t="s">
        <v>399</v>
      </c>
      <c r="DZ149" s="22" t="s">
        <v>369</v>
      </c>
      <c r="EA149" s="22" t="s">
        <v>369</v>
      </c>
      <c r="EB149" s="22" t="s">
        <v>369</v>
      </c>
      <c r="EC149" s="22" t="s">
        <v>369</v>
      </c>
      <c r="ED149" s="22" t="s">
        <v>399</v>
      </c>
      <c r="EE149" s="22" t="s">
        <v>370</v>
      </c>
      <c r="EF149" s="22" t="s">
        <v>370</v>
      </c>
      <c r="EG149" s="22" t="s">
        <v>370</v>
      </c>
      <c r="EH149" s="22" t="s">
        <v>370</v>
      </c>
      <c r="EI149" s="22" t="s">
        <v>370</v>
      </c>
      <c r="EJ149" s="22" t="s">
        <v>370</v>
      </c>
      <c r="EK149" s="22" t="s">
        <v>370</v>
      </c>
      <c r="EL149" s="22" t="s">
        <v>373</v>
      </c>
      <c r="EM149" s="22" t="s">
        <v>372</v>
      </c>
      <c r="EN149" s="22" t="s">
        <v>374</v>
      </c>
      <c r="EO149" s="22"/>
      <c r="EP149" s="22"/>
      <c r="EQ149" s="22" t="s">
        <v>375</v>
      </c>
      <c r="ER149" s="22" t="s">
        <v>377</v>
      </c>
      <c r="ES149" s="22" t="s">
        <v>376</v>
      </c>
      <c r="ET149" s="22" t="s">
        <v>375</v>
      </c>
      <c r="EU149" s="22" t="s">
        <v>377</v>
      </c>
      <c r="EV149" s="22" t="s">
        <v>400</v>
      </c>
      <c r="EW149" s="22"/>
      <c r="EX149" s="167" t="s">
        <v>345</v>
      </c>
      <c r="EY149" s="167" t="s">
        <v>345</v>
      </c>
      <c r="EZ149" s="167" t="s">
        <v>344</v>
      </c>
      <c r="FA149" s="22" t="s">
        <v>344</v>
      </c>
      <c r="FB149" s="22" t="s">
        <v>381</v>
      </c>
      <c r="FC149" s="22"/>
      <c r="FD149" s="22" t="s">
        <v>401</v>
      </c>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t="s">
        <v>368</v>
      </c>
      <c r="GB149" s="22" t="s">
        <v>368</v>
      </c>
      <c r="GC149" s="22" t="s">
        <v>368</v>
      </c>
      <c r="GD149" s="22" t="s">
        <v>368</v>
      </c>
      <c r="GE149" s="22" t="s">
        <v>368</v>
      </c>
      <c r="GF149" s="22" t="s">
        <v>368</v>
      </c>
      <c r="GG149" s="22"/>
      <c r="GH149" s="22"/>
      <c r="GI149" s="22"/>
      <c r="GJ149" s="22"/>
      <c r="GK149" s="22"/>
      <c r="GL149" s="22" t="s">
        <v>344</v>
      </c>
      <c r="GM149" s="22" t="s">
        <v>344</v>
      </c>
      <c r="GN149" s="22" t="s">
        <v>344</v>
      </c>
      <c r="GO149" s="22" t="s">
        <v>344</v>
      </c>
      <c r="GP149" s="22" t="s">
        <v>344</v>
      </c>
      <c r="GQ149" s="22" t="s">
        <v>344</v>
      </c>
      <c r="GR149" s="22" t="s">
        <v>344</v>
      </c>
      <c r="GS149" s="22" t="s">
        <v>344</v>
      </c>
      <c r="GT149" s="22" t="s">
        <v>344</v>
      </c>
      <c r="GU149" s="22" t="s">
        <v>344</v>
      </c>
      <c r="GV149" s="22" t="s">
        <v>344</v>
      </c>
      <c r="GW149" s="22" t="s">
        <v>344</v>
      </c>
      <c r="GX149" s="22" t="s">
        <v>344</v>
      </c>
      <c r="GY149" s="22" t="s">
        <v>344</v>
      </c>
      <c r="GZ149" s="22" t="s">
        <v>345</v>
      </c>
      <c r="HA149" s="22"/>
      <c r="HB149" s="22" t="s">
        <v>344</v>
      </c>
      <c r="HC149" s="22"/>
      <c r="HD149" s="22" t="s">
        <v>344</v>
      </c>
      <c r="HE149" s="22"/>
      <c r="HF149" s="22" t="s">
        <v>344</v>
      </c>
      <c r="HG149" s="22"/>
      <c r="HH149" s="22" t="s">
        <v>344</v>
      </c>
      <c r="HI149" s="22"/>
      <c r="HJ149" s="22" t="s">
        <v>344</v>
      </c>
      <c r="HK149" s="22" t="s">
        <v>344</v>
      </c>
      <c r="HL149" s="22" t="s">
        <v>344</v>
      </c>
      <c r="HM149" s="22" t="s">
        <v>344</v>
      </c>
      <c r="HN149" s="22" t="s">
        <v>344</v>
      </c>
      <c r="HO149" s="22" t="s">
        <v>344</v>
      </c>
      <c r="HP149" s="22" t="s">
        <v>344</v>
      </c>
      <c r="HQ149" s="22" t="s">
        <v>344</v>
      </c>
      <c r="HR149" s="22" t="s">
        <v>344</v>
      </c>
      <c r="HS149" s="22" t="s">
        <v>344</v>
      </c>
      <c r="HT149" s="22" t="s">
        <v>344</v>
      </c>
      <c r="HU149" s="22" t="s">
        <v>344</v>
      </c>
      <c r="HV149" s="22" t="s">
        <v>344</v>
      </c>
      <c r="HW149" s="22" t="s">
        <v>344</v>
      </c>
      <c r="HX149" s="22" t="s">
        <v>345</v>
      </c>
      <c r="HY149" s="22"/>
      <c r="HZ149" s="22" t="s">
        <v>344</v>
      </c>
      <c r="IA149" s="22"/>
      <c r="IB149" s="22" t="s">
        <v>344</v>
      </c>
      <c r="IC149" s="22"/>
      <c r="ID149" s="22" t="s">
        <v>344</v>
      </c>
      <c r="IE149" s="22"/>
      <c r="IF149" s="22" t="s">
        <v>344</v>
      </c>
      <c r="IG149" s="22"/>
      <c r="IH149" s="22" t="s">
        <v>345</v>
      </c>
      <c r="II149" s="22" t="s">
        <v>345</v>
      </c>
      <c r="IJ149" s="22" t="s">
        <v>344</v>
      </c>
      <c r="IK149" s="22" t="s">
        <v>344</v>
      </c>
      <c r="IL149" s="22" t="s">
        <v>344</v>
      </c>
      <c r="IM149" s="22" t="s">
        <v>345</v>
      </c>
      <c r="IN149" s="22" t="s">
        <v>344</v>
      </c>
      <c r="IO149" s="22" t="s">
        <v>345</v>
      </c>
      <c r="IP149" s="22" t="s">
        <v>344</v>
      </c>
      <c r="IQ149" s="22" t="s">
        <v>344</v>
      </c>
      <c r="IR149" s="22" t="s">
        <v>344</v>
      </c>
      <c r="IS149" s="22" t="s">
        <v>344</v>
      </c>
      <c r="IT149" s="22"/>
      <c r="IU149" s="22"/>
      <c r="IV149" s="22"/>
      <c r="IW149" s="22"/>
      <c r="IX149" s="22"/>
      <c r="IY149" s="22"/>
      <c r="IZ149" s="22"/>
      <c r="JA149" s="22"/>
      <c r="JB149" s="22"/>
      <c r="JC149" s="22"/>
      <c r="JD149" s="22"/>
      <c r="JE149" s="22"/>
      <c r="JF149" s="22"/>
      <c r="JG149" s="22"/>
      <c r="JH149" s="22"/>
    </row>
    <row r="150" spans="1:268" x14ac:dyDescent="0.3">
      <c r="A150" s="22" t="s">
        <v>813</v>
      </c>
      <c r="B150" s="22">
        <v>248</v>
      </c>
      <c r="C150" s="22" t="s">
        <v>1042</v>
      </c>
      <c r="D150" s="22">
        <v>14</v>
      </c>
      <c r="E150" s="22" t="s">
        <v>387</v>
      </c>
      <c r="F150" s="22">
        <v>599035760</v>
      </c>
      <c r="G150" s="22" t="s">
        <v>1043</v>
      </c>
      <c r="H150" s="22" t="s">
        <v>1042</v>
      </c>
      <c r="I150" s="22" t="s">
        <v>1035</v>
      </c>
      <c r="J150" s="22">
        <v>22</v>
      </c>
      <c r="K150" s="22" t="s">
        <v>389</v>
      </c>
      <c r="L150" s="22"/>
      <c r="M150" s="22" t="s">
        <v>345</v>
      </c>
      <c r="N150" s="22" t="s">
        <v>344</v>
      </c>
      <c r="O150" s="22" t="s">
        <v>344</v>
      </c>
      <c r="P150" s="22" t="s">
        <v>344</v>
      </c>
      <c r="Q150" s="22" t="s">
        <v>344</v>
      </c>
      <c r="R150" s="22"/>
      <c r="S150" s="22" t="s">
        <v>522</v>
      </c>
      <c r="T150" s="22"/>
      <c r="U150" s="22" t="s">
        <v>428</v>
      </c>
      <c r="V150" s="22"/>
      <c r="W150" s="22" t="s">
        <v>344</v>
      </c>
      <c r="X150" s="22" t="s">
        <v>344</v>
      </c>
      <c r="Y150" s="22" t="s">
        <v>344</v>
      </c>
      <c r="Z150" s="22" t="s">
        <v>344</v>
      </c>
      <c r="AA150" s="22" t="s">
        <v>344</v>
      </c>
      <c r="AB150" s="22" t="s">
        <v>345</v>
      </c>
      <c r="AC150" s="22" t="s">
        <v>344</v>
      </c>
      <c r="AD150" s="22" t="s">
        <v>345</v>
      </c>
      <c r="AE150" s="22" t="s">
        <v>345</v>
      </c>
      <c r="AF150" s="22" t="s">
        <v>344</v>
      </c>
      <c r="AG150" s="22" t="s">
        <v>344</v>
      </c>
      <c r="AH150" s="22" t="s">
        <v>344</v>
      </c>
      <c r="AI150" s="22" t="s">
        <v>344</v>
      </c>
      <c r="AJ150" s="22" t="s">
        <v>344</v>
      </c>
      <c r="AK150" s="22" t="s">
        <v>344</v>
      </c>
      <c r="AL150" s="22" t="s">
        <v>344</v>
      </c>
      <c r="AM150" s="22" t="s">
        <v>345</v>
      </c>
      <c r="AN150" s="22" t="s">
        <v>344</v>
      </c>
      <c r="AO150" s="22" t="s">
        <v>344</v>
      </c>
      <c r="AP150" s="22" t="s">
        <v>344</v>
      </c>
      <c r="AQ150" s="22" t="s">
        <v>344</v>
      </c>
      <c r="AR150" s="22" t="s">
        <v>345</v>
      </c>
      <c r="AS150" s="22" t="s">
        <v>344</v>
      </c>
      <c r="AT150" s="22" t="s">
        <v>344</v>
      </c>
      <c r="AU150" s="22" t="s">
        <v>345</v>
      </c>
      <c r="AV150" s="22" t="s">
        <v>344</v>
      </c>
      <c r="AW150" s="22" t="s">
        <v>344</v>
      </c>
      <c r="AX150" s="22" t="s">
        <v>344</v>
      </c>
      <c r="AY150" s="22" t="s">
        <v>733</v>
      </c>
      <c r="AZ150" s="22" t="s">
        <v>732</v>
      </c>
      <c r="BA150" s="22" t="s">
        <v>733</v>
      </c>
      <c r="BB150" s="22" t="s">
        <v>731</v>
      </c>
      <c r="BC150" s="22" t="s">
        <v>731</v>
      </c>
      <c r="BD150" s="22" t="s">
        <v>737</v>
      </c>
      <c r="BE150" s="22" t="s">
        <v>348</v>
      </c>
      <c r="BF150" s="22" t="s">
        <v>390</v>
      </c>
      <c r="BG150" s="22" t="s">
        <v>390</v>
      </c>
      <c r="BH150" s="22" t="s">
        <v>390</v>
      </c>
      <c r="BI150" s="22" t="s">
        <v>348</v>
      </c>
      <c r="BJ150" s="22" t="s">
        <v>391</v>
      </c>
      <c r="BK150" s="22" t="s">
        <v>353</v>
      </c>
      <c r="BL150" s="22" t="s">
        <v>391</v>
      </c>
      <c r="BM150" s="22" t="s">
        <v>391</v>
      </c>
      <c r="BN150" s="22" t="s">
        <v>391</v>
      </c>
      <c r="BO150" s="22" t="s">
        <v>353</v>
      </c>
      <c r="BP150" s="22" t="s">
        <v>391</v>
      </c>
      <c r="BQ150" s="22" t="s">
        <v>689</v>
      </c>
      <c r="BR150" s="22" t="s">
        <v>429</v>
      </c>
      <c r="BS150" s="22" t="s">
        <v>391</v>
      </c>
      <c r="BT150" s="22" t="s">
        <v>391</v>
      </c>
      <c r="BU150" s="22" t="s">
        <v>391</v>
      </c>
      <c r="BV150" s="22" t="s">
        <v>391</v>
      </c>
      <c r="BW150" s="22" t="s">
        <v>391</v>
      </c>
      <c r="BX150" s="22" t="s">
        <v>391</v>
      </c>
      <c r="BY150" s="22" t="s">
        <v>391</v>
      </c>
      <c r="BZ150" s="22" t="s">
        <v>391</v>
      </c>
      <c r="CA150" s="22" t="s">
        <v>391</v>
      </c>
      <c r="CB150" s="22" t="s">
        <v>391</v>
      </c>
      <c r="CC150" s="22" t="s">
        <v>391</v>
      </c>
      <c r="CD150" s="22" t="s">
        <v>391</v>
      </c>
      <c r="CE150" s="22" t="s">
        <v>391</v>
      </c>
      <c r="CF150" s="22" t="s">
        <v>391</v>
      </c>
      <c r="CG150" s="22" t="s">
        <v>420</v>
      </c>
      <c r="CH150" s="22" t="s">
        <v>421</v>
      </c>
      <c r="CI150" s="22" t="s">
        <v>392</v>
      </c>
      <c r="CJ150" s="22" t="s">
        <v>420</v>
      </c>
      <c r="CK150" s="22" t="s">
        <v>1044</v>
      </c>
      <c r="CL150" s="22" t="s">
        <v>344</v>
      </c>
      <c r="CM150" s="22" t="s">
        <v>345</v>
      </c>
      <c r="CN150" s="22" t="s">
        <v>344</v>
      </c>
      <c r="CO150" s="22" t="s">
        <v>344</v>
      </c>
      <c r="CP150" s="22" t="s">
        <v>344</v>
      </c>
      <c r="CQ150" s="22" t="s">
        <v>344</v>
      </c>
      <c r="CR150" s="22" t="s">
        <v>667</v>
      </c>
      <c r="CS150" s="22">
        <v>64</v>
      </c>
      <c r="CT150" s="22">
        <v>100</v>
      </c>
      <c r="CU150" s="22"/>
      <c r="CV150" s="22"/>
      <c r="CW150" s="22" t="s">
        <v>363</v>
      </c>
      <c r="CX150" s="22" t="s">
        <v>396</v>
      </c>
      <c r="CY150" s="22" t="s">
        <v>396</v>
      </c>
      <c r="CZ150" s="22" t="s">
        <v>397</v>
      </c>
      <c r="DA150" s="22" t="s">
        <v>397</v>
      </c>
      <c r="DB150" s="22" t="s">
        <v>397</v>
      </c>
      <c r="DC150" s="22" t="s">
        <v>397</v>
      </c>
      <c r="DD150" s="22" t="s">
        <v>397</v>
      </c>
      <c r="DE150" s="22"/>
      <c r="DF150" s="22"/>
      <c r="DG150" s="22"/>
      <c r="DH150" s="22"/>
      <c r="DI150" s="22"/>
      <c r="DJ150" s="22"/>
      <c r="DK150" s="22" t="s">
        <v>515</v>
      </c>
      <c r="DL150" s="22" t="s">
        <v>368</v>
      </c>
      <c r="DM150" s="22" t="s">
        <v>368</v>
      </c>
      <c r="DN150" s="22" t="s">
        <v>368</v>
      </c>
      <c r="DO150" s="22" t="s">
        <v>345</v>
      </c>
      <c r="DP150" s="22" t="s">
        <v>368</v>
      </c>
      <c r="DQ150" s="22" t="s">
        <v>368</v>
      </c>
      <c r="DR150" s="22" t="s">
        <v>368</v>
      </c>
      <c r="DS150" s="22" t="s">
        <v>345</v>
      </c>
      <c r="DT150" s="22" t="s">
        <v>345</v>
      </c>
      <c r="DU150" s="22" t="s">
        <v>344</v>
      </c>
      <c r="DV150" s="22" t="s">
        <v>344</v>
      </c>
      <c r="DW150" s="22" t="s">
        <v>344</v>
      </c>
      <c r="DX150" s="22" t="s">
        <v>371</v>
      </c>
      <c r="DY150" s="22" t="s">
        <v>370</v>
      </c>
      <c r="DZ150" s="22" t="s">
        <v>370</v>
      </c>
      <c r="EA150" s="22" t="s">
        <v>371</v>
      </c>
      <c r="EB150" s="22" t="s">
        <v>371</v>
      </c>
      <c r="EC150" s="22" t="s">
        <v>369</v>
      </c>
      <c r="ED150" s="22" t="s">
        <v>371</v>
      </c>
      <c r="EE150" s="22" t="s">
        <v>371</v>
      </c>
      <c r="EF150" s="22" t="s">
        <v>370</v>
      </c>
      <c r="EG150" s="22" t="s">
        <v>371</v>
      </c>
      <c r="EH150" s="22" t="s">
        <v>370</v>
      </c>
      <c r="EI150" s="22" t="s">
        <v>370</v>
      </c>
      <c r="EJ150" s="22" t="s">
        <v>370</v>
      </c>
      <c r="EK150" s="22" t="s">
        <v>370</v>
      </c>
      <c r="EL150" s="22" t="s">
        <v>373</v>
      </c>
      <c r="EM150" s="22" t="s">
        <v>372</v>
      </c>
      <c r="EN150" s="22" t="s">
        <v>374</v>
      </c>
      <c r="EO150" s="22"/>
      <c r="EP150" s="22"/>
      <c r="EQ150" s="22" t="s">
        <v>375</v>
      </c>
      <c r="ER150" s="22" t="s">
        <v>375</v>
      </c>
      <c r="ES150" s="22" t="s">
        <v>376</v>
      </c>
      <c r="ET150" s="22" t="s">
        <v>391</v>
      </c>
      <c r="EU150" s="22" t="s">
        <v>391</v>
      </c>
      <c r="EV150" s="22" t="s">
        <v>400</v>
      </c>
      <c r="EW150" s="22"/>
      <c r="EX150" s="22" t="s">
        <v>368</v>
      </c>
      <c r="EY150" s="22" t="s">
        <v>368</v>
      </c>
      <c r="EZ150" s="22" t="s">
        <v>368</v>
      </c>
      <c r="FA150" s="22" t="s">
        <v>345</v>
      </c>
      <c r="FB150" s="22" t="s">
        <v>401</v>
      </c>
      <c r="FC150" s="22"/>
      <c r="FD150" s="22" t="s">
        <v>401</v>
      </c>
      <c r="FE150" s="22"/>
      <c r="FF150" s="22" t="s">
        <v>412</v>
      </c>
      <c r="FG150" s="22" t="s">
        <v>383</v>
      </c>
      <c r="FH150" s="22" t="s">
        <v>384</v>
      </c>
      <c r="FI150" s="22" t="s">
        <v>385</v>
      </c>
      <c r="FJ150" s="22"/>
      <c r="FK150" s="22"/>
      <c r="FL150" s="22"/>
      <c r="FM150" s="22"/>
      <c r="FN150" s="22"/>
      <c r="FO150" s="22"/>
      <c r="FP150" s="22"/>
      <c r="FQ150" s="22"/>
      <c r="FR150" s="22"/>
      <c r="FS150" s="22"/>
      <c r="FT150" s="22"/>
      <c r="FU150" s="22"/>
      <c r="FV150" s="22"/>
      <c r="FW150" s="22"/>
      <c r="FX150" s="22"/>
      <c r="FY150" s="22"/>
      <c r="FZ150" s="22"/>
      <c r="GA150" s="22" t="s">
        <v>368</v>
      </c>
      <c r="GB150" s="22" t="s">
        <v>368</v>
      </c>
      <c r="GC150" s="22" t="s">
        <v>368</v>
      </c>
      <c r="GD150" s="22" t="s">
        <v>368</v>
      </c>
      <c r="GE150" s="22" t="s">
        <v>368</v>
      </c>
      <c r="GF150" s="22" t="s">
        <v>368</v>
      </c>
      <c r="GG150" s="22"/>
      <c r="GH150" s="22"/>
      <c r="GI150" s="22"/>
      <c r="GJ150" s="22"/>
      <c r="GK150" s="22"/>
      <c r="GL150" s="22" t="s">
        <v>344</v>
      </c>
      <c r="GM150" s="22" t="s">
        <v>344</v>
      </c>
      <c r="GN150" s="22" t="s">
        <v>344</v>
      </c>
      <c r="GO150" s="22" t="s">
        <v>345</v>
      </c>
      <c r="GP150" s="22" t="s">
        <v>344</v>
      </c>
      <c r="GQ150" s="22" t="s">
        <v>344</v>
      </c>
      <c r="GR150" s="22" t="s">
        <v>344</v>
      </c>
      <c r="GS150" s="22" t="s">
        <v>344</v>
      </c>
      <c r="GT150" s="22" t="s">
        <v>344</v>
      </c>
      <c r="GU150" s="22" t="s">
        <v>344</v>
      </c>
      <c r="GV150" s="22" t="s">
        <v>344</v>
      </c>
      <c r="GW150" s="22" t="s">
        <v>345</v>
      </c>
      <c r="GX150" s="22" t="s">
        <v>344</v>
      </c>
      <c r="GY150" s="22" t="s">
        <v>344</v>
      </c>
      <c r="GZ150" s="22" t="s">
        <v>344</v>
      </c>
      <c r="HA150" s="22"/>
      <c r="HB150" s="22" t="s">
        <v>344</v>
      </c>
      <c r="HC150" s="22"/>
      <c r="HD150" s="22" t="s">
        <v>344</v>
      </c>
      <c r="HE150" s="22"/>
      <c r="HF150" s="22" t="s">
        <v>344</v>
      </c>
      <c r="HG150" s="22"/>
      <c r="HH150" s="22" t="s">
        <v>344</v>
      </c>
      <c r="HI150" s="22"/>
      <c r="HJ150" s="22" t="s">
        <v>344</v>
      </c>
      <c r="HK150" s="22" t="s">
        <v>344</v>
      </c>
      <c r="HL150" s="22" t="s">
        <v>344</v>
      </c>
      <c r="HM150" s="22" t="s">
        <v>344</v>
      </c>
      <c r="HN150" s="22" t="s">
        <v>344</v>
      </c>
      <c r="HO150" s="22" t="s">
        <v>344</v>
      </c>
      <c r="HP150" s="22" t="s">
        <v>344</v>
      </c>
      <c r="HQ150" s="22" t="s">
        <v>344</v>
      </c>
      <c r="HR150" s="22" t="s">
        <v>344</v>
      </c>
      <c r="HS150" s="22" t="s">
        <v>344</v>
      </c>
      <c r="HT150" s="22" t="s">
        <v>344</v>
      </c>
      <c r="HU150" s="22" t="s">
        <v>345</v>
      </c>
      <c r="HV150" s="22" t="s">
        <v>344</v>
      </c>
      <c r="HW150" s="22" t="s">
        <v>344</v>
      </c>
      <c r="HX150" s="22" t="s">
        <v>344</v>
      </c>
      <c r="HY150" s="22"/>
      <c r="HZ150" s="22" t="s">
        <v>344</v>
      </c>
      <c r="IA150" s="22"/>
      <c r="IB150" s="22" t="s">
        <v>344</v>
      </c>
      <c r="IC150" s="22"/>
      <c r="ID150" s="22" t="s">
        <v>344</v>
      </c>
      <c r="IE150" s="22"/>
      <c r="IF150" s="22" t="s">
        <v>344</v>
      </c>
      <c r="IG150" s="22"/>
      <c r="IH150" s="22" t="s">
        <v>344</v>
      </c>
      <c r="II150" s="22" t="s">
        <v>345</v>
      </c>
      <c r="IJ150" s="22" t="s">
        <v>344</v>
      </c>
      <c r="IK150" s="22" t="s">
        <v>344</v>
      </c>
      <c r="IL150" s="22" t="s">
        <v>345</v>
      </c>
      <c r="IM150" s="22" t="s">
        <v>344</v>
      </c>
      <c r="IN150" s="22" t="s">
        <v>344</v>
      </c>
      <c r="IO150" s="22" t="s">
        <v>344</v>
      </c>
      <c r="IP150" s="22" t="s">
        <v>344</v>
      </c>
      <c r="IQ150" s="22" t="s">
        <v>344</v>
      </c>
      <c r="IR150" s="22" t="s">
        <v>344</v>
      </c>
      <c r="IS150" s="22" t="s">
        <v>344</v>
      </c>
      <c r="IT150" s="22"/>
      <c r="IU150" s="22"/>
      <c r="IV150" s="22"/>
      <c r="IW150" s="22"/>
      <c r="IX150" s="22"/>
      <c r="IY150" s="22"/>
      <c r="IZ150" s="22"/>
      <c r="JA150" s="22"/>
      <c r="JB150" s="22"/>
      <c r="JC150" s="22"/>
      <c r="JD150" s="22"/>
      <c r="JE150" s="22"/>
      <c r="JF150" s="22"/>
      <c r="JG150" s="22"/>
      <c r="JH150" s="22"/>
    </row>
    <row r="151" spans="1:268" x14ac:dyDescent="0.3">
      <c r="A151" s="22" t="s">
        <v>813</v>
      </c>
      <c r="B151" s="22">
        <v>249</v>
      </c>
      <c r="C151" s="22" t="s">
        <v>1045</v>
      </c>
      <c r="D151" s="22">
        <v>14</v>
      </c>
      <c r="E151" s="22" t="s">
        <v>387</v>
      </c>
      <c r="F151" s="22">
        <v>1243835957</v>
      </c>
      <c r="G151" s="22" t="s">
        <v>1046</v>
      </c>
      <c r="H151" s="22" t="s">
        <v>1045</v>
      </c>
      <c r="I151" s="22" t="s">
        <v>1035</v>
      </c>
      <c r="J151" s="22">
        <v>17</v>
      </c>
      <c r="K151" s="22" t="s">
        <v>406</v>
      </c>
      <c r="L151" s="22"/>
      <c r="M151" s="22" t="s">
        <v>345</v>
      </c>
      <c r="N151" s="22" t="s">
        <v>345</v>
      </c>
      <c r="O151" s="22" t="s">
        <v>344</v>
      </c>
      <c r="P151" s="22" t="s">
        <v>344</v>
      </c>
      <c r="Q151" s="22" t="s">
        <v>344</v>
      </c>
      <c r="R151" s="22"/>
      <c r="S151" s="22" t="s">
        <v>522</v>
      </c>
      <c r="T151" s="22"/>
      <c r="U151" s="22" t="s">
        <v>418</v>
      </c>
      <c r="V151" s="22"/>
      <c r="W151" s="22" t="s">
        <v>368</v>
      </c>
      <c r="X151" s="22" t="s">
        <v>368</v>
      </c>
      <c r="Y151" s="22" t="s">
        <v>368</v>
      </c>
      <c r="Z151" s="22" t="s">
        <v>368</v>
      </c>
      <c r="AA151" s="22" t="s">
        <v>368</v>
      </c>
      <c r="AB151" s="22" t="s">
        <v>368</v>
      </c>
      <c r="AC151" s="22" t="s">
        <v>345</v>
      </c>
      <c r="AD151" s="22" t="s">
        <v>368</v>
      </c>
      <c r="AE151" s="22" t="s">
        <v>368</v>
      </c>
      <c r="AF151" s="22" t="s">
        <v>368</v>
      </c>
      <c r="AG151" s="22" t="s">
        <v>368</v>
      </c>
      <c r="AH151" s="22" t="s">
        <v>368</v>
      </c>
      <c r="AI151" s="22" t="s">
        <v>368</v>
      </c>
      <c r="AJ151" s="22" t="s">
        <v>345</v>
      </c>
      <c r="AK151" s="22" t="s">
        <v>368</v>
      </c>
      <c r="AL151" s="22" t="s">
        <v>368</v>
      </c>
      <c r="AM151" s="22" t="s">
        <v>368</v>
      </c>
      <c r="AN151" s="22" t="s">
        <v>368</v>
      </c>
      <c r="AO151" s="22" t="s">
        <v>368</v>
      </c>
      <c r="AP151" s="22" t="s">
        <v>368</v>
      </c>
      <c r="AQ151" s="22" t="s">
        <v>345</v>
      </c>
      <c r="AR151" s="22" t="s">
        <v>368</v>
      </c>
      <c r="AS151" s="22" t="s">
        <v>368</v>
      </c>
      <c r="AT151" s="22" t="s">
        <v>368</v>
      </c>
      <c r="AU151" s="22" t="s">
        <v>368</v>
      </c>
      <c r="AV151" s="22" t="s">
        <v>368</v>
      </c>
      <c r="AW151" s="22" t="s">
        <v>368</v>
      </c>
      <c r="AX151" s="22" t="s">
        <v>345</v>
      </c>
      <c r="AY151" s="22" t="s">
        <v>391</v>
      </c>
      <c r="AZ151" s="22" t="s">
        <v>391</v>
      </c>
      <c r="BA151" s="22" t="s">
        <v>391</v>
      </c>
      <c r="BB151" s="22" t="s">
        <v>391</v>
      </c>
      <c r="BC151" s="22" t="s">
        <v>391</v>
      </c>
      <c r="BD151" s="22" t="s">
        <v>391</v>
      </c>
      <c r="BE151" s="22" t="s">
        <v>349</v>
      </c>
      <c r="BF151" s="22" t="s">
        <v>349</v>
      </c>
      <c r="BG151" s="22" t="s">
        <v>349</v>
      </c>
      <c r="BH151" s="22" t="s">
        <v>349</v>
      </c>
      <c r="BI151" s="22" t="s">
        <v>349</v>
      </c>
      <c r="BJ151" s="22" t="s">
        <v>391</v>
      </c>
      <c r="BK151" s="22" t="s">
        <v>391</v>
      </c>
      <c r="BL151" s="22" t="s">
        <v>391</v>
      </c>
      <c r="BM151" s="22" t="s">
        <v>391</v>
      </c>
      <c r="BN151" s="22" t="s">
        <v>391</v>
      </c>
      <c r="BO151" s="22" t="s">
        <v>391</v>
      </c>
      <c r="BP151" s="22" t="s">
        <v>391</v>
      </c>
      <c r="BQ151" s="22" t="s">
        <v>419</v>
      </c>
      <c r="BR151" s="22" t="s">
        <v>367</v>
      </c>
      <c r="BS151" s="22" t="s">
        <v>391</v>
      </c>
      <c r="BT151" s="22" t="s">
        <v>391</v>
      </c>
      <c r="BU151" s="22" t="s">
        <v>391</v>
      </c>
      <c r="BV151" s="22" t="s">
        <v>391</v>
      </c>
      <c r="BW151" s="22" t="s">
        <v>391</v>
      </c>
      <c r="BX151" s="22" t="s">
        <v>391</v>
      </c>
      <c r="BY151" s="22" t="s">
        <v>391</v>
      </c>
      <c r="BZ151" s="22" t="s">
        <v>391</v>
      </c>
      <c r="CA151" s="22" t="s">
        <v>391</v>
      </c>
      <c r="CB151" s="22" t="s">
        <v>391</v>
      </c>
      <c r="CC151" s="22" t="s">
        <v>391</v>
      </c>
      <c r="CD151" s="22" t="s">
        <v>391</v>
      </c>
      <c r="CE151" s="22" t="s">
        <v>391</v>
      </c>
      <c r="CF151" s="22" t="s">
        <v>391</v>
      </c>
      <c r="CG151" s="22" t="s">
        <v>393</v>
      </c>
      <c r="CH151" s="22" t="s">
        <v>421</v>
      </c>
      <c r="CI151" s="22" t="s">
        <v>392</v>
      </c>
      <c r="CJ151" s="22" t="s">
        <v>392</v>
      </c>
      <c r="CK151" s="22" t="s">
        <v>391</v>
      </c>
      <c r="CL151" s="22" t="s">
        <v>344</v>
      </c>
      <c r="CM151" s="22" t="s">
        <v>344</v>
      </c>
      <c r="CN151" s="22" t="s">
        <v>344</v>
      </c>
      <c r="CO151" s="22" t="s">
        <v>345</v>
      </c>
      <c r="CP151" s="22" t="s">
        <v>345</v>
      </c>
      <c r="CQ151" s="22" t="s">
        <v>344</v>
      </c>
      <c r="CR151" s="22" t="s">
        <v>655</v>
      </c>
      <c r="CS151" s="22">
        <v>50</v>
      </c>
      <c r="CT151" s="22">
        <v>100</v>
      </c>
      <c r="CU151" s="22">
        <v>100</v>
      </c>
      <c r="CV151" s="22">
        <v>87</v>
      </c>
      <c r="CW151" s="22" t="s">
        <v>395</v>
      </c>
      <c r="CX151" s="22" t="s">
        <v>395</v>
      </c>
      <c r="CY151" s="22" t="s">
        <v>364</v>
      </c>
      <c r="CZ151" s="22" t="s">
        <v>365</v>
      </c>
      <c r="DA151" s="22" t="s">
        <v>397</v>
      </c>
      <c r="DB151" s="22" t="s">
        <v>397</v>
      </c>
      <c r="DC151" s="22" t="s">
        <v>397</v>
      </c>
      <c r="DD151" s="22" t="s">
        <v>365</v>
      </c>
      <c r="DE151" s="22" t="s">
        <v>365</v>
      </c>
      <c r="DF151" s="22" t="s">
        <v>397</v>
      </c>
      <c r="DG151" s="22" t="s">
        <v>397</v>
      </c>
      <c r="DH151" s="22" t="s">
        <v>397</v>
      </c>
      <c r="DI151" s="22" t="s">
        <v>365</v>
      </c>
      <c r="DJ151" s="22"/>
      <c r="DK151" s="22" t="s">
        <v>367</v>
      </c>
      <c r="DL151" s="22" t="s">
        <v>368</v>
      </c>
      <c r="DM151" s="22" t="s">
        <v>368</v>
      </c>
      <c r="DN151" s="22" t="s">
        <v>368</v>
      </c>
      <c r="DO151" s="22" t="s">
        <v>368</v>
      </c>
      <c r="DP151" s="22" t="s">
        <v>344</v>
      </c>
      <c r="DQ151" s="22" t="s">
        <v>344</v>
      </c>
      <c r="DR151" s="22" t="s">
        <v>345</v>
      </c>
      <c r="DS151" s="22" t="s">
        <v>344</v>
      </c>
      <c r="DT151" s="22" t="s">
        <v>344</v>
      </c>
      <c r="DU151" s="22" t="s">
        <v>344</v>
      </c>
      <c r="DV151" s="22" t="s">
        <v>345</v>
      </c>
      <c r="DW151" s="22" t="s">
        <v>344</v>
      </c>
      <c r="DX151" s="22" t="s">
        <v>370</v>
      </c>
      <c r="DY151" s="22" t="s">
        <v>370</v>
      </c>
      <c r="DZ151" s="22" t="s">
        <v>370</v>
      </c>
      <c r="EA151" s="22" t="s">
        <v>398</v>
      </c>
      <c r="EB151" s="22" t="s">
        <v>369</v>
      </c>
      <c r="EC151" s="22" t="s">
        <v>369</v>
      </c>
      <c r="ED151" s="22" t="s">
        <v>398</v>
      </c>
      <c r="EE151" s="22" t="s">
        <v>370</v>
      </c>
      <c r="EF151" s="22" t="s">
        <v>370</v>
      </c>
      <c r="EG151" s="22" t="s">
        <v>370</v>
      </c>
      <c r="EH151" s="22" t="s">
        <v>370</v>
      </c>
      <c r="EI151" s="22" t="s">
        <v>370</v>
      </c>
      <c r="EJ151" s="22" t="s">
        <v>370</v>
      </c>
      <c r="EK151" s="22" t="s">
        <v>370</v>
      </c>
      <c r="EL151" s="22" t="s">
        <v>374</v>
      </c>
      <c r="EM151" s="22" t="s">
        <v>372</v>
      </c>
      <c r="EN151" s="22" t="s">
        <v>440</v>
      </c>
      <c r="EO151" s="22"/>
      <c r="EP151" s="22"/>
      <c r="EQ151" s="22" t="s">
        <v>375</v>
      </c>
      <c r="ER151" s="22" t="s">
        <v>378</v>
      </c>
      <c r="ES151" s="22" t="s">
        <v>376</v>
      </c>
      <c r="ET151" s="22" t="s">
        <v>375</v>
      </c>
      <c r="EU151" s="22" t="s">
        <v>376</v>
      </c>
      <c r="EV151" s="22" t="s">
        <v>400</v>
      </c>
      <c r="EW151" s="22"/>
      <c r="EX151" s="22" t="s">
        <v>368</v>
      </c>
      <c r="EY151" s="22" t="s">
        <v>368</v>
      </c>
      <c r="EZ151" s="22" t="s">
        <v>368</v>
      </c>
      <c r="FA151" s="22" t="s">
        <v>345</v>
      </c>
      <c r="FB151" s="22" t="s">
        <v>401</v>
      </c>
      <c r="FC151" s="22"/>
      <c r="FD151" s="22" t="s">
        <v>401</v>
      </c>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t="s">
        <v>368</v>
      </c>
      <c r="GB151" s="22" t="s">
        <v>368</v>
      </c>
      <c r="GC151" s="22" t="s">
        <v>368</v>
      </c>
      <c r="GD151" s="22" t="s">
        <v>368</v>
      </c>
      <c r="GE151" s="22" t="s">
        <v>368</v>
      </c>
      <c r="GF151" s="22" t="s">
        <v>368</v>
      </c>
      <c r="GG151" s="22"/>
      <c r="GH151" s="22"/>
      <c r="GI151" s="22"/>
      <c r="GJ151" s="22"/>
      <c r="GK151" s="22"/>
      <c r="GL151" s="22" t="s">
        <v>344</v>
      </c>
      <c r="GM151" s="22" t="s">
        <v>344</v>
      </c>
      <c r="GN151" s="22" t="s">
        <v>344</v>
      </c>
      <c r="GO151" s="22" t="s">
        <v>344</v>
      </c>
      <c r="GP151" s="22" t="s">
        <v>344</v>
      </c>
      <c r="GQ151" s="22" t="s">
        <v>344</v>
      </c>
      <c r="GR151" s="22" t="s">
        <v>344</v>
      </c>
      <c r="GS151" s="22" t="s">
        <v>344</v>
      </c>
      <c r="GT151" s="22" t="s">
        <v>344</v>
      </c>
      <c r="GU151" s="22" t="s">
        <v>344</v>
      </c>
      <c r="GV151" s="22" t="s">
        <v>344</v>
      </c>
      <c r="GW151" s="22" t="s">
        <v>344</v>
      </c>
      <c r="GX151" s="22" t="s">
        <v>344</v>
      </c>
      <c r="GY151" s="22" t="s">
        <v>344</v>
      </c>
      <c r="GZ151" s="22" t="s">
        <v>345</v>
      </c>
      <c r="HA151" s="22"/>
      <c r="HB151" s="22" t="s">
        <v>344</v>
      </c>
      <c r="HC151" s="22"/>
      <c r="HD151" s="22" t="s">
        <v>344</v>
      </c>
      <c r="HE151" s="22"/>
      <c r="HF151" s="22" t="s">
        <v>344</v>
      </c>
      <c r="HG151" s="22"/>
      <c r="HH151" s="22" t="s">
        <v>344</v>
      </c>
      <c r="HI151" s="22"/>
      <c r="HJ151" s="22" t="s">
        <v>344</v>
      </c>
      <c r="HK151" s="22" t="s">
        <v>344</v>
      </c>
      <c r="HL151" s="22" t="s">
        <v>344</v>
      </c>
      <c r="HM151" s="22" t="s">
        <v>344</v>
      </c>
      <c r="HN151" s="22" t="s">
        <v>344</v>
      </c>
      <c r="HO151" s="22" t="s">
        <v>344</v>
      </c>
      <c r="HP151" s="22" t="s">
        <v>344</v>
      </c>
      <c r="HQ151" s="22" t="s">
        <v>344</v>
      </c>
      <c r="HR151" s="22" t="s">
        <v>344</v>
      </c>
      <c r="HS151" s="22" t="s">
        <v>344</v>
      </c>
      <c r="HT151" s="22" t="s">
        <v>344</v>
      </c>
      <c r="HU151" s="22" t="s">
        <v>345</v>
      </c>
      <c r="HV151" s="22" t="s">
        <v>345</v>
      </c>
      <c r="HW151" s="22" t="s">
        <v>344</v>
      </c>
      <c r="HX151" s="22" t="s">
        <v>344</v>
      </c>
      <c r="HY151" s="22"/>
      <c r="HZ151" s="22" t="s">
        <v>345</v>
      </c>
      <c r="IA151" s="22" t="s">
        <v>910</v>
      </c>
      <c r="IB151" s="22" t="s">
        <v>345</v>
      </c>
      <c r="IC151" s="22" t="s">
        <v>1047</v>
      </c>
      <c r="ID151" s="22" t="s">
        <v>344</v>
      </c>
      <c r="IE151" s="22"/>
      <c r="IF151" s="22" t="s">
        <v>344</v>
      </c>
      <c r="IG151" s="22"/>
      <c r="IH151" s="22" t="s">
        <v>345</v>
      </c>
      <c r="II151" s="22" t="s">
        <v>345</v>
      </c>
      <c r="IJ151" s="22" t="s">
        <v>345</v>
      </c>
      <c r="IK151" s="22" t="s">
        <v>344</v>
      </c>
      <c r="IL151" s="22" t="s">
        <v>345</v>
      </c>
      <c r="IM151" s="22" t="s">
        <v>345</v>
      </c>
      <c r="IN151" s="22" t="s">
        <v>344</v>
      </c>
      <c r="IO151" s="22" t="s">
        <v>345</v>
      </c>
      <c r="IP151" s="22" t="s">
        <v>344</v>
      </c>
      <c r="IQ151" s="22" t="s">
        <v>344</v>
      </c>
      <c r="IR151" s="22" t="s">
        <v>344</v>
      </c>
      <c r="IS151" s="22" t="s">
        <v>344</v>
      </c>
      <c r="IT151" s="22"/>
      <c r="IU151" s="22"/>
      <c r="IV151" s="22"/>
      <c r="IW151" s="22"/>
      <c r="IX151" s="22"/>
      <c r="IY151" s="22"/>
      <c r="IZ151" s="22"/>
      <c r="JA151" s="22"/>
      <c r="JB151" s="22"/>
      <c r="JC151" s="22"/>
      <c r="JD151" s="22"/>
      <c r="JE151" s="22"/>
      <c r="JF151" s="22"/>
      <c r="JG151" s="22"/>
      <c r="JH151" s="22"/>
    </row>
    <row r="152" spans="1:268" x14ac:dyDescent="0.3">
      <c r="A152" s="22" t="s">
        <v>813</v>
      </c>
      <c r="B152" s="22">
        <v>250</v>
      </c>
      <c r="C152" s="22" t="s">
        <v>1048</v>
      </c>
      <c r="D152" s="22">
        <v>14</v>
      </c>
      <c r="E152" s="22" t="s">
        <v>387</v>
      </c>
      <c r="F152" s="22">
        <v>1920618510</v>
      </c>
      <c r="G152" s="22" t="s">
        <v>1049</v>
      </c>
      <c r="H152" s="22" t="s">
        <v>1048</v>
      </c>
      <c r="I152" s="22" t="s">
        <v>1035</v>
      </c>
      <c r="J152" s="22">
        <v>17</v>
      </c>
      <c r="K152" s="22" t="s">
        <v>406</v>
      </c>
      <c r="L152" s="22"/>
      <c r="M152" s="22" t="s">
        <v>345</v>
      </c>
      <c r="N152" s="22" t="s">
        <v>345</v>
      </c>
      <c r="O152" s="22" t="s">
        <v>344</v>
      </c>
      <c r="P152" s="22" t="s">
        <v>344</v>
      </c>
      <c r="Q152" s="22" t="s">
        <v>344</v>
      </c>
      <c r="R152" s="22"/>
      <c r="S152" s="22" t="s">
        <v>522</v>
      </c>
      <c r="T152" s="22"/>
      <c r="U152" s="22" t="s">
        <v>428</v>
      </c>
      <c r="V152" s="22"/>
      <c r="W152" s="22" t="s">
        <v>344</v>
      </c>
      <c r="X152" s="22" t="s">
        <v>345</v>
      </c>
      <c r="Y152" s="22" t="s">
        <v>344</v>
      </c>
      <c r="Z152" s="22" t="s">
        <v>344</v>
      </c>
      <c r="AA152" s="22" t="s">
        <v>344</v>
      </c>
      <c r="AB152" s="22" t="s">
        <v>344</v>
      </c>
      <c r="AC152" s="22" t="s">
        <v>344</v>
      </c>
      <c r="AD152" s="22" t="s">
        <v>344</v>
      </c>
      <c r="AE152" s="22" t="s">
        <v>345</v>
      </c>
      <c r="AF152" s="22" t="s">
        <v>344</v>
      </c>
      <c r="AG152" s="22" t="s">
        <v>344</v>
      </c>
      <c r="AH152" s="22" t="s">
        <v>344</v>
      </c>
      <c r="AI152" s="22" t="s">
        <v>344</v>
      </c>
      <c r="AJ152" s="22" t="s">
        <v>344</v>
      </c>
      <c r="AK152" s="22" t="s">
        <v>344</v>
      </c>
      <c r="AL152" s="22" t="s">
        <v>344</v>
      </c>
      <c r="AM152" s="22" t="s">
        <v>345</v>
      </c>
      <c r="AN152" s="22" t="s">
        <v>344</v>
      </c>
      <c r="AO152" s="22" t="s">
        <v>344</v>
      </c>
      <c r="AP152" s="22" t="s">
        <v>344</v>
      </c>
      <c r="AQ152" s="22" t="s">
        <v>344</v>
      </c>
      <c r="AR152" s="22" t="s">
        <v>344</v>
      </c>
      <c r="AS152" s="22" t="s">
        <v>345</v>
      </c>
      <c r="AT152" s="22" t="s">
        <v>344</v>
      </c>
      <c r="AU152" s="22" t="s">
        <v>344</v>
      </c>
      <c r="AV152" s="22" t="s">
        <v>344</v>
      </c>
      <c r="AW152" s="22" t="s">
        <v>344</v>
      </c>
      <c r="AX152" s="22" t="s">
        <v>344</v>
      </c>
      <c r="AY152" s="22" t="s">
        <v>733</v>
      </c>
      <c r="AZ152" s="22" t="s">
        <v>731</v>
      </c>
      <c r="BA152" s="22" t="s">
        <v>733</v>
      </c>
      <c r="BB152" s="22" t="s">
        <v>732</v>
      </c>
      <c r="BC152" s="22" t="s">
        <v>731</v>
      </c>
      <c r="BD152" s="22" t="s">
        <v>731</v>
      </c>
      <c r="BE152" s="22" t="s">
        <v>349</v>
      </c>
      <c r="BF152" s="22" t="s">
        <v>349</v>
      </c>
      <c r="BG152" s="22" t="s">
        <v>390</v>
      </c>
      <c r="BH152" s="22" t="s">
        <v>390</v>
      </c>
      <c r="BI152" s="22" t="s">
        <v>349</v>
      </c>
      <c r="BJ152" s="22" t="s">
        <v>391</v>
      </c>
      <c r="BK152" s="22" t="s">
        <v>354</v>
      </c>
      <c r="BL152" s="22" t="s">
        <v>351</v>
      </c>
      <c r="BM152" s="22" t="s">
        <v>391</v>
      </c>
      <c r="BN152" s="22" t="s">
        <v>391</v>
      </c>
      <c r="BO152" s="22" t="s">
        <v>391</v>
      </c>
      <c r="BP152" s="22" t="s">
        <v>391</v>
      </c>
      <c r="BQ152" s="22" t="s">
        <v>358</v>
      </c>
      <c r="BR152" s="22" t="s">
        <v>367</v>
      </c>
      <c r="BS152" s="22" t="s">
        <v>391</v>
      </c>
      <c r="BT152" s="22" t="s">
        <v>391</v>
      </c>
      <c r="BU152" s="22" t="s">
        <v>391</v>
      </c>
      <c r="BV152" s="22" t="s">
        <v>391</v>
      </c>
      <c r="BW152" s="22" t="s">
        <v>391</v>
      </c>
      <c r="BX152" s="22" t="s">
        <v>391</v>
      </c>
      <c r="BY152" s="22" t="s">
        <v>391</v>
      </c>
      <c r="BZ152" s="22" t="s">
        <v>391</v>
      </c>
      <c r="CA152" s="22" t="s">
        <v>391</v>
      </c>
      <c r="CB152" s="22" t="s">
        <v>391</v>
      </c>
      <c r="CC152" s="22" t="s">
        <v>391</v>
      </c>
      <c r="CD152" s="22" t="s">
        <v>391</v>
      </c>
      <c r="CE152" s="22" t="s">
        <v>391</v>
      </c>
      <c r="CF152" s="22" t="s">
        <v>391</v>
      </c>
      <c r="CG152" s="22" t="s">
        <v>420</v>
      </c>
      <c r="CH152" s="22" t="s">
        <v>421</v>
      </c>
      <c r="CI152" s="22" t="s">
        <v>420</v>
      </c>
      <c r="CJ152" s="22" t="s">
        <v>420</v>
      </c>
      <c r="CK152" s="22" t="s">
        <v>391</v>
      </c>
      <c r="CL152" s="22" t="s">
        <v>344</v>
      </c>
      <c r="CM152" s="22" t="s">
        <v>345</v>
      </c>
      <c r="CN152" s="22" t="s">
        <v>344</v>
      </c>
      <c r="CO152" s="22" t="s">
        <v>345</v>
      </c>
      <c r="CP152" s="22" t="s">
        <v>345</v>
      </c>
      <c r="CQ152" s="22" t="s">
        <v>344</v>
      </c>
      <c r="CR152" s="22" t="s">
        <v>829</v>
      </c>
      <c r="CS152" s="22">
        <v>19</v>
      </c>
      <c r="CT152" s="22">
        <v>93</v>
      </c>
      <c r="CU152" s="22">
        <v>48</v>
      </c>
      <c r="CV152" s="22">
        <v>11</v>
      </c>
      <c r="CW152" s="22" t="s">
        <v>364</v>
      </c>
      <c r="CX152" s="22" t="s">
        <v>363</v>
      </c>
      <c r="CY152" s="22" t="s">
        <v>396</v>
      </c>
      <c r="CZ152" s="22" t="s">
        <v>397</v>
      </c>
      <c r="DA152" s="22" t="s">
        <v>397</v>
      </c>
      <c r="DB152" s="22" t="s">
        <v>397</v>
      </c>
      <c r="DC152" s="22" t="s">
        <v>397</v>
      </c>
      <c r="DD152" s="22" t="s">
        <v>397</v>
      </c>
      <c r="DE152" s="22" t="s">
        <v>397</v>
      </c>
      <c r="DF152" s="22" t="s">
        <v>397</v>
      </c>
      <c r="DG152" s="22" t="s">
        <v>397</v>
      </c>
      <c r="DH152" s="22" t="s">
        <v>397</v>
      </c>
      <c r="DI152" s="22" t="s">
        <v>397</v>
      </c>
      <c r="DJ152" s="22"/>
      <c r="DK152" s="22" t="s">
        <v>367</v>
      </c>
      <c r="DL152" s="22" t="s">
        <v>368</v>
      </c>
      <c r="DM152" s="22" t="s">
        <v>368</v>
      </c>
      <c r="DN152" s="22" t="s">
        <v>368</v>
      </c>
      <c r="DO152" s="22" t="s">
        <v>368</v>
      </c>
      <c r="DP152" s="22" t="s">
        <v>344</v>
      </c>
      <c r="DQ152" s="22" t="s">
        <v>344</v>
      </c>
      <c r="DR152" s="22" t="s">
        <v>345</v>
      </c>
      <c r="DS152" s="22" t="s">
        <v>344</v>
      </c>
      <c r="DT152" s="22" t="s">
        <v>368</v>
      </c>
      <c r="DU152" s="22" t="s">
        <v>368</v>
      </c>
      <c r="DV152" s="22" t="s">
        <v>368</v>
      </c>
      <c r="DW152" s="22" t="s">
        <v>345</v>
      </c>
      <c r="DX152" s="22" t="s">
        <v>398</v>
      </c>
      <c r="DY152" s="22" t="s">
        <v>369</v>
      </c>
      <c r="DZ152" s="22" t="s">
        <v>369</v>
      </c>
      <c r="EA152" s="22" t="s">
        <v>399</v>
      </c>
      <c r="EB152" s="22" t="s">
        <v>369</v>
      </c>
      <c r="EC152" s="22" t="s">
        <v>369</v>
      </c>
      <c r="ED152" s="22" t="s">
        <v>369</v>
      </c>
      <c r="EE152" s="22" t="s">
        <v>370</v>
      </c>
      <c r="EF152" s="22" t="s">
        <v>370</v>
      </c>
      <c r="EG152" s="22" t="s">
        <v>369</v>
      </c>
      <c r="EH152" s="22" t="s">
        <v>370</v>
      </c>
      <c r="EI152" s="22" t="s">
        <v>370</v>
      </c>
      <c r="EJ152" s="22" t="s">
        <v>370</v>
      </c>
      <c r="EK152" s="22" t="s">
        <v>370</v>
      </c>
      <c r="EL152" s="22" t="s">
        <v>374</v>
      </c>
      <c r="EM152" s="22" t="s">
        <v>373</v>
      </c>
      <c r="EN152" s="22" t="s">
        <v>372</v>
      </c>
      <c r="EO152" s="22"/>
      <c r="EP152" s="22"/>
      <c r="EQ152" s="22" t="s">
        <v>376</v>
      </c>
      <c r="ER152" s="22" t="s">
        <v>375</v>
      </c>
      <c r="ES152" s="22" t="s">
        <v>376</v>
      </c>
      <c r="ET152" s="22" t="s">
        <v>375</v>
      </c>
      <c r="EU152" s="22" t="s">
        <v>375</v>
      </c>
      <c r="EV152" s="22" t="s">
        <v>400</v>
      </c>
      <c r="EW152" s="22"/>
      <c r="EX152" s="22" t="s">
        <v>368</v>
      </c>
      <c r="EY152" s="22" t="s">
        <v>368</v>
      </c>
      <c r="EZ152" s="22" t="s">
        <v>368</v>
      </c>
      <c r="FA152" s="22" t="s">
        <v>345</v>
      </c>
      <c r="FB152" s="22" t="s">
        <v>401</v>
      </c>
      <c r="FC152" s="22"/>
      <c r="FD152" s="22" t="s">
        <v>401</v>
      </c>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t="s">
        <v>368</v>
      </c>
      <c r="GB152" s="22" t="s">
        <v>368</v>
      </c>
      <c r="GC152" s="22" t="s">
        <v>368</v>
      </c>
      <c r="GD152" s="22" t="s">
        <v>368</v>
      </c>
      <c r="GE152" s="22" t="s">
        <v>368</v>
      </c>
      <c r="GF152" s="22" t="s">
        <v>368</v>
      </c>
      <c r="GG152" s="22"/>
      <c r="GH152" s="22"/>
      <c r="GI152" s="22"/>
      <c r="GJ152" s="22"/>
      <c r="GK152" s="22"/>
      <c r="GL152" s="22" t="s">
        <v>344</v>
      </c>
      <c r="GM152" s="22" t="s">
        <v>344</v>
      </c>
      <c r="GN152" s="22" t="s">
        <v>344</v>
      </c>
      <c r="GO152" s="22" t="s">
        <v>345</v>
      </c>
      <c r="GP152" s="22" t="s">
        <v>344</v>
      </c>
      <c r="GQ152" s="22" t="s">
        <v>344</v>
      </c>
      <c r="GR152" s="22" t="s">
        <v>344</v>
      </c>
      <c r="GS152" s="22" t="s">
        <v>344</v>
      </c>
      <c r="GT152" s="22" t="s">
        <v>344</v>
      </c>
      <c r="GU152" s="22" t="s">
        <v>344</v>
      </c>
      <c r="GV152" s="22" t="s">
        <v>344</v>
      </c>
      <c r="GW152" s="22" t="s">
        <v>344</v>
      </c>
      <c r="GX152" s="22" t="s">
        <v>344</v>
      </c>
      <c r="GY152" s="22" t="s">
        <v>344</v>
      </c>
      <c r="GZ152" s="22" t="s">
        <v>344</v>
      </c>
      <c r="HA152" s="22"/>
      <c r="HB152" s="22" t="s">
        <v>344</v>
      </c>
      <c r="HC152" s="22"/>
      <c r="HD152" s="22" t="s">
        <v>344</v>
      </c>
      <c r="HE152" s="22"/>
      <c r="HF152" s="22" t="s">
        <v>344</v>
      </c>
      <c r="HG152" s="22"/>
      <c r="HH152" s="22" t="s">
        <v>344</v>
      </c>
      <c r="HI152" s="22"/>
      <c r="HJ152" s="22" t="s">
        <v>344</v>
      </c>
      <c r="HK152" s="22" t="s">
        <v>344</v>
      </c>
      <c r="HL152" s="22" t="s">
        <v>344</v>
      </c>
      <c r="HM152" s="22" t="s">
        <v>344</v>
      </c>
      <c r="HN152" s="22" t="s">
        <v>344</v>
      </c>
      <c r="HO152" s="22" t="s">
        <v>344</v>
      </c>
      <c r="HP152" s="22" t="s">
        <v>344</v>
      </c>
      <c r="HQ152" s="22" t="s">
        <v>344</v>
      </c>
      <c r="HR152" s="22" t="s">
        <v>344</v>
      </c>
      <c r="HS152" s="22" t="s">
        <v>344</v>
      </c>
      <c r="HT152" s="22" t="s">
        <v>344</v>
      </c>
      <c r="HU152" s="22" t="s">
        <v>344</v>
      </c>
      <c r="HV152" s="22" t="s">
        <v>344</v>
      </c>
      <c r="HW152" s="22" t="s">
        <v>344</v>
      </c>
      <c r="HX152" s="22" t="s">
        <v>345</v>
      </c>
      <c r="HY152" s="22"/>
      <c r="HZ152" s="22" t="s">
        <v>344</v>
      </c>
      <c r="IA152" s="22"/>
      <c r="IB152" s="22" t="s">
        <v>344</v>
      </c>
      <c r="IC152" s="22"/>
      <c r="ID152" s="22" t="s">
        <v>344</v>
      </c>
      <c r="IE152" s="22"/>
      <c r="IF152" s="22" t="s">
        <v>344</v>
      </c>
      <c r="IG152" s="22"/>
      <c r="IH152" s="22" t="s">
        <v>345</v>
      </c>
      <c r="II152" s="22" t="s">
        <v>345</v>
      </c>
      <c r="IJ152" s="22" t="s">
        <v>344</v>
      </c>
      <c r="IK152" s="22" t="s">
        <v>344</v>
      </c>
      <c r="IL152" s="22" t="s">
        <v>345</v>
      </c>
      <c r="IM152" s="22" t="s">
        <v>345</v>
      </c>
      <c r="IN152" s="22" t="s">
        <v>344</v>
      </c>
      <c r="IO152" s="22" t="s">
        <v>345</v>
      </c>
      <c r="IP152" s="22" t="s">
        <v>344</v>
      </c>
      <c r="IQ152" s="22" t="s">
        <v>344</v>
      </c>
      <c r="IR152" s="22" t="s">
        <v>344</v>
      </c>
      <c r="IS152" s="22" t="s">
        <v>344</v>
      </c>
      <c r="IT152" s="22"/>
      <c r="IU152" s="22"/>
      <c r="IV152" s="22"/>
      <c r="IW152" s="22"/>
      <c r="IX152" s="22"/>
      <c r="IY152" s="22"/>
      <c r="IZ152" s="22"/>
      <c r="JA152" s="22"/>
      <c r="JB152" s="22"/>
      <c r="JC152" s="22"/>
      <c r="JD152" s="22"/>
      <c r="JE152" s="22"/>
      <c r="JF152" s="22"/>
      <c r="JG152" s="22"/>
      <c r="JH152" s="22"/>
    </row>
    <row r="153" spans="1:268" x14ac:dyDescent="0.3">
      <c r="A153" s="22" t="s">
        <v>813</v>
      </c>
      <c r="B153" s="22">
        <v>251</v>
      </c>
      <c r="C153" s="22" t="s">
        <v>1050</v>
      </c>
      <c r="D153" s="22">
        <v>14</v>
      </c>
      <c r="E153" s="22" t="s">
        <v>387</v>
      </c>
      <c r="F153" s="22">
        <v>2125293855</v>
      </c>
      <c r="G153" s="22" t="s">
        <v>1051</v>
      </c>
      <c r="H153" s="22" t="s">
        <v>1050</v>
      </c>
      <c r="I153" s="22" t="s">
        <v>1035</v>
      </c>
      <c r="J153" s="22">
        <v>17</v>
      </c>
      <c r="K153" s="22" t="s">
        <v>406</v>
      </c>
      <c r="L153" s="22"/>
      <c r="M153" s="22" t="s">
        <v>345</v>
      </c>
      <c r="N153" s="22" t="s">
        <v>345</v>
      </c>
      <c r="O153" s="22" t="s">
        <v>344</v>
      </c>
      <c r="P153" s="22" t="s">
        <v>344</v>
      </c>
      <c r="Q153" s="22" t="s">
        <v>344</v>
      </c>
      <c r="R153" s="22"/>
      <c r="S153" s="22" t="s">
        <v>522</v>
      </c>
      <c r="T153" s="22"/>
      <c r="U153" s="22" t="s">
        <v>428</v>
      </c>
      <c r="V153" s="22"/>
      <c r="W153" s="22" t="s">
        <v>344</v>
      </c>
      <c r="X153" s="22" t="s">
        <v>345</v>
      </c>
      <c r="Y153" s="22" t="s">
        <v>344</v>
      </c>
      <c r="Z153" s="22" t="s">
        <v>344</v>
      </c>
      <c r="AA153" s="22" t="s">
        <v>344</v>
      </c>
      <c r="AB153" s="22" t="s">
        <v>345</v>
      </c>
      <c r="AC153" s="22" t="s">
        <v>344</v>
      </c>
      <c r="AD153" s="22" t="s">
        <v>344</v>
      </c>
      <c r="AE153" s="22" t="s">
        <v>345</v>
      </c>
      <c r="AF153" s="22" t="s">
        <v>344</v>
      </c>
      <c r="AG153" s="22" t="s">
        <v>344</v>
      </c>
      <c r="AH153" s="22" t="s">
        <v>344</v>
      </c>
      <c r="AI153" s="22" t="s">
        <v>345</v>
      </c>
      <c r="AJ153" s="22" t="s">
        <v>344</v>
      </c>
      <c r="AK153" s="22" t="s">
        <v>345</v>
      </c>
      <c r="AL153" s="22" t="s">
        <v>344</v>
      </c>
      <c r="AM153" s="22" t="s">
        <v>344</v>
      </c>
      <c r="AN153" s="22" t="s">
        <v>344</v>
      </c>
      <c r="AO153" s="22" t="s">
        <v>344</v>
      </c>
      <c r="AP153" s="22" t="s">
        <v>344</v>
      </c>
      <c r="AQ153" s="22" t="s">
        <v>344</v>
      </c>
      <c r="AR153" s="22" t="s">
        <v>345</v>
      </c>
      <c r="AS153" s="22" t="s">
        <v>344</v>
      </c>
      <c r="AT153" s="22" t="s">
        <v>344</v>
      </c>
      <c r="AU153" s="22" t="s">
        <v>345</v>
      </c>
      <c r="AV153" s="22" t="s">
        <v>344</v>
      </c>
      <c r="AW153" s="22" t="s">
        <v>345</v>
      </c>
      <c r="AX153" s="22" t="s">
        <v>344</v>
      </c>
      <c r="AY153" s="22" t="s">
        <v>731</v>
      </c>
      <c r="AZ153" s="22" t="s">
        <v>733</v>
      </c>
      <c r="BA153" s="22" t="s">
        <v>733</v>
      </c>
      <c r="BB153" s="22" t="s">
        <v>731</v>
      </c>
      <c r="BC153" s="22" t="s">
        <v>731</v>
      </c>
      <c r="BD153" s="22" t="s">
        <v>732</v>
      </c>
      <c r="BE153" s="22" t="s">
        <v>348</v>
      </c>
      <c r="BF153" s="22" t="s">
        <v>348</v>
      </c>
      <c r="BG153" s="22" t="s">
        <v>349</v>
      </c>
      <c r="BH153" s="22" t="s">
        <v>348</v>
      </c>
      <c r="BI153" s="22" t="s">
        <v>348</v>
      </c>
      <c r="BJ153" s="22" t="s">
        <v>391</v>
      </c>
      <c r="BK153" s="22" t="s">
        <v>391</v>
      </c>
      <c r="BL153" s="22" t="s">
        <v>391</v>
      </c>
      <c r="BM153" s="22" t="s">
        <v>391</v>
      </c>
      <c r="BN153" s="22" t="s">
        <v>391</v>
      </c>
      <c r="BO153" s="22" t="s">
        <v>391</v>
      </c>
      <c r="BP153" s="22" t="s">
        <v>391</v>
      </c>
      <c r="BQ153" s="22" t="s">
        <v>358</v>
      </c>
      <c r="BR153" s="22" t="s">
        <v>408</v>
      </c>
      <c r="BS153" s="22" t="s">
        <v>391</v>
      </c>
      <c r="BT153" s="22" t="s">
        <v>391</v>
      </c>
      <c r="BU153" s="22" t="s">
        <v>391</v>
      </c>
      <c r="BV153" s="22" t="s">
        <v>391</v>
      </c>
      <c r="BW153" s="22" t="s">
        <v>391</v>
      </c>
      <c r="BX153" s="22" t="s">
        <v>391</v>
      </c>
      <c r="BY153" s="22" t="s">
        <v>391</v>
      </c>
      <c r="BZ153" s="22" t="s">
        <v>391</v>
      </c>
      <c r="CA153" s="22" t="s">
        <v>391</v>
      </c>
      <c r="CB153" s="22" t="s">
        <v>391</v>
      </c>
      <c r="CC153" s="22" t="s">
        <v>391</v>
      </c>
      <c r="CD153" s="22" t="s">
        <v>391</v>
      </c>
      <c r="CE153" s="22" t="s">
        <v>391</v>
      </c>
      <c r="CF153" s="22" t="s">
        <v>391</v>
      </c>
      <c r="CG153" s="22" t="s">
        <v>392</v>
      </c>
      <c r="CH153" s="22" t="s">
        <v>392</v>
      </c>
      <c r="CI153" s="22" t="s">
        <v>420</v>
      </c>
      <c r="CJ153" s="22" t="s">
        <v>392</v>
      </c>
      <c r="CK153" s="22"/>
      <c r="CL153" s="22" t="s">
        <v>344</v>
      </c>
      <c r="CM153" s="22" t="s">
        <v>344</v>
      </c>
      <c r="CN153" s="22" t="s">
        <v>344</v>
      </c>
      <c r="CO153" s="22" t="s">
        <v>345</v>
      </c>
      <c r="CP153" s="22" t="s">
        <v>345</v>
      </c>
      <c r="CQ153" s="22" t="s">
        <v>344</v>
      </c>
      <c r="CR153" s="22" t="s">
        <v>655</v>
      </c>
      <c r="CS153" s="22">
        <v>81</v>
      </c>
      <c r="CT153" s="22">
        <v>75</v>
      </c>
      <c r="CU153" s="22">
        <v>8</v>
      </c>
      <c r="CV153" s="22">
        <v>1</v>
      </c>
      <c r="CW153" s="22" t="s">
        <v>363</v>
      </c>
      <c r="CX153" s="22" t="s">
        <v>363</v>
      </c>
      <c r="CY153" s="22" t="s">
        <v>396</v>
      </c>
      <c r="CZ153" s="22" t="s">
        <v>397</v>
      </c>
      <c r="DA153" s="22" t="s">
        <v>397</v>
      </c>
      <c r="DB153" s="22" t="s">
        <v>397</v>
      </c>
      <c r="DC153" s="22" t="s">
        <v>365</v>
      </c>
      <c r="DD153" s="22" t="s">
        <v>423</v>
      </c>
      <c r="DE153" s="22" t="s">
        <v>397</v>
      </c>
      <c r="DF153" s="22" t="s">
        <v>397</v>
      </c>
      <c r="DG153" s="22" t="s">
        <v>366</v>
      </c>
      <c r="DH153" s="22" t="s">
        <v>365</v>
      </c>
      <c r="DI153" s="22" t="s">
        <v>423</v>
      </c>
      <c r="DJ153" s="22"/>
      <c r="DK153" s="22" t="s">
        <v>367</v>
      </c>
      <c r="DL153" s="22" t="s">
        <v>368</v>
      </c>
      <c r="DM153" s="22" t="s">
        <v>368</v>
      </c>
      <c r="DN153" s="22" t="s">
        <v>368</v>
      </c>
      <c r="DO153" s="22" t="s">
        <v>368</v>
      </c>
      <c r="DP153" s="22" t="s">
        <v>344</v>
      </c>
      <c r="DQ153" s="22" t="s">
        <v>345</v>
      </c>
      <c r="DR153" s="22" t="s">
        <v>345</v>
      </c>
      <c r="DS153" s="22" t="s">
        <v>344</v>
      </c>
      <c r="DT153" s="22" t="s">
        <v>345</v>
      </c>
      <c r="DU153" s="22" t="s">
        <v>345</v>
      </c>
      <c r="DV153" s="22" t="s">
        <v>345</v>
      </c>
      <c r="DW153" s="22" t="s">
        <v>344</v>
      </c>
      <c r="DX153" s="22" t="s">
        <v>371</v>
      </c>
      <c r="DY153" s="22" t="s">
        <v>370</v>
      </c>
      <c r="DZ153" s="22" t="s">
        <v>370</v>
      </c>
      <c r="EA153" s="22" t="s">
        <v>371</v>
      </c>
      <c r="EB153" s="22" t="s">
        <v>369</v>
      </c>
      <c r="EC153" s="22" t="s">
        <v>369</v>
      </c>
      <c r="ED153" s="22" t="s">
        <v>399</v>
      </c>
      <c r="EE153" s="22" t="s">
        <v>370</v>
      </c>
      <c r="EF153" s="22" t="s">
        <v>370</v>
      </c>
      <c r="EG153" s="22" t="s">
        <v>398</v>
      </c>
      <c r="EH153" s="22" t="s">
        <v>370</v>
      </c>
      <c r="EI153" s="22" t="s">
        <v>398</v>
      </c>
      <c r="EJ153" s="22" t="s">
        <v>370</v>
      </c>
      <c r="EK153" s="22" t="s">
        <v>370</v>
      </c>
      <c r="EL153" s="22" t="s">
        <v>374</v>
      </c>
      <c r="EM153" s="22" t="s">
        <v>373</v>
      </c>
      <c r="EN153" s="22" t="s">
        <v>372</v>
      </c>
      <c r="EO153" s="22"/>
      <c r="EP153" s="22"/>
      <c r="EQ153" s="22" t="s">
        <v>376</v>
      </c>
      <c r="ER153" s="22" t="s">
        <v>375</v>
      </c>
      <c r="ES153" s="22" t="s">
        <v>376</v>
      </c>
      <c r="ET153" s="22" t="s">
        <v>376</v>
      </c>
      <c r="EU153" s="22" t="s">
        <v>375</v>
      </c>
      <c r="EV153" s="22" t="s">
        <v>400</v>
      </c>
      <c r="EW153" s="22"/>
      <c r="EX153" s="167" t="s">
        <v>345</v>
      </c>
      <c r="EY153" s="167" t="s">
        <v>345</v>
      </c>
      <c r="EZ153" s="167" t="s">
        <v>344</v>
      </c>
      <c r="FA153" s="22" t="s">
        <v>344</v>
      </c>
      <c r="FB153" s="22" t="s">
        <v>401</v>
      </c>
      <c r="FC153" s="22"/>
      <c r="FD153" s="22" t="s">
        <v>401</v>
      </c>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t="s">
        <v>368</v>
      </c>
      <c r="GB153" s="22" t="s">
        <v>368</v>
      </c>
      <c r="GC153" s="22" t="s">
        <v>368</v>
      </c>
      <c r="GD153" s="22" t="s">
        <v>368</v>
      </c>
      <c r="GE153" s="22" t="s">
        <v>368</v>
      </c>
      <c r="GF153" s="22" t="s">
        <v>368</v>
      </c>
      <c r="GG153" s="22"/>
      <c r="GH153" s="22"/>
      <c r="GI153" s="22"/>
      <c r="GJ153" s="22"/>
      <c r="GK153" s="22"/>
      <c r="GL153" s="22" t="s">
        <v>344</v>
      </c>
      <c r="GM153" s="22" t="s">
        <v>344</v>
      </c>
      <c r="GN153" s="22" t="s">
        <v>344</v>
      </c>
      <c r="GO153" s="22" t="s">
        <v>344</v>
      </c>
      <c r="GP153" s="22" t="s">
        <v>344</v>
      </c>
      <c r="GQ153" s="22" t="s">
        <v>344</v>
      </c>
      <c r="GR153" s="22" t="s">
        <v>344</v>
      </c>
      <c r="GS153" s="22" t="s">
        <v>344</v>
      </c>
      <c r="GT153" s="22" t="s">
        <v>344</v>
      </c>
      <c r="GU153" s="22" t="s">
        <v>344</v>
      </c>
      <c r="GV153" s="22" t="s">
        <v>344</v>
      </c>
      <c r="GW153" s="22" t="s">
        <v>344</v>
      </c>
      <c r="GX153" s="22" t="s">
        <v>344</v>
      </c>
      <c r="GY153" s="22" t="s">
        <v>344</v>
      </c>
      <c r="GZ153" s="22" t="s">
        <v>345</v>
      </c>
      <c r="HA153" s="22"/>
      <c r="HB153" s="22" t="s">
        <v>344</v>
      </c>
      <c r="HC153" s="22"/>
      <c r="HD153" s="22" t="s">
        <v>344</v>
      </c>
      <c r="HE153" s="22"/>
      <c r="HF153" s="22" t="s">
        <v>344</v>
      </c>
      <c r="HG153" s="22"/>
      <c r="HH153" s="22" t="s">
        <v>344</v>
      </c>
      <c r="HI153" s="22"/>
      <c r="HJ153" s="22" t="s">
        <v>345</v>
      </c>
      <c r="HK153" s="22" t="s">
        <v>344</v>
      </c>
      <c r="HL153" s="22" t="s">
        <v>344</v>
      </c>
      <c r="HM153" s="22" t="s">
        <v>345</v>
      </c>
      <c r="HN153" s="22" t="s">
        <v>344</v>
      </c>
      <c r="HO153" s="22" t="s">
        <v>344</v>
      </c>
      <c r="HP153" s="22" t="s">
        <v>344</v>
      </c>
      <c r="HQ153" s="22" t="s">
        <v>344</v>
      </c>
      <c r="HR153" s="22" t="s">
        <v>344</v>
      </c>
      <c r="HS153" s="22" t="s">
        <v>344</v>
      </c>
      <c r="HT153" s="22" t="s">
        <v>344</v>
      </c>
      <c r="HU153" s="22" t="s">
        <v>344</v>
      </c>
      <c r="HV153" s="22" t="s">
        <v>344</v>
      </c>
      <c r="HW153" s="22" t="s">
        <v>344</v>
      </c>
      <c r="HX153" s="22" t="s">
        <v>344</v>
      </c>
      <c r="HY153" s="22" t="s">
        <v>1052</v>
      </c>
      <c r="HZ153" s="22" t="s">
        <v>344</v>
      </c>
      <c r="IA153" s="22"/>
      <c r="IB153" s="22" t="s">
        <v>344</v>
      </c>
      <c r="IC153" s="22"/>
      <c r="ID153" s="22" t="s">
        <v>344</v>
      </c>
      <c r="IE153" s="22"/>
      <c r="IF153" s="22" t="s">
        <v>344</v>
      </c>
      <c r="IG153" s="22"/>
      <c r="IH153" s="22" t="s">
        <v>345</v>
      </c>
      <c r="II153" s="22" t="s">
        <v>345</v>
      </c>
      <c r="IJ153" s="22" t="s">
        <v>344</v>
      </c>
      <c r="IK153" s="22" t="s">
        <v>344</v>
      </c>
      <c r="IL153" s="22" t="s">
        <v>345</v>
      </c>
      <c r="IM153" s="22" t="s">
        <v>345</v>
      </c>
      <c r="IN153" s="22" t="s">
        <v>344</v>
      </c>
      <c r="IO153" s="22" t="s">
        <v>345</v>
      </c>
      <c r="IP153" s="22" t="s">
        <v>344</v>
      </c>
      <c r="IQ153" s="22" t="s">
        <v>344</v>
      </c>
      <c r="IR153" s="22" t="s">
        <v>344</v>
      </c>
      <c r="IS153" s="22" t="s">
        <v>344</v>
      </c>
      <c r="IT153" s="22" t="s">
        <v>1053</v>
      </c>
      <c r="IU153" s="22"/>
      <c r="IV153" s="22"/>
      <c r="IW153" s="22"/>
      <c r="IX153" s="22"/>
      <c r="IY153" s="22"/>
      <c r="IZ153" s="22"/>
      <c r="JA153" s="22"/>
      <c r="JB153" s="22"/>
      <c r="JC153" s="22"/>
      <c r="JD153" s="22"/>
      <c r="JE153" s="22"/>
      <c r="JF153" s="22"/>
      <c r="JG153" s="22"/>
      <c r="JH153" s="22"/>
    </row>
    <row r="154" spans="1:268" x14ac:dyDescent="0.3">
      <c r="A154" s="22" t="s">
        <v>813</v>
      </c>
      <c r="B154" s="22">
        <v>252</v>
      </c>
      <c r="C154" s="22" t="s">
        <v>1054</v>
      </c>
      <c r="D154" s="22">
        <v>14</v>
      </c>
      <c r="E154" s="22" t="s">
        <v>387</v>
      </c>
      <c r="F154" s="22">
        <v>1066458597</v>
      </c>
      <c r="G154" s="22" t="s">
        <v>1055</v>
      </c>
      <c r="H154" s="22" t="s">
        <v>1054</v>
      </c>
      <c r="I154" s="22" t="s">
        <v>1035</v>
      </c>
      <c r="J154" s="22">
        <v>17</v>
      </c>
      <c r="K154" s="22" t="s">
        <v>406</v>
      </c>
      <c r="L154" s="22"/>
      <c r="M154" s="22" t="s">
        <v>345</v>
      </c>
      <c r="N154" s="22" t="s">
        <v>345</v>
      </c>
      <c r="O154" s="22" t="s">
        <v>344</v>
      </c>
      <c r="P154" s="22" t="s">
        <v>344</v>
      </c>
      <c r="Q154" s="22" t="s">
        <v>344</v>
      </c>
      <c r="R154" s="22"/>
      <c r="S154" s="22" t="s">
        <v>522</v>
      </c>
      <c r="T154" s="22"/>
      <c r="U154" s="22" t="s">
        <v>347</v>
      </c>
      <c r="V154" s="22"/>
      <c r="W154" s="22" t="s">
        <v>344</v>
      </c>
      <c r="X154" s="22" t="s">
        <v>345</v>
      </c>
      <c r="Y154" s="22" t="s">
        <v>344</v>
      </c>
      <c r="Z154" s="22" t="s">
        <v>344</v>
      </c>
      <c r="AA154" s="22" t="s">
        <v>344</v>
      </c>
      <c r="AB154" s="22" t="s">
        <v>344</v>
      </c>
      <c r="AC154" s="22" t="s">
        <v>344</v>
      </c>
      <c r="AD154" s="22" t="s">
        <v>345</v>
      </c>
      <c r="AE154" s="22" t="s">
        <v>345</v>
      </c>
      <c r="AF154" s="22" t="s">
        <v>345</v>
      </c>
      <c r="AG154" s="22" t="s">
        <v>344</v>
      </c>
      <c r="AH154" s="22" t="s">
        <v>345</v>
      </c>
      <c r="AI154" s="22" t="s">
        <v>344</v>
      </c>
      <c r="AJ154" s="22" t="s">
        <v>344</v>
      </c>
      <c r="AK154" s="22" t="s">
        <v>345</v>
      </c>
      <c r="AL154" s="22" t="s">
        <v>344</v>
      </c>
      <c r="AM154" s="22" t="s">
        <v>344</v>
      </c>
      <c r="AN154" s="22" t="s">
        <v>344</v>
      </c>
      <c r="AO154" s="22" t="s">
        <v>344</v>
      </c>
      <c r="AP154" s="22" t="s">
        <v>344</v>
      </c>
      <c r="AQ154" s="22" t="s">
        <v>344</v>
      </c>
      <c r="AR154" s="22" t="s">
        <v>345</v>
      </c>
      <c r="AS154" s="22" t="s">
        <v>345</v>
      </c>
      <c r="AT154" s="22" t="s">
        <v>345</v>
      </c>
      <c r="AU154" s="22" t="s">
        <v>345</v>
      </c>
      <c r="AV154" s="22" t="s">
        <v>345</v>
      </c>
      <c r="AW154" s="22" t="s">
        <v>345</v>
      </c>
      <c r="AX154" s="22" t="s">
        <v>344</v>
      </c>
      <c r="AY154" s="22" t="s">
        <v>733</v>
      </c>
      <c r="AZ154" s="22" t="s">
        <v>732</v>
      </c>
      <c r="BA154" s="22" t="s">
        <v>731</v>
      </c>
      <c r="BB154" s="22" t="s">
        <v>733</v>
      </c>
      <c r="BC154" s="22" t="s">
        <v>733</v>
      </c>
      <c r="BD154" s="22" t="s">
        <v>733</v>
      </c>
      <c r="BE154" s="22" t="s">
        <v>349</v>
      </c>
      <c r="BF154" s="22" t="s">
        <v>348</v>
      </c>
      <c r="BG154" s="22" t="s">
        <v>349</v>
      </c>
      <c r="BH154" s="22" t="s">
        <v>349</v>
      </c>
      <c r="BI154" s="22" t="s">
        <v>348</v>
      </c>
      <c r="BJ154" s="22" t="s">
        <v>355</v>
      </c>
      <c r="BK154" s="22" t="s">
        <v>351</v>
      </c>
      <c r="BL154" s="22" t="s">
        <v>356</v>
      </c>
      <c r="BM154" s="22" t="s">
        <v>353</v>
      </c>
      <c r="BN154" s="22" t="s">
        <v>352</v>
      </c>
      <c r="BO154" s="22" t="s">
        <v>354</v>
      </c>
      <c r="BP154" s="22" t="s">
        <v>354</v>
      </c>
      <c r="BQ154" s="22" t="s">
        <v>455</v>
      </c>
      <c r="BR154" s="22" t="s">
        <v>408</v>
      </c>
      <c r="BS154" s="22" t="s">
        <v>391</v>
      </c>
      <c r="BT154" s="22" t="s">
        <v>391</v>
      </c>
      <c r="BU154" s="22" t="s">
        <v>391</v>
      </c>
      <c r="BV154" s="22" t="s">
        <v>391</v>
      </c>
      <c r="BW154" s="22" t="s">
        <v>391</v>
      </c>
      <c r="BX154" s="22" t="s">
        <v>391</v>
      </c>
      <c r="BY154" s="22" t="s">
        <v>391</v>
      </c>
      <c r="BZ154" s="22" t="s">
        <v>391</v>
      </c>
      <c r="CA154" s="22" t="s">
        <v>391</v>
      </c>
      <c r="CB154" s="22" t="s">
        <v>391</v>
      </c>
      <c r="CC154" s="22" t="s">
        <v>391</v>
      </c>
      <c r="CD154" s="22" t="s">
        <v>391</v>
      </c>
      <c r="CE154" s="22" t="s">
        <v>391</v>
      </c>
      <c r="CF154" s="22" t="s">
        <v>391</v>
      </c>
      <c r="CG154" s="22" t="s">
        <v>393</v>
      </c>
      <c r="CH154" s="22" t="s">
        <v>393</v>
      </c>
      <c r="CI154" s="22" t="s">
        <v>393</v>
      </c>
      <c r="CJ154" s="22" t="s">
        <v>360</v>
      </c>
      <c r="CK154" s="22" t="s">
        <v>1056</v>
      </c>
      <c r="CL154" s="22" t="s">
        <v>344</v>
      </c>
      <c r="CM154" s="22" t="s">
        <v>344</v>
      </c>
      <c r="CN154" s="22" t="s">
        <v>345</v>
      </c>
      <c r="CO154" s="22" t="s">
        <v>345</v>
      </c>
      <c r="CP154" s="22" t="s">
        <v>345</v>
      </c>
      <c r="CQ154" s="22" t="s">
        <v>345</v>
      </c>
      <c r="CR154" s="22" t="s">
        <v>667</v>
      </c>
      <c r="CS154" s="22">
        <v>12</v>
      </c>
      <c r="CT154" s="22">
        <v>87</v>
      </c>
      <c r="CU154" s="22">
        <v>92</v>
      </c>
      <c r="CV154" s="22">
        <v>22</v>
      </c>
      <c r="CW154" s="22" t="s">
        <v>363</v>
      </c>
      <c r="CX154" s="22" t="s">
        <v>396</v>
      </c>
      <c r="CY154" s="22" t="s">
        <v>396</v>
      </c>
      <c r="CZ154" s="22" t="s">
        <v>397</v>
      </c>
      <c r="DA154" s="22" t="s">
        <v>397</v>
      </c>
      <c r="DB154" s="22" t="s">
        <v>397</v>
      </c>
      <c r="DC154" s="22" t="s">
        <v>397</v>
      </c>
      <c r="DD154" s="22" t="s">
        <v>397</v>
      </c>
      <c r="DE154" s="22" t="s">
        <v>365</v>
      </c>
      <c r="DF154" s="22" t="s">
        <v>365</v>
      </c>
      <c r="DG154" s="22" t="s">
        <v>365</v>
      </c>
      <c r="DH154" s="22" t="s">
        <v>365</v>
      </c>
      <c r="DI154" s="22" t="s">
        <v>365</v>
      </c>
      <c r="DJ154" s="22" t="s">
        <v>1057</v>
      </c>
      <c r="DK154" s="22" t="s">
        <v>367</v>
      </c>
      <c r="DL154" s="22" t="s">
        <v>368</v>
      </c>
      <c r="DM154" s="22" t="s">
        <v>368</v>
      </c>
      <c r="DN154" s="22" t="s">
        <v>368</v>
      </c>
      <c r="DO154" s="22" t="s">
        <v>368</v>
      </c>
      <c r="DP154" s="22" t="s">
        <v>345</v>
      </c>
      <c r="DQ154" s="22" t="s">
        <v>345</v>
      </c>
      <c r="DR154" s="22" t="s">
        <v>345</v>
      </c>
      <c r="DS154" s="22" t="s">
        <v>344</v>
      </c>
      <c r="DT154" s="22" t="s">
        <v>345</v>
      </c>
      <c r="DU154" s="22" t="s">
        <v>345</v>
      </c>
      <c r="DV154" s="22" t="s">
        <v>345</v>
      </c>
      <c r="DW154" s="22" t="s">
        <v>344</v>
      </c>
      <c r="DX154" s="22" t="s">
        <v>370</v>
      </c>
      <c r="DY154" s="22" t="s">
        <v>370</v>
      </c>
      <c r="DZ154" s="22" t="s">
        <v>370</v>
      </c>
      <c r="EA154" s="22" t="s">
        <v>370</v>
      </c>
      <c r="EB154" s="22" t="s">
        <v>370</v>
      </c>
      <c r="EC154" s="22" t="s">
        <v>370</v>
      </c>
      <c r="ED154" s="22" t="s">
        <v>370</v>
      </c>
      <c r="EE154" s="22" t="s">
        <v>370</v>
      </c>
      <c r="EF154" s="22" t="s">
        <v>370</v>
      </c>
      <c r="EG154" s="22" t="s">
        <v>370</v>
      </c>
      <c r="EH154" s="22" t="s">
        <v>370</v>
      </c>
      <c r="EI154" s="22" t="s">
        <v>370</v>
      </c>
      <c r="EJ154" s="22" t="s">
        <v>370</v>
      </c>
      <c r="EK154" s="22" t="s">
        <v>370</v>
      </c>
      <c r="EL154" s="22" t="s">
        <v>373</v>
      </c>
      <c r="EM154" s="22" t="s">
        <v>424</v>
      </c>
      <c r="EN154" s="22" t="s">
        <v>374</v>
      </c>
      <c r="EO154" s="22"/>
      <c r="EP154" s="22"/>
      <c r="EQ154" s="22" t="s">
        <v>375</v>
      </c>
      <c r="ER154" s="22" t="s">
        <v>375</v>
      </c>
      <c r="ES154" s="22" t="s">
        <v>376</v>
      </c>
      <c r="ET154" s="22" t="s">
        <v>375</v>
      </c>
      <c r="EU154" s="22" t="s">
        <v>375</v>
      </c>
      <c r="EV154" s="22" t="s">
        <v>400</v>
      </c>
      <c r="EW154" s="22"/>
      <c r="EX154" s="22" t="s">
        <v>368</v>
      </c>
      <c r="EY154" s="22" t="s">
        <v>368</v>
      </c>
      <c r="EZ154" s="22" t="s">
        <v>368</v>
      </c>
      <c r="FA154" s="22" t="s">
        <v>345</v>
      </c>
      <c r="FB154" s="22" t="s">
        <v>381</v>
      </c>
      <c r="FC154" s="22"/>
      <c r="FD154" s="22" t="s">
        <v>381</v>
      </c>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t="s">
        <v>368</v>
      </c>
      <c r="GB154" s="22" t="s">
        <v>368</v>
      </c>
      <c r="GC154" s="22" t="s">
        <v>368</v>
      </c>
      <c r="GD154" s="22" t="s">
        <v>368</v>
      </c>
      <c r="GE154" s="22" t="s">
        <v>368</v>
      </c>
      <c r="GF154" s="22" t="s">
        <v>368</v>
      </c>
      <c r="GG154" s="22"/>
      <c r="GH154" s="22"/>
      <c r="GI154" s="22"/>
      <c r="GJ154" s="22"/>
      <c r="GK154" s="22"/>
      <c r="GL154" s="22" t="s">
        <v>344</v>
      </c>
      <c r="GM154" s="22" t="s">
        <v>344</v>
      </c>
      <c r="GN154" s="22" t="s">
        <v>344</v>
      </c>
      <c r="GO154" s="22" t="s">
        <v>344</v>
      </c>
      <c r="GP154" s="22" t="s">
        <v>344</v>
      </c>
      <c r="GQ154" s="22" t="s">
        <v>344</v>
      </c>
      <c r="GR154" s="22" t="s">
        <v>344</v>
      </c>
      <c r="GS154" s="22" t="s">
        <v>344</v>
      </c>
      <c r="GT154" s="22" t="s">
        <v>344</v>
      </c>
      <c r="GU154" s="22" t="s">
        <v>344</v>
      </c>
      <c r="GV154" s="22" t="s">
        <v>344</v>
      </c>
      <c r="GW154" s="22" t="s">
        <v>344</v>
      </c>
      <c r="GX154" s="22" t="s">
        <v>344</v>
      </c>
      <c r="GY154" s="22" t="s">
        <v>344</v>
      </c>
      <c r="GZ154" s="22" t="s">
        <v>344</v>
      </c>
      <c r="HA154" s="22" t="s">
        <v>1058</v>
      </c>
      <c r="HB154" s="22" t="s">
        <v>344</v>
      </c>
      <c r="HC154" s="22"/>
      <c r="HD154" s="22" t="s">
        <v>344</v>
      </c>
      <c r="HE154" s="22"/>
      <c r="HF154" s="22" t="s">
        <v>344</v>
      </c>
      <c r="HG154" s="22"/>
      <c r="HH154" s="22" t="s">
        <v>344</v>
      </c>
      <c r="HI154" s="22"/>
      <c r="HJ154" s="22" t="s">
        <v>344</v>
      </c>
      <c r="HK154" s="22" t="s">
        <v>344</v>
      </c>
      <c r="HL154" s="22" t="s">
        <v>345</v>
      </c>
      <c r="HM154" s="22" t="s">
        <v>344</v>
      </c>
      <c r="HN154" s="22" t="s">
        <v>344</v>
      </c>
      <c r="HO154" s="22" t="s">
        <v>344</v>
      </c>
      <c r="HP154" s="22" t="s">
        <v>344</v>
      </c>
      <c r="HQ154" s="22" t="s">
        <v>344</v>
      </c>
      <c r="HR154" s="22" t="s">
        <v>344</v>
      </c>
      <c r="HS154" s="22" t="s">
        <v>344</v>
      </c>
      <c r="HT154" s="22" t="s">
        <v>344</v>
      </c>
      <c r="HU154" s="22" t="s">
        <v>345</v>
      </c>
      <c r="HV154" s="22" t="s">
        <v>345</v>
      </c>
      <c r="HW154" s="22" t="s">
        <v>344</v>
      </c>
      <c r="HX154" s="22" t="s">
        <v>344</v>
      </c>
      <c r="HY154" s="22"/>
      <c r="HZ154" s="22" t="s">
        <v>344</v>
      </c>
      <c r="IA154" s="22"/>
      <c r="IB154" s="22" t="s">
        <v>344</v>
      </c>
      <c r="IC154" s="22"/>
      <c r="ID154" s="22" t="s">
        <v>344</v>
      </c>
      <c r="IE154" s="22"/>
      <c r="IF154" s="22" t="s">
        <v>344</v>
      </c>
      <c r="IG154" s="22"/>
      <c r="IH154" s="22" t="s">
        <v>345</v>
      </c>
      <c r="II154" s="22" t="s">
        <v>345</v>
      </c>
      <c r="IJ154" s="22" t="s">
        <v>345</v>
      </c>
      <c r="IK154" s="22" t="s">
        <v>344</v>
      </c>
      <c r="IL154" s="22" t="s">
        <v>345</v>
      </c>
      <c r="IM154" s="22" t="s">
        <v>345</v>
      </c>
      <c r="IN154" s="22" t="s">
        <v>344</v>
      </c>
      <c r="IO154" s="22" t="s">
        <v>344</v>
      </c>
      <c r="IP154" s="22" t="s">
        <v>344</v>
      </c>
      <c r="IQ154" s="22" t="s">
        <v>345</v>
      </c>
      <c r="IR154" s="22" t="s">
        <v>344</v>
      </c>
      <c r="IS154" s="22" t="s">
        <v>344</v>
      </c>
      <c r="IT154" s="22"/>
      <c r="IU154" s="22" t="s">
        <v>1059</v>
      </c>
      <c r="IV154" s="22"/>
      <c r="IW154" s="22"/>
      <c r="IX154" s="22"/>
      <c r="IY154" s="22"/>
      <c r="IZ154" s="22"/>
      <c r="JA154" s="22"/>
      <c r="JB154" s="22"/>
      <c r="JC154" s="22"/>
      <c r="JD154" s="22"/>
      <c r="JE154" s="22"/>
      <c r="JF154" s="22"/>
      <c r="JG154" s="22"/>
      <c r="JH154" s="22"/>
    </row>
    <row r="155" spans="1:268" x14ac:dyDescent="0.3">
      <c r="A155" s="22" t="s">
        <v>813</v>
      </c>
      <c r="B155" s="22">
        <v>253</v>
      </c>
      <c r="C155" s="22" t="s">
        <v>1060</v>
      </c>
      <c r="D155" s="22">
        <v>14</v>
      </c>
      <c r="E155" s="22" t="s">
        <v>340</v>
      </c>
      <c r="F155" s="22">
        <v>7240719</v>
      </c>
      <c r="G155" s="22" t="s">
        <v>1061</v>
      </c>
      <c r="H155" s="22" t="s">
        <v>1060</v>
      </c>
      <c r="I155" s="22" t="s">
        <v>1062</v>
      </c>
      <c r="J155" s="22">
        <v>18</v>
      </c>
      <c r="K155" s="22" t="s">
        <v>343</v>
      </c>
      <c r="L155" s="22" t="s">
        <v>1063</v>
      </c>
      <c r="M155" s="22" t="s">
        <v>344</v>
      </c>
      <c r="N155" s="22" t="s">
        <v>345</v>
      </c>
      <c r="O155" s="22" t="s">
        <v>344</v>
      </c>
      <c r="P155" s="22" t="s">
        <v>344</v>
      </c>
      <c r="Q155" s="22" t="s">
        <v>344</v>
      </c>
      <c r="R155" s="22"/>
      <c r="S155" s="22" t="s">
        <v>522</v>
      </c>
      <c r="T155" s="22"/>
      <c r="U155" s="22" t="s">
        <v>523</v>
      </c>
      <c r="V155" s="22"/>
      <c r="W155" s="22" t="s">
        <v>345</v>
      </c>
      <c r="X155" s="22" t="s">
        <v>344</v>
      </c>
      <c r="Y155" s="22" t="s">
        <v>344</v>
      </c>
      <c r="Z155" s="22" t="s">
        <v>345</v>
      </c>
      <c r="AA155" s="22" t="s">
        <v>344</v>
      </c>
      <c r="AB155" s="22" t="s">
        <v>344</v>
      </c>
      <c r="AC155" s="22" t="s">
        <v>344</v>
      </c>
      <c r="AD155" s="22" t="s">
        <v>344</v>
      </c>
      <c r="AE155" s="22" t="s">
        <v>345</v>
      </c>
      <c r="AF155" s="22" t="s">
        <v>344</v>
      </c>
      <c r="AG155" s="22" t="s">
        <v>344</v>
      </c>
      <c r="AH155" s="22" t="s">
        <v>344</v>
      </c>
      <c r="AI155" s="22" t="s">
        <v>345</v>
      </c>
      <c r="AJ155" s="22" t="s">
        <v>344</v>
      </c>
      <c r="AK155" s="22" t="s">
        <v>345</v>
      </c>
      <c r="AL155" s="22" t="s">
        <v>344</v>
      </c>
      <c r="AM155" s="22" t="s">
        <v>345</v>
      </c>
      <c r="AN155" s="22" t="s">
        <v>344</v>
      </c>
      <c r="AO155" s="22" t="s">
        <v>344</v>
      </c>
      <c r="AP155" s="22" t="s">
        <v>344</v>
      </c>
      <c r="AQ155" s="22" t="s">
        <v>344</v>
      </c>
      <c r="AR155" s="22" t="s">
        <v>345</v>
      </c>
      <c r="AS155" s="22" t="s">
        <v>345</v>
      </c>
      <c r="AT155" s="22" t="s">
        <v>344</v>
      </c>
      <c r="AU155" s="22" t="s">
        <v>344</v>
      </c>
      <c r="AV155" s="22" t="s">
        <v>345</v>
      </c>
      <c r="AW155" s="22" t="s">
        <v>344</v>
      </c>
      <c r="AX155" s="22" t="s">
        <v>344</v>
      </c>
      <c r="AY155" s="22" t="s">
        <v>732</v>
      </c>
      <c r="AZ155" s="22" t="s">
        <v>731</v>
      </c>
      <c r="BA155" s="22" t="s">
        <v>732</v>
      </c>
      <c r="BB155" s="22" t="s">
        <v>733</v>
      </c>
      <c r="BC155" s="22" t="s">
        <v>732</v>
      </c>
      <c r="BD155" s="22" t="s">
        <v>737</v>
      </c>
      <c r="BE155" s="22" t="s">
        <v>348</v>
      </c>
      <c r="BF155" s="22" t="s">
        <v>348</v>
      </c>
      <c r="BG155" s="22" t="s">
        <v>349</v>
      </c>
      <c r="BH155" s="22" t="s">
        <v>348</v>
      </c>
      <c r="BI155" s="22" t="s">
        <v>350</v>
      </c>
      <c r="BJ155" s="22" t="s">
        <v>391</v>
      </c>
      <c r="BK155" s="22" t="s">
        <v>391</v>
      </c>
      <c r="BL155" s="22" t="s">
        <v>391</v>
      </c>
      <c r="BM155" s="22" t="s">
        <v>391</v>
      </c>
      <c r="BN155" s="22" t="s">
        <v>391</v>
      </c>
      <c r="BO155" s="22" t="s">
        <v>391</v>
      </c>
      <c r="BP155" s="22" t="s">
        <v>391</v>
      </c>
      <c r="BQ155" s="22" t="s">
        <v>455</v>
      </c>
      <c r="BR155" s="22" t="s">
        <v>429</v>
      </c>
      <c r="BS155" s="22" t="s">
        <v>391</v>
      </c>
      <c r="BT155" s="22" t="s">
        <v>391</v>
      </c>
      <c r="BU155" s="22" t="s">
        <v>391</v>
      </c>
      <c r="BV155" s="22" t="s">
        <v>391</v>
      </c>
      <c r="BW155" s="22" t="s">
        <v>391</v>
      </c>
      <c r="BX155" s="22" t="s">
        <v>391</v>
      </c>
      <c r="BY155" s="22" t="s">
        <v>391</v>
      </c>
      <c r="BZ155" s="22" t="s">
        <v>391</v>
      </c>
      <c r="CA155" s="22" t="s">
        <v>391</v>
      </c>
      <c r="CB155" s="22" t="s">
        <v>391</v>
      </c>
      <c r="CC155" s="22" t="s">
        <v>391</v>
      </c>
      <c r="CD155" s="22" t="s">
        <v>391</v>
      </c>
      <c r="CE155" s="22" t="s">
        <v>391</v>
      </c>
      <c r="CF155" s="22" t="s">
        <v>391</v>
      </c>
      <c r="CG155" s="22" t="s">
        <v>420</v>
      </c>
      <c r="CH155" s="22" t="s">
        <v>420</v>
      </c>
      <c r="CI155" s="22" t="s">
        <v>392</v>
      </c>
      <c r="CJ155" s="22" t="s">
        <v>392</v>
      </c>
      <c r="CK155" s="22" t="s">
        <v>1064</v>
      </c>
      <c r="CL155" s="22" t="s">
        <v>344</v>
      </c>
      <c r="CM155" s="22" t="s">
        <v>345</v>
      </c>
      <c r="CN155" s="22" t="s">
        <v>344</v>
      </c>
      <c r="CO155" s="22" t="s">
        <v>344</v>
      </c>
      <c r="CP155" s="22" t="s">
        <v>345</v>
      </c>
      <c r="CQ155" s="22" t="s">
        <v>344</v>
      </c>
      <c r="CR155" s="22" t="s">
        <v>655</v>
      </c>
      <c r="CS155" s="22">
        <v>55</v>
      </c>
      <c r="CT155" s="22">
        <v>10</v>
      </c>
      <c r="CU155" s="22">
        <v>77</v>
      </c>
      <c r="CV155" s="22">
        <v>28</v>
      </c>
      <c r="CW155" s="22" t="s">
        <v>396</v>
      </c>
      <c r="CX155" s="22" t="s">
        <v>396</v>
      </c>
      <c r="CY155" s="22" t="s">
        <v>395</v>
      </c>
      <c r="CZ155" s="22" t="s">
        <v>366</v>
      </c>
      <c r="DA155" s="22" t="s">
        <v>366</v>
      </c>
      <c r="DB155" s="22" t="s">
        <v>397</v>
      </c>
      <c r="DC155" s="22" t="s">
        <v>365</v>
      </c>
      <c r="DD155" s="22" t="s">
        <v>365</v>
      </c>
      <c r="DE155" s="22" t="s">
        <v>365</v>
      </c>
      <c r="DF155" s="22" t="s">
        <v>366</v>
      </c>
      <c r="DG155" s="22" t="s">
        <v>397</v>
      </c>
      <c r="DH155" s="22" t="s">
        <v>397</v>
      </c>
      <c r="DI155" s="22" t="s">
        <v>423</v>
      </c>
      <c r="DJ155" s="22" t="s">
        <v>1065</v>
      </c>
      <c r="DK155" s="22" t="s">
        <v>367</v>
      </c>
      <c r="DL155" s="22" t="s">
        <v>368</v>
      </c>
      <c r="DM155" s="22" t="s">
        <v>368</v>
      </c>
      <c r="DN155" s="22" t="s">
        <v>368</v>
      </c>
      <c r="DO155" s="22" t="s">
        <v>368</v>
      </c>
      <c r="DP155" s="22" t="s">
        <v>368</v>
      </c>
      <c r="DQ155" s="22" t="s">
        <v>368</v>
      </c>
      <c r="DR155" s="22" t="s">
        <v>368</v>
      </c>
      <c r="DS155" s="22" t="s">
        <v>345</v>
      </c>
      <c r="DT155" s="22" t="s">
        <v>344</v>
      </c>
      <c r="DU155" s="22" t="s">
        <v>345</v>
      </c>
      <c r="DV155" s="22" t="s">
        <v>345</v>
      </c>
      <c r="DW155" s="22" t="s">
        <v>344</v>
      </c>
      <c r="DX155" s="22" t="s">
        <v>369</v>
      </c>
      <c r="DY155" s="22" t="s">
        <v>371</v>
      </c>
      <c r="DZ155" s="22" t="s">
        <v>369</v>
      </c>
      <c r="EA155" s="22" t="s">
        <v>399</v>
      </c>
      <c r="EB155" s="22" t="s">
        <v>369</v>
      </c>
      <c r="EC155" s="22" t="s">
        <v>369</v>
      </c>
      <c r="ED155" s="22" t="s">
        <v>371</v>
      </c>
      <c r="EE155" s="22" t="s">
        <v>370</v>
      </c>
      <c r="EF155" s="22" t="s">
        <v>370</v>
      </c>
      <c r="EG155" s="22" t="s">
        <v>370</v>
      </c>
      <c r="EH155" s="22" t="s">
        <v>371</v>
      </c>
      <c r="EI155" s="22" t="s">
        <v>398</v>
      </c>
      <c r="EJ155" s="22" t="s">
        <v>398</v>
      </c>
      <c r="EK155" s="22" t="s">
        <v>371</v>
      </c>
      <c r="EL155" s="22" t="s">
        <v>374</v>
      </c>
      <c r="EM155" s="22" t="s">
        <v>440</v>
      </c>
      <c r="EN155" s="22" t="s">
        <v>424</v>
      </c>
      <c r="EO155" s="22"/>
      <c r="EP155" s="22"/>
      <c r="EQ155" s="22" t="s">
        <v>375</v>
      </c>
      <c r="ER155" s="22" t="s">
        <v>375</v>
      </c>
      <c r="ES155" s="22" t="s">
        <v>376</v>
      </c>
      <c r="ET155" s="22" t="s">
        <v>375</v>
      </c>
      <c r="EU155" s="22" t="s">
        <v>378</v>
      </c>
      <c r="EV155" s="22" t="s">
        <v>400</v>
      </c>
      <c r="EW155" s="22"/>
      <c r="EX155" s="22" t="s">
        <v>368</v>
      </c>
      <c r="EY155" s="22" t="s">
        <v>368</v>
      </c>
      <c r="EZ155" s="22" t="s">
        <v>368</v>
      </c>
      <c r="FA155" s="22" t="s">
        <v>345</v>
      </c>
      <c r="FB155" s="22" t="s">
        <v>380</v>
      </c>
      <c r="FC155" s="22"/>
      <c r="FD155" s="22" t="s">
        <v>381</v>
      </c>
      <c r="FE155" s="22"/>
      <c r="FF155" s="22" t="s">
        <v>382</v>
      </c>
      <c r="FG155" s="22" t="s">
        <v>402</v>
      </c>
      <c r="FH155" s="22" t="s">
        <v>451</v>
      </c>
      <c r="FI155" s="22" t="s">
        <v>403</v>
      </c>
      <c r="FJ155" s="22"/>
      <c r="FK155" s="22"/>
      <c r="FL155" s="22"/>
      <c r="FM155" s="22"/>
      <c r="FN155" s="22"/>
      <c r="FO155" s="22"/>
      <c r="FP155" s="22"/>
      <c r="FQ155" s="22"/>
      <c r="FR155" s="22"/>
      <c r="FS155" s="22"/>
      <c r="FT155" s="22"/>
      <c r="FU155" s="22"/>
      <c r="FV155" s="22"/>
      <c r="FW155" s="22"/>
      <c r="FX155" s="22"/>
      <c r="FY155" s="22"/>
      <c r="FZ155" s="22"/>
      <c r="GA155" s="22" t="s">
        <v>368</v>
      </c>
      <c r="GB155" s="22" t="s">
        <v>368</v>
      </c>
      <c r="GC155" s="22" t="s">
        <v>368</v>
      </c>
      <c r="GD155" s="22" t="s">
        <v>368</v>
      </c>
      <c r="GE155" s="22" t="s">
        <v>368</v>
      </c>
      <c r="GF155" s="22" t="s">
        <v>368</v>
      </c>
      <c r="GG155" s="22"/>
      <c r="GH155" s="22"/>
      <c r="GI155" s="22"/>
      <c r="GJ155" s="22"/>
      <c r="GK155" s="22"/>
      <c r="GL155" s="22" t="s">
        <v>344</v>
      </c>
      <c r="GM155" s="22" t="s">
        <v>344</v>
      </c>
      <c r="GN155" s="22" t="s">
        <v>344</v>
      </c>
      <c r="GO155" s="22" t="s">
        <v>344</v>
      </c>
      <c r="GP155" s="22" t="s">
        <v>344</v>
      </c>
      <c r="GQ155" s="22" t="s">
        <v>344</v>
      </c>
      <c r="GR155" s="22" t="s">
        <v>344</v>
      </c>
      <c r="GS155" s="22" t="s">
        <v>344</v>
      </c>
      <c r="GT155" s="22" t="s">
        <v>345</v>
      </c>
      <c r="GU155" s="22" t="s">
        <v>344</v>
      </c>
      <c r="GV155" s="22" t="s">
        <v>345</v>
      </c>
      <c r="GW155" s="22" t="s">
        <v>344</v>
      </c>
      <c r="GX155" s="22" t="s">
        <v>345</v>
      </c>
      <c r="GY155" s="22" t="s">
        <v>345</v>
      </c>
      <c r="GZ155" s="22" t="s">
        <v>344</v>
      </c>
      <c r="HA155" s="22"/>
      <c r="HB155" s="22" t="s">
        <v>344</v>
      </c>
      <c r="HC155" s="22"/>
      <c r="HD155" s="22" t="s">
        <v>344</v>
      </c>
      <c r="HE155" s="22"/>
      <c r="HF155" s="22" t="s">
        <v>344</v>
      </c>
      <c r="HG155" s="22"/>
      <c r="HH155" s="22" t="s">
        <v>344</v>
      </c>
      <c r="HI155" s="22"/>
      <c r="HJ155" s="22" t="s">
        <v>345</v>
      </c>
      <c r="HK155" s="22" t="s">
        <v>344</v>
      </c>
      <c r="HL155" s="22" t="s">
        <v>344</v>
      </c>
      <c r="HM155" s="22" t="s">
        <v>345</v>
      </c>
      <c r="HN155" s="22" t="s">
        <v>344</v>
      </c>
      <c r="HO155" s="22" t="s">
        <v>344</v>
      </c>
      <c r="HP155" s="22" t="s">
        <v>344</v>
      </c>
      <c r="HQ155" s="22" t="s">
        <v>344</v>
      </c>
      <c r="HR155" s="22" t="s">
        <v>344</v>
      </c>
      <c r="HS155" s="22" t="s">
        <v>344</v>
      </c>
      <c r="HT155" s="22" t="s">
        <v>344</v>
      </c>
      <c r="HU155" s="22" t="s">
        <v>344</v>
      </c>
      <c r="HV155" s="22" t="s">
        <v>345</v>
      </c>
      <c r="HW155" s="22" t="s">
        <v>344</v>
      </c>
      <c r="HX155" s="22" t="s">
        <v>344</v>
      </c>
      <c r="HY155" s="22"/>
      <c r="HZ155" s="22" t="s">
        <v>344</v>
      </c>
      <c r="IA155" s="22"/>
      <c r="IB155" s="22" t="s">
        <v>344</v>
      </c>
      <c r="IC155" s="22"/>
      <c r="ID155" s="22" t="s">
        <v>344</v>
      </c>
      <c r="IE155" s="22"/>
      <c r="IF155" s="22" t="s">
        <v>344</v>
      </c>
      <c r="IG155" s="22"/>
      <c r="IH155" s="22" t="s">
        <v>345</v>
      </c>
      <c r="II155" s="22" t="s">
        <v>344</v>
      </c>
      <c r="IJ155" s="22" t="s">
        <v>344</v>
      </c>
      <c r="IK155" s="22" t="s">
        <v>344</v>
      </c>
      <c r="IL155" s="22" t="s">
        <v>345</v>
      </c>
      <c r="IM155" s="22" t="s">
        <v>345</v>
      </c>
      <c r="IN155" s="22" t="s">
        <v>344</v>
      </c>
      <c r="IO155" s="22" t="s">
        <v>344</v>
      </c>
      <c r="IP155" s="22" t="s">
        <v>344</v>
      </c>
      <c r="IQ155" s="22" t="s">
        <v>344</v>
      </c>
      <c r="IR155" s="22" t="s">
        <v>344</v>
      </c>
      <c r="IS155" s="22" t="s">
        <v>344</v>
      </c>
      <c r="IT155" s="22" t="s">
        <v>695</v>
      </c>
      <c r="IU155" s="22"/>
      <c r="IV155" s="22"/>
      <c r="IW155" s="22"/>
      <c r="IX155" s="22"/>
      <c r="IY155" s="22"/>
      <c r="IZ155" s="22"/>
      <c r="JA155" s="22"/>
      <c r="JB155" s="22"/>
      <c r="JC155" s="22"/>
      <c r="JD155" s="22"/>
      <c r="JE155" s="22"/>
      <c r="JF155" s="22"/>
      <c r="JG155" s="22"/>
      <c r="JH155" s="22"/>
    </row>
    <row r="156" spans="1:268" x14ac:dyDescent="0.3">
      <c r="A156" s="22" t="s">
        <v>813</v>
      </c>
      <c r="B156" s="22">
        <v>254</v>
      </c>
      <c r="C156" s="22" t="s">
        <v>1066</v>
      </c>
      <c r="D156" s="22">
        <v>14</v>
      </c>
      <c r="E156" s="22" t="s">
        <v>387</v>
      </c>
      <c r="F156" s="22">
        <v>1783491258</v>
      </c>
      <c r="G156" s="22" t="s">
        <v>1067</v>
      </c>
      <c r="H156" s="22" t="s">
        <v>1066</v>
      </c>
      <c r="I156" s="22" t="s">
        <v>1062</v>
      </c>
      <c r="J156" s="22">
        <v>17</v>
      </c>
      <c r="K156" s="22" t="s">
        <v>389</v>
      </c>
      <c r="L156" s="22"/>
      <c r="M156" s="22" t="s">
        <v>345</v>
      </c>
      <c r="N156" s="22" t="s">
        <v>345</v>
      </c>
      <c r="O156" s="22" t="s">
        <v>344</v>
      </c>
      <c r="P156" s="22" t="s">
        <v>344</v>
      </c>
      <c r="Q156" s="22" t="s">
        <v>344</v>
      </c>
      <c r="R156" s="22"/>
      <c r="S156" s="22" t="s">
        <v>522</v>
      </c>
      <c r="T156" s="22"/>
      <c r="U156" s="22" t="s">
        <v>347</v>
      </c>
      <c r="V156" s="22"/>
      <c r="W156" s="22" t="s">
        <v>345</v>
      </c>
      <c r="X156" s="22" t="s">
        <v>345</v>
      </c>
      <c r="Y156" s="22" t="s">
        <v>344</v>
      </c>
      <c r="Z156" s="22" t="s">
        <v>345</v>
      </c>
      <c r="AA156" s="22" t="s">
        <v>344</v>
      </c>
      <c r="AB156" s="22" t="s">
        <v>344</v>
      </c>
      <c r="AC156" s="22" t="s">
        <v>344</v>
      </c>
      <c r="AD156" s="22" t="s">
        <v>345</v>
      </c>
      <c r="AE156" s="22" t="s">
        <v>345</v>
      </c>
      <c r="AF156" s="22" t="s">
        <v>344</v>
      </c>
      <c r="AG156" s="22" t="s">
        <v>344</v>
      </c>
      <c r="AH156" s="22" t="s">
        <v>345</v>
      </c>
      <c r="AI156" s="22" t="s">
        <v>344</v>
      </c>
      <c r="AJ156" s="22" t="s">
        <v>344</v>
      </c>
      <c r="AK156" s="22" t="s">
        <v>345</v>
      </c>
      <c r="AL156" s="22" t="s">
        <v>345</v>
      </c>
      <c r="AM156" s="22" t="s">
        <v>344</v>
      </c>
      <c r="AN156" s="22" t="s">
        <v>344</v>
      </c>
      <c r="AO156" s="22" t="s">
        <v>344</v>
      </c>
      <c r="AP156" s="22" t="s">
        <v>344</v>
      </c>
      <c r="AQ156" s="22" t="s">
        <v>344</v>
      </c>
      <c r="AR156" s="22" t="s">
        <v>344</v>
      </c>
      <c r="AS156" s="22" t="s">
        <v>345</v>
      </c>
      <c r="AT156" s="22" t="s">
        <v>344</v>
      </c>
      <c r="AU156" s="22" t="s">
        <v>344</v>
      </c>
      <c r="AV156" s="22" t="s">
        <v>344</v>
      </c>
      <c r="AW156" s="22" t="s">
        <v>345</v>
      </c>
      <c r="AX156" s="22" t="s">
        <v>344</v>
      </c>
      <c r="AY156" s="22" t="s">
        <v>391</v>
      </c>
      <c r="AZ156" s="22" t="s">
        <v>731</v>
      </c>
      <c r="BA156" s="22" t="s">
        <v>733</v>
      </c>
      <c r="BB156" s="22" t="s">
        <v>732</v>
      </c>
      <c r="BC156" s="22" t="s">
        <v>733</v>
      </c>
      <c r="BD156" s="22" t="s">
        <v>731</v>
      </c>
      <c r="BE156" s="22" t="s">
        <v>349</v>
      </c>
      <c r="BF156" s="22" t="s">
        <v>349</v>
      </c>
      <c r="BG156" s="22" t="s">
        <v>349</v>
      </c>
      <c r="BH156" s="22" t="s">
        <v>348</v>
      </c>
      <c r="BI156" s="22" t="s">
        <v>390</v>
      </c>
      <c r="BJ156" s="22" t="s">
        <v>352</v>
      </c>
      <c r="BK156" s="22" t="s">
        <v>354</v>
      </c>
      <c r="BL156" s="22" t="s">
        <v>355</v>
      </c>
      <c r="BM156" s="22" t="s">
        <v>351</v>
      </c>
      <c r="BN156" s="22" t="s">
        <v>351</v>
      </c>
      <c r="BO156" s="22" t="s">
        <v>353</v>
      </c>
      <c r="BP156" s="22" t="s">
        <v>356</v>
      </c>
      <c r="BQ156" s="22" t="s">
        <v>407</v>
      </c>
      <c r="BR156" s="22" t="s">
        <v>408</v>
      </c>
      <c r="BS156" s="22" t="s">
        <v>354</v>
      </c>
      <c r="BT156" s="22" t="s">
        <v>353</v>
      </c>
      <c r="BU156" s="22" t="s">
        <v>351</v>
      </c>
      <c r="BV156" s="22" t="s">
        <v>355</v>
      </c>
      <c r="BW156" s="22" t="s">
        <v>352</v>
      </c>
      <c r="BX156" s="22" t="s">
        <v>391</v>
      </c>
      <c r="BY156" s="22" t="s">
        <v>391</v>
      </c>
      <c r="BZ156" s="22" t="s">
        <v>391</v>
      </c>
      <c r="CA156" s="22" t="s">
        <v>391</v>
      </c>
      <c r="CB156" s="22" t="s">
        <v>391</v>
      </c>
      <c r="CC156" s="22" t="s">
        <v>355</v>
      </c>
      <c r="CD156" s="22" t="s">
        <v>354</v>
      </c>
      <c r="CE156" s="22" t="s">
        <v>357</v>
      </c>
      <c r="CF156" s="22" t="s">
        <v>356</v>
      </c>
      <c r="CG156" s="22" t="s">
        <v>393</v>
      </c>
      <c r="CH156" s="22" t="s">
        <v>421</v>
      </c>
      <c r="CI156" s="22" t="s">
        <v>420</v>
      </c>
      <c r="CJ156" s="22" t="s">
        <v>393</v>
      </c>
      <c r="CK156" s="22" t="s">
        <v>1068</v>
      </c>
      <c r="CL156" s="22" t="s">
        <v>344</v>
      </c>
      <c r="CM156" s="22" t="s">
        <v>344</v>
      </c>
      <c r="CN156" s="22" t="s">
        <v>345</v>
      </c>
      <c r="CO156" s="22" t="s">
        <v>344</v>
      </c>
      <c r="CP156" s="22" t="s">
        <v>345</v>
      </c>
      <c r="CQ156" s="22" t="s">
        <v>344</v>
      </c>
      <c r="CR156" s="22" t="s">
        <v>667</v>
      </c>
      <c r="CS156" s="22">
        <v>30</v>
      </c>
      <c r="CT156" s="22">
        <v>21</v>
      </c>
      <c r="CU156" s="22">
        <v>100</v>
      </c>
      <c r="CV156" s="22">
        <v>1</v>
      </c>
      <c r="CW156" s="22" t="s">
        <v>363</v>
      </c>
      <c r="CX156" s="22" t="s">
        <v>396</v>
      </c>
      <c r="CY156" s="22" t="s">
        <v>395</v>
      </c>
      <c r="CZ156" s="22" t="s">
        <v>397</v>
      </c>
      <c r="DA156" s="22" t="s">
        <v>397</v>
      </c>
      <c r="DB156" s="22" t="s">
        <v>397</v>
      </c>
      <c r="DC156" s="22" t="s">
        <v>397</v>
      </c>
      <c r="DD156" s="22" t="s">
        <v>397</v>
      </c>
      <c r="DE156" s="22" t="s">
        <v>397</v>
      </c>
      <c r="DF156" s="22" t="s">
        <v>397</v>
      </c>
      <c r="DG156" s="22" t="s">
        <v>365</v>
      </c>
      <c r="DH156" s="22" t="s">
        <v>397</v>
      </c>
      <c r="DI156" s="22" t="s">
        <v>397</v>
      </c>
      <c r="DJ156" s="22" t="s">
        <v>1069</v>
      </c>
      <c r="DK156" s="22" t="s">
        <v>367</v>
      </c>
      <c r="DL156" s="22" t="s">
        <v>368</v>
      </c>
      <c r="DM156" s="22" t="s">
        <v>368</v>
      </c>
      <c r="DN156" s="22" t="s">
        <v>368</v>
      </c>
      <c r="DO156" s="22" t="s">
        <v>368</v>
      </c>
      <c r="DP156" s="22" t="s">
        <v>345</v>
      </c>
      <c r="DQ156" s="22" t="s">
        <v>345</v>
      </c>
      <c r="DR156" s="22" t="s">
        <v>345</v>
      </c>
      <c r="DS156" s="22" t="s">
        <v>344</v>
      </c>
      <c r="DT156" s="22" t="s">
        <v>345</v>
      </c>
      <c r="DU156" s="22" t="s">
        <v>344</v>
      </c>
      <c r="DV156" s="22" t="s">
        <v>345</v>
      </c>
      <c r="DW156" s="22" t="s">
        <v>344</v>
      </c>
      <c r="DX156" s="22" t="s">
        <v>399</v>
      </c>
      <c r="DY156" s="22" t="s">
        <v>369</v>
      </c>
      <c r="DZ156" s="22" t="s">
        <v>369</v>
      </c>
      <c r="EA156" s="22" t="s">
        <v>369</v>
      </c>
      <c r="EB156" s="22" t="s">
        <v>399</v>
      </c>
      <c r="EC156" s="22" t="s">
        <v>369</v>
      </c>
      <c r="ED156" s="22" t="s">
        <v>369</v>
      </c>
      <c r="EE156" s="22" t="s">
        <v>370</v>
      </c>
      <c r="EF156" s="22" t="s">
        <v>370</v>
      </c>
      <c r="EG156" s="22" t="s">
        <v>370</v>
      </c>
      <c r="EH156" s="22" t="s">
        <v>370</v>
      </c>
      <c r="EI156" s="22" t="s">
        <v>370</v>
      </c>
      <c r="EJ156" s="22" t="s">
        <v>370</v>
      </c>
      <c r="EK156" s="22" t="s">
        <v>370</v>
      </c>
      <c r="EL156" s="22" t="s">
        <v>373</v>
      </c>
      <c r="EM156" s="22" t="s">
        <v>374</v>
      </c>
      <c r="EN156" s="22" t="s">
        <v>424</v>
      </c>
      <c r="EO156" s="22"/>
      <c r="EP156" s="22"/>
      <c r="EQ156" s="22" t="s">
        <v>375</v>
      </c>
      <c r="ER156" s="22" t="s">
        <v>375</v>
      </c>
      <c r="ES156" s="22" t="s">
        <v>378</v>
      </c>
      <c r="ET156" s="22" t="s">
        <v>378</v>
      </c>
      <c r="EU156" s="22" t="s">
        <v>376</v>
      </c>
      <c r="EV156" s="22" t="s">
        <v>400</v>
      </c>
      <c r="EW156" s="22"/>
      <c r="EX156" s="22" t="s">
        <v>344</v>
      </c>
      <c r="EY156" s="22" t="s">
        <v>345</v>
      </c>
      <c r="EZ156" s="22" t="s">
        <v>344</v>
      </c>
      <c r="FA156" s="22" t="s">
        <v>344</v>
      </c>
      <c r="FB156" s="22" t="s">
        <v>381</v>
      </c>
      <c r="FC156" s="22"/>
      <c r="FD156" s="22" t="s">
        <v>401</v>
      </c>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t="s">
        <v>368</v>
      </c>
      <c r="GB156" s="22" t="s">
        <v>368</v>
      </c>
      <c r="GC156" s="22" t="s">
        <v>368</v>
      </c>
      <c r="GD156" s="22" t="s">
        <v>368</v>
      </c>
      <c r="GE156" s="22" t="s">
        <v>368</v>
      </c>
      <c r="GF156" s="22" t="s">
        <v>368</v>
      </c>
      <c r="GG156" s="22"/>
      <c r="GH156" s="22"/>
      <c r="GI156" s="22"/>
      <c r="GJ156" s="22"/>
      <c r="GK156" s="22"/>
      <c r="GL156" s="22" t="s">
        <v>344</v>
      </c>
      <c r="GM156" s="22" t="s">
        <v>344</v>
      </c>
      <c r="GN156" s="22" t="s">
        <v>344</v>
      </c>
      <c r="GO156" s="22" t="s">
        <v>344</v>
      </c>
      <c r="GP156" s="22" t="s">
        <v>344</v>
      </c>
      <c r="GQ156" s="22" t="s">
        <v>344</v>
      </c>
      <c r="GR156" s="22" t="s">
        <v>344</v>
      </c>
      <c r="GS156" s="22" t="s">
        <v>344</v>
      </c>
      <c r="GT156" s="22" t="s">
        <v>344</v>
      </c>
      <c r="GU156" s="22" t="s">
        <v>344</v>
      </c>
      <c r="GV156" s="22" t="s">
        <v>344</v>
      </c>
      <c r="GW156" s="22" t="s">
        <v>344</v>
      </c>
      <c r="GX156" s="22" t="s">
        <v>344</v>
      </c>
      <c r="GY156" s="22" t="s">
        <v>344</v>
      </c>
      <c r="GZ156" s="22" t="s">
        <v>345</v>
      </c>
      <c r="HA156" s="22"/>
      <c r="HB156" s="22" t="s">
        <v>344</v>
      </c>
      <c r="HC156" s="22"/>
      <c r="HD156" s="22" t="s">
        <v>344</v>
      </c>
      <c r="HE156" s="22"/>
      <c r="HF156" s="22" t="s">
        <v>344</v>
      </c>
      <c r="HG156" s="22"/>
      <c r="HH156" s="22" t="s">
        <v>344</v>
      </c>
      <c r="HI156" s="22"/>
      <c r="HJ156" s="22" t="s">
        <v>344</v>
      </c>
      <c r="HK156" s="22" t="s">
        <v>344</v>
      </c>
      <c r="HL156" s="22" t="s">
        <v>344</v>
      </c>
      <c r="HM156" s="22" t="s">
        <v>344</v>
      </c>
      <c r="HN156" s="22" t="s">
        <v>344</v>
      </c>
      <c r="HO156" s="22" t="s">
        <v>344</v>
      </c>
      <c r="HP156" s="22" t="s">
        <v>344</v>
      </c>
      <c r="HQ156" s="22" t="s">
        <v>344</v>
      </c>
      <c r="HR156" s="22" t="s">
        <v>344</v>
      </c>
      <c r="HS156" s="22" t="s">
        <v>344</v>
      </c>
      <c r="HT156" s="22" t="s">
        <v>344</v>
      </c>
      <c r="HU156" s="22" t="s">
        <v>344</v>
      </c>
      <c r="HV156" s="22" t="s">
        <v>345</v>
      </c>
      <c r="HW156" s="22" t="s">
        <v>344</v>
      </c>
      <c r="HX156" s="22" t="s">
        <v>344</v>
      </c>
      <c r="HY156" s="22"/>
      <c r="HZ156" s="22" t="s">
        <v>344</v>
      </c>
      <c r="IA156" s="22"/>
      <c r="IB156" s="22" t="s">
        <v>344</v>
      </c>
      <c r="IC156" s="22"/>
      <c r="ID156" s="22" t="s">
        <v>344</v>
      </c>
      <c r="IE156" s="22"/>
      <c r="IF156" s="22" t="s">
        <v>344</v>
      </c>
      <c r="IG156" s="22"/>
      <c r="IH156" s="22" t="s">
        <v>345</v>
      </c>
      <c r="II156" s="22" t="s">
        <v>345</v>
      </c>
      <c r="IJ156" s="22" t="s">
        <v>344</v>
      </c>
      <c r="IK156" s="22" t="s">
        <v>345</v>
      </c>
      <c r="IL156" s="22" t="s">
        <v>345</v>
      </c>
      <c r="IM156" s="22" t="s">
        <v>345</v>
      </c>
      <c r="IN156" s="22" t="s">
        <v>344</v>
      </c>
      <c r="IO156" s="22" t="s">
        <v>345</v>
      </c>
      <c r="IP156" s="22" t="s">
        <v>344</v>
      </c>
      <c r="IQ156" s="22" t="s">
        <v>344</v>
      </c>
      <c r="IR156" s="22" t="s">
        <v>344</v>
      </c>
      <c r="IS156" s="22" t="s">
        <v>344</v>
      </c>
      <c r="IT156" s="22"/>
      <c r="IU156" s="22"/>
      <c r="IV156" s="22"/>
      <c r="IW156" s="22"/>
      <c r="IX156" s="22"/>
      <c r="IY156" s="22"/>
      <c r="IZ156" s="22"/>
      <c r="JA156" s="22"/>
      <c r="JB156" s="22"/>
      <c r="JC156" s="22"/>
      <c r="JD156" s="22"/>
      <c r="JE156" s="22"/>
      <c r="JF156" s="22"/>
      <c r="JG156" s="22"/>
      <c r="JH156" s="22"/>
    </row>
    <row r="157" spans="1:268" x14ac:dyDescent="0.3">
      <c r="A157" s="22" t="s">
        <v>813</v>
      </c>
      <c r="B157" s="22">
        <v>256</v>
      </c>
      <c r="C157" s="22" t="s">
        <v>1070</v>
      </c>
      <c r="D157" s="22">
        <v>14</v>
      </c>
      <c r="E157" s="22" t="s">
        <v>340</v>
      </c>
      <c r="F157" s="22">
        <v>2138568127</v>
      </c>
      <c r="G157" s="22" t="s">
        <v>1071</v>
      </c>
      <c r="H157" s="22" t="s">
        <v>1070</v>
      </c>
      <c r="I157" s="22" t="s">
        <v>1035</v>
      </c>
      <c r="J157" s="22">
        <v>17</v>
      </c>
      <c r="K157" s="22" t="s">
        <v>406</v>
      </c>
      <c r="L157" s="22"/>
      <c r="M157" s="22" t="s">
        <v>345</v>
      </c>
      <c r="N157" s="22" t="s">
        <v>345</v>
      </c>
      <c r="O157" s="22" t="s">
        <v>344</v>
      </c>
      <c r="P157" s="22" t="s">
        <v>344</v>
      </c>
      <c r="Q157" s="22" t="s">
        <v>344</v>
      </c>
      <c r="R157" s="22"/>
      <c r="S157" s="22" t="s">
        <v>522</v>
      </c>
      <c r="T157" s="22"/>
      <c r="U157" s="22" t="s">
        <v>523</v>
      </c>
      <c r="V157" s="22"/>
      <c r="W157" s="22" t="s">
        <v>368</v>
      </c>
      <c r="X157" s="22" t="s">
        <v>368</v>
      </c>
      <c r="Y157" s="22" t="s">
        <v>368</v>
      </c>
      <c r="Z157" s="22" t="s">
        <v>368</v>
      </c>
      <c r="AA157" s="22" t="s">
        <v>368</v>
      </c>
      <c r="AB157" s="22" t="s">
        <v>368</v>
      </c>
      <c r="AC157" s="22" t="s">
        <v>345</v>
      </c>
      <c r="AD157" s="22" t="s">
        <v>345</v>
      </c>
      <c r="AE157" s="22" t="s">
        <v>344</v>
      </c>
      <c r="AF157" s="22" t="s">
        <v>344</v>
      </c>
      <c r="AG157" s="22" t="s">
        <v>344</v>
      </c>
      <c r="AH157" s="22" t="s">
        <v>344</v>
      </c>
      <c r="AI157" s="22" t="s">
        <v>344</v>
      </c>
      <c r="AJ157" s="22" t="s">
        <v>344</v>
      </c>
      <c r="AK157" s="22" t="s">
        <v>344</v>
      </c>
      <c r="AL157" s="22" t="s">
        <v>344</v>
      </c>
      <c r="AM157" s="22" t="s">
        <v>344</v>
      </c>
      <c r="AN157" s="22" t="s">
        <v>344</v>
      </c>
      <c r="AO157" s="22" t="s">
        <v>345</v>
      </c>
      <c r="AP157" s="22" t="s">
        <v>345</v>
      </c>
      <c r="AQ157" s="22" t="s">
        <v>344</v>
      </c>
      <c r="AR157" s="22" t="s">
        <v>345</v>
      </c>
      <c r="AS157" s="22" t="s">
        <v>345</v>
      </c>
      <c r="AT157" s="22" t="s">
        <v>345</v>
      </c>
      <c r="AU157" s="22" t="s">
        <v>344</v>
      </c>
      <c r="AV157" s="22" t="s">
        <v>345</v>
      </c>
      <c r="AW157" s="22" t="s">
        <v>345</v>
      </c>
      <c r="AX157" s="22" t="s">
        <v>344</v>
      </c>
      <c r="AY157" s="22" t="s">
        <v>391</v>
      </c>
      <c r="AZ157" s="22" t="s">
        <v>737</v>
      </c>
      <c r="BA157" s="22" t="s">
        <v>391</v>
      </c>
      <c r="BB157" s="22" t="s">
        <v>391</v>
      </c>
      <c r="BC157" s="22" t="s">
        <v>731</v>
      </c>
      <c r="BD157" s="22" t="s">
        <v>731</v>
      </c>
      <c r="BE157" s="22" t="s">
        <v>348</v>
      </c>
      <c r="BF157" s="22" t="s">
        <v>348</v>
      </c>
      <c r="BG157" s="22" t="s">
        <v>349</v>
      </c>
      <c r="BH157" s="22" t="s">
        <v>349</v>
      </c>
      <c r="BI157" s="22" t="s">
        <v>350</v>
      </c>
      <c r="BJ157" s="22" t="s">
        <v>355</v>
      </c>
      <c r="BK157" s="22" t="s">
        <v>352</v>
      </c>
      <c r="BL157" s="22" t="s">
        <v>357</v>
      </c>
      <c r="BM157" s="22" t="s">
        <v>356</v>
      </c>
      <c r="BN157" s="22" t="s">
        <v>351</v>
      </c>
      <c r="BO157" s="22" t="s">
        <v>354</v>
      </c>
      <c r="BP157" s="22" t="s">
        <v>353</v>
      </c>
      <c r="BQ157" s="22" t="s">
        <v>407</v>
      </c>
      <c r="BR157" s="22" t="s">
        <v>367</v>
      </c>
      <c r="BS157" s="22" t="s">
        <v>352</v>
      </c>
      <c r="BT157" s="22" t="s">
        <v>354</v>
      </c>
      <c r="BU157" s="22" t="s">
        <v>356</v>
      </c>
      <c r="BV157" s="22" t="s">
        <v>357</v>
      </c>
      <c r="BW157" s="22" t="s">
        <v>353</v>
      </c>
      <c r="BX157" s="22" t="s">
        <v>351</v>
      </c>
      <c r="BY157" s="22" t="s">
        <v>355</v>
      </c>
      <c r="BZ157" s="22" t="s">
        <v>354</v>
      </c>
      <c r="CA157" s="22" t="s">
        <v>357</v>
      </c>
      <c r="CB157" s="22" t="s">
        <v>351</v>
      </c>
      <c r="CC157" s="22" t="s">
        <v>356</v>
      </c>
      <c r="CD157" s="22" t="s">
        <v>355</v>
      </c>
      <c r="CE157" s="22" t="s">
        <v>353</v>
      </c>
      <c r="CF157" s="22" t="s">
        <v>352</v>
      </c>
      <c r="CG157" s="22" t="s">
        <v>421</v>
      </c>
      <c r="CH157" s="22" t="s">
        <v>393</v>
      </c>
      <c r="CI157" s="22" t="s">
        <v>420</v>
      </c>
      <c r="CJ157" s="22" t="s">
        <v>420</v>
      </c>
      <c r="CK157" s="22" t="s">
        <v>391</v>
      </c>
      <c r="CL157" s="22" t="s">
        <v>344</v>
      </c>
      <c r="CM157" s="22" t="s">
        <v>344</v>
      </c>
      <c r="CN157" s="22" t="s">
        <v>344</v>
      </c>
      <c r="CO157" s="22" t="s">
        <v>344</v>
      </c>
      <c r="CP157" s="22" t="s">
        <v>345</v>
      </c>
      <c r="CQ157" s="22" t="s">
        <v>344</v>
      </c>
      <c r="CR157" s="22" t="s">
        <v>667</v>
      </c>
      <c r="CS157" s="22">
        <v>74</v>
      </c>
      <c r="CT157" s="22">
        <v>22</v>
      </c>
      <c r="CU157" s="22">
        <v>74</v>
      </c>
      <c r="CV157" s="22">
        <v>2</v>
      </c>
      <c r="CW157" s="22" t="s">
        <v>363</v>
      </c>
      <c r="CX157" s="22" t="s">
        <v>396</v>
      </c>
      <c r="CY157" s="22" t="s">
        <v>396</v>
      </c>
      <c r="CZ157" s="22" t="s">
        <v>397</v>
      </c>
      <c r="DA157" s="22" t="s">
        <v>397</v>
      </c>
      <c r="DB157" s="22" t="s">
        <v>397</v>
      </c>
      <c r="DC157" s="22" t="s">
        <v>397</v>
      </c>
      <c r="DD157" s="22" t="s">
        <v>366</v>
      </c>
      <c r="DE157" s="22" t="s">
        <v>397</v>
      </c>
      <c r="DF157" s="22" t="s">
        <v>366</v>
      </c>
      <c r="DG157" s="22" t="s">
        <v>397</v>
      </c>
      <c r="DH157" s="22" t="s">
        <v>397</v>
      </c>
      <c r="DI157" s="22" t="s">
        <v>366</v>
      </c>
      <c r="DJ157" s="22"/>
      <c r="DK157" s="22" t="s">
        <v>367</v>
      </c>
      <c r="DL157" s="22" t="s">
        <v>368</v>
      </c>
      <c r="DM157" s="22" t="s">
        <v>368</v>
      </c>
      <c r="DN157" s="22" t="s">
        <v>368</v>
      </c>
      <c r="DO157" s="22" t="s">
        <v>368</v>
      </c>
      <c r="DP157" s="22" t="s">
        <v>345</v>
      </c>
      <c r="DQ157" s="22" t="s">
        <v>344</v>
      </c>
      <c r="DR157" s="22" t="s">
        <v>345</v>
      </c>
      <c r="DS157" s="22" t="s">
        <v>344</v>
      </c>
      <c r="DT157" s="22" t="s">
        <v>368</v>
      </c>
      <c r="DU157" s="22" t="s">
        <v>368</v>
      </c>
      <c r="DV157" s="22" t="s">
        <v>368</v>
      </c>
      <c r="DW157" s="22" t="s">
        <v>345</v>
      </c>
      <c r="DX157" s="22" t="s">
        <v>369</v>
      </c>
      <c r="DY157" s="22" t="s">
        <v>369</v>
      </c>
      <c r="DZ157" s="22" t="s">
        <v>369</v>
      </c>
      <c r="EA157" s="22" t="s">
        <v>369</v>
      </c>
      <c r="EB157" s="22" t="s">
        <v>369</v>
      </c>
      <c r="EC157" s="22" t="s">
        <v>369</v>
      </c>
      <c r="ED157" s="22" t="s">
        <v>399</v>
      </c>
      <c r="EE157" s="22" t="s">
        <v>370</v>
      </c>
      <c r="EF157" s="22" t="s">
        <v>370</v>
      </c>
      <c r="EG157" s="22" t="s">
        <v>370</v>
      </c>
      <c r="EH157" s="22" t="s">
        <v>370</v>
      </c>
      <c r="EI157" s="22" t="s">
        <v>399</v>
      </c>
      <c r="EJ157" s="22" t="s">
        <v>399</v>
      </c>
      <c r="EK157" s="22" t="s">
        <v>370</v>
      </c>
      <c r="EL157" s="22" t="s">
        <v>374</v>
      </c>
      <c r="EM157" s="22" t="s">
        <v>424</v>
      </c>
      <c r="EN157" s="22" t="s">
        <v>373</v>
      </c>
      <c r="EO157" s="22"/>
      <c r="EP157" s="22"/>
      <c r="EQ157" s="22" t="s">
        <v>376</v>
      </c>
      <c r="ER157" s="22" t="s">
        <v>378</v>
      </c>
      <c r="ES157" s="22" t="s">
        <v>378</v>
      </c>
      <c r="ET157" s="22" t="s">
        <v>378</v>
      </c>
      <c r="EU157" s="22" t="s">
        <v>378</v>
      </c>
      <c r="EV157" s="22" t="s">
        <v>400</v>
      </c>
      <c r="EW157" s="22"/>
      <c r="EX157" s="22" t="s">
        <v>368</v>
      </c>
      <c r="EY157" s="22" t="s">
        <v>368</v>
      </c>
      <c r="EZ157" s="22" t="s">
        <v>368</v>
      </c>
      <c r="FA157" s="22" t="s">
        <v>345</v>
      </c>
      <c r="FB157" s="22" t="s">
        <v>380</v>
      </c>
      <c r="FC157" s="22"/>
      <c r="FD157" s="22" t="s">
        <v>381</v>
      </c>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t="s">
        <v>368</v>
      </c>
      <c r="GB157" s="22" t="s">
        <v>368</v>
      </c>
      <c r="GC157" s="22" t="s">
        <v>368</v>
      </c>
      <c r="GD157" s="22" t="s">
        <v>368</v>
      </c>
      <c r="GE157" s="22" t="s">
        <v>368</v>
      </c>
      <c r="GF157" s="22" t="s">
        <v>368</v>
      </c>
      <c r="GG157" s="22"/>
      <c r="GH157" s="22"/>
      <c r="GI157" s="22"/>
      <c r="GJ157" s="22"/>
      <c r="GK157" s="22"/>
      <c r="GL157" s="22" t="s">
        <v>344</v>
      </c>
      <c r="GM157" s="22" t="s">
        <v>344</v>
      </c>
      <c r="GN157" s="22" t="s">
        <v>344</v>
      </c>
      <c r="GO157" s="22" t="s">
        <v>344</v>
      </c>
      <c r="GP157" s="22" t="s">
        <v>344</v>
      </c>
      <c r="GQ157" s="22" t="s">
        <v>344</v>
      </c>
      <c r="GR157" s="22" t="s">
        <v>344</v>
      </c>
      <c r="GS157" s="22" t="s">
        <v>344</v>
      </c>
      <c r="GT157" s="22" t="s">
        <v>344</v>
      </c>
      <c r="GU157" s="22" t="s">
        <v>344</v>
      </c>
      <c r="GV157" s="22" t="s">
        <v>344</v>
      </c>
      <c r="GW157" s="22" t="s">
        <v>344</v>
      </c>
      <c r="GX157" s="22" t="s">
        <v>344</v>
      </c>
      <c r="GY157" s="22" t="s">
        <v>345</v>
      </c>
      <c r="GZ157" s="22" t="s">
        <v>344</v>
      </c>
      <c r="HA157" s="22"/>
      <c r="HB157" s="22" t="s">
        <v>344</v>
      </c>
      <c r="HC157" s="22"/>
      <c r="HD157" s="22" t="s">
        <v>344</v>
      </c>
      <c r="HE157" s="22"/>
      <c r="HF157" s="22" t="s">
        <v>344</v>
      </c>
      <c r="HG157" s="22"/>
      <c r="HH157" s="22" t="s">
        <v>344</v>
      </c>
      <c r="HI157" s="22"/>
      <c r="HJ157" s="22" t="s">
        <v>344</v>
      </c>
      <c r="HK157" s="22" t="s">
        <v>344</v>
      </c>
      <c r="HL157" s="22" t="s">
        <v>344</v>
      </c>
      <c r="HM157" s="22" t="s">
        <v>344</v>
      </c>
      <c r="HN157" s="22" t="s">
        <v>344</v>
      </c>
      <c r="HO157" s="22" t="s">
        <v>344</v>
      </c>
      <c r="HP157" s="22" t="s">
        <v>344</v>
      </c>
      <c r="HQ157" s="22" t="s">
        <v>344</v>
      </c>
      <c r="HR157" s="22" t="s">
        <v>344</v>
      </c>
      <c r="HS157" s="22" t="s">
        <v>344</v>
      </c>
      <c r="HT157" s="22" t="s">
        <v>344</v>
      </c>
      <c r="HU157" s="22" t="s">
        <v>344</v>
      </c>
      <c r="HV157" s="22" t="s">
        <v>345</v>
      </c>
      <c r="HW157" s="22" t="s">
        <v>344</v>
      </c>
      <c r="HX157" s="22" t="s">
        <v>344</v>
      </c>
      <c r="HY157" s="22"/>
      <c r="HZ157" s="22" t="s">
        <v>344</v>
      </c>
      <c r="IA157" s="22"/>
      <c r="IB157" s="22" t="s">
        <v>344</v>
      </c>
      <c r="IC157" s="22"/>
      <c r="ID157" s="22" t="s">
        <v>344</v>
      </c>
      <c r="IE157" s="22"/>
      <c r="IF157" s="22" t="s">
        <v>344</v>
      </c>
      <c r="IG157" s="22"/>
      <c r="IH157" s="22" t="s">
        <v>345</v>
      </c>
      <c r="II157" s="22" t="s">
        <v>345</v>
      </c>
      <c r="IJ157" s="22" t="s">
        <v>344</v>
      </c>
      <c r="IK157" s="22" t="s">
        <v>344</v>
      </c>
      <c r="IL157" s="22" t="s">
        <v>345</v>
      </c>
      <c r="IM157" s="22" t="s">
        <v>345</v>
      </c>
      <c r="IN157" s="22" t="s">
        <v>344</v>
      </c>
      <c r="IO157" s="22" t="s">
        <v>345</v>
      </c>
      <c r="IP157" s="22" t="s">
        <v>344</v>
      </c>
      <c r="IQ157" s="22" t="s">
        <v>344</v>
      </c>
      <c r="IR157" s="22" t="s">
        <v>344</v>
      </c>
      <c r="IS157" s="22" t="s">
        <v>344</v>
      </c>
      <c r="IT157" s="22"/>
      <c r="IU157" s="22"/>
      <c r="IV157" s="22"/>
      <c r="IW157" s="22"/>
      <c r="IX157" s="22"/>
      <c r="IY157" s="22"/>
      <c r="IZ157" s="22"/>
      <c r="JA157" s="22"/>
      <c r="JB157" s="22"/>
      <c r="JC157" s="22"/>
      <c r="JD157" s="22"/>
      <c r="JE157" s="22"/>
      <c r="JF157" s="22"/>
      <c r="JG157" s="22"/>
      <c r="JH157" s="22"/>
    </row>
    <row r="158" spans="1:268" x14ac:dyDescent="0.3">
      <c r="A158" s="22" t="s">
        <v>813</v>
      </c>
      <c r="B158" s="22">
        <v>257</v>
      </c>
      <c r="C158" s="22" t="s">
        <v>1072</v>
      </c>
      <c r="D158" s="22">
        <v>14</v>
      </c>
      <c r="E158" s="22" t="s">
        <v>387</v>
      </c>
      <c r="F158" s="22">
        <v>1950342647</v>
      </c>
      <c r="G158" s="22" t="s">
        <v>1073</v>
      </c>
      <c r="H158" s="22" t="s">
        <v>1072</v>
      </c>
      <c r="I158" s="22" t="s">
        <v>1035</v>
      </c>
      <c r="J158" s="22">
        <v>18</v>
      </c>
      <c r="K158" s="22" t="s">
        <v>406</v>
      </c>
      <c r="L158" s="22"/>
      <c r="M158" s="22" t="s">
        <v>344</v>
      </c>
      <c r="N158" s="22" t="s">
        <v>345</v>
      </c>
      <c r="O158" s="22" t="s">
        <v>344</v>
      </c>
      <c r="P158" s="22" t="s">
        <v>344</v>
      </c>
      <c r="Q158" s="22" t="s">
        <v>344</v>
      </c>
      <c r="R158" s="22"/>
      <c r="S158" s="22" t="s">
        <v>522</v>
      </c>
      <c r="T158" s="22"/>
      <c r="U158" s="22" t="s">
        <v>523</v>
      </c>
      <c r="V158" s="22"/>
      <c r="W158" s="22" t="s">
        <v>345</v>
      </c>
      <c r="X158" s="22" t="s">
        <v>344</v>
      </c>
      <c r="Y158" s="22" t="s">
        <v>344</v>
      </c>
      <c r="Z158" s="22" t="s">
        <v>344</v>
      </c>
      <c r="AA158" s="22" t="s">
        <v>344</v>
      </c>
      <c r="AB158" s="22" t="s">
        <v>344</v>
      </c>
      <c r="AC158" s="22" t="s">
        <v>344</v>
      </c>
      <c r="AD158" s="22" t="s">
        <v>344</v>
      </c>
      <c r="AE158" s="22" t="s">
        <v>344</v>
      </c>
      <c r="AF158" s="22" t="s">
        <v>344</v>
      </c>
      <c r="AG158" s="22" t="s">
        <v>345</v>
      </c>
      <c r="AH158" s="22" t="s">
        <v>344</v>
      </c>
      <c r="AI158" s="22" t="s">
        <v>344</v>
      </c>
      <c r="AJ158" s="22" t="s">
        <v>344</v>
      </c>
      <c r="AK158" s="22" t="s">
        <v>344</v>
      </c>
      <c r="AL158" s="22" t="s">
        <v>345</v>
      </c>
      <c r="AM158" s="22" t="s">
        <v>344</v>
      </c>
      <c r="AN158" s="22" t="s">
        <v>344</v>
      </c>
      <c r="AO158" s="22" t="s">
        <v>344</v>
      </c>
      <c r="AP158" s="22" t="s">
        <v>344</v>
      </c>
      <c r="AQ158" s="22" t="s">
        <v>344</v>
      </c>
      <c r="AR158" s="22" t="s">
        <v>345</v>
      </c>
      <c r="AS158" s="22" t="s">
        <v>345</v>
      </c>
      <c r="AT158" s="22" t="s">
        <v>345</v>
      </c>
      <c r="AU158" s="22" t="s">
        <v>345</v>
      </c>
      <c r="AV158" s="22" t="s">
        <v>344</v>
      </c>
      <c r="AW158" s="22" t="s">
        <v>344</v>
      </c>
      <c r="AX158" s="22" t="s">
        <v>344</v>
      </c>
      <c r="AY158" s="22" t="s">
        <v>731</v>
      </c>
      <c r="AZ158" s="22" t="s">
        <v>732</v>
      </c>
      <c r="BA158" s="22" t="s">
        <v>731</v>
      </c>
      <c r="BB158" s="22" t="s">
        <v>732</v>
      </c>
      <c r="BC158" s="22" t="s">
        <v>733</v>
      </c>
      <c r="BD158" s="22" t="s">
        <v>731</v>
      </c>
      <c r="BE158" s="22" t="s">
        <v>349</v>
      </c>
      <c r="BF158" s="22" t="s">
        <v>348</v>
      </c>
      <c r="BG158" s="22" t="s">
        <v>390</v>
      </c>
      <c r="BH158" s="22" t="s">
        <v>349</v>
      </c>
      <c r="BI158" s="22" t="s">
        <v>349</v>
      </c>
      <c r="BJ158" s="22" t="s">
        <v>357</v>
      </c>
      <c r="BK158" s="22" t="s">
        <v>356</v>
      </c>
      <c r="BL158" s="22" t="s">
        <v>353</v>
      </c>
      <c r="BM158" s="22" t="s">
        <v>354</v>
      </c>
      <c r="BN158" s="22" t="s">
        <v>356</v>
      </c>
      <c r="BO158" s="22" t="s">
        <v>356</v>
      </c>
      <c r="BP158" s="22" t="s">
        <v>356</v>
      </c>
      <c r="BQ158" s="22" t="s">
        <v>358</v>
      </c>
      <c r="BR158" s="22" t="s">
        <v>429</v>
      </c>
      <c r="BS158" s="22" t="s">
        <v>352</v>
      </c>
      <c r="BT158" s="22" t="s">
        <v>357</v>
      </c>
      <c r="BU158" s="22" t="s">
        <v>357</v>
      </c>
      <c r="BV158" s="22" t="s">
        <v>354</v>
      </c>
      <c r="BW158" s="22" t="s">
        <v>351</v>
      </c>
      <c r="BX158" s="22" t="s">
        <v>356</v>
      </c>
      <c r="BY158" s="22" t="s">
        <v>354</v>
      </c>
      <c r="BZ158" s="22" t="s">
        <v>356</v>
      </c>
      <c r="CA158" s="22" t="s">
        <v>355</v>
      </c>
      <c r="CB158" s="22" t="s">
        <v>352</v>
      </c>
      <c r="CC158" s="22" t="s">
        <v>354</v>
      </c>
      <c r="CD158" s="22" t="s">
        <v>357</v>
      </c>
      <c r="CE158" s="22" t="s">
        <v>356</v>
      </c>
      <c r="CF158" s="22" t="s">
        <v>355</v>
      </c>
      <c r="CG158" s="22" t="s">
        <v>393</v>
      </c>
      <c r="CH158" s="22" t="s">
        <v>393</v>
      </c>
      <c r="CI158" s="22" t="s">
        <v>393</v>
      </c>
      <c r="CJ158" s="22" t="s">
        <v>420</v>
      </c>
      <c r="CK158" s="22"/>
      <c r="CL158" s="22" t="s">
        <v>344</v>
      </c>
      <c r="CM158" s="22" t="s">
        <v>344</v>
      </c>
      <c r="CN158" s="22" t="s">
        <v>344</v>
      </c>
      <c r="CO158" s="22" t="s">
        <v>345</v>
      </c>
      <c r="CP158" s="22" t="s">
        <v>345</v>
      </c>
      <c r="CQ158" s="22" t="s">
        <v>344</v>
      </c>
      <c r="CR158" s="22" t="s">
        <v>655</v>
      </c>
      <c r="CS158" s="22">
        <v>32</v>
      </c>
      <c r="CT158" s="22">
        <v>35</v>
      </c>
      <c r="CU158" s="22">
        <v>100</v>
      </c>
      <c r="CV158" s="22">
        <v>88</v>
      </c>
      <c r="CW158" s="22" t="s">
        <v>395</v>
      </c>
      <c r="CX158" s="22" t="s">
        <v>363</v>
      </c>
      <c r="CY158" s="22" t="s">
        <v>395</v>
      </c>
      <c r="CZ158" s="22" t="s">
        <v>366</v>
      </c>
      <c r="DA158" s="22" t="s">
        <v>366</v>
      </c>
      <c r="DB158" s="22" t="s">
        <v>397</v>
      </c>
      <c r="DC158" s="22" t="s">
        <v>397</v>
      </c>
      <c r="DD158" s="22" t="s">
        <v>366</v>
      </c>
      <c r="DE158" s="22" t="s">
        <v>397</v>
      </c>
      <c r="DF158" s="22" t="s">
        <v>365</v>
      </c>
      <c r="DG158" s="22" t="s">
        <v>397</v>
      </c>
      <c r="DH158" s="22" t="s">
        <v>397</v>
      </c>
      <c r="DI158" s="22" t="s">
        <v>397</v>
      </c>
      <c r="DJ158" s="22"/>
      <c r="DK158" s="22" t="s">
        <v>367</v>
      </c>
      <c r="DL158" s="22" t="s">
        <v>368</v>
      </c>
      <c r="DM158" s="22" t="s">
        <v>368</v>
      </c>
      <c r="DN158" s="22" t="s">
        <v>368</v>
      </c>
      <c r="DO158" s="22" t="s">
        <v>368</v>
      </c>
      <c r="DP158" s="22" t="s">
        <v>368</v>
      </c>
      <c r="DQ158" s="22" t="s">
        <v>368</v>
      </c>
      <c r="DR158" s="22" t="s">
        <v>368</v>
      </c>
      <c r="DS158" s="22" t="s">
        <v>345</v>
      </c>
      <c r="DT158" s="22" t="s">
        <v>368</v>
      </c>
      <c r="DU158" s="22" t="s">
        <v>368</v>
      </c>
      <c r="DV158" s="22" t="s">
        <v>368</v>
      </c>
      <c r="DW158" s="22" t="s">
        <v>345</v>
      </c>
      <c r="DX158" s="22" t="s">
        <v>369</v>
      </c>
      <c r="DY158" s="22" t="s">
        <v>370</v>
      </c>
      <c r="DZ158" s="22" t="s">
        <v>369</v>
      </c>
      <c r="EA158" s="22" t="s">
        <v>369</v>
      </c>
      <c r="EB158" s="22" t="s">
        <v>369</v>
      </c>
      <c r="EC158" s="22" t="s">
        <v>369</v>
      </c>
      <c r="ED158" s="22" t="s">
        <v>398</v>
      </c>
      <c r="EE158" s="22" t="s">
        <v>370</v>
      </c>
      <c r="EF158" s="22" t="s">
        <v>370</v>
      </c>
      <c r="EG158" s="22" t="s">
        <v>369</v>
      </c>
      <c r="EH158" s="22" t="s">
        <v>370</v>
      </c>
      <c r="EI158" s="22" t="s">
        <v>370</v>
      </c>
      <c r="EJ158" s="22" t="s">
        <v>370</v>
      </c>
      <c r="EK158" s="22" t="s">
        <v>370</v>
      </c>
      <c r="EL158" s="22" t="s">
        <v>374</v>
      </c>
      <c r="EM158" s="22" t="s">
        <v>372</v>
      </c>
      <c r="EN158" s="22" t="s">
        <v>373</v>
      </c>
      <c r="EO158" s="22"/>
      <c r="EP158" s="22"/>
      <c r="EQ158" s="22" t="s">
        <v>375</v>
      </c>
      <c r="ER158" s="22" t="s">
        <v>375</v>
      </c>
      <c r="ES158" s="22" t="s">
        <v>375</v>
      </c>
      <c r="ET158" s="22" t="s">
        <v>375</v>
      </c>
      <c r="EU158" s="22" t="s">
        <v>375</v>
      </c>
      <c r="EV158" s="22" t="s">
        <v>400</v>
      </c>
      <c r="EW158" s="22"/>
      <c r="EX158" s="167" t="s">
        <v>345</v>
      </c>
      <c r="EY158" s="167" t="s">
        <v>345</v>
      </c>
      <c r="EZ158" s="167" t="s">
        <v>344</v>
      </c>
      <c r="FA158" s="22" t="s">
        <v>344</v>
      </c>
      <c r="FB158" s="22" t="s">
        <v>401</v>
      </c>
      <c r="FC158" s="22"/>
      <c r="FD158" s="22" t="s">
        <v>401</v>
      </c>
      <c r="FE158" s="22"/>
      <c r="FF158" s="22" t="s">
        <v>382</v>
      </c>
      <c r="FG158" s="22" t="s">
        <v>383</v>
      </c>
      <c r="FH158" s="22" t="s">
        <v>451</v>
      </c>
      <c r="FI158" s="22" t="s">
        <v>403</v>
      </c>
      <c r="FJ158" s="22"/>
      <c r="FK158" s="22"/>
      <c r="FL158" s="22"/>
      <c r="FM158" s="22"/>
      <c r="FN158" s="22"/>
      <c r="FO158" s="22"/>
      <c r="FP158" s="22"/>
      <c r="FQ158" s="22"/>
      <c r="FR158" s="22"/>
      <c r="FS158" s="22"/>
      <c r="FT158" s="22"/>
      <c r="FU158" s="22"/>
      <c r="FV158" s="22"/>
      <c r="FW158" s="22"/>
      <c r="FX158" s="22"/>
      <c r="FY158" s="22"/>
      <c r="FZ158" s="22"/>
      <c r="GA158" s="22" t="s">
        <v>368</v>
      </c>
      <c r="GB158" s="22" t="s">
        <v>368</v>
      </c>
      <c r="GC158" s="22" t="s">
        <v>368</v>
      </c>
      <c r="GD158" s="22" t="s">
        <v>368</v>
      </c>
      <c r="GE158" s="22" t="s">
        <v>368</v>
      </c>
      <c r="GF158" s="22" t="s">
        <v>368</v>
      </c>
      <c r="GG158" s="22"/>
      <c r="GH158" s="22"/>
      <c r="GI158" s="22"/>
      <c r="GJ158" s="22"/>
      <c r="GK158" s="22"/>
      <c r="GL158" s="22" t="s">
        <v>344</v>
      </c>
      <c r="GM158" s="22" t="s">
        <v>344</v>
      </c>
      <c r="GN158" s="22" t="s">
        <v>344</v>
      </c>
      <c r="GO158" s="22" t="s">
        <v>345</v>
      </c>
      <c r="GP158" s="22" t="s">
        <v>344</v>
      </c>
      <c r="GQ158" s="22" t="s">
        <v>344</v>
      </c>
      <c r="GR158" s="22" t="s">
        <v>344</v>
      </c>
      <c r="GS158" s="22" t="s">
        <v>344</v>
      </c>
      <c r="GT158" s="22" t="s">
        <v>344</v>
      </c>
      <c r="GU158" s="22" t="s">
        <v>344</v>
      </c>
      <c r="GV158" s="22" t="s">
        <v>344</v>
      </c>
      <c r="GW158" s="22" t="s">
        <v>344</v>
      </c>
      <c r="GX158" s="22" t="s">
        <v>344</v>
      </c>
      <c r="GY158" s="22" t="s">
        <v>344</v>
      </c>
      <c r="GZ158" s="22" t="s">
        <v>344</v>
      </c>
      <c r="HA158" s="22"/>
      <c r="HB158" s="22" t="s">
        <v>344</v>
      </c>
      <c r="HC158" s="22"/>
      <c r="HD158" s="22" t="s">
        <v>344</v>
      </c>
      <c r="HE158" s="22"/>
      <c r="HF158" s="22" t="s">
        <v>344</v>
      </c>
      <c r="HG158" s="22"/>
      <c r="HH158" s="22" t="s">
        <v>344</v>
      </c>
      <c r="HI158" s="22"/>
      <c r="HJ158" s="22" t="s">
        <v>344</v>
      </c>
      <c r="HK158" s="22" t="s">
        <v>344</v>
      </c>
      <c r="HL158" s="22" t="s">
        <v>344</v>
      </c>
      <c r="HM158" s="22" t="s">
        <v>344</v>
      </c>
      <c r="HN158" s="22" t="s">
        <v>344</v>
      </c>
      <c r="HO158" s="22" t="s">
        <v>344</v>
      </c>
      <c r="HP158" s="22" t="s">
        <v>344</v>
      </c>
      <c r="HQ158" s="22" t="s">
        <v>344</v>
      </c>
      <c r="HR158" s="22" t="s">
        <v>344</v>
      </c>
      <c r="HS158" s="22" t="s">
        <v>344</v>
      </c>
      <c r="HT158" s="22" t="s">
        <v>344</v>
      </c>
      <c r="HU158" s="22" t="s">
        <v>345</v>
      </c>
      <c r="HV158" s="22" t="s">
        <v>345</v>
      </c>
      <c r="HW158" s="22" t="s">
        <v>344</v>
      </c>
      <c r="HX158" s="22" t="s">
        <v>344</v>
      </c>
      <c r="HY158" s="22"/>
      <c r="HZ158" s="22" t="s">
        <v>344</v>
      </c>
      <c r="IA158" s="22"/>
      <c r="IB158" s="22" t="s">
        <v>344</v>
      </c>
      <c r="IC158" s="22"/>
      <c r="ID158" s="22" t="s">
        <v>344</v>
      </c>
      <c r="IE158" s="22"/>
      <c r="IF158" s="22" t="s">
        <v>344</v>
      </c>
      <c r="IG158" s="22"/>
      <c r="IH158" s="22" t="s">
        <v>345</v>
      </c>
      <c r="II158" s="22" t="s">
        <v>345</v>
      </c>
      <c r="IJ158" s="22" t="s">
        <v>344</v>
      </c>
      <c r="IK158" s="22" t="s">
        <v>344</v>
      </c>
      <c r="IL158" s="22" t="s">
        <v>345</v>
      </c>
      <c r="IM158" s="22" t="s">
        <v>345</v>
      </c>
      <c r="IN158" s="22" t="s">
        <v>344</v>
      </c>
      <c r="IO158" s="22" t="s">
        <v>345</v>
      </c>
      <c r="IP158" s="22" t="s">
        <v>344</v>
      </c>
      <c r="IQ158" s="22" t="s">
        <v>344</v>
      </c>
      <c r="IR158" s="22" t="s">
        <v>344</v>
      </c>
      <c r="IS158" s="22" t="s">
        <v>344</v>
      </c>
      <c r="IT158" s="22"/>
      <c r="IU158" s="22"/>
      <c r="IV158" s="22"/>
      <c r="IW158" s="22"/>
      <c r="IX158" s="22"/>
      <c r="IY158" s="22"/>
      <c r="IZ158" s="22"/>
      <c r="JA158" s="22"/>
      <c r="JB158" s="22"/>
      <c r="JC158" s="22"/>
      <c r="JD158" s="22"/>
      <c r="JE158" s="22"/>
      <c r="JF158" s="22"/>
      <c r="JG158" s="22"/>
      <c r="JH158" s="22"/>
    </row>
    <row r="159" spans="1:268" x14ac:dyDescent="0.3">
      <c r="A159" s="22" t="s">
        <v>813</v>
      </c>
      <c r="B159" s="22">
        <v>260</v>
      </c>
      <c r="C159" s="22" t="s">
        <v>1074</v>
      </c>
      <c r="D159" s="22">
        <v>14</v>
      </c>
      <c r="E159" s="22" t="s">
        <v>387</v>
      </c>
      <c r="F159" s="22">
        <v>1633984946</v>
      </c>
      <c r="G159" s="22" t="s">
        <v>1075</v>
      </c>
      <c r="H159" s="22" t="s">
        <v>1074</v>
      </c>
      <c r="I159" s="22" t="s">
        <v>1035</v>
      </c>
      <c r="J159" s="22">
        <v>18</v>
      </c>
      <c r="K159" s="22" t="s">
        <v>406</v>
      </c>
      <c r="L159" s="22"/>
      <c r="M159" s="22" t="s">
        <v>345</v>
      </c>
      <c r="N159" s="22" t="s">
        <v>345</v>
      </c>
      <c r="O159" s="22" t="s">
        <v>344</v>
      </c>
      <c r="P159" s="22" t="s">
        <v>344</v>
      </c>
      <c r="Q159" s="22" t="s">
        <v>344</v>
      </c>
      <c r="R159" s="22"/>
      <c r="S159" s="22" t="s">
        <v>522</v>
      </c>
      <c r="T159" s="22"/>
      <c r="U159" s="22" t="s">
        <v>347</v>
      </c>
      <c r="V159" s="22"/>
      <c r="W159" s="22" t="s">
        <v>344</v>
      </c>
      <c r="X159" s="22" t="s">
        <v>345</v>
      </c>
      <c r="Y159" s="22" t="s">
        <v>345</v>
      </c>
      <c r="Z159" s="22" t="s">
        <v>344</v>
      </c>
      <c r="AA159" s="22" t="s">
        <v>344</v>
      </c>
      <c r="AB159" s="22" t="s">
        <v>344</v>
      </c>
      <c r="AC159" s="22" t="s">
        <v>344</v>
      </c>
      <c r="AD159" s="22" t="s">
        <v>345</v>
      </c>
      <c r="AE159" s="22" t="s">
        <v>344</v>
      </c>
      <c r="AF159" s="22" t="s">
        <v>344</v>
      </c>
      <c r="AG159" s="22" t="s">
        <v>345</v>
      </c>
      <c r="AH159" s="22" t="s">
        <v>345</v>
      </c>
      <c r="AI159" s="22" t="s">
        <v>344</v>
      </c>
      <c r="AJ159" s="22" t="s">
        <v>344</v>
      </c>
      <c r="AK159" s="22" t="s">
        <v>345</v>
      </c>
      <c r="AL159" s="22" t="s">
        <v>345</v>
      </c>
      <c r="AM159" s="22" t="s">
        <v>344</v>
      </c>
      <c r="AN159" s="22" t="s">
        <v>344</v>
      </c>
      <c r="AO159" s="22" t="s">
        <v>344</v>
      </c>
      <c r="AP159" s="22" t="s">
        <v>345</v>
      </c>
      <c r="AQ159" s="22" t="s">
        <v>344</v>
      </c>
      <c r="AR159" s="22" t="s">
        <v>345</v>
      </c>
      <c r="AS159" s="22" t="s">
        <v>345</v>
      </c>
      <c r="AT159" s="22" t="s">
        <v>344</v>
      </c>
      <c r="AU159" s="22" t="s">
        <v>344</v>
      </c>
      <c r="AV159" s="22" t="s">
        <v>344</v>
      </c>
      <c r="AW159" s="22" t="s">
        <v>344</v>
      </c>
      <c r="AX159" s="22" t="s">
        <v>344</v>
      </c>
      <c r="AY159" s="22" t="s">
        <v>731</v>
      </c>
      <c r="AZ159" s="22" t="s">
        <v>732</v>
      </c>
      <c r="BA159" s="22" t="s">
        <v>737</v>
      </c>
      <c r="BB159" s="22" t="s">
        <v>732</v>
      </c>
      <c r="BC159" s="22" t="s">
        <v>732</v>
      </c>
      <c r="BD159" s="22" t="s">
        <v>391</v>
      </c>
      <c r="BE159" s="22" t="s">
        <v>390</v>
      </c>
      <c r="BF159" s="22" t="s">
        <v>349</v>
      </c>
      <c r="BG159" s="22" t="s">
        <v>390</v>
      </c>
      <c r="BH159" s="22" t="s">
        <v>390</v>
      </c>
      <c r="BI159" s="22" t="s">
        <v>348</v>
      </c>
      <c r="BJ159" s="22" t="s">
        <v>391</v>
      </c>
      <c r="BK159" s="22" t="s">
        <v>357</v>
      </c>
      <c r="BL159" s="22" t="s">
        <v>352</v>
      </c>
      <c r="BM159" s="22" t="s">
        <v>351</v>
      </c>
      <c r="BN159" s="22" t="s">
        <v>356</v>
      </c>
      <c r="BO159" s="22" t="s">
        <v>355</v>
      </c>
      <c r="BP159" s="22" t="s">
        <v>356</v>
      </c>
      <c r="BQ159" s="22" t="s">
        <v>455</v>
      </c>
      <c r="BR159" s="22" t="s">
        <v>367</v>
      </c>
      <c r="BS159" s="22" t="s">
        <v>351</v>
      </c>
      <c r="BT159" s="22" t="s">
        <v>357</v>
      </c>
      <c r="BU159" s="22" t="s">
        <v>353</v>
      </c>
      <c r="BV159" s="22" t="s">
        <v>354</v>
      </c>
      <c r="BW159" s="22" t="s">
        <v>351</v>
      </c>
      <c r="BX159" s="22" t="s">
        <v>353</v>
      </c>
      <c r="BY159" s="22" t="s">
        <v>351</v>
      </c>
      <c r="BZ159" s="22" t="s">
        <v>354</v>
      </c>
      <c r="CA159" s="22" t="s">
        <v>351</v>
      </c>
      <c r="CB159" s="22" t="s">
        <v>352</v>
      </c>
      <c r="CC159" s="22" t="s">
        <v>355</v>
      </c>
      <c r="CD159" s="22" t="s">
        <v>355</v>
      </c>
      <c r="CE159" s="22" t="s">
        <v>355</v>
      </c>
      <c r="CF159" s="22" t="s">
        <v>353</v>
      </c>
      <c r="CG159" s="22" t="s">
        <v>420</v>
      </c>
      <c r="CH159" s="22" t="s">
        <v>420</v>
      </c>
      <c r="CI159" s="22" t="s">
        <v>360</v>
      </c>
      <c r="CJ159" s="22" t="s">
        <v>360</v>
      </c>
      <c r="CK159" s="22"/>
      <c r="CL159" s="22" t="s">
        <v>345</v>
      </c>
      <c r="CM159" s="22" t="s">
        <v>345</v>
      </c>
      <c r="CN159" s="22" t="s">
        <v>344</v>
      </c>
      <c r="CO159" s="22" t="s">
        <v>344</v>
      </c>
      <c r="CP159" s="22" t="s">
        <v>344</v>
      </c>
      <c r="CQ159" s="22" t="s">
        <v>344</v>
      </c>
      <c r="CR159" s="22" t="s">
        <v>655</v>
      </c>
      <c r="CS159" s="22">
        <v>75</v>
      </c>
      <c r="CT159" s="22">
        <v>75</v>
      </c>
      <c r="CU159" s="22">
        <v>14</v>
      </c>
      <c r="CV159" s="22">
        <v>1</v>
      </c>
      <c r="CW159" s="22" t="s">
        <v>395</v>
      </c>
      <c r="CX159" s="22" t="s">
        <v>363</v>
      </c>
      <c r="CY159" s="22" t="s">
        <v>396</v>
      </c>
      <c r="CZ159" s="22" t="s">
        <v>366</v>
      </c>
      <c r="DA159" s="22" t="s">
        <v>365</v>
      </c>
      <c r="DB159" s="22" t="s">
        <v>397</v>
      </c>
      <c r="DC159" s="22" t="s">
        <v>366</v>
      </c>
      <c r="DD159" s="22" t="s">
        <v>366</v>
      </c>
      <c r="DE159" s="22" t="s">
        <v>366</v>
      </c>
      <c r="DF159" s="22" t="s">
        <v>397</v>
      </c>
      <c r="DG159" s="22" t="s">
        <v>397</v>
      </c>
      <c r="DH159" s="22" t="s">
        <v>397</v>
      </c>
      <c r="DI159" s="22" t="s">
        <v>397</v>
      </c>
      <c r="DJ159" s="22"/>
      <c r="DK159" s="22" t="s">
        <v>367</v>
      </c>
      <c r="DL159" s="22" t="s">
        <v>368</v>
      </c>
      <c r="DM159" s="22" t="s">
        <v>368</v>
      </c>
      <c r="DN159" s="22" t="s">
        <v>368</v>
      </c>
      <c r="DO159" s="22" t="s">
        <v>368</v>
      </c>
      <c r="DP159" s="22" t="s">
        <v>345</v>
      </c>
      <c r="DQ159" s="22" t="s">
        <v>345</v>
      </c>
      <c r="DR159" s="22" t="s">
        <v>345</v>
      </c>
      <c r="DS159" s="22" t="s">
        <v>344</v>
      </c>
      <c r="DT159" s="22" t="s">
        <v>344</v>
      </c>
      <c r="DU159" s="22" t="s">
        <v>345</v>
      </c>
      <c r="DV159" s="22" t="s">
        <v>345</v>
      </c>
      <c r="DW159" s="22" t="s">
        <v>344</v>
      </c>
      <c r="DX159" s="22" t="s">
        <v>369</v>
      </c>
      <c r="DY159" s="22" t="s">
        <v>370</v>
      </c>
      <c r="DZ159" s="22" t="s">
        <v>370</v>
      </c>
      <c r="EA159" s="22" t="s">
        <v>370</v>
      </c>
      <c r="EB159" s="22" t="s">
        <v>370</v>
      </c>
      <c r="EC159" s="22" t="s">
        <v>370</v>
      </c>
      <c r="ED159" s="22" t="s">
        <v>370</v>
      </c>
      <c r="EE159" s="22" t="s">
        <v>370</v>
      </c>
      <c r="EF159" s="22" t="s">
        <v>370</v>
      </c>
      <c r="EG159" s="22" t="s">
        <v>370</v>
      </c>
      <c r="EH159" s="22" t="s">
        <v>370</v>
      </c>
      <c r="EI159" s="22" t="s">
        <v>370</v>
      </c>
      <c r="EJ159" s="22" t="s">
        <v>370</v>
      </c>
      <c r="EK159" s="22" t="s">
        <v>370</v>
      </c>
      <c r="EL159" s="22" t="s">
        <v>373</v>
      </c>
      <c r="EM159" s="22" t="s">
        <v>424</v>
      </c>
      <c r="EN159" s="22" t="s">
        <v>374</v>
      </c>
      <c r="EO159" s="22"/>
      <c r="EP159" s="22"/>
      <c r="EQ159" s="22" t="s">
        <v>375</v>
      </c>
      <c r="ER159" s="22" t="s">
        <v>375</v>
      </c>
      <c r="ES159" s="22" t="s">
        <v>376</v>
      </c>
      <c r="ET159" s="22" t="s">
        <v>376</v>
      </c>
      <c r="EU159" s="22" t="s">
        <v>376</v>
      </c>
      <c r="EV159" s="22" t="s">
        <v>400</v>
      </c>
      <c r="EW159" s="22"/>
      <c r="EX159" s="22" t="s">
        <v>368</v>
      </c>
      <c r="EY159" s="22" t="s">
        <v>368</v>
      </c>
      <c r="EZ159" s="22" t="s">
        <v>368</v>
      </c>
      <c r="FA159" s="22" t="s">
        <v>345</v>
      </c>
      <c r="FB159" s="22" t="s">
        <v>401</v>
      </c>
      <c r="FC159" s="22"/>
      <c r="FD159" s="22" t="s">
        <v>381</v>
      </c>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t="s">
        <v>368</v>
      </c>
      <c r="GB159" s="22" t="s">
        <v>368</v>
      </c>
      <c r="GC159" s="22" t="s">
        <v>368</v>
      </c>
      <c r="GD159" s="22" t="s">
        <v>368</v>
      </c>
      <c r="GE159" s="22" t="s">
        <v>368</v>
      </c>
      <c r="GF159" s="22" t="s">
        <v>368</v>
      </c>
      <c r="GG159" s="22"/>
      <c r="GH159" s="22"/>
      <c r="GI159" s="22"/>
      <c r="GJ159" s="22"/>
      <c r="GK159" s="22"/>
      <c r="GL159" s="22" t="s">
        <v>344</v>
      </c>
      <c r="GM159" s="22" t="s">
        <v>344</v>
      </c>
      <c r="GN159" s="22" t="s">
        <v>344</v>
      </c>
      <c r="GO159" s="22" t="s">
        <v>344</v>
      </c>
      <c r="GP159" s="22" t="s">
        <v>344</v>
      </c>
      <c r="GQ159" s="22" t="s">
        <v>344</v>
      </c>
      <c r="GR159" s="22" t="s">
        <v>344</v>
      </c>
      <c r="GS159" s="22" t="s">
        <v>344</v>
      </c>
      <c r="GT159" s="22" t="s">
        <v>344</v>
      </c>
      <c r="GU159" s="22" t="s">
        <v>344</v>
      </c>
      <c r="GV159" s="22" t="s">
        <v>345</v>
      </c>
      <c r="GW159" s="22" t="s">
        <v>344</v>
      </c>
      <c r="GX159" s="22" t="s">
        <v>344</v>
      </c>
      <c r="GY159" s="22" t="s">
        <v>344</v>
      </c>
      <c r="GZ159" s="22" t="s">
        <v>344</v>
      </c>
      <c r="HA159" s="22"/>
      <c r="HB159" s="22" t="s">
        <v>344</v>
      </c>
      <c r="HC159" s="22"/>
      <c r="HD159" s="22" t="s">
        <v>344</v>
      </c>
      <c r="HE159" s="22"/>
      <c r="HF159" s="22" t="s">
        <v>344</v>
      </c>
      <c r="HG159" s="22"/>
      <c r="HH159" s="22" t="s">
        <v>344</v>
      </c>
      <c r="HI159" s="22"/>
      <c r="HJ159" s="22" t="s">
        <v>345</v>
      </c>
      <c r="HK159" s="22" t="s">
        <v>344</v>
      </c>
      <c r="HL159" s="22" t="s">
        <v>344</v>
      </c>
      <c r="HM159" s="22" t="s">
        <v>345</v>
      </c>
      <c r="HN159" s="22" t="s">
        <v>344</v>
      </c>
      <c r="HO159" s="22" t="s">
        <v>344</v>
      </c>
      <c r="HP159" s="22" t="s">
        <v>344</v>
      </c>
      <c r="HQ159" s="22" t="s">
        <v>344</v>
      </c>
      <c r="HR159" s="22" t="s">
        <v>344</v>
      </c>
      <c r="HS159" s="22" t="s">
        <v>344</v>
      </c>
      <c r="HT159" s="22" t="s">
        <v>344</v>
      </c>
      <c r="HU159" s="22" t="s">
        <v>345</v>
      </c>
      <c r="HV159" s="22" t="s">
        <v>344</v>
      </c>
      <c r="HW159" s="22" t="s">
        <v>344</v>
      </c>
      <c r="HX159" s="22" t="s">
        <v>344</v>
      </c>
      <c r="HY159" s="22"/>
      <c r="HZ159" s="22" t="s">
        <v>344</v>
      </c>
      <c r="IA159" s="22"/>
      <c r="IB159" s="22" t="s">
        <v>344</v>
      </c>
      <c r="IC159" s="22"/>
      <c r="ID159" s="22" t="s">
        <v>344</v>
      </c>
      <c r="IE159" s="22"/>
      <c r="IF159" s="22" t="s">
        <v>344</v>
      </c>
      <c r="IG159" s="22"/>
      <c r="IH159" s="22" t="s">
        <v>345</v>
      </c>
      <c r="II159" s="22" t="s">
        <v>345</v>
      </c>
      <c r="IJ159" s="22" t="s">
        <v>345</v>
      </c>
      <c r="IK159" s="22" t="s">
        <v>344</v>
      </c>
      <c r="IL159" s="22" t="s">
        <v>345</v>
      </c>
      <c r="IM159" s="22" t="s">
        <v>345</v>
      </c>
      <c r="IN159" s="22" t="s">
        <v>344</v>
      </c>
      <c r="IO159" s="22" t="s">
        <v>345</v>
      </c>
      <c r="IP159" s="22" t="s">
        <v>345</v>
      </c>
      <c r="IQ159" s="22" t="s">
        <v>344</v>
      </c>
      <c r="IR159" s="22" t="s">
        <v>345</v>
      </c>
      <c r="IS159" s="22" t="s">
        <v>344</v>
      </c>
      <c r="IT159" s="22"/>
      <c r="IU159" s="22"/>
      <c r="IV159" s="22"/>
      <c r="IW159" s="22"/>
      <c r="IX159" s="22"/>
      <c r="IY159" s="22"/>
      <c r="IZ159" s="22"/>
      <c r="JA159" s="22"/>
      <c r="JB159" s="22"/>
      <c r="JC159" s="22"/>
      <c r="JD159" s="22"/>
      <c r="JE159" s="22"/>
      <c r="JF159" s="22"/>
      <c r="JG159" s="22"/>
      <c r="JH159" s="22"/>
    </row>
    <row r="160" spans="1:268" x14ac:dyDescent="0.3">
      <c r="A160" s="22" t="s">
        <v>813</v>
      </c>
      <c r="B160" s="22">
        <v>262</v>
      </c>
      <c r="C160" s="22"/>
      <c r="D160" s="22">
        <v>13</v>
      </c>
      <c r="E160" s="22" t="s">
        <v>340</v>
      </c>
      <c r="F160" s="22">
        <v>923187527</v>
      </c>
      <c r="G160" s="22" t="s">
        <v>1076</v>
      </c>
      <c r="H160" s="22" t="s">
        <v>1077</v>
      </c>
      <c r="I160" s="22" t="s">
        <v>1062</v>
      </c>
      <c r="J160" s="22">
        <v>17</v>
      </c>
      <c r="K160" s="22" t="s">
        <v>406</v>
      </c>
      <c r="L160" s="22"/>
      <c r="M160" s="22" t="s">
        <v>344</v>
      </c>
      <c r="N160" s="22" t="s">
        <v>345</v>
      </c>
      <c r="O160" s="22" t="s">
        <v>344</v>
      </c>
      <c r="P160" s="22" t="s">
        <v>344</v>
      </c>
      <c r="Q160" s="22" t="s">
        <v>344</v>
      </c>
      <c r="R160" s="22"/>
      <c r="S160" s="22" t="s">
        <v>522</v>
      </c>
      <c r="T160" s="22"/>
      <c r="U160" s="22" t="s">
        <v>428</v>
      </c>
      <c r="V160" s="22"/>
      <c r="W160" s="22" t="s">
        <v>368</v>
      </c>
      <c r="X160" s="22" t="s">
        <v>368</v>
      </c>
      <c r="Y160" s="22" t="s">
        <v>368</v>
      </c>
      <c r="Z160" s="22" t="s">
        <v>368</v>
      </c>
      <c r="AA160" s="22" t="s">
        <v>368</v>
      </c>
      <c r="AB160" s="22" t="s">
        <v>368</v>
      </c>
      <c r="AC160" s="22" t="s">
        <v>345</v>
      </c>
      <c r="AD160" s="22" t="s">
        <v>368</v>
      </c>
      <c r="AE160" s="22" t="s">
        <v>368</v>
      </c>
      <c r="AF160" s="22" t="s">
        <v>368</v>
      </c>
      <c r="AG160" s="22" t="s">
        <v>368</v>
      </c>
      <c r="AH160" s="22" t="s">
        <v>368</v>
      </c>
      <c r="AI160" s="22" t="s">
        <v>368</v>
      </c>
      <c r="AJ160" s="22" t="s">
        <v>345</v>
      </c>
      <c r="AK160" s="22" t="s">
        <v>368</v>
      </c>
      <c r="AL160" s="22" t="s">
        <v>368</v>
      </c>
      <c r="AM160" s="22" t="s">
        <v>368</v>
      </c>
      <c r="AN160" s="22" t="s">
        <v>368</v>
      </c>
      <c r="AO160" s="22" t="s">
        <v>368</v>
      </c>
      <c r="AP160" s="22" t="s">
        <v>368</v>
      </c>
      <c r="AQ160" s="22" t="s">
        <v>345</v>
      </c>
      <c r="AR160" s="22" t="s">
        <v>368</v>
      </c>
      <c r="AS160" s="22" t="s">
        <v>368</v>
      </c>
      <c r="AT160" s="22" t="s">
        <v>368</v>
      </c>
      <c r="AU160" s="22" t="s">
        <v>368</v>
      </c>
      <c r="AV160" s="22" t="s">
        <v>368</v>
      </c>
      <c r="AW160" s="22" t="s">
        <v>368</v>
      </c>
      <c r="AX160" s="22" t="s">
        <v>345</v>
      </c>
      <c r="AY160" s="22" t="s">
        <v>391</v>
      </c>
      <c r="AZ160" s="22" t="s">
        <v>391</v>
      </c>
      <c r="BA160" s="22" t="s">
        <v>391</v>
      </c>
      <c r="BB160" s="22" t="s">
        <v>391</v>
      </c>
      <c r="BC160" s="22" t="s">
        <v>391</v>
      </c>
      <c r="BD160" s="22" t="s">
        <v>391</v>
      </c>
      <c r="BE160" s="22" t="s">
        <v>349</v>
      </c>
      <c r="BF160" s="22" t="s">
        <v>349</v>
      </c>
      <c r="BG160" s="22" t="s">
        <v>390</v>
      </c>
      <c r="BH160" s="22" t="s">
        <v>390</v>
      </c>
      <c r="BI160" s="22" t="s">
        <v>349</v>
      </c>
      <c r="BJ160" s="22" t="s">
        <v>391</v>
      </c>
      <c r="BK160" s="22" t="s">
        <v>391</v>
      </c>
      <c r="BL160" s="22" t="s">
        <v>391</v>
      </c>
      <c r="BM160" s="22" t="s">
        <v>391</v>
      </c>
      <c r="BN160" s="22" t="s">
        <v>391</v>
      </c>
      <c r="BO160" s="22" t="s">
        <v>391</v>
      </c>
      <c r="BP160" s="22" t="s">
        <v>391</v>
      </c>
      <c r="BQ160" s="22" t="s">
        <v>407</v>
      </c>
      <c r="BR160" s="22" t="s">
        <v>408</v>
      </c>
      <c r="BS160" s="22" t="s">
        <v>391</v>
      </c>
      <c r="BT160" s="22" t="s">
        <v>391</v>
      </c>
      <c r="BU160" s="22" t="s">
        <v>391</v>
      </c>
      <c r="BV160" s="22" t="s">
        <v>391</v>
      </c>
      <c r="BW160" s="22" t="s">
        <v>391</v>
      </c>
      <c r="BX160" s="22" t="s">
        <v>391</v>
      </c>
      <c r="BY160" s="22" t="s">
        <v>391</v>
      </c>
      <c r="BZ160" s="22" t="s">
        <v>391</v>
      </c>
      <c r="CA160" s="22" t="s">
        <v>391</v>
      </c>
      <c r="CB160" s="22" t="s">
        <v>391</v>
      </c>
      <c r="CC160" s="22" t="s">
        <v>391</v>
      </c>
      <c r="CD160" s="22" t="s">
        <v>391</v>
      </c>
      <c r="CE160" s="22" t="s">
        <v>391</v>
      </c>
      <c r="CF160" s="22" t="s">
        <v>391</v>
      </c>
      <c r="CG160" s="22" t="s">
        <v>421</v>
      </c>
      <c r="CH160" s="22" t="s">
        <v>421</v>
      </c>
      <c r="CI160" s="22" t="s">
        <v>420</v>
      </c>
      <c r="CJ160" s="22" t="s">
        <v>420</v>
      </c>
      <c r="CK160" s="22" t="s">
        <v>510</v>
      </c>
      <c r="CL160" s="22" t="s">
        <v>344</v>
      </c>
      <c r="CM160" s="22" t="s">
        <v>344</v>
      </c>
      <c r="CN160" s="22" t="s">
        <v>344</v>
      </c>
      <c r="CO160" s="22" t="s">
        <v>345</v>
      </c>
      <c r="CP160" s="22" t="s">
        <v>344</v>
      </c>
      <c r="CQ160" s="22" t="s">
        <v>344</v>
      </c>
      <c r="CR160" s="22" t="s">
        <v>667</v>
      </c>
      <c r="CS160" s="22">
        <v>1</v>
      </c>
      <c r="CT160" s="22">
        <v>11</v>
      </c>
      <c r="CU160" s="22">
        <v>85</v>
      </c>
      <c r="CV160" s="22">
        <v>1</v>
      </c>
      <c r="CW160" s="22" t="s">
        <v>471</v>
      </c>
      <c r="CX160" s="22" t="s">
        <v>471</v>
      </c>
      <c r="CY160" s="22" t="s">
        <v>471</v>
      </c>
      <c r="CZ160" s="22" t="s">
        <v>397</v>
      </c>
      <c r="DA160" s="22" t="s">
        <v>397</v>
      </c>
      <c r="DB160" s="22" t="s">
        <v>397</v>
      </c>
      <c r="DC160" s="22" t="s">
        <v>397</v>
      </c>
      <c r="DD160" s="22" t="s">
        <v>397</v>
      </c>
      <c r="DE160" s="22" t="s">
        <v>397</v>
      </c>
      <c r="DF160" s="22" t="s">
        <v>397</v>
      </c>
      <c r="DG160" s="22" t="s">
        <v>397</v>
      </c>
      <c r="DH160" s="22" t="s">
        <v>397</v>
      </c>
      <c r="DI160" s="22" t="s">
        <v>397</v>
      </c>
      <c r="DJ160" s="22"/>
      <c r="DK160" s="22" t="s">
        <v>367</v>
      </c>
      <c r="DL160" s="22" t="s">
        <v>368</v>
      </c>
      <c r="DM160" s="22" t="s">
        <v>368</v>
      </c>
      <c r="DN160" s="22" t="s">
        <v>368</v>
      </c>
      <c r="DO160" s="22" t="s">
        <v>368</v>
      </c>
      <c r="DP160" s="22" t="s">
        <v>368</v>
      </c>
      <c r="DQ160" s="22" t="s">
        <v>368</v>
      </c>
      <c r="DR160" s="22" t="s">
        <v>368</v>
      </c>
      <c r="DS160" s="22" t="s">
        <v>345</v>
      </c>
      <c r="DT160" s="22" t="s">
        <v>345</v>
      </c>
      <c r="DU160" s="22" t="s">
        <v>345</v>
      </c>
      <c r="DV160" s="22" t="s">
        <v>345</v>
      </c>
      <c r="DW160" s="22" t="s">
        <v>344</v>
      </c>
      <c r="DX160" s="22" t="s">
        <v>369</v>
      </c>
      <c r="DY160" s="22" t="s">
        <v>369</v>
      </c>
      <c r="DZ160" s="22" t="s">
        <v>369</v>
      </c>
      <c r="EA160" s="22" t="s">
        <v>369</v>
      </c>
      <c r="EB160" s="22" t="s">
        <v>369</v>
      </c>
      <c r="EC160" s="22" t="s">
        <v>369</v>
      </c>
      <c r="ED160" s="22" t="s">
        <v>369</v>
      </c>
      <c r="EE160" s="22" t="s">
        <v>370</v>
      </c>
      <c r="EF160" s="22" t="s">
        <v>370</v>
      </c>
      <c r="EG160" s="22" t="s">
        <v>370</v>
      </c>
      <c r="EH160" s="22" t="s">
        <v>370</v>
      </c>
      <c r="EI160" s="22" t="s">
        <v>370</v>
      </c>
      <c r="EJ160" s="22" t="s">
        <v>370</v>
      </c>
      <c r="EK160" s="22" t="s">
        <v>370</v>
      </c>
      <c r="EL160" s="22" t="s">
        <v>373</v>
      </c>
      <c r="EM160" s="22" t="s">
        <v>440</v>
      </c>
      <c r="EN160" s="22" t="s">
        <v>374</v>
      </c>
      <c r="EO160" s="22"/>
      <c r="EP160" s="22"/>
      <c r="EQ160" s="22" t="s">
        <v>391</v>
      </c>
      <c r="ER160" s="22" t="s">
        <v>391</v>
      </c>
      <c r="ES160" s="22" t="s">
        <v>391</v>
      </c>
      <c r="ET160" s="22" t="s">
        <v>391</v>
      </c>
      <c r="EU160" s="22" t="s">
        <v>391</v>
      </c>
      <c r="EV160" s="22" t="s">
        <v>400</v>
      </c>
      <c r="EW160" s="22"/>
      <c r="EX160" s="22" t="s">
        <v>368</v>
      </c>
      <c r="EY160" s="22" t="s">
        <v>368</v>
      </c>
      <c r="EZ160" s="22" t="s">
        <v>368</v>
      </c>
      <c r="FA160" s="22" t="s">
        <v>345</v>
      </c>
      <c r="FB160" s="22" t="s">
        <v>381</v>
      </c>
      <c r="FC160" s="22"/>
      <c r="FD160" s="22" t="s">
        <v>381</v>
      </c>
      <c r="FE160" s="22"/>
      <c r="FF160" s="22" t="s">
        <v>382</v>
      </c>
      <c r="FG160" s="22" t="s">
        <v>413</v>
      </c>
      <c r="FH160" s="22" t="s">
        <v>384</v>
      </c>
      <c r="FI160" s="22" t="s">
        <v>403</v>
      </c>
      <c r="FJ160" s="22"/>
      <c r="FK160" s="22"/>
      <c r="FL160" s="22"/>
      <c r="FM160" s="22"/>
      <c r="FN160" s="22"/>
      <c r="FO160" s="22"/>
      <c r="FP160" s="22"/>
      <c r="FQ160" s="22"/>
      <c r="FR160" s="22"/>
      <c r="FS160" s="22"/>
      <c r="FT160" s="22"/>
      <c r="FU160" s="22"/>
      <c r="FV160" s="22"/>
      <c r="FW160" s="22"/>
      <c r="FX160" s="22"/>
      <c r="FY160" s="22"/>
      <c r="FZ160" s="22"/>
      <c r="GA160" s="22" t="s">
        <v>368</v>
      </c>
      <c r="GB160" s="22" t="s">
        <v>368</v>
      </c>
      <c r="GC160" s="22" t="s">
        <v>368</v>
      </c>
      <c r="GD160" s="22" t="s">
        <v>368</v>
      </c>
      <c r="GE160" s="22" t="s">
        <v>368</v>
      </c>
      <c r="GF160" s="22" t="s">
        <v>368</v>
      </c>
      <c r="GG160" s="22"/>
      <c r="GH160" s="22"/>
      <c r="GI160" s="22"/>
      <c r="GJ160" s="22"/>
      <c r="GK160" s="22"/>
      <c r="GL160" s="22" t="s">
        <v>344</v>
      </c>
      <c r="GM160" s="22" t="s">
        <v>344</v>
      </c>
      <c r="GN160" s="22" t="s">
        <v>344</v>
      </c>
      <c r="GO160" s="22" t="s">
        <v>344</v>
      </c>
      <c r="GP160" s="22" t="s">
        <v>344</v>
      </c>
      <c r="GQ160" s="22" t="s">
        <v>344</v>
      </c>
      <c r="GR160" s="22" t="s">
        <v>344</v>
      </c>
      <c r="GS160" s="22" t="s">
        <v>344</v>
      </c>
      <c r="GT160" s="22" t="s">
        <v>344</v>
      </c>
      <c r="GU160" s="22" t="s">
        <v>344</v>
      </c>
      <c r="GV160" s="22" t="s">
        <v>344</v>
      </c>
      <c r="GW160" s="22" t="s">
        <v>344</v>
      </c>
      <c r="GX160" s="22" t="s">
        <v>344</v>
      </c>
      <c r="GY160" s="22" t="s">
        <v>344</v>
      </c>
      <c r="GZ160" s="22" t="s">
        <v>345</v>
      </c>
      <c r="HA160" s="22"/>
      <c r="HB160" s="22" t="s">
        <v>344</v>
      </c>
      <c r="HC160" s="22"/>
      <c r="HD160" s="22" t="s">
        <v>344</v>
      </c>
      <c r="HE160" s="22"/>
      <c r="HF160" s="22" t="s">
        <v>344</v>
      </c>
      <c r="HG160" s="22"/>
      <c r="HH160" s="22" t="s">
        <v>344</v>
      </c>
      <c r="HI160" s="22"/>
      <c r="HJ160" s="22" t="s">
        <v>344</v>
      </c>
      <c r="HK160" s="22" t="s">
        <v>344</v>
      </c>
      <c r="HL160" s="22" t="s">
        <v>344</v>
      </c>
      <c r="HM160" s="22" t="s">
        <v>344</v>
      </c>
      <c r="HN160" s="22" t="s">
        <v>344</v>
      </c>
      <c r="HO160" s="22" t="s">
        <v>344</v>
      </c>
      <c r="HP160" s="22" t="s">
        <v>344</v>
      </c>
      <c r="HQ160" s="22" t="s">
        <v>344</v>
      </c>
      <c r="HR160" s="22" t="s">
        <v>344</v>
      </c>
      <c r="HS160" s="22" t="s">
        <v>344</v>
      </c>
      <c r="HT160" s="22" t="s">
        <v>344</v>
      </c>
      <c r="HU160" s="22" t="s">
        <v>344</v>
      </c>
      <c r="HV160" s="22" t="s">
        <v>344</v>
      </c>
      <c r="HW160" s="22" t="s">
        <v>344</v>
      </c>
      <c r="HX160" s="22" t="s">
        <v>345</v>
      </c>
      <c r="HY160" s="22"/>
      <c r="HZ160" s="22" t="s">
        <v>344</v>
      </c>
      <c r="IA160" s="22"/>
      <c r="IB160" s="22" t="s">
        <v>344</v>
      </c>
      <c r="IC160" s="22"/>
      <c r="ID160" s="22" t="s">
        <v>344</v>
      </c>
      <c r="IE160" s="22"/>
      <c r="IF160" s="22" t="s">
        <v>344</v>
      </c>
      <c r="IG160" s="22"/>
      <c r="IH160" s="22" t="s">
        <v>345</v>
      </c>
      <c r="II160" s="22" t="s">
        <v>345</v>
      </c>
      <c r="IJ160" s="22" t="s">
        <v>344</v>
      </c>
      <c r="IK160" s="22" t="s">
        <v>344</v>
      </c>
      <c r="IL160" s="22" t="s">
        <v>345</v>
      </c>
      <c r="IM160" s="22" t="s">
        <v>345</v>
      </c>
      <c r="IN160" s="22" t="s">
        <v>344</v>
      </c>
      <c r="IO160" s="22" t="s">
        <v>345</v>
      </c>
      <c r="IP160" s="22" t="s">
        <v>344</v>
      </c>
      <c r="IQ160" s="22" t="s">
        <v>344</v>
      </c>
      <c r="IR160" s="22" t="s">
        <v>344</v>
      </c>
      <c r="IS160" s="22" t="s">
        <v>344</v>
      </c>
      <c r="IT160" s="22"/>
      <c r="IU160" s="22"/>
      <c r="IV160" s="22"/>
      <c r="IW160" s="22"/>
      <c r="IX160" s="22"/>
      <c r="IY160" s="22"/>
      <c r="IZ160" s="22"/>
      <c r="JA160" s="22"/>
      <c r="JB160" s="22"/>
      <c r="JC160" s="22"/>
      <c r="JD160" s="22"/>
      <c r="JE160" s="22"/>
      <c r="JF160" s="22"/>
      <c r="JG160" s="22"/>
      <c r="JH160" s="22"/>
    </row>
    <row r="161" spans="1:268" x14ac:dyDescent="0.3">
      <c r="A161" s="22" t="s">
        <v>813</v>
      </c>
      <c r="B161" s="22">
        <v>264</v>
      </c>
      <c r="C161" s="22" t="s">
        <v>1078</v>
      </c>
      <c r="D161" s="22">
        <v>14</v>
      </c>
      <c r="E161" s="22" t="s">
        <v>387</v>
      </c>
      <c r="F161" s="22">
        <v>1849150513</v>
      </c>
      <c r="G161" s="22" t="s">
        <v>1079</v>
      </c>
      <c r="H161" s="22" t="s">
        <v>1078</v>
      </c>
      <c r="I161" s="22" t="s">
        <v>1035</v>
      </c>
      <c r="J161" s="22">
        <v>17</v>
      </c>
      <c r="K161" s="22" t="s">
        <v>406</v>
      </c>
      <c r="L161" s="22"/>
      <c r="M161" s="22" t="s">
        <v>344</v>
      </c>
      <c r="N161" s="22" t="s">
        <v>345</v>
      </c>
      <c r="O161" s="22" t="s">
        <v>344</v>
      </c>
      <c r="P161" s="22" t="s">
        <v>344</v>
      </c>
      <c r="Q161" s="22" t="s">
        <v>344</v>
      </c>
      <c r="R161" s="22"/>
      <c r="S161" s="22" t="s">
        <v>522</v>
      </c>
      <c r="T161" s="22"/>
      <c r="U161" s="22" t="s">
        <v>428</v>
      </c>
      <c r="V161" s="22"/>
      <c r="W161" s="22" t="s">
        <v>368</v>
      </c>
      <c r="X161" s="22" t="s">
        <v>368</v>
      </c>
      <c r="Y161" s="22" t="s">
        <v>368</v>
      </c>
      <c r="Z161" s="22" t="s">
        <v>368</v>
      </c>
      <c r="AA161" s="22" t="s">
        <v>368</v>
      </c>
      <c r="AB161" s="22" t="s">
        <v>368</v>
      </c>
      <c r="AC161" s="22" t="s">
        <v>345</v>
      </c>
      <c r="AD161" s="22" t="s">
        <v>368</v>
      </c>
      <c r="AE161" s="22" t="s">
        <v>368</v>
      </c>
      <c r="AF161" s="22" t="s">
        <v>368</v>
      </c>
      <c r="AG161" s="22" t="s">
        <v>368</v>
      </c>
      <c r="AH161" s="22" t="s">
        <v>368</v>
      </c>
      <c r="AI161" s="22" t="s">
        <v>368</v>
      </c>
      <c r="AJ161" s="22" t="s">
        <v>345</v>
      </c>
      <c r="AK161" s="22" t="s">
        <v>368</v>
      </c>
      <c r="AL161" s="22" t="s">
        <v>368</v>
      </c>
      <c r="AM161" s="22" t="s">
        <v>368</v>
      </c>
      <c r="AN161" s="22" t="s">
        <v>368</v>
      </c>
      <c r="AO161" s="22" t="s">
        <v>368</v>
      </c>
      <c r="AP161" s="22" t="s">
        <v>368</v>
      </c>
      <c r="AQ161" s="22" t="s">
        <v>345</v>
      </c>
      <c r="AR161" s="22" t="s">
        <v>368</v>
      </c>
      <c r="AS161" s="22" t="s">
        <v>368</v>
      </c>
      <c r="AT161" s="22" t="s">
        <v>368</v>
      </c>
      <c r="AU161" s="22" t="s">
        <v>368</v>
      </c>
      <c r="AV161" s="22" t="s">
        <v>368</v>
      </c>
      <c r="AW161" s="22" t="s">
        <v>368</v>
      </c>
      <c r="AX161" s="22" t="s">
        <v>345</v>
      </c>
      <c r="AY161" s="22" t="s">
        <v>391</v>
      </c>
      <c r="AZ161" s="22" t="s">
        <v>391</v>
      </c>
      <c r="BA161" s="22" t="s">
        <v>733</v>
      </c>
      <c r="BB161" s="22" t="s">
        <v>731</v>
      </c>
      <c r="BC161" s="22" t="s">
        <v>391</v>
      </c>
      <c r="BD161" s="22" t="s">
        <v>733</v>
      </c>
      <c r="BE161" s="22" t="s">
        <v>349</v>
      </c>
      <c r="BF161" s="22" t="s">
        <v>349</v>
      </c>
      <c r="BG161" s="22" t="s">
        <v>390</v>
      </c>
      <c r="BH161" s="22" t="s">
        <v>390</v>
      </c>
      <c r="BI161" s="22" t="s">
        <v>348</v>
      </c>
      <c r="BJ161" s="22" t="s">
        <v>391</v>
      </c>
      <c r="BK161" s="22" t="s">
        <v>356</v>
      </c>
      <c r="BL161" s="22" t="s">
        <v>351</v>
      </c>
      <c r="BM161" s="22" t="s">
        <v>354</v>
      </c>
      <c r="BN161" s="22" t="s">
        <v>391</v>
      </c>
      <c r="BO161" s="22" t="s">
        <v>356</v>
      </c>
      <c r="BP161" s="22" t="s">
        <v>391</v>
      </c>
      <c r="BQ161" s="22" t="s">
        <v>358</v>
      </c>
      <c r="BR161" s="22" t="s">
        <v>429</v>
      </c>
      <c r="BS161" s="22" t="s">
        <v>391</v>
      </c>
      <c r="BT161" s="22" t="s">
        <v>391</v>
      </c>
      <c r="BU161" s="22" t="s">
        <v>391</v>
      </c>
      <c r="BV161" s="22" t="s">
        <v>391</v>
      </c>
      <c r="BW161" s="22" t="s">
        <v>391</v>
      </c>
      <c r="BX161" s="22" t="s">
        <v>391</v>
      </c>
      <c r="BY161" s="22" t="s">
        <v>391</v>
      </c>
      <c r="BZ161" s="22" t="s">
        <v>391</v>
      </c>
      <c r="CA161" s="22" t="s">
        <v>391</v>
      </c>
      <c r="CB161" s="22" t="s">
        <v>391</v>
      </c>
      <c r="CC161" s="22" t="s">
        <v>391</v>
      </c>
      <c r="CD161" s="22" t="s">
        <v>391</v>
      </c>
      <c r="CE161" s="22" t="s">
        <v>391</v>
      </c>
      <c r="CF161" s="22" t="s">
        <v>391</v>
      </c>
      <c r="CG161" s="22" t="s">
        <v>393</v>
      </c>
      <c r="CH161" s="22" t="s">
        <v>420</v>
      </c>
      <c r="CI161" s="22" t="s">
        <v>420</v>
      </c>
      <c r="CJ161" s="22" t="s">
        <v>420</v>
      </c>
      <c r="CK161" s="22" t="s">
        <v>391</v>
      </c>
      <c r="CL161" s="22" t="s">
        <v>344</v>
      </c>
      <c r="CM161" s="22" t="s">
        <v>344</v>
      </c>
      <c r="CN161" s="22" t="s">
        <v>345</v>
      </c>
      <c r="CO161" s="22" t="s">
        <v>345</v>
      </c>
      <c r="CP161" s="22" t="s">
        <v>345</v>
      </c>
      <c r="CQ161" s="22" t="s">
        <v>344</v>
      </c>
      <c r="CR161" s="22" t="s">
        <v>655</v>
      </c>
      <c r="CS161" s="22">
        <v>12</v>
      </c>
      <c r="CT161" s="22">
        <v>35</v>
      </c>
      <c r="CU161" s="22">
        <v>93</v>
      </c>
      <c r="CV161" s="22">
        <v>1</v>
      </c>
      <c r="CW161" s="22" t="s">
        <v>395</v>
      </c>
      <c r="CX161" s="22" t="s">
        <v>395</v>
      </c>
      <c r="CY161" s="22" t="s">
        <v>396</v>
      </c>
      <c r="CZ161" s="22" t="s">
        <v>397</v>
      </c>
      <c r="DA161" s="22" t="s">
        <v>397</v>
      </c>
      <c r="DB161" s="22" t="s">
        <v>397</v>
      </c>
      <c r="DC161" s="22" t="s">
        <v>397</v>
      </c>
      <c r="DD161" s="22" t="s">
        <v>397</v>
      </c>
      <c r="DE161" s="22" t="s">
        <v>397</v>
      </c>
      <c r="DF161" s="22" t="s">
        <v>397</v>
      </c>
      <c r="DG161" s="22" t="s">
        <v>397</v>
      </c>
      <c r="DH161" s="22" t="s">
        <v>397</v>
      </c>
      <c r="DI161" s="22" t="s">
        <v>366</v>
      </c>
      <c r="DJ161" s="22"/>
      <c r="DK161" s="22" t="s">
        <v>367</v>
      </c>
      <c r="DL161" s="22" t="s">
        <v>368</v>
      </c>
      <c r="DM161" s="22" t="s">
        <v>368</v>
      </c>
      <c r="DN161" s="22" t="s">
        <v>368</v>
      </c>
      <c r="DO161" s="22" t="s">
        <v>368</v>
      </c>
      <c r="DP161" s="22" t="s">
        <v>344</v>
      </c>
      <c r="DQ161" s="22" t="s">
        <v>345</v>
      </c>
      <c r="DR161" s="22" t="s">
        <v>345</v>
      </c>
      <c r="DS161" s="22" t="s">
        <v>344</v>
      </c>
      <c r="DT161" s="22" t="s">
        <v>368</v>
      </c>
      <c r="DU161" s="22" t="s">
        <v>368</v>
      </c>
      <c r="DV161" s="22" t="s">
        <v>368</v>
      </c>
      <c r="DW161" s="22" t="s">
        <v>345</v>
      </c>
      <c r="DX161" s="22" t="s">
        <v>369</v>
      </c>
      <c r="DY161" s="22" t="s">
        <v>369</v>
      </c>
      <c r="DZ161" s="22" t="s">
        <v>369</v>
      </c>
      <c r="EA161" s="22" t="s">
        <v>369</v>
      </c>
      <c r="EB161" s="22" t="s">
        <v>369</v>
      </c>
      <c r="EC161" s="22" t="s">
        <v>369</v>
      </c>
      <c r="ED161" s="22" t="s">
        <v>399</v>
      </c>
      <c r="EE161" s="22" t="s">
        <v>370</v>
      </c>
      <c r="EF161" s="22" t="s">
        <v>370</v>
      </c>
      <c r="EG161" s="22" t="s">
        <v>369</v>
      </c>
      <c r="EH161" s="22" t="s">
        <v>370</v>
      </c>
      <c r="EI161" s="22" t="s">
        <v>369</v>
      </c>
      <c r="EJ161" s="22" t="s">
        <v>370</v>
      </c>
      <c r="EK161" s="22" t="s">
        <v>370</v>
      </c>
      <c r="EL161" s="22" t="s">
        <v>373</v>
      </c>
      <c r="EM161" s="22" t="s">
        <v>372</v>
      </c>
      <c r="EN161" s="22" t="s">
        <v>374</v>
      </c>
      <c r="EO161" s="22"/>
      <c r="EP161" s="22"/>
      <c r="EQ161" s="22" t="s">
        <v>376</v>
      </c>
      <c r="ER161" s="22" t="s">
        <v>376</v>
      </c>
      <c r="ES161" s="22" t="s">
        <v>376</v>
      </c>
      <c r="ET161" s="22" t="s">
        <v>376</v>
      </c>
      <c r="EU161" s="22" t="s">
        <v>375</v>
      </c>
      <c r="EV161" s="22" t="s">
        <v>400</v>
      </c>
      <c r="EW161" s="22"/>
      <c r="EX161" s="22" t="s">
        <v>368</v>
      </c>
      <c r="EY161" s="22" t="s">
        <v>368</v>
      </c>
      <c r="EZ161" s="22" t="s">
        <v>368</v>
      </c>
      <c r="FA161" s="22" t="s">
        <v>345</v>
      </c>
      <c r="FB161" s="22" t="s">
        <v>401</v>
      </c>
      <c r="FC161" s="22"/>
      <c r="FD161" s="22" t="s">
        <v>401</v>
      </c>
      <c r="FE161" s="22"/>
      <c r="FF161" s="22" t="s">
        <v>412</v>
      </c>
      <c r="FG161" s="22" t="s">
        <v>413</v>
      </c>
      <c r="FH161" s="22" t="s">
        <v>384</v>
      </c>
      <c r="FI161" s="22" t="s">
        <v>385</v>
      </c>
      <c r="FJ161" s="22"/>
      <c r="FK161" s="22"/>
      <c r="FL161" s="22"/>
      <c r="FM161" s="22"/>
      <c r="FN161" s="22"/>
      <c r="FO161" s="22"/>
      <c r="FP161" s="22"/>
      <c r="FQ161" s="22"/>
      <c r="FR161" s="22"/>
      <c r="FS161" s="22"/>
      <c r="FT161" s="22"/>
      <c r="FU161" s="22"/>
      <c r="FV161" s="22"/>
      <c r="FW161" s="22"/>
      <c r="FX161" s="22"/>
      <c r="FY161" s="22"/>
      <c r="FZ161" s="22"/>
      <c r="GA161" s="22" t="s">
        <v>368</v>
      </c>
      <c r="GB161" s="22" t="s">
        <v>368</v>
      </c>
      <c r="GC161" s="22" t="s">
        <v>368</v>
      </c>
      <c r="GD161" s="22" t="s">
        <v>368</v>
      </c>
      <c r="GE161" s="22" t="s">
        <v>368</v>
      </c>
      <c r="GF161" s="22" t="s">
        <v>368</v>
      </c>
      <c r="GG161" s="22"/>
      <c r="GH161" s="22"/>
      <c r="GI161" s="22"/>
      <c r="GJ161" s="22"/>
      <c r="GK161" s="22"/>
      <c r="GL161" s="22" t="s">
        <v>344</v>
      </c>
      <c r="GM161" s="22" t="s">
        <v>344</v>
      </c>
      <c r="GN161" s="22" t="s">
        <v>344</v>
      </c>
      <c r="GO161" s="22" t="s">
        <v>344</v>
      </c>
      <c r="GP161" s="22" t="s">
        <v>344</v>
      </c>
      <c r="GQ161" s="22" t="s">
        <v>344</v>
      </c>
      <c r="GR161" s="22" t="s">
        <v>344</v>
      </c>
      <c r="GS161" s="22" t="s">
        <v>344</v>
      </c>
      <c r="GT161" s="22" t="s">
        <v>344</v>
      </c>
      <c r="GU161" s="22" t="s">
        <v>344</v>
      </c>
      <c r="GV161" s="22" t="s">
        <v>345</v>
      </c>
      <c r="GW161" s="22" t="s">
        <v>344</v>
      </c>
      <c r="GX161" s="22" t="s">
        <v>344</v>
      </c>
      <c r="GY161" s="22" t="s">
        <v>344</v>
      </c>
      <c r="GZ161" s="22" t="s">
        <v>344</v>
      </c>
      <c r="HA161" s="22"/>
      <c r="HB161" s="22" t="s">
        <v>344</v>
      </c>
      <c r="HC161" s="22"/>
      <c r="HD161" s="22" t="s">
        <v>344</v>
      </c>
      <c r="HE161" s="22"/>
      <c r="HF161" s="22" t="s">
        <v>344</v>
      </c>
      <c r="HG161" s="22"/>
      <c r="HH161" s="22" t="s">
        <v>344</v>
      </c>
      <c r="HI161" s="22"/>
      <c r="HJ161" s="22" t="s">
        <v>344</v>
      </c>
      <c r="HK161" s="22" t="s">
        <v>344</v>
      </c>
      <c r="HL161" s="22" t="s">
        <v>344</v>
      </c>
      <c r="HM161" s="22" t="s">
        <v>344</v>
      </c>
      <c r="HN161" s="22" t="s">
        <v>344</v>
      </c>
      <c r="HO161" s="22" t="s">
        <v>344</v>
      </c>
      <c r="HP161" s="22" t="s">
        <v>344</v>
      </c>
      <c r="HQ161" s="22" t="s">
        <v>344</v>
      </c>
      <c r="HR161" s="22" t="s">
        <v>344</v>
      </c>
      <c r="HS161" s="22" t="s">
        <v>344</v>
      </c>
      <c r="HT161" s="22" t="s">
        <v>344</v>
      </c>
      <c r="HU161" s="22" t="s">
        <v>344</v>
      </c>
      <c r="HV161" s="22" t="s">
        <v>344</v>
      </c>
      <c r="HW161" s="22" t="s">
        <v>344</v>
      </c>
      <c r="HX161" s="22" t="s">
        <v>345</v>
      </c>
      <c r="HY161" s="22"/>
      <c r="HZ161" s="22" t="s">
        <v>344</v>
      </c>
      <c r="IA161" s="22"/>
      <c r="IB161" s="22" t="s">
        <v>344</v>
      </c>
      <c r="IC161" s="22"/>
      <c r="ID161" s="22" t="s">
        <v>344</v>
      </c>
      <c r="IE161" s="22"/>
      <c r="IF161" s="22" t="s">
        <v>344</v>
      </c>
      <c r="IG161" s="22"/>
      <c r="IH161" s="22" t="s">
        <v>345</v>
      </c>
      <c r="II161" s="22" t="s">
        <v>345</v>
      </c>
      <c r="IJ161" s="22" t="s">
        <v>344</v>
      </c>
      <c r="IK161" s="22" t="s">
        <v>344</v>
      </c>
      <c r="IL161" s="22" t="s">
        <v>345</v>
      </c>
      <c r="IM161" s="22" t="s">
        <v>345</v>
      </c>
      <c r="IN161" s="22" t="s">
        <v>344</v>
      </c>
      <c r="IO161" s="22" t="s">
        <v>345</v>
      </c>
      <c r="IP161" s="22" t="s">
        <v>344</v>
      </c>
      <c r="IQ161" s="22" t="s">
        <v>344</v>
      </c>
      <c r="IR161" s="22" t="s">
        <v>344</v>
      </c>
      <c r="IS161" s="22" t="s">
        <v>344</v>
      </c>
      <c r="IT161" s="22"/>
      <c r="IU161" s="22"/>
      <c r="IV161" s="22"/>
      <c r="IW161" s="22"/>
      <c r="IX161" s="22"/>
      <c r="IY161" s="22"/>
      <c r="IZ161" s="22"/>
      <c r="JA161" s="22"/>
      <c r="JB161" s="22"/>
      <c r="JC161" s="22"/>
      <c r="JD161" s="22"/>
      <c r="JE161" s="22"/>
      <c r="JF161" s="22"/>
      <c r="JG161" s="22"/>
      <c r="JH161" s="22"/>
    </row>
    <row r="162" spans="1:268" x14ac:dyDescent="0.3">
      <c r="A162" s="22" t="s">
        <v>813</v>
      </c>
      <c r="B162" s="22">
        <v>265</v>
      </c>
      <c r="C162" s="22" t="s">
        <v>1080</v>
      </c>
      <c r="D162" s="22">
        <v>14</v>
      </c>
      <c r="E162" s="22" t="s">
        <v>340</v>
      </c>
      <c r="F162" s="22">
        <v>1399748945</v>
      </c>
      <c r="G162" s="22" t="s">
        <v>1081</v>
      </c>
      <c r="H162" s="22" t="s">
        <v>1080</v>
      </c>
      <c r="I162" s="22" t="s">
        <v>1062</v>
      </c>
      <c r="J162" s="22">
        <v>17</v>
      </c>
      <c r="K162" s="22" t="s">
        <v>406</v>
      </c>
      <c r="L162" s="22"/>
      <c r="M162" s="22" t="s">
        <v>344</v>
      </c>
      <c r="N162" s="22" t="s">
        <v>345</v>
      </c>
      <c r="O162" s="22" t="s">
        <v>344</v>
      </c>
      <c r="P162" s="22" t="s">
        <v>344</v>
      </c>
      <c r="Q162" s="22" t="s">
        <v>344</v>
      </c>
      <c r="R162" s="22"/>
      <c r="S162" s="22" t="s">
        <v>522</v>
      </c>
      <c r="T162" s="22"/>
      <c r="U162" s="22" t="s">
        <v>347</v>
      </c>
      <c r="V162" s="22"/>
      <c r="W162" s="22" t="s">
        <v>344</v>
      </c>
      <c r="X162" s="22" t="s">
        <v>344</v>
      </c>
      <c r="Y162" s="22" t="s">
        <v>344</v>
      </c>
      <c r="Z162" s="22" t="s">
        <v>344</v>
      </c>
      <c r="AA162" s="22" t="s">
        <v>345</v>
      </c>
      <c r="AB162" s="22" t="s">
        <v>344</v>
      </c>
      <c r="AC162" s="22" t="s">
        <v>344</v>
      </c>
      <c r="AD162" s="22" t="s">
        <v>345</v>
      </c>
      <c r="AE162" s="22" t="s">
        <v>345</v>
      </c>
      <c r="AF162" s="22" t="s">
        <v>345</v>
      </c>
      <c r="AG162" s="22" t="s">
        <v>344</v>
      </c>
      <c r="AH162" s="22" t="s">
        <v>345</v>
      </c>
      <c r="AI162" s="22" t="s">
        <v>344</v>
      </c>
      <c r="AJ162" s="22" t="s">
        <v>344</v>
      </c>
      <c r="AK162" s="22" t="s">
        <v>344</v>
      </c>
      <c r="AL162" s="22" t="s">
        <v>345</v>
      </c>
      <c r="AM162" s="22" t="s">
        <v>345</v>
      </c>
      <c r="AN162" s="22" t="s">
        <v>345</v>
      </c>
      <c r="AO162" s="22" t="s">
        <v>344</v>
      </c>
      <c r="AP162" s="22" t="s">
        <v>344</v>
      </c>
      <c r="AQ162" s="22" t="s">
        <v>344</v>
      </c>
      <c r="AR162" s="22" t="s">
        <v>345</v>
      </c>
      <c r="AS162" s="22" t="s">
        <v>345</v>
      </c>
      <c r="AT162" s="22" t="s">
        <v>345</v>
      </c>
      <c r="AU162" s="22" t="s">
        <v>345</v>
      </c>
      <c r="AV162" s="22" t="s">
        <v>345</v>
      </c>
      <c r="AW162" s="22" t="s">
        <v>345</v>
      </c>
      <c r="AX162" s="22" t="s">
        <v>344</v>
      </c>
      <c r="AY162" s="22" t="s">
        <v>733</v>
      </c>
      <c r="AZ162" s="22" t="s">
        <v>391</v>
      </c>
      <c r="BA162" s="22" t="s">
        <v>733</v>
      </c>
      <c r="BB162" s="22" t="s">
        <v>733</v>
      </c>
      <c r="BC162" s="22" t="s">
        <v>733</v>
      </c>
      <c r="BD162" s="22" t="s">
        <v>731</v>
      </c>
      <c r="BE162" s="22" t="s">
        <v>390</v>
      </c>
      <c r="BF162" s="22" t="s">
        <v>390</v>
      </c>
      <c r="BG162" s="22" t="s">
        <v>390</v>
      </c>
      <c r="BH162" s="22" t="s">
        <v>390</v>
      </c>
      <c r="BI162" s="22" t="s">
        <v>390</v>
      </c>
      <c r="BJ162" s="22" t="s">
        <v>354</v>
      </c>
      <c r="BK162" s="22" t="s">
        <v>356</v>
      </c>
      <c r="BL162" s="22" t="s">
        <v>352</v>
      </c>
      <c r="BM162" s="22" t="s">
        <v>352</v>
      </c>
      <c r="BN162" s="22" t="s">
        <v>356</v>
      </c>
      <c r="BO162" s="22" t="s">
        <v>354</v>
      </c>
      <c r="BP162" s="22" t="s">
        <v>391</v>
      </c>
      <c r="BQ162" s="22" t="s">
        <v>358</v>
      </c>
      <c r="BR162" s="22" t="s">
        <v>408</v>
      </c>
      <c r="BS162" s="22" t="s">
        <v>354</v>
      </c>
      <c r="BT162" s="22" t="s">
        <v>356</v>
      </c>
      <c r="BU162" s="22" t="s">
        <v>353</v>
      </c>
      <c r="BV162" s="22" t="s">
        <v>351</v>
      </c>
      <c r="BW162" s="22" t="s">
        <v>354</v>
      </c>
      <c r="BX162" s="22" t="s">
        <v>353</v>
      </c>
      <c r="BY162" s="22" t="s">
        <v>353</v>
      </c>
      <c r="BZ162" s="22" t="s">
        <v>357</v>
      </c>
      <c r="CA162" s="22" t="s">
        <v>356</v>
      </c>
      <c r="CB162" s="22" t="s">
        <v>353</v>
      </c>
      <c r="CC162" s="22" t="s">
        <v>357</v>
      </c>
      <c r="CD162" s="22" t="s">
        <v>352</v>
      </c>
      <c r="CE162" s="22" t="s">
        <v>353</v>
      </c>
      <c r="CF162" s="22" t="s">
        <v>354</v>
      </c>
      <c r="CG162" s="22" t="s">
        <v>392</v>
      </c>
      <c r="CH162" s="22" t="s">
        <v>420</v>
      </c>
      <c r="CI162" s="22" t="s">
        <v>360</v>
      </c>
      <c r="CJ162" s="22" t="s">
        <v>360</v>
      </c>
      <c r="CK162" s="22" t="s">
        <v>1082</v>
      </c>
      <c r="CL162" s="22" t="s">
        <v>344</v>
      </c>
      <c r="CM162" s="22" t="s">
        <v>344</v>
      </c>
      <c r="CN162" s="22" t="s">
        <v>344</v>
      </c>
      <c r="CO162" s="22" t="s">
        <v>344</v>
      </c>
      <c r="CP162" s="22" t="s">
        <v>345</v>
      </c>
      <c r="CQ162" s="22" t="s">
        <v>344</v>
      </c>
      <c r="CR162" s="22" t="s">
        <v>667</v>
      </c>
      <c r="CS162" s="22">
        <v>50</v>
      </c>
      <c r="CT162" s="22">
        <v>13</v>
      </c>
      <c r="CU162" s="22">
        <v>100</v>
      </c>
      <c r="CV162" s="22">
        <v>68</v>
      </c>
      <c r="CW162" s="22" t="s">
        <v>363</v>
      </c>
      <c r="CX162" s="22" t="s">
        <v>395</v>
      </c>
      <c r="CY162" s="22" t="s">
        <v>363</v>
      </c>
      <c r="CZ162" s="22" t="s">
        <v>397</v>
      </c>
      <c r="DA162" s="22" t="s">
        <v>397</v>
      </c>
      <c r="DB162" s="22" t="s">
        <v>397</v>
      </c>
      <c r="DC162" s="22" t="s">
        <v>397</v>
      </c>
      <c r="DD162" s="22" t="s">
        <v>397</v>
      </c>
      <c r="DE162" s="22" t="s">
        <v>423</v>
      </c>
      <c r="DF162" s="22" t="s">
        <v>423</v>
      </c>
      <c r="DG162" s="22" t="s">
        <v>365</v>
      </c>
      <c r="DH162" s="22" t="s">
        <v>365</v>
      </c>
      <c r="DI162" s="22" t="s">
        <v>423</v>
      </c>
      <c r="DJ162" s="22" t="s">
        <v>1083</v>
      </c>
      <c r="DK162" s="22" t="s">
        <v>492</v>
      </c>
      <c r="DL162" s="22" t="s">
        <v>344</v>
      </c>
      <c r="DM162" s="22" t="s">
        <v>344</v>
      </c>
      <c r="DN162" s="22" t="s">
        <v>345</v>
      </c>
      <c r="DO162" s="22" t="s">
        <v>344</v>
      </c>
      <c r="DP162" s="22" t="s">
        <v>368</v>
      </c>
      <c r="DQ162" s="22" t="s">
        <v>368</v>
      </c>
      <c r="DR162" s="22" t="s">
        <v>368</v>
      </c>
      <c r="DS162" s="22" t="s">
        <v>345</v>
      </c>
      <c r="DT162" s="22" t="s">
        <v>368</v>
      </c>
      <c r="DU162" s="22" t="s">
        <v>368</v>
      </c>
      <c r="DV162" s="22" t="s">
        <v>368</v>
      </c>
      <c r="DW162" s="22" t="s">
        <v>345</v>
      </c>
      <c r="DX162" s="22" t="s">
        <v>369</v>
      </c>
      <c r="DY162" s="22" t="s">
        <v>369</v>
      </c>
      <c r="DZ162" s="22" t="s">
        <v>369</v>
      </c>
      <c r="EA162" s="22" t="s">
        <v>369</v>
      </c>
      <c r="EB162" s="22" t="s">
        <v>369</v>
      </c>
      <c r="EC162" s="22" t="s">
        <v>369</v>
      </c>
      <c r="ED162" s="22" t="s">
        <v>399</v>
      </c>
      <c r="EE162" s="22" t="s">
        <v>370</v>
      </c>
      <c r="EF162" s="22" t="s">
        <v>370</v>
      </c>
      <c r="EG162" s="22" t="s">
        <v>370</v>
      </c>
      <c r="EH162" s="22" t="s">
        <v>370</v>
      </c>
      <c r="EI162" s="22" t="s">
        <v>370</v>
      </c>
      <c r="EJ162" s="22" t="s">
        <v>370</v>
      </c>
      <c r="EK162" s="22" t="s">
        <v>370</v>
      </c>
      <c r="EL162" s="22" t="s">
        <v>373</v>
      </c>
      <c r="EM162" s="22" t="s">
        <v>440</v>
      </c>
      <c r="EN162" s="22" t="s">
        <v>372</v>
      </c>
      <c r="EO162" s="22"/>
      <c r="EP162" s="22"/>
      <c r="EQ162" s="22" t="s">
        <v>377</v>
      </c>
      <c r="ER162" s="22" t="s">
        <v>377</v>
      </c>
      <c r="ES162" s="22" t="s">
        <v>376</v>
      </c>
      <c r="ET162" s="22" t="s">
        <v>378</v>
      </c>
      <c r="EU162" s="22" t="s">
        <v>377</v>
      </c>
      <c r="EV162" s="22" t="s">
        <v>400</v>
      </c>
      <c r="EW162" s="22"/>
      <c r="EX162" s="22" t="s">
        <v>368</v>
      </c>
      <c r="EY162" s="22" t="s">
        <v>368</v>
      </c>
      <c r="EZ162" s="22" t="s">
        <v>368</v>
      </c>
      <c r="FA162" s="22" t="s">
        <v>345</v>
      </c>
      <c r="FB162" s="22" t="s">
        <v>381</v>
      </c>
      <c r="FC162" s="22"/>
      <c r="FD162" s="22" t="s">
        <v>401</v>
      </c>
      <c r="FE162" s="22"/>
      <c r="FF162" s="22" t="s">
        <v>382</v>
      </c>
      <c r="FG162" s="22" t="s">
        <v>383</v>
      </c>
      <c r="FH162" s="22" t="s">
        <v>432</v>
      </c>
      <c r="FI162" s="22" t="s">
        <v>403</v>
      </c>
      <c r="FJ162" s="22"/>
      <c r="FK162" s="22"/>
      <c r="FL162" s="22"/>
      <c r="FM162" s="22"/>
      <c r="FN162" s="22"/>
      <c r="FO162" s="22"/>
      <c r="FP162" s="22"/>
      <c r="FQ162" s="22"/>
      <c r="FR162" s="22"/>
      <c r="FS162" s="22"/>
      <c r="FT162" s="22"/>
      <c r="FU162" s="22"/>
      <c r="FV162" s="22"/>
      <c r="FW162" s="22"/>
      <c r="FX162" s="22"/>
      <c r="FY162" s="22"/>
      <c r="FZ162" s="22"/>
      <c r="GA162" s="22" t="s">
        <v>368</v>
      </c>
      <c r="GB162" s="22" t="s">
        <v>368</v>
      </c>
      <c r="GC162" s="22" t="s">
        <v>368</v>
      </c>
      <c r="GD162" s="22" t="s">
        <v>368</v>
      </c>
      <c r="GE162" s="22" t="s">
        <v>368</v>
      </c>
      <c r="GF162" s="22" t="s">
        <v>368</v>
      </c>
      <c r="GG162" s="22"/>
      <c r="GH162" s="22"/>
      <c r="GI162" s="22"/>
      <c r="GJ162" s="22"/>
      <c r="GK162" s="22"/>
      <c r="GL162" s="22" t="s">
        <v>344</v>
      </c>
      <c r="GM162" s="22" t="s">
        <v>344</v>
      </c>
      <c r="GN162" s="22" t="s">
        <v>344</v>
      </c>
      <c r="GO162" s="22" t="s">
        <v>344</v>
      </c>
      <c r="GP162" s="22" t="s">
        <v>344</v>
      </c>
      <c r="GQ162" s="22" t="s">
        <v>344</v>
      </c>
      <c r="GR162" s="22" t="s">
        <v>344</v>
      </c>
      <c r="GS162" s="22" t="s">
        <v>344</v>
      </c>
      <c r="GT162" s="22" t="s">
        <v>344</v>
      </c>
      <c r="GU162" s="22" t="s">
        <v>344</v>
      </c>
      <c r="GV162" s="22" t="s">
        <v>344</v>
      </c>
      <c r="GW162" s="22" t="s">
        <v>344</v>
      </c>
      <c r="GX162" s="22" t="s">
        <v>344</v>
      </c>
      <c r="GY162" s="22" t="s">
        <v>344</v>
      </c>
      <c r="GZ162" s="22" t="s">
        <v>345</v>
      </c>
      <c r="HA162" s="22"/>
      <c r="HB162" s="22" t="s">
        <v>344</v>
      </c>
      <c r="HC162" s="22"/>
      <c r="HD162" s="22" t="s">
        <v>344</v>
      </c>
      <c r="HE162" s="22"/>
      <c r="HF162" s="22" t="s">
        <v>344</v>
      </c>
      <c r="HG162" s="22"/>
      <c r="HH162" s="22" t="s">
        <v>344</v>
      </c>
      <c r="HI162" s="22"/>
      <c r="HJ162" s="22" t="s">
        <v>344</v>
      </c>
      <c r="HK162" s="22" t="s">
        <v>344</v>
      </c>
      <c r="HL162" s="22" t="s">
        <v>344</v>
      </c>
      <c r="HM162" s="22" t="s">
        <v>344</v>
      </c>
      <c r="HN162" s="22" t="s">
        <v>344</v>
      </c>
      <c r="HO162" s="22" t="s">
        <v>344</v>
      </c>
      <c r="HP162" s="22" t="s">
        <v>344</v>
      </c>
      <c r="HQ162" s="22" t="s">
        <v>344</v>
      </c>
      <c r="HR162" s="22" t="s">
        <v>344</v>
      </c>
      <c r="HS162" s="22" t="s">
        <v>344</v>
      </c>
      <c r="HT162" s="22" t="s">
        <v>344</v>
      </c>
      <c r="HU162" s="22" t="s">
        <v>344</v>
      </c>
      <c r="HV162" s="22" t="s">
        <v>344</v>
      </c>
      <c r="HW162" s="22" t="s">
        <v>344</v>
      </c>
      <c r="HX162" s="22" t="s">
        <v>345</v>
      </c>
      <c r="HY162" s="22"/>
      <c r="HZ162" s="22" t="s">
        <v>344</v>
      </c>
      <c r="IA162" s="22"/>
      <c r="IB162" s="22" t="s">
        <v>344</v>
      </c>
      <c r="IC162" s="22"/>
      <c r="ID162" s="22" t="s">
        <v>344</v>
      </c>
      <c r="IE162" s="22"/>
      <c r="IF162" s="22" t="s">
        <v>344</v>
      </c>
      <c r="IG162" s="22"/>
      <c r="IH162" s="22" t="s">
        <v>345</v>
      </c>
      <c r="II162" s="22" t="s">
        <v>345</v>
      </c>
      <c r="IJ162" s="22" t="s">
        <v>344</v>
      </c>
      <c r="IK162" s="22" t="s">
        <v>345</v>
      </c>
      <c r="IL162" s="22" t="s">
        <v>345</v>
      </c>
      <c r="IM162" s="22" t="s">
        <v>345</v>
      </c>
      <c r="IN162" s="22" t="s">
        <v>344</v>
      </c>
      <c r="IO162" s="22" t="s">
        <v>345</v>
      </c>
      <c r="IP162" s="22" t="s">
        <v>344</v>
      </c>
      <c r="IQ162" s="22" t="s">
        <v>344</v>
      </c>
      <c r="IR162" s="22" t="s">
        <v>344</v>
      </c>
      <c r="IS162" s="22" t="s">
        <v>344</v>
      </c>
      <c r="IT162" s="22"/>
      <c r="IU162" s="22"/>
      <c r="IV162" s="22"/>
      <c r="IW162" s="22"/>
      <c r="IX162" s="22"/>
      <c r="IY162" s="22"/>
      <c r="IZ162" s="22"/>
      <c r="JA162" s="22"/>
      <c r="JB162" s="22"/>
      <c r="JC162" s="22"/>
      <c r="JD162" s="22"/>
      <c r="JE162" s="22"/>
      <c r="JF162" s="22"/>
      <c r="JG162" s="22"/>
      <c r="JH162" s="22"/>
    </row>
    <row r="163" spans="1:268" x14ac:dyDescent="0.3">
      <c r="A163" s="22" t="s">
        <v>813</v>
      </c>
      <c r="B163" s="22">
        <v>269</v>
      </c>
      <c r="C163" s="22" t="s">
        <v>1084</v>
      </c>
      <c r="D163" s="22">
        <v>14</v>
      </c>
      <c r="E163" s="22" t="s">
        <v>340</v>
      </c>
      <c r="F163" s="22">
        <v>1842534405</v>
      </c>
      <c r="G163" s="22" t="s">
        <v>1085</v>
      </c>
      <c r="H163" s="22" t="s">
        <v>1084</v>
      </c>
      <c r="I163" s="22" t="s">
        <v>1062</v>
      </c>
      <c r="J163" s="22">
        <v>17</v>
      </c>
      <c r="K163" s="22" t="s">
        <v>406</v>
      </c>
      <c r="L163" s="22"/>
      <c r="M163" s="22" t="s">
        <v>345</v>
      </c>
      <c r="N163" s="22" t="s">
        <v>345</v>
      </c>
      <c r="O163" s="22" t="s">
        <v>344</v>
      </c>
      <c r="P163" s="22" t="s">
        <v>345</v>
      </c>
      <c r="Q163" s="22" t="s">
        <v>344</v>
      </c>
      <c r="R163" s="23" t="s">
        <v>1086</v>
      </c>
      <c r="S163" s="22" t="s">
        <v>522</v>
      </c>
      <c r="T163" s="22"/>
      <c r="U163" s="22" t="s">
        <v>347</v>
      </c>
      <c r="V163" s="22"/>
      <c r="W163" s="22" t="s">
        <v>344</v>
      </c>
      <c r="X163" s="22" t="s">
        <v>344</v>
      </c>
      <c r="Y163" s="22" t="s">
        <v>344</v>
      </c>
      <c r="Z163" s="22" t="s">
        <v>344</v>
      </c>
      <c r="AA163" s="22" t="s">
        <v>344</v>
      </c>
      <c r="AB163" s="22" t="s">
        <v>345</v>
      </c>
      <c r="AC163" s="22" t="s">
        <v>344</v>
      </c>
      <c r="AD163" s="22" t="s">
        <v>345</v>
      </c>
      <c r="AE163" s="22" t="s">
        <v>344</v>
      </c>
      <c r="AF163" s="22" t="s">
        <v>344</v>
      </c>
      <c r="AG163" s="22" t="s">
        <v>344</v>
      </c>
      <c r="AH163" s="22" t="s">
        <v>344</v>
      </c>
      <c r="AI163" s="22" t="s">
        <v>344</v>
      </c>
      <c r="AJ163" s="22" t="s">
        <v>344</v>
      </c>
      <c r="AK163" s="22" t="s">
        <v>344</v>
      </c>
      <c r="AL163" s="22" t="s">
        <v>344</v>
      </c>
      <c r="AM163" s="22" t="s">
        <v>344</v>
      </c>
      <c r="AN163" s="22" t="s">
        <v>344</v>
      </c>
      <c r="AO163" s="22" t="s">
        <v>345</v>
      </c>
      <c r="AP163" s="22" t="s">
        <v>345</v>
      </c>
      <c r="AQ163" s="22" t="s">
        <v>344</v>
      </c>
      <c r="AR163" s="22" t="s">
        <v>344</v>
      </c>
      <c r="AS163" s="22" t="s">
        <v>344</v>
      </c>
      <c r="AT163" s="22" t="s">
        <v>344</v>
      </c>
      <c r="AU163" s="22" t="s">
        <v>345</v>
      </c>
      <c r="AV163" s="22" t="s">
        <v>344</v>
      </c>
      <c r="AW163" s="22" t="s">
        <v>344</v>
      </c>
      <c r="AX163" s="22" t="s">
        <v>344</v>
      </c>
      <c r="AY163" s="22" t="s">
        <v>733</v>
      </c>
      <c r="AZ163" s="22" t="s">
        <v>733</v>
      </c>
      <c r="BA163" s="22" t="s">
        <v>733</v>
      </c>
      <c r="BB163" s="22" t="s">
        <v>733</v>
      </c>
      <c r="BC163" s="22" t="s">
        <v>733</v>
      </c>
      <c r="BD163" s="22" t="s">
        <v>731</v>
      </c>
      <c r="BE163" s="22" t="s">
        <v>350</v>
      </c>
      <c r="BF163" s="22" t="s">
        <v>350</v>
      </c>
      <c r="BG163" s="22" t="s">
        <v>349</v>
      </c>
      <c r="BH163" s="22" t="s">
        <v>349</v>
      </c>
      <c r="BI163" s="22" t="s">
        <v>350</v>
      </c>
      <c r="BJ163" s="22" t="s">
        <v>355</v>
      </c>
      <c r="BK163" s="22" t="s">
        <v>354</v>
      </c>
      <c r="BL163" s="22" t="s">
        <v>351</v>
      </c>
      <c r="BM163" s="22" t="s">
        <v>351</v>
      </c>
      <c r="BN163" s="22" t="s">
        <v>351</v>
      </c>
      <c r="BO163" s="22" t="s">
        <v>356</v>
      </c>
      <c r="BP163" s="22" t="s">
        <v>354</v>
      </c>
      <c r="BQ163" s="22" t="s">
        <v>455</v>
      </c>
      <c r="BR163" s="22" t="s">
        <v>408</v>
      </c>
      <c r="BS163" s="22" t="s">
        <v>354</v>
      </c>
      <c r="BT163" s="22" t="s">
        <v>353</v>
      </c>
      <c r="BU163" s="22" t="s">
        <v>356</v>
      </c>
      <c r="BV163" s="22" t="s">
        <v>353</v>
      </c>
      <c r="BW163" s="22" t="s">
        <v>352</v>
      </c>
      <c r="BX163" s="22" t="s">
        <v>351</v>
      </c>
      <c r="BY163" s="22" t="s">
        <v>355</v>
      </c>
      <c r="BZ163" s="22" t="s">
        <v>354</v>
      </c>
      <c r="CA163" s="22" t="s">
        <v>357</v>
      </c>
      <c r="CB163" s="22" t="s">
        <v>354</v>
      </c>
      <c r="CC163" s="22" t="s">
        <v>357</v>
      </c>
      <c r="CD163" s="22" t="s">
        <v>351</v>
      </c>
      <c r="CE163" s="22" t="s">
        <v>357</v>
      </c>
      <c r="CF163" s="22" t="s">
        <v>356</v>
      </c>
      <c r="CG163" s="22" t="s">
        <v>393</v>
      </c>
      <c r="CH163" s="22" t="s">
        <v>392</v>
      </c>
      <c r="CI163" s="22" t="s">
        <v>420</v>
      </c>
      <c r="CJ163" s="22" t="s">
        <v>360</v>
      </c>
      <c r="CK163" s="22" t="s">
        <v>835</v>
      </c>
      <c r="CL163" s="22" t="s">
        <v>344</v>
      </c>
      <c r="CM163" s="22" t="s">
        <v>344</v>
      </c>
      <c r="CN163" s="22" t="s">
        <v>344</v>
      </c>
      <c r="CO163" s="22" t="s">
        <v>344</v>
      </c>
      <c r="CP163" s="22" t="s">
        <v>345</v>
      </c>
      <c r="CQ163" s="22" t="s">
        <v>344</v>
      </c>
      <c r="CR163" s="22" t="s">
        <v>667</v>
      </c>
      <c r="CS163" s="22">
        <v>23</v>
      </c>
      <c r="CT163" s="22">
        <v>84</v>
      </c>
      <c r="CU163" s="22">
        <v>100</v>
      </c>
      <c r="CV163" s="22">
        <v>1</v>
      </c>
      <c r="CW163" s="22" t="s">
        <v>364</v>
      </c>
      <c r="CX163" s="22" t="s">
        <v>396</v>
      </c>
      <c r="CY163" s="22" t="s">
        <v>396</v>
      </c>
      <c r="CZ163" s="22" t="s">
        <v>423</v>
      </c>
      <c r="DA163" s="22" t="s">
        <v>423</v>
      </c>
      <c r="DB163" s="22" t="s">
        <v>366</v>
      </c>
      <c r="DC163" s="22" t="s">
        <v>366</v>
      </c>
      <c r="DD163" s="22" t="s">
        <v>366</v>
      </c>
      <c r="DE163" s="22" t="s">
        <v>423</v>
      </c>
      <c r="DF163" s="22" t="s">
        <v>423</v>
      </c>
      <c r="DG163" s="22" t="s">
        <v>366</v>
      </c>
      <c r="DH163" s="22" t="s">
        <v>366</v>
      </c>
      <c r="DI163" s="22" t="s">
        <v>366</v>
      </c>
      <c r="DJ163" s="22" t="s">
        <v>1087</v>
      </c>
      <c r="DK163" s="22" t="s">
        <v>492</v>
      </c>
      <c r="DL163" s="22" t="s">
        <v>368</v>
      </c>
      <c r="DM163" s="22" t="s">
        <v>368</v>
      </c>
      <c r="DN163" s="22" t="s">
        <v>368</v>
      </c>
      <c r="DO163" s="22" t="s">
        <v>345</v>
      </c>
      <c r="DP163" s="22" t="s">
        <v>345</v>
      </c>
      <c r="DQ163" s="22" t="s">
        <v>344</v>
      </c>
      <c r="DR163" s="22" t="s">
        <v>344</v>
      </c>
      <c r="DS163" s="22" t="s">
        <v>344</v>
      </c>
      <c r="DT163" s="22" t="s">
        <v>345</v>
      </c>
      <c r="DU163" s="22" t="s">
        <v>344</v>
      </c>
      <c r="DV163" s="22" t="s">
        <v>344</v>
      </c>
      <c r="DW163" s="22" t="s">
        <v>344</v>
      </c>
      <c r="DX163" s="22" t="s">
        <v>399</v>
      </c>
      <c r="DY163" s="22" t="s">
        <v>399</v>
      </c>
      <c r="DZ163" s="22" t="s">
        <v>369</v>
      </c>
      <c r="EA163" s="22" t="s">
        <v>369</v>
      </c>
      <c r="EB163" s="22" t="s">
        <v>369</v>
      </c>
      <c r="EC163" s="22" t="s">
        <v>398</v>
      </c>
      <c r="ED163" s="22" t="s">
        <v>399</v>
      </c>
      <c r="EE163" s="22" t="s">
        <v>370</v>
      </c>
      <c r="EF163" s="22" t="s">
        <v>370</v>
      </c>
      <c r="EG163" s="22" t="s">
        <v>371</v>
      </c>
      <c r="EH163" s="22" t="s">
        <v>370</v>
      </c>
      <c r="EI163" s="22" t="s">
        <v>370</v>
      </c>
      <c r="EJ163" s="22" t="s">
        <v>370</v>
      </c>
      <c r="EK163" s="22" t="s">
        <v>370</v>
      </c>
      <c r="EL163" s="22" t="s">
        <v>373</v>
      </c>
      <c r="EM163" s="22" t="s">
        <v>374</v>
      </c>
      <c r="EN163" s="22" t="s">
        <v>440</v>
      </c>
      <c r="EO163" s="22"/>
      <c r="EP163" s="22"/>
      <c r="EQ163" s="22" t="s">
        <v>376</v>
      </c>
      <c r="ER163" s="22" t="s">
        <v>378</v>
      </c>
      <c r="ES163" s="22" t="s">
        <v>375</v>
      </c>
      <c r="ET163" s="22" t="s">
        <v>375</v>
      </c>
      <c r="EU163" s="22" t="s">
        <v>375</v>
      </c>
      <c r="EV163" s="22" t="s">
        <v>400</v>
      </c>
      <c r="EW163" s="22"/>
      <c r="EX163" s="22" t="s">
        <v>368</v>
      </c>
      <c r="EY163" s="22" t="s">
        <v>368</v>
      </c>
      <c r="EZ163" s="22" t="s">
        <v>368</v>
      </c>
      <c r="FA163" s="22" t="s">
        <v>345</v>
      </c>
      <c r="FB163" s="22" t="s">
        <v>380</v>
      </c>
      <c r="FC163" s="22"/>
      <c r="FD163" s="22" t="s">
        <v>381</v>
      </c>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t="s">
        <v>368</v>
      </c>
      <c r="GB163" s="22" t="s">
        <v>368</v>
      </c>
      <c r="GC163" s="22" t="s">
        <v>368</v>
      </c>
      <c r="GD163" s="22" t="s">
        <v>368</v>
      </c>
      <c r="GE163" s="22" t="s">
        <v>368</v>
      </c>
      <c r="GF163" s="22" t="s">
        <v>368</v>
      </c>
      <c r="GG163" s="22"/>
      <c r="GH163" s="22"/>
      <c r="GI163" s="22"/>
      <c r="GJ163" s="22"/>
      <c r="GK163" s="22"/>
      <c r="GL163" s="22" t="s">
        <v>344</v>
      </c>
      <c r="GM163" s="22" t="s">
        <v>344</v>
      </c>
      <c r="GN163" s="22" t="s">
        <v>344</v>
      </c>
      <c r="GO163" s="22" t="s">
        <v>345</v>
      </c>
      <c r="GP163" s="22" t="s">
        <v>344</v>
      </c>
      <c r="GQ163" s="22" t="s">
        <v>344</v>
      </c>
      <c r="GR163" s="22" t="s">
        <v>344</v>
      </c>
      <c r="GS163" s="22" t="s">
        <v>344</v>
      </c>
      <c r="GT163" s="22" t="s">
        <v>344</v>
      </c>
      <c r="GU163" s="22" t="s">
        <v>344</v>
      </c>
      <c r="GV163" s="22" t="s">
        <v>344</v>
      </c>
      <c r="GW163" s="22" t="s">
        <v>344</v>
      </c>
      <c r="GX163" s="22" t="s">
        <v>344</v>
      </c>
      <c r="GY163" s="22" t="s">
        <v>344</v>
      </c>
      <c r="GZ163" s="22" t="s">
        <v>344</v>
      </c>
      <c r="HA163" s="22"/>
      <c r="HB163" s="22" t="s">
        <v>344</v>
      </c>
      <c r="HC163" s="22"/>
      <c r="HD163" s="22" t="s">
        <v>344</v>
      </c>
      <c r="HE163" s="22"/>
      <c r="HF163" s="22" t="s">
        <v>344</v>
      </c>
      <c r="HG163" s="22"/>
      <c r="HH163" s="22" t="s">
        <v>344</v>
      </c>
      <c r="HI163" s="22"/>
      <c r="HJ163" s="22" t="s">
        <v>345</v>
      </c>
      <c r="HK163" s="22" t="s">
        <v>345</v>
      </c>
      <c r="HL163" s="22" t="s">
        <v>344</v>
      </c>
      <c r="HM163" s="22" t="s">
        <v>344</v>
      </c>
      <c r="HN163" s="22" t="s">
        <v>344</v>
      </c>
      <c r="HO163" s="22" t="s">
        <v>344</v>
      </c>
      <c r="HP163" s="22" t="s">
        <v>344</v>
      </c>
      <c r="HQ163" s="22" t="s">
        <v>344</v>
      </c>
      <c r="HR163" s="22" t="s">
        <v>344</v>
      </c>
      <c r="HS163" s="22" t="s">
        <v>344</v>
      </c>
      <c r="HT163" s="22" t="s">
        <v>344</v>
      </c>
      <c r="HU163" s="22" t="s">
        <v>344</v>
      </c>
      <c r="HV163" s="22" t="s">
        <v>344</v>
      </c>
      <c r="HW163" s="22" t="s">
        <v>344</v>
      </c>
      <c r="HX163" s="22" t="s">
        <v>344</v>
      </c>
      <c r="HY163" s="22"/>
      <c r="HZ163" s="22" t="s">
        <v>344</v>
      </c>
      <c r="IA163" s="22"/>
      <c r="IB163" s="22" t="s">
        <v>344</v>
      </c>
      <c r="IC163" s="22"/>
      <c r="ID163" s="22" t="s">
        <v>344</v>
      </c>
      <c r="IE163" s="22"/>
      <c r="IF163" s="22" t="s">
        <v>344</v>
      </c>
      <c r="IG163" s="22"/>
      <c r="IH163" s="22" t="s">
        <v>345</v>
      </c>
      <c r="II163" s="22" t="s">
        <v>345</v>
      </c>
      <c r="IJ163" s="22" t="s">
        <v>345</v>
      </c>
      <c r="IK163" s="22" t="s">
        <v>345</v>
      </c>
      <c r="IL163" s="22" t="s">
        <v>345</v>
      </c>
      <c r="IM163" s="22" t="s">
        <v>345</v>
      </c>
      <c r="IN163" s="22" t="s">
        <v>344</v>
      </c>
      <c r="IO163" s="22" t="s">
        <v>345</v>
      </c>
      <c r="IP163" s="22" t="s">
        <v>345</v>
      </c>
      <c r="IQ163" s="22" t="s">
        <v>344</v>
      </c>
      <c r="IR163" s="22" t="s">
        <v>345</v>
      </c>
      <c r="IS163" s="22" t="s">
        <v>344</v>
      </c>
      <c r="IT163" s="22"/>
      <c r="IU163" s="22"/>
      <c r="IV163" s="22"/>
      <c r="IW163" s="22"/>
      <c r="IX163" s="22"/>
      <c r="IY163" s="22"/>
      <c r="IZ163" s="22"/>
      <c r="JA163" s="22"/>
      <c r="JB163" s="22"/>
      <c r="JC163" s="22"/>
      <c r="JD163" s="22"/>
      <c r="JE163" s="22"/>
      <c r="JF163" s="22"/>
      <c r="JG163" s="22"/>
      <c r="JH163" s="22"/>
    </row>
    <row r="164" spans="1:268" x14ac:dyDescent="0.3">
      <c r="A164" s="22" t="s">
        <v>813</v>
      </c>
      <c r="B164" s="22">
        <v>270</v>
      </c>
      <c r="C164" s="22" t="s">
        <v>1088</v>
      </c>
      <c r="D164" s="22">
        <v>14</v>
      </c>
      <c r="E164" s="22" t="s">
        <v>340</v>
      </c>
      <c r="F164" s="22">
        <v>1393841241</v>
      </c>
      <c r="G164" s="22" t="s">
        <v>1089</v>
      </c>
      <c r="H164" s="22" t="s">
        <v>1088</v>
      </c>
      <c r="I164" s="22" t="s">
        <v>1062</v>
      </c>
      <c r="J164" s="22">
        <v>17</v>
      </c>
      <c r="K164" s="22" t="s">
        <v>389</v>
      </c>
      <c r="L164" s="22"/>
      <c r="M164" s="22" t="s">
        <v>344</v>
      </c>
      <c r="N164" s="22" t="s">
        <v>345</v>
      </c>
      <c r="O164" s="22" t="s">
        <v>344</v>
      </c>
      <c r="P164" s="22" t="s">
        <v>344</v>
      </c>
      <c r="Q164" s="22" t="s">
        <v>344</v>
      </c>
      <c r="R164" s="22"/>
      <c r="S164" s="22" t="s">
        <v>522</v>
      </c>
      <c r="T164" s="22"/>
      <c r="U164" s="22" t="s">
        <v>428</v>
      </c>
      <c r="V164" s="22"/>
      <c r="W164" s="22" t="s">
        <v>345</v>
      </c>
      <c r="X164" s="22" t="s">
        <v>345</v>
      </c>
      <c r="Y164" s="22" t="s">
        <v>344</v>
      </c>
      <c r="Z164" s="22" t="s">
        <v>344</v>
      </c>
      <c r="AA164" s="22" t="s">
        <v>344</v>
      </c>
      <c r="AB164" s="22" t="s">
        <v>344</v>
      </c>
      <c r="AC164" s="22" t="s">
        <v>344</v>
      </c>
      <c r="AD164" s="22" t="s">
        <v>345</v>
      </c>
      <c r="AE164" s="22" t="s">
        <v>344</v>
      </c>
      <c r="AF164" s="22" t="s">
        <v>344</v>
      </c>
      <c r="AG164" s="22" t="s">
        <v>344</v>
      </c>
      <c r="AH164" s="22" t="s">
        <v>344</v>
      </c>
      <c r="AI164" s="22" t="s">
        <v>344</v>
      </c>
      <c r="AJ164" s="22" t="s">
        <v>344</v>
      </c>
      <c r="AK164" s="22" t="s">
        <v>344</v>
      </c>
      <c r="AL164" s="22" t="s">
        <v>344</v>
      </c>
      <c r="AM164" s="22" t="s">
        <v>344</v>
      </c>
      <c r="AN164" s="22" t="s">
        <v>345</v>
      </c>
      <c r="AO164" s="22" t="s">
        <v>344</v>
      </c>
      <c r="AP164" s="22" t="s">
        <v>344</v>
      </c>
      <c r="AQ164" s="22" t="s">
        <v>344</v>
      </c>
      <c r="AR164" s="22" t="s">
        <v>345</v>
      </c>
      <c r="AS164" s="22" t="s">
        <v>344</v>
      </c>
      <c r="AT164" s="22" t="s">
        <v>344</v>
      </c>
      <c r="AU164" s="22" t="s">
        <v>345</v>
      </c>
      <c r="AV164" s="22" t="s">
        <v>345</v>
      </c>
      <c r="AW164" s="22" t="s">
        <v>344</v>
      </c>
      <c r="AX164" s="22" t="s">
        <v>344</v>
      </c>
      <c r="AY164" s="22" t="s">
        <v>733</v>
      </c>
      <c r="AZ164" s="22" t="s">
        <v>731</v>
      </c>
      <c r="BA164" s="22" t="s">
        <v>733</v>
      </c>
      <c r="BB164" s="22" t="s">
        <v>733</v>
      </c>
      <c r="BC164" s="22" t="s">
        <v>733</v>
      </c>
      <c r="BD164" s="22" t="s">
        <v>733</v>
      </c>
      <c r="BE164" s="22" t="s">
        <v>348</v>
      </c>
      <c r="BF164" s="22" t="s">
        <v>348</v>
      </c>
      <c r="BG164" s="22" t="s">
        <v>349</v>
      </c>
      <c r="BH164" s="22" t="s">
        <v>350</v>
      </c>
      <c r="BI164" s="22" t="s">
        <v>350</v>
      </c>
      <c r="BJ164" s="22" t="s">
        <v>391</v>
      </c>
      <c r="BK164" s="22" t="s">
        <v>391</v>
      </c>
      <c r="BL164" s="22" t="s">
        <v>391</v>
      </c>
      <c r="BM164" s="22" t="s">
        <v>391</v>
      </c>
      <c r="BN164" s="22" t="s">
        <v>391</v>
      </c>
      <c r="BO164" s="22" t="s">
        <v>391</v>
      </c>
      <c r="BP164" s="22" t="s">
        <v>391</v>
      </c>
      <c r="BQ164" s="22" t="s">
        <v>455</v>
      </c>
      <c r="BR164" s="22" t="s">
        <v>367</v>
      </c>
      <c r="BS164" s="22" t="s">
        <v>391</v>
      </c>
      <c r="BT164" s="22" t="s">
        <v>391</v>
      </c>
      <c r="BU164" s="22" t="s">
        <v>391</v>
      </c>
      <c r="BV164" s="22" t="s">
        <v>391</v>
      </c>
      <c r="BW164" s="22" t="s">
        <v>391</v>
      </c>
      <c r="BX164" s="22" t="s">
        <v>391</v>
      </c>
      <c r="BY164" s="22" t="s">
        <v>391</v>
      </c>
      <c r="BZ164" s="22" t="s">
        <v>391</v>
      </c>
      <c r="CA164" s="22" t="s">
        <v>391</v>
      </c>
      <c r="CB164" s="22" t="s">
        <v>391</v>
      </c>
      <c r="CC164" s="22" t="s">
        <v>391</v>
      </c>
      <c r="CD164" s="22" t="s">
        <v>391</v>
      </c>
      <c r="CE164" s="22" t="s">
        <v>391</v>
      </c>
      <c r="CF164" s="22" t="s">
        <v>391</v>
      </c>
      <c r="CG164" s="22" t="s">
        <v>421</v>
      </c>
      <c r="CH164" s="22" t="s">
        <v>421</v>
      </c>
      <c r="CI164" s="22" t="s">
        <v>421</v>
      </c>
      <c r="CJ164" s="22" t="s">
        <v>421</v>
      </c>
      <c r="CK164" s="22" t="s">
        <v>1090</v>
      </c>
      <c r="CL164" s="22" t="s">
        <v>344</v>
      </c>
      <c r="CM164" s="22" t="s">
        <v>344</v>
      </c>
      <c r="CN164" s="22" t="s">
        <v>344</v>
      </c>
      <c r="CO164" s="22" t="s">
        <v>344</v>
      </c>
      <c r="CP164" s="22" t="s">
        <v>345</v>
      </c>
      <c r="CQ164" s="22" t="s">
        <v>344</v>
      </c>
      <c r="CR164" s="22" t="s">
        <v>655</v>
      </c>
      <c r="CS164" s="22">
        <v>75</v>
      </c>
      <c r="CT164" s="22">
        <v>17</v>
      </c>
      <c r="CU164" s="22">
        <v>100</v>
      </c>
      <c r="CV164" s="22">
        <v>69</v>
      </c>
      <c r="CW164" s="22" t="s">
        <v>364</v>
      </c>
      <c r="CX164" s="22" t="s">
        <v>396</v>
      </c>
      <c r="CY164" s="22" t="s">
        <v>396</v>
      </c>
      <c r="CZ164" s="22" t="s">
        <v>397</v>
      </c>
      <c r="DA164" s="22" t="s">
        <v>397</v>
      </c>
      <c r="DB164" s="22" t="s">
        <v>397</v>
      </c>
      <c r="DC164" s="22" t="s">
        <v>397</v>
      </c>
      <c r="DD164" s="22" t="s">
        <v>366</v>
      </c>
      <c r="DE164" s="22" t="s">
        <v>397</v>
      </c>
      <c r="DF164" s="22" t="s">
        <v>423</v>
      </c>
      <c r="DG164" s="22" t="s">
        <v>397</v>
      </c>
      <c r="DH164" s="22" t="s">
        <v>397</v>
      </c>
      <c r="DI164" s="22" t="s">
        <v>423</v>
      </c>
      <c r="DJ164" s="22" t="s">
        <v>1091</v>
      </c>
      <c r="DK164" s="22" t="s">
        <v>367</v>
      </c>
      <c r="DL164" s="22" t="s">
        <v>368</v>
      </c>
      <c r="DM164" s="22" t="s">
        <v>368</v>
      </c>
      <c r="DN164" s="22" t="s">
        <v>368</v>
      </c>
      <c r="DO164" s="22" t="s">
        <v>368</v>
      </c>
      <c r="DP164" s="22" t="s">
        <v>368</v>
      </c>
      <c r="DQ164" s="22" t="s">
        <v>368</v>
      </c>
      <c r="DR164" s="22" t="s">
        <v>368</v>
      </c>
      <c r="DS164" s="22" t="s">
        <v>345</v>
      </c>
      <c r="DT164" s="22" t="s">
        <v>345</v>
      </c>
      <c r="DU164" s="22" t="s">
        <v>345</v>
      </c>
      <c r="DV164" s="22" t="s">
        <v>345</v>
      </c>
      <c r="DW164" s="22" t="s">
        <v>344</v>
      </c>
      <c r="DX164" s="22" t="s">
        <v>369</v>
      </c>
      <c r="DY164" s="22" t="s">
        <v>369</v>
      </c>
      <c r="DZ164" s="22" t="s">
        <v>369</v>
      </c>
      <c r="EA164" s="22" t="s">
        <v>369</v>
      </c>
      <c r="EB164" s="22" t="s">
        <v>369</v>
      </c>
      <c r="EC164" s="22" t="s">
        <v>369</v>
      </c>
      <c r="ED164" s="22" t="s">
        <v>369</v>
      </c>
      <c r="EE164" s="22" t="s">
        <v>370</v>
      </c>
      <c r="EF164" s="22" t="s">
        <v>370</v>
      </c>
      <c r="EG164" s="22" t="s">
        <v>370</v>
      </c>
      <c r="EH164" s="22" t="s">
        <v>370</v>
      </c>
      <c r="EI164" s="22" t="s">
        <v>370</v>
      </c>
      <c r="EJ164" s="22" t="s">
        <v>370</v>
      </c>
      <c r="EK164" s="22" t="s">
        <v>370</v>
      </c>
      <c r="EL164" s="22" t="s">
        <v>374</v>
      </c>
      <c r="EM164" s="22" t="s">
        <v>424</v>
      </c>
      <c r="EN164" s="22" t="s">
        <v>440</v>
      </c>
      <c r="EO164" s="22"/>
      <c r="EP164" s="22"/>
      <c r="EQ164" s="22" t="s">
        <v>391</v>
      </c>
      <c r="ER164" s="22" t="s">
        <v>391</v>
      </c>
      <c r="ES164" s="22" t="s">
        <v>391</v>
      </c>
      <c r="ET164" s="22" t="s">
        <v>391</v>
      </c>
      <c r="EU164" s="22" t="s">
        <v>391</v>
      </c>
      <c r="EV164" s="22" t="s">
        <v>400</v>
      </c>
      <c r="EW164" s="22"/>
      <c r="EX164" s="22" t="s">
        <v>368</v>
      </c>
      <c r="EY164" s="22" t="s">
        <v>368</v>
      </c>
      <c r="EZ164" s="22" t="s">
        <v>368</v>
      </c>
      <c r="FA164" s="22" t="s">
        <v>345</v>
      </c>
      <c r="FB164" s="22" t="s">
        <v>380</v>
      </c>
      <c r="FC164" s="22"/>
      <c r="FD164" s="22" t="s">
        <v>401</v>
      </c>
      <c r="FE164" s="22"/>
      <c r="FF164" s="22" t="s">
        <v>382</v>
      </c>
      <c r="FG164" s="22" t="s">
        <v>383</v>
      </c>
      <c r="FH164" s="22" t="s">
        <v>384</v>
      </c>
      <c r="FI164" s="22" t="s">
        <v>385</v>
      </c>
      <c r="FJ164" s="22"/>
      <c r="FK164" s="22"/>
      <c r="FL164" s="22"/>
      <c r="FM164" s="22"/>
      <c r="FN164" s="22"/>
      <c r="FO164" s="22"/>
      <c r="FP164" s="22"/>
      <c r="FQ164" s="22"/>
      <c r="FR164" s="22"/>
      <c r="FS164" s="22"/>
      <c r="FT164" s="22"/>
      <c r="FU164" s="22"/>
      <c r="FV164" s="22"/>
      <c r="FW164" s="22"/>
      <c r="FX164" s="22"/>
      <c r="FY164" s="22"/>
      <c r="FZ164" s="22"/>
      <c r="GA164" s="22" t="s">
        <v>368</v>
      </c>
      <c r="GB164" s="22" t="s">
        <v>368</v>
      </c>
      <c r="GC164" s="22" t="s">
        <v>368</v>
      </c>
      <c r="GD164" s="22" t="s">
        <v>368</v>
      </c>
      <c r="GE164" s="22" t="s">
        <v>368</v>
      </c>
      <c r="GF164" s="22" t="s">
        <v>368</v>
      </c>
      <c r="GG164" s="22"/>
      <c r="GH164" s="22"/>
      <c r="GI164" s="22"/>
      <c r="GJ164" s="22"/>
      <c r="GK164" s="22"/>
      <c r="GL164" s="22" t="s">
        <v>344</v>
      </c>
      <c r="GM164" s="22" t="s">
        <v>344</v>
      </c>
      <c r="GN164" s="22" t="s">
        <v>344</v>
      </c>
      <c r="GO164" s="22" t="s">
        <v>344</v>
      </c>
      <c r="GP164" s="22" t="s">
        <v>344</v>
      </c>
      <c r="GQ164" s="22" t="s">
        <v>344</v>
      </c>
      <c r="GR164" s="22" t="s">
        <v>344</v>
      </c>
      <c r="GS164" s="22" t="s">
        <v>344</v>
      </c>
      <c r="GT164" s="22" t="s">
        <v>344</v>
      </c>
      <c r="GU164" s="22" t="s">
        <v>344</v>
      </c>
      <c r="GV164" s="22" t="s">
        <v>344</v>
      </c>
      <c r="GW164" s="22" t="s">
        <v>344</v>
      </c>
      <c r="GX164" s="22" t="s">
        <v>344</v>
      </c>
      <c r="GY164" s="22" t="s">
        <v>344</v>
      </c>
      <c r="GZ164" s="22" t="s">
        <v>345</v>
      </c>
      <c r="HA164" s="22"/>
      <c r="HB164" s="22" t="s">
        <v>344</v>
      </c>
      <c r="HC164" s="22"/>
      <c r="HD164" s="22" t="s">
        <v>344</v>
      </c>
      <c r="HE164" s="22"/>
      <c r="HF164" s="22" t="s">
        <v>344</v>
      </c>
      <c r="HG164" s="22"/>
      <c r="HH164" s="22" t="s">
        <v>344</v>
      </c>
      <c r="HI164" s="22"/>
      <c r="HJ164" s="22" t="s">
        <v>344</v>
      </c>
      <c r="HK164" s="22" t="s">
        <v>344</v>
      </c>
      <c r="HL164" s="22" t="s">
        <v>344</v>
      </c>
      <c r="HM164" s="22" t="s">
        <v>344</v>
      </c>
      <c r="HN164" s="22" t="s">
        <v>344</v>
      </c>
      <c r="HO164" s="22" t="s">
        <v>344</v>
      </c>
      <c r="HP164" s="22" t="s">
        <v>344</v>
      </c>
      <c r="HQ164" s="22" t="s">
        <v>344</v>
      </c>
      <c r="HR164" s="22" t="s">
        <v>344</v>
      </c>
      <c r="HS164" s="22" t="s">
        <v>344</v>
      </c>
      <c r="HT164" s="22" t="s">
        <v>344</v>
      </c>
      <c r="HU164" s="22" t="s">
        <v>344</v>
      </c>
      <c r="HV164" s="22" t="s">
        <v>344</v>
      </c>
      <c r="HW164" s="22" t="s">
        <v>344</v>
      </c>
      <c r="HX164" s="22" t="s">
        <v>345</v>
      </c>
      <c r="HY164" s="22"/>
      <c r="HZ164" s="22" t="s">
        <v>344</v>
      </c>
      <c r="IA164" s="22"/>
      <c r="IB164" s="22" t="s">
        <v>344</v>
      </c>
      <c r="IC164" s="22"/>
      <c r="ID164" s="22" t="s">
        <v>344</v>
      </c>
      <c r="IE164" s="22"/>
      <c r="IF164" s="22" t="s">
        <v>344</v>
      </c>
      <c r="IG164" s="22"/>
      <c r="IH164" s="22" t="s">
        <v>345</v>
      </c>
      <c r="II164" s="22" t="s">
        <v>345</v>
      </c>
      <c r="IJ164" s="22" t="s">
        <v>344</v>
      </c>
      <c r="IK164" s="22" t="s">
        <v>345</v>
      </c>
      <c r="IL164" s="22" t="s">
        <v>345</v>
      </c>
      <c r="IM164" s="22" t="s">
        <v>345</v>
      </c>
      <c r="IN164" s="22" t="s">
        <v>344</v>
      </c>
      <c r="IO164" s="22" t="s">
        <v>345</v>
      </c>
      <c r="IP164" s="22" t="s">
        <v>345</v>
      </c>
      <c r="IQ164" s="22" t="s">
        <v>344</v>
      </c>
      <c r="IR164" s="22" t="s">
        <v>344</v>
      </c>
      <c r="IS164" s="22" t="s">
        <v>344</v>
      </c>
      <c r="IT164" s="22"/>
      <c r="IU164" s="22"/>
      <c r="IV164" s="22"/>
      <c r="IW164" s="22"/>
      <c r="IX164" s="22"/>
      <c r="IY164" s="22"/>
      <c r="IZ164" s="22"/>
      <c r="JA164" s="22"/>
      <c r="JB164" s="22"/>
      <c r="JC164" s="22"/>
      <c r="JD164" s="22"/>
      <c r="JE164" s="22"/>
      <c r="JF164" s="22"/>
      <c r="JG164" s="22"/>
      <c r="JH164" s="22"/>
    </row>
    <row r="165" spans="1:268" x14ac:dyDescent="0.3">
      <c r="A165" s="22" t="s">
        <v>813</v>
      </c>
      <c r="B165" s="22">
        <v>271</v>
      </c>
      <c r="C165" s="22" t="s">
        <v>1092</v>
      </c>
      <c r="D165" s="22">
        <v>14</v>
      </c>
      <c r="E165" s="22" t="s">
        <v>387</v>
      </c>
      <c r="F165" s="22">
        <v>1704194529</v>
      </c>
      <c r="G165" s="22" t="s">
        <v>1093</v>
      </c>
      <c r="H165" s="22" t="s">
        <v>1092</v>
      </c>
      <c r="I165" s="22" t="s">
        <v>1035</v>
      </c>
      <c r="J165" s="22">
        <v>17</v>
      </c>
      <c r="K165" s="22" t="s">
        <v>389</v>
      </c>
      <c r="L165" s="22"/>
      <c r="M165" s="22" t="s">
        <v>345</v>
      </c>
      <c r="N165" s="22" t="s">
        <v>345</v>
      </c>
      <c r="O165" s="22" t="s">
        <v>344</v>
      </c>
      <c r="P165" s="22" t="s">
        <v>344</v>
      </c>
      <c r="Q165" s="22" t="s">
        <v>344</v>
      </c>
      <c r="R165" s="22"/>
      <c r="S165" s="22" t="s">
        <v>522</v>
      </c>
      <c r="T165" s="22"/>
      <c r="U165" s="22" t="s">
        <v>428</v>
      </c>
      <c r="V165" s="22"/>
      <c r="W165" s="22" t="s">
        <v>345</v>
      </c>
      <c r="X165" s="22" t="s">
        <v>345</v>
      </c>
      <c r="Y165" s="22" t="s">
        <v>344</v>
      </c>
      <c r="Z165" s="22" t="s">
        <v>344</v>
      </c>
      <c r="AA165" s="22" t="s">
        <v>344</v>
      </c>
      <c r="AB165" s="22" t="s">
        <v>344</v>
      </c>
      <c r="AC165" s="22" t="s">
        <v>344</v>
      </c>
      <c r="AD165" s="22" t="s">
        <v>345</v>
      </c>
      <c r="AE165" s="22" t="s">
        <v>345</v>
      </c>
      <c r="AF165" s="22" t="s">
        <v>344</v>
      </c>
      <c r="AG165" s="22" t="s">
        <v>344</v>
      </c>
      <c r="AH165" s="22" t="s">
        <v>344</v>
      </c>
      <c r="AI165" s="22" t="s">
        <v>344</v>
      </c>
      <c r="AJ165" s="22" t="s">
        <v>344</v>
      </c>
      <c r="AK165" s="22" t="s">
        <v>345</v>
      </c>
      <c r="AL165" s="22" t="s">
        <v>344</v>
      </c>
      <c r="AM165" s="22" t="s">
        <v>345</v>
      </c>
      <c r="AN165" s="22" t="s">
        <v>344</v>
      </c>
      <c r="AO165" s="22" t="s">
        <v>344</v>
      </c>
      <c r="AP165" s="22" t="s">
        <v>344</v>
      </c>
      <c r="AQ165" s="22" t="s">
        <v>344</v>
      </c>
      <c r="AR165" s="22" t="s">
        <v>345</v>
      </c>
      <c r="AS165" s="22" t="s">
        <v>344</v>
      </c>
      <c r="AT165" s="22" t="s">
        <v>344</v>
      </c>
      <c r="AU165" s="22" t="s">
        <v>344</v>
      </c>
      <c r="AV165" s="22" t="s">
        <v>345</v>
      </c>
      <c r="AW165" s="22" t="s">
        <v>345</v>
      </c>
      <c r="AX165" s="22" t="s">
        <v>344</v>
      </c>
      <c r="AY165" s="22" t="s">
        <v>731</v>
      </c>
      <c r="AZ165" s="22" t="s">
        <v>733</v>
      </c>
      <c r="BA165" s="22" t="s">
        <v>731</v>
      </c>
      <c r="BB165" s="22" t="s">
        <v>737</v>
      </c>
      <c r="BC165" s="22" t="s">
        <v>731</v>
      </c>
      <c r="BD165" s="22" t="s">
        <v>391</v>
      </c>
      <c r="BE165" s="22" t="s">
        <v>390</v>
      </c>
      <c r="BF165" s="22" t="s">
        <v>349</v>
      </c>
      <c r="BG165" s="22" t="s">
        <v>390</v>
      </c>
      <c r="BH165" s="22" t="s">
        <v>390</v>
      </c>
      <c r="BI165" s="22" t="s">
        <v>349</v>
      </c>
      <c r="BJ165" s="22" t="s">
        <v>357</v>
      </c>
      <c r="BK165" s="22" t="s">
        <v>354</v>
      </c>
      <c r="BL165" s="22" t="s">
        <v>351</v>
      </c>
      <c r="BM165" s="22" t="s">
        <v>356</v>
      </c>
      <c r="BN165" s="22" t="s">
        <v>352</v>
      </c>
      <c r="BO165" s="22" t="s">
        <v>354</v>
      </c>
      <c r="BP165" s="22" t="s">
        <v>352</v>
      </c>
      <c r="BQ165" s="22" t="s">
        <v>407</v>
      </c>
      <c r="BR165" s="22" t="s">
        <v>429</v>
      </c>
      <c r="BS165" s="22" t="s">
        <v>357</v>
      </c>
      <c r="BT165" s="22" t="s">
        <v>354</v>
      </c>
      <c r="BU165" s="22" t="s">
        <v>356</v>
      </c>
      <c r="BV165" s="22" t="s">
        <v>351</v>
      </c>
      <c r="BW165" s="22" t="s">
        <v>355</v>
      </c>
      <c r="BX165" s="22" t="s">
        <v>351</v>
      </c>
      <c r="BY165" s="22" t="s">
        <v>354</v>
      </c>
      <c r="BZ165" s="22" t="s">
        <v>354</v>
      </c>
      <c r="CA165" s="22" t="s">
        <v>391</v>
      </c>
      <c r="CB165" s="22" t="s">
        <v>391</v>
      </c>
      <c r="CC165" s="22" t="s">
        <v>353</v>
      </c>
      <c r="CD165" s="22" t="s">
        <v>357</v>
      </c>
      <c r="CE165" s="22" t="s">
        <v>354</v>
      </c>
      <c r="CF165" s="22" t="s">
        <v>355</v>
      </c>
      <c r="CG165" s="22" t="s">
        <v>420</v>
      </c>
      <c r="CH165" s="22" t="s">
        <v>393</v>
      </c>
      <c r="CI165" s="22" t="s">
        <v>420</v>
      </c>
      <c r="CJ165" s="22" t="s">
        <v>420</v>
      </c>
      <c r="CK165" s="22" t="s">
        <v>717</v>
      </c>
      <c r="CL165" s="22" t="s">
        <v>344</v>
      </c>
      <c r="CM165" s="22" t="s">
        <v>344</v>
      </c>
      <c r="CN165" s="22" t="s">
        <v>344</v>
      </c>
      <c r="CO165" s="22" t="s">
        <v>345</v>
      </c>
      <c r="CP165" s="22" t="s">
        <v>344</v>
      </c>
      <c r="CQ165" s="22" t="s">
        <v>344</v>
      </c>
      <c r="CR165" s="22" t="s">
        <v>655</v>
      </c>
      <c r="CS165" s="22">
        <v>12</v>
      </c>
      <c r="CT165" s="22">
        <v>70</v>
      </c>
      <c r="CU165" s="22">
        <v>100</v>
      </c>
      <c r="CV165" s="22">
        <v>50</v>
      </c>
      <c r="CW165" s="22" t="s">
        <v>395</v>
      </c>
      <c r="CX165" s="22" t="s">
        <v>395</v>
      </c>
      <c r="CY165" s="22" t="s">
        <v>395</v>
      </c>
      <c r="CZ165" s="22" t="s">
        <v>397</v>
      </c>
      <c r="DA165" s="22" t="s">
        <v>397</v>
      </c>
      <c r="DB165" s="22" t="s">
        <v>365</v>
      </c>
      <c r="DC165" s="22" t="s">
        <v>397</v>
      </c>
      <c r="DD165" s="22" t="s">
        <v>397</v>
      </c>
      <c r="DE165" s="22" t="s">
        <v>397</v>
      </c>
      <c r="DF165" s="22" t="s">
        <v>397</v>
      </c>
      <c r="DG165" s="22" t="s">
        <v>365</v>
      </c>
      <c r="DH165" s="22" t="s">
        <v>397</v>
      </c>
      <c r="DI165" s="22" t="s">
        <v>397</v>
      </c>
      <c r="DJ165" s="22" t="s">
        <v>1094</v>
      </c>
      <c r="DK165" s="22" t="s">
        <v>367</v>
      </c>
      <c r="DL165" s="22" t="s">
        <v>368</v>
      </c>
      <c r="DM165" s="22" t="s">
        <v>368</v>
      </c>
      <c r="DN165" s="22" t="s">
        <v>368</v>
      </c>
      <c r="DO165" s="22" t="s">
        <v>368</v>
      </c>
      <c r="DP165" s="22" t="s">
        <v>344</v>
      </c>
      <c r="DQ165" s="22" t="s">
        <v>345</v>
      </c>
      <c r="DR165" s="22" t="s">
        <v>344</v>
      </c>
      <c r="DS165" s="22" t="s">
        <v>344</v>
      </c>
      <c r="DT165" s="22" t="s">
        <v>368</v>
      </c>
      <c r="DU165" s="22" t="s">
        <v>368</v>
      </c>
      <c r="DV165" s="22" t="s">
        <v>368</v>
      </c>
      <c r="DW165" s="22" t="s">
        <v>345</v>
      </c>
      <c r="DX165" s="22" t="s">
        <v>369</v>
      </c>
      <c r="DY165" s="22" t="s">
        <v>370</v>
      </c>
      <c r="DZ165" s="22" t="s">
        <v>369</v>
      </c>
      <c r="EA165" s="22" t="s">
        <v>369</v>
      </c>
      <c r="EB165" s="22" t="s">
        <v>371</v>
      </c>
      <c r="EC165" s="22" t="s">
        <v>369</v>
      </c>
      <c r="ED165" s="22" t="s">
        <v>369</v>
      </c>
      <c r="EE165" s="22" t="s">
        <v>370</v>
      </c>
      <c r="EF165" s="22" t="s">
        <v>370</v>
      </c>
      <c r="EG165" s="22" t="s">
        <v>369</v>
      </c>
      <c r="EH165" s="22" t="s">
        <v>370</v>
      </c>
      <c r="EI165" s="22" t="s">
        <v>370</v>
      </c>
      <c r="EJ165" s="22" t="s">
        <v>370</v>
      </c>
      <c r="EK165" s="22" t="s">
        <v>370</v>
      </c>
      <c r="EL165" s="22" t="s">
        <v>374</v>
      </c>
      <c r="EM165" s="22" t="s">
        <v>372</v>
      </c>
      <c r="EN165" s="22" t="s">
        <v>373</v>
      </c>
      <c r="EO165" s="22"/>
      <c r="EP165" s="22"/>
      <c r="EQ165" s="22" t="s">
        <v>376</v>
      </c>
      <c r="ER165" s="22" t="s">
        <v>376</v>
      </c>
      <c r="ES165" s="22" t="s">
        <v>376</v>
      </c>
      <c r="ET165" s="22" t="s">
        <v>376</v>
      </c>
      <c r="EU165" s="22" t="s">
        <v>376</v>
      </c>
      <c r="EV165" s="22" t="s">
        <v>400</v>
      </c>
      <c r="EW165" s="22"/>
      <c r="EX165" s="22" t="s">
        <v>368</v>
      </c>
      <c r="EY165" s="22" t="s">
        <v>368</v>
      </c>
      <c r="EZ165" s="22" t="s">
        <v>368</v>
      </c>
      <c r="FA165" s="22" t="s">
        <v>345</v>
      </c>
      <c r="FB165" s="22" t="s">
        <v>381</v>
      </c>
      <c r="FC165" s="22"/>
      <c r="FD165" s="22" t="s">
        <v>381</v>
      </c>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t="s">
        <v>368</v>
      </c>
      <c r="GB165" s="22" t="s">
        <v>368</v>
      </c>
      <c r="GC165" s="22" t="s">
        <v>368</v>
      </c>
      <c r="GD165" s="22" t="s">
        <v>368</v>
      </c>
      <c r="GE165" s="22" t="s">
        <v>368</v>
      </c>
      <c r="GF165" s="22" t="s">
        <v>368</v>
      </c>
      <c r="GG165" s="22"/>
      <c r="GH165" s="22"/>
      <c r="GI165" s="22"/>
      <c r="GJ165" s="22"/>
      <c r="GK165" s="22"/>
      <c r="GL165" s="22" t="s">
        <v>344</v>
      </c>
      <c r="GM165" s="22" t="s">
        <v>344</v>
      </c>
      <c r="GN165" s="22" t="s">
        <v>344</v>
      </c>
      <c r="GO165" s="22" t="s">
        <v>344</v>
      </c>
      <c r="GP165" s="22" t="s">
        <v>344</v>
      </c>
      <c r="GQ165" s="22" t="s">
        <v>344</v>
      </c>
      <c r="GR165" s="22" t="s">
        <v>344</v>
      </c>
      <c r="GS165" s="22" t="s">
        <v>344</v>
      </c>
      <c r="GT165" s="22" t="s">
        <v>344</v>
      </c>
      <c r="GU165" s="22" t="s">
        <v>344</v>
      </c>
      <c r="GV165" s="22" t="s">
        <v>344</v>
      </c>
      <c r="GW165" s="22" t="s">
        <v>344</v>
      </c>
      <c r="GX165" s="22" t="s">
        <v>344</v>
      </c>
      <c r="GY165" s="22" t="s">
        <v>344</v>
      </c>
      <c r="GZ165" s="22" t="s">
        <v>345</v>
      </c>
      <c r="HA165" s="22"/>
      <c r="HB165" s="22" t="s">
        <v>344</v>
      </c>
      <c r="HC165" s="22"/>
      <c r="HD165" s="22" t="s">
        <v>344</v>
      </c>
      <c r="HE165" s="22"/>
      <c r="HF165" s="22" t="s">
        <v>344</v>
      </c>
      <c r="HG165" s="22"/>
      <c r="HH165" s="22" t="s">
        <v>344</v>
      </c>
      <c r="HI165" s="22"/>
      <c r="HJ165" s="22" t="s">
        <v>344</v>
      </c>
      <c r="HK165" s="22" t="s">
        <v>344</v>
      </c>
      <c r="HL165" s="22" t="s">
        <v>344</v>
      </c>
      <c r="HM165" s="22" t="s">
        <v>344</v>
      </c>
      <c r="HN165" s="22" t="s">
        <v>344</v>
      </c>
      <c r="HO165" s="22" t="s">
        <v>344</v>
      </c>
      <c r="HP165" s="22" t="s">
        <v>344</v>
      </c>
      <c r="HQ165" s="22" t="s">
        <v>344</v>
      </c>
      <c r="HR165" s="22" t="s">
        <v>344</v>
      </c>
      <c r="HS165" s="22" t="s">
        <v>344</v>
      </c>
      <c r="HT165" s="22" t="s">
        <v>344</v>
      </c>
      <c r="HU165" s="22" t="s">
        <v>344</v>
      </c>
      <c r="HV165" s="22" t="s">
        <v>344</v>
      </c>
      <c r="HW165" s="22" t="s">
        <v>344</v>
      </c>
      <c r="HX165" s="22" t="s">
        <v>345</v>
      </c>
      <c r="HY165" s="22"/>
      <c r="HZ165" s="22" t="s">
        <v>344</v>
      </c>
      <c r="IA165" s="22"/>
      <c r="IB165" s="22" t="s">
        <v>344</v>
      </c>
      <c r="IC165" s="22"/>
      <c r="ID165" s="22" t="s">
        <v>344</v>
      </c>
      <c r="IE165" s="22"/>
      <c r="IF165" s="22" t="s">
        <v>344</v>
      </c>
      <c r="IG165" s="22"/>
      <c r="IH165" s="22" t="s">
        <v>345</v>
      </c>
      <c r="II165" s="22" t="s">
        <v>345</v>
      </c>
      <c r="IJ165" s="22" t="s">
        <v>344</v>
      </c>
      <c r="IK165" s="22" t="s">
        <v>344</v>
      </c>
      <c r="IL165" s="22" t="s">
        <v>345</v>
      </c>
      <c r="IM165" s="22" t="s">
        <v>345</v>
      </c>
      <c r="IN165" s="22" t="s">
        <v>344</v>
      </c>
      <c r="IO165" s="22" t="s">
        <v>345</v>
      </c>
      <c r="IP165" s="22" t="s">
        <v>344</v>
      </c>
      <c r="IQ165" s="22" t="s">
        <v>344</v>
      </c>
      <c r="IR165" s="22" t="s">
        <v>344</v>
      </c>
      <c r="IS165" s="22" t="s">
        <v>344</v>
      </c>
      <c r="IT165" s="22"/>
      <c r="IU165" s="22"/>
      <c r="IV165" s="22"/>
      <c r="IW165" s="22"/>
      <c r="IX165" s="22"/>
      <c r="IY165" s="22"/>
      <c r="IZ165" s="22"/>
      <c r="JA165" s="22"/>
      <c r="JB165" s="22"/>
      <c r="JC165" s="22"/>
      <c r="JD165" s="22"/>
      <c r="JE165" s="22"/>
      <c r="JF165" s="22"/>
      <c r="JG165" s="22"/>
      <c r="JH165" s="22"/>
    </row>
    <row r="166" spans="1:268" x14ac:dyDescent="0.3">
      <c r="A166" s="22" t="s">
        <v>813</v>
      </c>
      <c r="B166" s="22">
        <v>272</v>
      </c>
      <c r="C166" s="22" t="s">
        <v>1095</v>
      </c>
      <c r="D166" s="22">
        <v>14</v>
      </c>
      <c r="E166" s="22" t="s">
        <v>387</v>
      </c>
      <c r="F166" s="22">
        <v>148821895</v>
      </c>
      <c r="G166" s="22" t="s">
        <v>1093</v>
      </c>
      <c r="H166" s="22" t="s">
        <v>1095</v>
      </c>
      <c r="I166" s="22" t="s">
        <v>1035</v>
      </c>
      <c r="J166" s="22">
        <v>17</v>
      </c>
      <c r="K166" s="22" t="s">
        <v>406</v>
      </c>
      <c r="L166" s="22"/>
      <c r="M166" s="22" t="s">
        <v>344</v>
      </c>
      <c r="N166" s="22" t="s">
        <v>345</v>
      </c>
      <c r="O166" s="22" t="s">
        <v>344</v>
      </c>
      <c r="P166" s="22" t="s">
        <v>344</v>
      </c>
      <c r="Q166" s="22" t="s">
        <v>344</v>
      </c>
      <c r="R166" s="22"/>
      <c r="S166" s="22" t="s">
        <v>522</v>
      </c>
      <c r="T166" s="22"/>
      <c r="U166" s="22" t="s">
        <v>347</v>
      </c>
      <c r="V166" s="22"/>
      <c r="W166" s="22" t="s">
        <v>344</v>
      </c>
      <c r="X166" s="22" t="s">
        <v>344</v>
      </c>
      <c r="Y166" s="22" t="s">
        <v>345</v>
      </c>
      <c r="Z166" s="22" t="s">
        <v>344</v>
      </c>
      <c r="AA166" s="22" t="s">
        <v>345</v>
      </c>
      <c r="AB166" s="22" t="s">
        <v>344</v>
      </c>
      <c r="AC166" s="22" t="s">
        <v>344</v>
      </c>
      <c r="AD166" s="22" t="s">
        <v>345</v>
      </c>
      <c r="AE166" s="22" t="s">
        <v>344</v>
      </c>
      <c r="AF166" s="22" t="s">
        <v>344</v>
      </c>
      <c r="AG166" s="22" t="s">
        <v>344</v>
      </c>
      <c r="AH166" s="22" t="s">
        <v>345</v>
      </c>
      <c r="AI166" s="22" t="s">
        <v>344</v>
      </c>
      <c r="AJ166" s="22" t="s">
        <v>344</v>
      </c>
      <c r="AK166" s="22" t="s">
        <v>344</v>
      </c>
      <c r="AL166" s="22" t="s">
        <v>345</v>
      </c>
      <c r="AM166" s="22" t="s">
        <v>344</v>
      </c>
      <c r="AN166" s="22" t="s">
        <v>344</v>
      </c>
      <c r="AO166" s="22" t="s">
        <v>344</v>
      </c>
      <c r="AP166" s="22" t="s">
        <v>344</v>
      </c>
      <c r="AQ166" s="22" t="s">
        <v>344</v>
      </c>
      <c r="AR166" s="22" t="s">
        <v>344</v>
      </c>
      <c r="AS166" s="22" t="s">
        <v>344</v>
      </c>
      <c r="AT166" s="22" t="s">
        <v>345</v>
      </c>
      <c r="AU166" s="22" t="s">
        <v>345</v>
      </c>
      <c r="AV166" s="22" t="s">
        <v>345</v>
      </c>
      <c r="AW166" s="22" t="s">
        <v>344</v>
      </c>
      <c r="AX166" s="22" t="s">
        <v>344</v>
      </c>
      <c r="AY166" s="22" t="s">
        <v>391</v>
      </c>
      <c r="AZ166" s="22" t="s">
        <v>737</v>
      </c>
      <c r="BA166" s="22" t="s">
        <v>737</v>
      </c>
      <c r="BB166" s="22" t="s">
        <v>731</v>
      </c>
      <c r="BC166" s="22" t="s">
        <v>391</v>
      </c>
      <c r="BD166" s="22" t="s">
        <v>733</v>
      </c>
      <c r="BE166" s="22" t="s">
        <v>350</v>
      </c>
      <c r="BF166" s="22" t="s">
        <v>350</v>
      </c>
      <c r="BG166" s="22" t="s">
        <v>350</v>
      </c>
      <c r="BH166" s="22" t="s">
        <v>350</v>
      </c>
      <c r="BI166" s="22" t="s">
        <v>350</v>
      </c>
      <c r="BJ166" s="22" t="s">
        <v>352</v>
      </c>
      <c r="BK166" s="22" t="s">
        <v>356</v>
      </c>
      <c r="BL166" s="22" t="s">
        <v>391</v>
      </c>
      <c r="BM166" s="22" t="s">
        <v>357</v>
      </c>
      <c r="BN166" s="22" t="s">
        <v>355</v>
      </c>
      <c r="BO166" s="22" t="s">
        <v>356</v>
      </c>
      <c r="BP166" s="22" t="s">
        <v>357</v>
      </c>
      <c r="BQ166" s="22" t="s">
        <v>358</v>
      </c>
      <c r="BR166" s="22" t="s">
        <v>429</v>
      </c>
      <c r="BS166" s="22" t="s">
        <v>391</v>
      </c>
      <c r="BT166" s="22" t="s">
        <v>391</v>
      </c>
      <c r="BU166" s="22" t="s">
        <v>391</v>
      </c>
      <c r="BV166" s="22" t="s">
        <v>352</v>
      </c>
      <c r="BW166" s="22" t="s">
        <v>391</v>
      </c>
      <c r="BX166" s="22" t="s">
        <v>351</v>
      </c>
      <c r="BY166" s="22" t="s">
        <v>391</v>
      </c>
      <c r="BZ166" s="22" t="s">
        <v>391</v>
      </c>
      <c r="CA166" s="22" t="s">
        <v>391</v>
      </c>
      <c r="CB166" s="22" t="s">
        <v>357</v>
      </c>
      <c r="CC166" s="22" t="s">
        <v>353</v>
      </c>
      <c r="CD166" s="22" t="s">
        <v>391</v>
      </c>
      <c r="CE166" s="22" t="s">
        <v>391</v>
      </c>
      <c r="CF166" s="22" t="s">
        <v>391</v>
      </c>
      <c r="CG166" s="22" t="s">
        <v>393</v>
      </c>
      <c r="CH166" s="22" t="s">
        <v>392</v>
      </c>
      <c r="CI166" s="22" t="s">
        <v>420</v>
      </c>
      <c r="CJ166" s="22" t="s">
        <v>392</v>
      </c>
      <c r="CK166" s="22" t="s">
        <v>1096</v>
      </c>
      <c r="CL166" s="22" t="s">
        <v>344</v>
      </c>
      <c r="CM166" s="22" t="s">
        <v>344</v>
      </c>
      <c r="CN166" s="22" t="s">
        <v>345</v>
      </c>
      <c r="CO166" s="22" t="s">
        <v>345</v>
      </c>
      <c r="CP166" s="22" t="s">
        <v>345</v>
      </c>
      <c r="CQ166" s="22" t="s">
        <v>345</v>
      </c>
      <c r="CR166" s="22" t="s">
        <v>667</v>
      </c>
      <c r="CS166" s="22">
        <v>72</v>
      </c>
      <c r="CT166" s="22">
        <v>26</v>
      </c>
      <c r="CU166" s="22">
        <v>57</v>
      </c>
      <c r="CV166" s="22">
        <v>2</v>
      </c>
      <c r="CW166" s="22" t="s">
        <v>364</v>
      </c>
      <c r="CX166" s="22" t="s">
        <v>395</v>
      </c>
      <c r="CY166" s="22" t="s">
        <v>471</v>
      </c>
      <c r="CZ166" s="22" t="s">
        <v>397</v>
      </c>
      <c r="DA166" s="22" t="s">
        <v>397</v>
      </c>
      <c r="DB166" s="22" t="s">
        <v>397</v>
      </c>
      <c r="DC166" s="22" t="s">
        <v>397</v>
      </c>
      <c r="DD166" s="22" t="s">
        <v>397</v>
      </c>
      <c r="DE166" s="22" t="s">
        <v>397</v>
      </c>
      <c r="DF166" s="22" t="s">
        <v>397</v>
      </c>
      <c r="DG166" s="22" t="s">
        <v>397</v>
      </c>
      <c r="DH166" s="22" t="s">
        <v>397</v>
      </c>
      <c r="DI166" s="22" t="s">
        <v>397</v>
      </c>
      <c r="DJ166" s="22"/>
      <c r="DK166" s="22" t="s">
        <v>367</v>
      </c>
      <c r="DL166" s="22" t="s">
        <v>368</v>
      </c>
      <c r="DM166" s="22" t="s">
        <v>368</v>
      </c>
      <c r="DN166" s="22" t="s">
        <v>368</v>
      </c>
      <c r="DO166" s="22" t="s">
        <v>368</v>
      </c>
      <c r="DP166" s="22" t="s">
        <v>345</v>
      </c>
      <c r="DQ166" s="22" t="s">
        <v>345</v>
      </c>
      <c r="DR166" s="22" t="s">
        <v>345</v>
      </c>
      <c r="DS166" s="22" t="s">
        <v>344</v>
      </c>
      <c r="DT166" s="22" t="s">
        <v>345</v>
      </c>
      <c r="DU166" s="22" t="s">
        <v>344</v>
      </c>
      <c r="DV166" s="22" t="s">
        <v>344</v>
      </c>
      <c r="DW166" s="22" t="s">
        <v>344</v>
      </c>
      <c r="DX166" s="22" t="s">
        <v>369</v>
      </c>
      <c r="DY166" s="22" t="s">
        <v>369</v>
      </c>
      <c r="DZ166" s="22" t="s">
        <v>369</v>
      </c>
      <c r="EA166" s="22" t="s">
        <v>369</v>
      </c>
      <c r="EB166" s="22" t="s">
        <v>369</v>
      </c>
      <c r="EC166" s="22" t="s">
        <v>369</v>
      </c>
      <c r="ED166" s="22" t="s">
        <v>369</v>
      </c>
      <c r="EE166" s="22" t="s">
        <v>370</v>
      </c>
      <c r="EF166" s="22" t="s">
        <v>370</v>
      </c>
      <c r="EG166" s="22" t="s">
        <v>369</v>
      </c>
      <c r="EH166" s="22" t="s">
        <v>370</v>
      </c>
      <c r="EI166" s="22" t="s">
        <v>370</v>
      </c>
      <c r="EJ166" s="22" t="s">
        <v>370</v>
      </c>
      <c r="EK166" s="22" t="s">
        <v>370</v>
      </c>
      <c r="EL166" s="22" t="s">
        <v>372</v>
      </c>
      <c r="EM166" s="22" t="s">
        <v>440</v>
      </c>
      <c r="EN166" s="22" t="s">
        <v>424</v>
      </c>
      <c r="EO166" s="22"/>
      <c r="EP166" s="22"/>
      <c r="EQ166" s="22" t="s">
        <v>391</v>
      </c>
      <c r="ER166" s="22" t="s">
        <v>375</v>
      </c>
      <c r="ES166" s="22" t="s">
        <v>375</v>
      </c>
      <c r="ET166" s="22" t="s">
        <v>391</v>
      </c>
      <c r="EU166" s="22" t="s">
        <v>378</v>
      </c>
      <c r="EV166" s="22" t="s">
        <v>400</v>
      </c>
      <c r="EW166" s="22"/>
      <c r="EX166" s="22" t="s">
        <v>368</v>
      </c>
      <c r="EY166" s="22" t="s">
        <v>368</v>
      </c>
      <c r="EZ166" s="22" t="s">
        <v>368</v>
      </c>
      <c r="FA166" s="22" t="s">
        <v>345</v>
      </c>
      <c r="FB166" s="22" t="s">
        <v>401</v>
      </c>
      <c r="FC166" s="22"/>
      <c r="FD166" s="22" t="s">
        <v>401</v>
      </c>
      <c r="FE166" s="22"/>
      <c r="FF166" s="22" t="s">
        <v>412</v>
      </c>
      <c r="FG166" s="22" t="s">
        <v>413</v>
      </c>
      <c r="FH166" s="22" t="s">
        <v>384</v>
      </c>
      <c r="FI166" s="22" t="s">
        <v>385</v>
      </c>
      <c r="FJ166" s="22"/>
      <c r="FK166" s="22"/>
      <c r="FL166" s="22"/>
      <c r="FM166" s="22"/>
      <c r="FN166" s="22"/>
      <c r="FO166" s="22"/>
      <c r="FP166" s="22"/>
      <c r="FQ166" s="22"/>
      <c r="FR166" s="22"/>
      <c r="FS166" s="22"/>
      <c r="FT166" s="22"/>
      <c r="FU166" s="22"/>
      <c r="FV166" s="22"/>
      <c r="FW166" s="22"/>
      <c r="FX166" s="22"/>
      <c r="FY166" s="22"/>
      <c r="FZ166" s="22"/>
      <c r="GA166" s="22" t="s">
        <v>368</v>
      </c>
      <c r="GB166" s="22" t="s">
        <v>368</v>
      </c>
      <c r="GC166" s="22" t="s">
        <v>368</v>
      </c>
      <c r="GD166" s="22" t="s">
        <v>368</v>
      </c>
      <c r="GE166" s="22" t="s">
        <v>368</v>
      </c>
      <c r="GF166" s="22" t="s">
        <v>368</v>
      </c>
      <c r="GG166" s="22"/>
      <c r="GH166" s="22"/>
      <c r="GI166" s="22"/>
      <c r="GJ166" s="22"/>
      <c r="GK166" s="22"/>
      <c r="GL166" s="22" t="s">
        <v>344</v>
      </c>
      <c r="GM166" s="22" t="s">
        <v>344</v>
      </c>
      <c r="GN166" s="22" t="s">
        <v>344</v>
      </c>
      <c r="GO166" s="22" t="s">
        <v>344</v>
      </c>
      <c r="GP166" s="22" t="s">
        <v>344</v>
      </c>
      <c r="GQ166" s="22" t="s">
        <v>344</v>
      </c>
      <c r="GR166" s="22" t="s">
        <v>344</v>
      </c>
      <c r="GS166" s="22" t="s">
        <v>344</v>
      </c>
      <c r="GT166" s="22" t="s">
        <v>344</v>
      </c>
      <c r="GU166" s="22" t="s">
        <v>344</v>
      </c>
      <c r="GV166" s="22" t="s">
        <v>344</v>
      </c>
      <c r="GW166" s="22" t="s">
        <v>344</v>
      </c>
      <c r="GX166" s="22" t="s">
        <v>344</v>
      </c>
      <c r="GY166" s="22" t="s">
        <v>344</v>
      </c>
      <c r="GZ166" s="22" t="s">
        <v>345</v>
      </c>
      <c r="HA166" s="22"/>
      <c r="HB166" s="22" t="s">
        <v>344</v>
      </c>
      <c r="HC166" s="22"/>
      <c r="HD166" s="22" t="s">
        <v>344</v>
      </c>
      <c r="HE166" s="22"/>
      <c r="HF166" s="22" t="s">
        <v>344</v>
      </c>
      <c r="HG166" s="22"/>
      <c r="HH166" s="22" t="s">
        <v>344</v>
      </c>
      <c r="HI166" s="22"/>
      <c r="HJ166" s="22" t="s">
        <v>344</v>
      </c>
      <c r="HK166" s="22" t="s">
        <v>344</v>
      </c>
      <c r="HL166" s="22" t="s">
        <v>344</v>
      </c>
      <c r="HM166" s="22" t="s">
        <v>344</v>
      </c>
      <c r="HN166" s="22" t="s">
        <v>344</v>
      </c>
      <c r="HO166" s="22" t="s">
        <v>344</v>
      </c>
      <c r="HP166" s="22" t="s">
        <v>344</v>
      </c>
      <c r="HQ166" s="22" t="s">
        <v>344</v>
      </c>
      <c r="HR166" s="22" t="s">
        <v>344</v>
      </c>
      <c r="HS166" s="22" t="s">
        <v>344</v>
      </c>
      <c r="HT166" s="22" t="s">
        <v>344</v>
      </c>
      <c r="HU166" s="22" t="s">
        <v>344</v>
      </c>
      <c r="HV166" s="22" t="s">
        <v>344</v>
      </c>
      <c r="HW166" s="22" t="s">
        <v>344</v>
      </c>
      <c r="HX166" s="22" t="s">
        <v>345</v>
      </c>
      <c r="HY166" s="22"/>
      <c r="HZ166" s="22" t="s">
        <v>344</v>
      </c>
      <c r="IA166" s="22"/>
      <c r="IB166" s="22" t="s">
        <v>344</v>
      </c>
      <c r="IC166" s="22"/>
      <c r="ID166" s="22" t="s">
        <v>344</v>
      </c>
      <c r="IE166" s="22"/>
      <c r="IF166" s="22" t="s">
        <v>344</v>
      </c>
      <c r="IG166" s="22"/>
      <c r="IH166" s="22" t="s">
        <v>345</v>
      </c>
      <c r="II166" s="22" t="s">
        <v>345</v>
      </c>
      <c r="IJ166" s="22" t="s">
        <v>344</v>
      </c>
      <c r="IK166" s="22" t="s">
        <v>344</v>
      </c>
      <c r="IL166" s="22" t="s">
        <v>345</v>
      </c>
      <c r="IM166" s="22" t="s">
        <v>345</v>
      </c>
      <c r="IN166" s="22" t="s">
        <v>344</v>
      </c>
      <c r="IO166" s="22" t="s">
        <v>345</v>
      </c>
      <c r="IP166" s="22" t="s">
        <v>344</v>
      </c>
      <c r="IQ166" s="22" t="s">
        <v>344</v>
      </c>
      <c r="IR166" s="22" t="s">
        <v>345</v>
      </c>
      <c r="IS166" s="22" t="s">
        <v>344</v>
      </c>
      <c r="IT166" s="22"/>
      <c r="IU166" s="22"/>
      <c r="IV166" s="22"/>
      <c r="IW166" s="22"/>
      <c r="IX166" s="22"/>
      <c r="IY166" s="22"/>
      <c r="IZ166" s="22"/>
      <c r="JA166" s="22"/>
      <c r="JB166" s="22"/>
      <c r="JC166" s="22"/>
      <c r="JD166" s="22"/>
      <c r="JE166" s="22"/>
      <c r="JF166" s="22"/>
      <c r="JG166" s="22"/>
      <c r="JH166" s="22"/>
    </row>
    <row r="167" spans="1:268" x14ac:dyDescent="0.3">
      <c r="A167" s="22" t="s">
        <v>813</v>
      </c>
      <c r="B167" s="22">
        <v>273</v>
      </c>
      <c r="C167" s="22" t="s">
        <v>1097</v>
      </c>
      <c r="D167" s="22">
        <v>14</v>
      </c>
      <c r="E167" s="22" t="s">
        <v>387</v>
      </c>
      <c r="F167" s="22">
        <v>421855781</v>
      </c>
      <c r="G167" s="22" t="s">
        <v>1098</v>
      </c>
      <c r="H167" s="22" t="s">
        <v>1097</v>
      </c>
      <c r="I167" s="22" t="s">
        <v>1035</v>
      </c>
      <c r="J167" s="22">
        <v>17</v>
      </c>
      <c r="K167" s="22" t="s">
        <v>389</v>
      </c>
      <c r="L167" s="22"/>
      <c r="M167" s="22" t="s">
        <v>345</v>
      </c>
      <c r="N167" s="22" t="s">
        <v>345</v>
      </c>
      <c r="O167" s="22" t="s">
        <v>344</v>
      </c>
      <c r="P167" s="22" t="s">
        <v>344</v>
      </c>
      <c r="Q167" s="22" t="s">
        <v>344</v>
      </c>
      <c r="R167" s="22"/>
      <c r="S167" s="22" t="s">
        <v>522</v>
      </c>
      <c r="T167" s="22"/>
      <c r="U167" s="22" t="s">
        <v>428</v>
      </c>
      <c r="V167" s="22"/>
      <c r="W167" s="22" t="s">
        <v>368</v>
      </c>
      <c r="X167" s="22" t="s">
        <v>368</v>
      </c>
      <c r="Y167" s="22" t="s">
        <v>368</v>
      </c>
      <c r="Z167" s="22" t="s">
        <v>368</v>
      </c>
      <c r="AA167" s="22" t="s">
        <v>368</v>
      </c>
      <c r="AB167" s="22" t="s">
        <v>368</v>
      </c>
      <c r="AC167" s="22" t="s">
        <v>345</v>
      </c>
      <c r="AD167" s="22" t="s">
        <v>368</v>
      </c>
      <c r="AE167" s="22" t="s">
        <v>368</v>
      </c>
      <c r="AF167" s="22" t="s">
        <v>368</v>
      </c>
      <c r="AG167" s="22" t="s">
        <v>368</v>
      </c>
      <c r="AH167" s="22" t="s">
        <v>368</v>
      </c>
      <c r="AI167" s="22" t="s">
        <v>368</v>
      </c>
      <c r="AJ167" s="22" t="s">
        <v>345</v>
      </c>
      <c r="AK167" s="22" t="s">
        <v>344</v>
      </c>
      <c r="AL167" s="22" t="s">
        <v>345</v>
      </c>
      <c r="AM167" s="22" t="s">
        <v>345</v>
      </c>
      <c r="AN167" s="22" t="s">
        <v>344</v>
      </c>
      <c r="AO167" s="22" t="s">
        <v>344</v>
      </c>
      <c r="AP167" s="22" t="s">
        <v>344</v>
      </c>
      <c r="AQ167" s="22" t="s">
        <v>344</v>
      </c>
      <c r="AR167" s="22" t="s">
        <v>344</v>
      </c>
      <c r="AS167" s="22" t="s">
        <v>344</v>
      </c>
      <c r="AT167" s="22" t="s">
        <v>345</v>
      </c>
      <c r="AU167" s="22" t="s">
        <v>345</v>
      </c>
      <c r="AV167" s="22" t="s">
        <v>344</v>
      </c>
      <c r="AW167" s="22" t="s">
        <v>344</v>
      </c>
      <c r="AX167" s="22" t="s">
        <v>344</v>
      </c>
      <c r="AY167" s="22"/>
      <c r="AZ167" s="22"/>
      <c r="BA167" s="22"/>
      <c r="BB167" s="22"/>
      <c r="BC167" s="22"/>
      <c r="BD167" s="22"/>
      <c r="BE167" s="22" t="s">
        <v>390</v>
      </c>
      <c r="BF167" s="22" t="s">
        <v>390</v>
      </c>
      <c r="BG167" s="22" t="s">
        <v>390</v>
      </c>
      <c r="BH167" s="22" t="s">
        <v>390</v>
      </c>
      <c r="BI167" s="22" t="s">
        <v>390</v>
      </c>
      <c r="BJ167" s="22" t="s">
        <v>391</v>
      </c>
      <c r="BK167" s="22" t="s">
        <v>391</v>
      </c>
      <c r="BL167" s="22" t="s">
        <v>391</v>
      </c>
      <c r="BM167" s="22" t="s">
        <v>391</v>
      </c>
      <c r="BN167" s="22" t="s">
        <v>391</v>
      </c>
      <c r="BO167" s="22" t="s">
        <v>391</v>
      </c>
      <c r="BP167" s="22" t="s">
        <v>391</v>
      </c>
      <c r="BQ167" s="22" t="s">
        <v>358</v>
      </c>
      <c r="BR167" s="22" t="s">
        <v>429</v>
      </c>
      <c r="BS167" s="22" t="s">
        <v>391</v>
      </c>
      <c r="BT167" s="22" t="s">
        <v>391</v>
      </c>
      <c r="BU167" s="22" t="s">
        <v>391</v>
      </c>
      <c r="BV167" s="22" t="s">
        <v>391</v>
      </c>
      <c r="BW167" s="22" t="s">
        <v>391</v>
      </c>
      <c r="BX167" s="22" t="s">
        <v>391</v>
      </c>
      <c r="BY167" s="22" t="s">
        <v>391</v>
      </c>
      <c r="BZ167" s="22" t="s">
        <v>391</v>
      </c>
      <c r="CA167" s="22" t="s">
        <v>391</v>
      </c>
      <c r="CB167" s="22" t="s">
        <v>391</v>
      </c>
      <c r="CC167" s="22" t="s">
        <v>391</v>
      </c>
      <c r="CD167" s="22" t="s">
        <v>391</v>
      </c>
      <c r="CE167" s="22" t="s">
        <v>391</v>
      </c>
      <c r="CF167" s="22" t="s">
        <v>391</v>
      </c>
      <c r="CG167" s="22" t="s">
        <v>420</v>
      </c>
      <c r="CH167" s="22" t="s">
        <v>421</v>
      </c>
      <c r="CI167" s="22" t="s">
        <v>420</v>
      </c>
      <c r="CJ167" s="22" t="s">
        <v>421</v>
      </c>
      <c r="CK167" s="22"/>
      <c r="CL167" s="22" t="s">
        <v>344</v>
      </c>
      <c r="CM167" s="22" t="s">
        <v>344</v>
      </c>
      <c r="CN167" s="22" t="s">
        <v>344</v>
      </c>
      <c r="CO167" s="22" t="s">
        <v>345</v>
      </c>
      <c r="CP167" s="22" t="s">
        <v>345</v>
      </c>
      <c r="CQ167" s="22" t="s">
        <v>344</v>
      </c>
      <c r="CR167" s="22" t="s">
        <v>655</v>
      </c>
      <c r="CS167" s="22">
        <v>27</v>
      </c>
      <c r="CT167" s="22">
        <v>75</v>
      </c>
      <c r="CU167" s="22">
        <v>75</v>
      </c>
      <c r="CV167" s="22">
        <v>75</v>
      </c>
      <c r="CW167" s="22" t="s">
        <v>396</v>
      </c>
      <c r="CX167" s="22" t="s">
        <v>396</v>
      </c>
      <c r="CY167" s="22" t="s">
        <v>396</v>
      </c>
      <c r="CZ167" s="22" t="s">
        <v>397</v>
      </c>
      <c r="DA167" s="22" t="s">
        <v>397</v>
      </c>
      <c r="DB167" s="22" t="s">
        <v>397</v>
      </c>
      <c r="DC167" s="22" t="s">
        <v>397</v>
      </c>
      <c r="DD167" s="22" t="s">
        <v>397</v>
      </c>
      <c r="DE167" s="22" t="s">
        <v>397</v>
      </c>
      <c r="DF167" s="22" t="s">
        <v>397</v>
      </c>
      <c r="DG167" s="22" t="s">
        <v>397</v>
      </c>
      <c r="DH167" s="22" t="s">
        <v>397</v>
      </c>
      <c r="DI167" s="22" t="s">
        <v>397</v>
      </c>
      <c r="DJ167" s="22"/>
      <c r="DK167" s="22" t="s">
        <v>367</v>
      </c>
      <c r="DL167" s="22" t="s">
        <v>368</v>
      </c>
      <c r="DM167" s="22" t="s">
        <v>368</v>
      </c>
      <c r="DN167" s="22" t="s">
        <v>368</v>
      </c>
      <c r="DO167" s="22" t="s">
        <v>368</v>
      </c>
      <c r="DP167" s="22" t="s">
        <v>368</v>
      </c>
      <c r="DQ167" s="22" t="s">
        <v>368</v>
      </c>
      <c r="DR167" s="22" t="s">
        <v>368</v>
      </c>
      <c r="DS167" s="22" t="s">
        <v>345</v>
      </c>
      <c r="DT167" s="22" t="s">
        <v>368</v>
      </c>
      <c r="DU167" s="22" t="s">
        <v>368</v>
      </c>
      <c r="DV167" s="22" t="s">
        <v>368</v>
      </c>
      <c r="DW167" s="22" t="s">
        <v>345</v>
      </c>
      <c r="DX167" s="22" t="s">
        <v>369</v>
      </c>
      <c r="DY167" s="22" t="s">
        <v>369</v>
      </c>
      <c r="DZ167" s="22" t="s">
        <v>370</v>
      </c>
      <c r="EA167" s="22" t="s">
        <v>369</v>
      </c>
      <c r="EB167" s="22" t="s">
        <v>369</v>
      </c>
      <c r="EC167" s="22" t="s">
        <v>369</v>
      </c>
      <c r="ED167" s="22" t="s">
        <v>369</v>
      </c>
      <c r="EE167" s="22" t="s">
        <v>370</v>
      </c>
      <c r="EF167" s="22" t="s">
        <v>370</v>
      </c>
      <c r="EG167" s="22" t="s">
        <v>370</v>
      </c>
      <c r="EH167" s="22" t="s">
        <v>370</v>
      </c>
      <c r="EI167" s="22" t="s">
        <v>370</v>
      </c>
      <c r="EJ167" s="22" t="s">
        <v>370</v>
      </c>
      <c r="EK167" s="22" t="s">
        <v>370</v>
      </c>
      <c r="EL167" s="22" t="s">
        <v>373</v>
      </c>
      <c r="EM167" s="22" t="s">
        <v>374</v>
      </c>
      <c r="EN167" s="22" t="s">
        <v>424</v>
      </c>
      <c r="EO167" s="22"/>
      <c r="EP167" s="22"/>
      <c r="EQ167" s="22" t="s">
        <v>376</v>
      </c>
      <c r="ER167" s="22" t="s">
        <v>376</v>
      </c>
      <c r="ES167" s="22" t="s">
        <v>391</v>
      </c>
      <c r="ET167" s="22" t="s">
        <v>391</v>
      </c>
      <c r="EU167" s="22" t="s">
        <v>391</v>
      </c>
      <c r="EV167" s="22" t="s">
        <v>400</v>
      </c>
      <c r="EW167" s="22"/>
      <c r="EX167" s="22" t="s">
        <v>368</v>
      </c>
      <c r="EY167" s="22" t="s">
        <v>368</v>
      </c>
      <c r="EZ167" s="22" t="s">
        <v>368</v>
      </c>
      <c r="FA167" s="22" t="s">
        <v>345</v>
      </c>
      <c r="FB167" s="22" t="s">
        <v>401</v>
      </c>
      <c r="FC167" s="22"/>
      <c r="FD167" s="22" t="s">
        <v>401</v>
      </c>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t="s">
        <v>368</v>
      </c>
      <c r="GB167" s="22" t="s">
        <v>368</v>
      </c>
      <c r="GC167" s="22" t="s">
        <v>368</v>
      </c>
      <c r="GD167" s="22" t="s">
        <v>368</v>
      </c>
      <c r="GE167" s="22" t="s">
        <v>368</v>
      </c>
      <c r="GF167" s="22" t="s">
        <v>368</v>
      </c>
      <c r="GG167" s="22"/>
      <c r="GH167" s="22"/>
      <c r="GI167" s="22"/>
      <c r="GJ167" s="22"/>
      <c r="GK167" s="22"/>
      <c r="GL167" s="22" t="s">
        <v>344</v>
      </c>
      <c r="GM167" s="22" t="s">
        <v>344</v>
      </c>
      <c r="GN167" s="22" t="s">
        <v>344</v>
      </c>
      <c r="GO167" s="22" t="s">
        <v>344</v>
      </c>
      <c r="GP167" s="22" t="s">
        <v>344</v>
      </c>
      <c r="GQ167" s="22" t="s">
        <v>344</v>
      </c>
      <c r="GR167" s="22" t="s">
        <v>344</v>
      </c>
      <c r="GS167" s="22" t="s">
        <v>344</v>
      </c>
      <c r="GT167" s="22" t="s">
        <v>344</v>
      </c>
      <c r="GU167" s="22" t="s">
        <v>344</v>
      </c>
      <c r="GV167" s="22" t="s">
        <v>344</v>
      </c>
      <c r="GW167" s="22" t="s">
        <v>344</v>
      </c>
      <c r="GX167" s="22" t="s">
        <v>344</v>
      </c>
      <c r="GY167" s="22" t="s">
        <v>344</v>
      </c>
      <c r="GZ167" s="22" t="s">
        <v>345</v>
      </c>
      <c r="HA167" s="22"/>
      <c r="HB167" s="22" t="s">
        <v>344</v>
      </c>
      <c r="HC167" s="22"/>
      <c r="HD167" s="22" t="s">
        <v>344</v>
      </c>
      <c r="HE167" s="22"/>
      <c r="HF167" s="22" t="s">
        <v>344</v>
      </c>
      <c r="HG167" s="22"/>
      <c r="HH167" s="22" t="s">
        <v>344</v>
      </c>
      <c r="HI167" s="22"/>
      <c r="HJ167" s="22" t="s">
        <v>344</v>
      </c>
      <c r="HK167" s="22" t="s">
        <v>344</v>
      </c>
      <c r="HL167" s="22" t="s">
        <v>344</v>
      </c>
      <c r="HM167" s="22" t="s">
        <v>344</v>
      </c>
      <c r="HN167" s="22" t="s">
        <v>344</v>
      </c>
      <c r="HO167" s="22" t="s">
        <v>344</v>
      </c>
      <c r="HP167" s="22" t="s">
        <v>344</v>
      </c>
      <c r="HQ167" s="22" t="s">
        <v>344</v>
      </c>
      <c r="HR167" s="22" t="s">
        <v>344</v>
      </c>
      <c r="HS167" s="22" t="s">
        <v>344</v>
      </c>
      <c r="HT167" s="22" t="s">
        <v>344</v>
      </c>
      <c r="HU167" s="22" t="s">
        <v>344</v>
      </c>
      <c r="HV167" s="22" t="s">
        <v>344</v>
      </c>
      <c r="HW167" s="22" t="s">
        <v>344</v>
      </c>
      <c r="HX167" s="22" t="s">
        <v>345</v>
      </c>
      <c r="HY167" s="22"/>
      <c r="HZ167" s="22" t="s">
        <v>344</v>
      </c>
      <c r="IA167" s="22"/>
      <c r="IB167" s="22" t="s">
        <v>344</v>
      </c>
      <c r="IC167" s="22"/>
      <c r="ID167" s="22" t="s">
        <v>344</v>
      </c>
      <c r="IE167" s="22"/>
      <c r="IF167" s="22" t="s">
        <v>344</v>
      </c>
      <c r="IG167" s="22"/>
      <c r="IH167" s="22" t="s">
        <v>345</v>
      </c>
      <c r="II167" s="22" t="s">
        <v>345</v>
      </c>
      <c r="IJ167" s="22" t="s">
        <v>344</v>
      </c>
      <c r="IK167" s="22" t="s">
        <v>344</v>
      </c>
      <c r="IL167" s="22" t="s">
        <v>345</v>
      </c>
      <c r="IM167" s="22" t="s">
        <v>345</v>
      </c>
      <c r="IN167" s="22" t="s">
        <v>344</v>
      </c>
      <c r="IO167" s="22" t="s">
        <v>345</v>
      </c>
      <c r="IP167" s="22" t="s">
        <v>344</v>
      </c>
      <c r="IQ167" s="22" t="s">
        <v>344</v>
      </c>
      <c r="IR167" s="22" t="s">
        <v>344</v>
      </c>
      <c r="IS167" s="22" t="s">
        <v>344</v>
      </c>
      <c r="IT167" s="22"/>
      <c r="IU167" s="22"/>
      <c r="IV167" s="22"/>
      <c r="IW167" s="22"/>
      <c r="IX167" s="22"/>
      <c r="IY167" s="22"/>
      <c r="IZ167" s="22"/>
      <c r="JA167" s="22"/>
      <c r="JB167" s="22"/>
      <c r="JC167" s="22"/>
      <c r="JD167" s="22"/>
      <c r="JE167" s="22"/>
      <c r="JF167" s="22"/>
      <c r="JG167" s="22"/>
      <c r="JH167" s="22"/>
    </row>
    <row r="168" spans="1:268" x14ac:dyDescent="0.3">
      <c r="A168" s="22" t="s">
        <v>813</v>
      </c>
      <c r="B168" s="22">
        <v>274</v>
      </c>
      <c r="C168" s="22" t="s">
        <v>1099</v>
      </c>
      <c r="D168" s="22">
        <v>14</v>
      </c>
      <c r="E168" s="22" t="s">
        <v>340</v>
      </c>
      <c r="F168" s="22">
        <v>14701692</v>
      </c>
      <c r="G168" s="22" t="s">
        <v>1100</v>
      </c>
      <c r="H168" s="22" t="s">
        <v>1099</v>
      </c>
      <c r="I168" s="22" t="s">
        <v>1062</v>
      </c>
      <c r="J168" s="22">
        <v>18</v>
      </c>
      <c r="K168" s="22" t="s">
        <v>389</v>
      </c>
      <c r="L168" s="22"/>
      <c r="M168" s="22" t="s">
        <v>345</v>
      </c>
      <c r="N168" s="22" t="s">
        <v>345</v>
      </c>
      <c r="O168" s="22" t="s">
        <v>344</v>
      </c>
      <c r="P168" s="22" t="s">
        <v>344</v>
      </c>
      <c r="Q168" s="22" t="s">
        <v>344</v>
      </c>
      <c r="R168" s="22"/>
      <c r="S168" s="22" t="s">
        <v>522</v>
      </c>
      <c r="T168" s="22"/>
      <c r="U168" s="22" t="s">
        <v>343</v>
      </c>
      <c r="V168" s="22" t="s">
        <v>1101</v>
      </c>
      <c r="W168" s="22" t="s">
        <v>345</v>
      </c>
      <c r="X168" s="22" t="s">
        <v>344</v>
      </c>
      <c r="Y168" s="22" t="s">
        <v>344</v>
      </c>
      <c r="Z168" s="22" t="s">
        <v>344</v>
      </c>
      <c r="AA168" s="22" t="s">
        <v>344</v>
      </c>
      <c r="AB168" s="22" t="s">
        <v>344</v>
      </c>
      <c r="AC168" s="22" t="s">
        <v>344</v>
      </c>
      <c r="AD168" s="22" t="s">
        <v>344</v>
      </c>
      <c r="AE168" s="22" t="s">
        <v>345</v>
      </c>
      <c r="AF168" s="22" t="s">
        <v>344</v>
      </c>
      <c r="AG168" s="22" t="s">
        <v>344</v>
      </c>
      <c r="AH168" s="22" t="s">
        <v>344</v>
      </c>
      <c r="AI168" s="22" t="s">
        <v>344</v>
      </c>
      <c r="AJ168" s="22" t="s">
        <v>344</v>
      </c>
      <c r="AK168" s="22" t="s">
        <v>345</v>
      </c>
      <c r="AL168" s="22" t="s">
        <v>344</v>
      </c>
      <c r="AM168" s="22" t="s">
        <v>344</v>
      </c>
      <c r="AN168" s="22" t="s">
        <v>344</v>
      </c>
      <c r="AO168" s="22" t="s">
        <v>344</v>
      </c>
      <c r="AP168" s="22" t="s">
        <v>344</v>
      </c>
      <c r="AQ168" s="22" t="s">
        <v>344</v>
      </c>
      <c r="AR168" s="22" t="s">
        <v>345</v>
      </c>
      <c r="AS168" s="22" t="s">
        <v>344</v>
      </c>
      <c r="AT168" s="22" t="s">
        <v>344</v>
      </c>
      <c r="AU168" s="22" t="s">
        <v>344</v>
      </c>
      <c r="AV168" s="22" t="s">
        <v>344</v>
      </c>
      <c r="AW168" s="22" t="s">
        <v>344</v>
      </c>
      <c r="AX168" s="22" t="s">
        <v>344</v>
      </c>
      <c r="AY168" s="22" t="s">
        <v>733</v>
      </c>
      <c r="AZ168" s="22" t="s">
        <v>732</v>
      </c>
      <c r="BA168" s="22" t="s">
        <v>732</v>
      </c>
      <c r="BB168" s="22" t="s">
        <v>737</v>
      </c>
      <c r="BC168" s="22" t="s">
        <v>733</v>
      </c>
      <c r="BD168" s="22" t="s">
        <v>731</v>
      </c>
      <c r="BE168" s="22" t="s">
        <v>349</v>
      </c>
      <c r="BF168" s="22" t="s">
        <v>348</v>
      </c>
      <c r="BG168" s="22" t="s">
        <v>349</v>
      </c>
      <c r="BH168" s="22" t="s">
        <v>349</v>
      </c>
      <c r="BI168" s="22" t="s">
        <v>349</v>
      </c>
      <c r="BJ168" s="22" t="s">
        <v>355</v>
      </c>
      <c r="BK168" s="22" t="s">
        <v>354</v>
      </c>
      <c r="BL168" s="22" t="s">
        <v>357</v>
      </c>
      <c r="BM168" s="22" t="s">
        <v>351</v>
      </c>
      <c r="BN168" s="22" t="s">
        <v>351</v>
      </c>
      <c r="BO168" s="22" t="s">
        <v>354</v>
      </c>
      <c r="BP168" s="22" t="s">
        <v>391</v>
      </c>
      <c r="BQ168" s="22" t="s">
        <v>358</v>
      </c>
      <c r="BR168" s="22" t="s">
        <v>408</v>
      </c>
      <c r="BS168" s="22" t="s">
        <v>354</v>
      </c>
      <c r="BT168" s="22" t="s">
        <v>356</v>
      </c>
      <c r="BU168" s="22" t="s">
        <v>351</v>
      </c>
      <c r="BV168" s="22" t="s">
        <v>352</v>
      </c>
      <c r="BW168" s="22" t="s">
        <v>355</v>
      </c>
      <c r="BX168" s="22" t="s">
        <v>354</v>
      </c>
      <c r="BY168" s="22" t="s">
        <v>351</v>
      </c>
      <c r="BZ168" s="22" t="s">
        <v>354</v>
      </c>
      <c r="CA168" s="22" t="s">
        <v>356</v>
      </c>
      <c r="CB168" s="22" t="s">
        <v>357</v>
      </c>
      <c r="CC168" s="22" t="s">
        <v>356</v>
      </c>
      <c r="CD168" s="22" t="s">
        <v>355</v>
      </c>
      <c r="CE168" s="22" t="s">
        <v>357</v>
      </c>
      <c r="CF168" s="22" t="s">
        <v>354</v>
      </c>
      <c r="CG168" s="22" t="s">
        <v>420</v>
      </c>
      <c r="CH168" s="22" t="s">
        <v>360</v>
      </c>
      <c r="CI168" s="22" t="s">
        <v>393</v>
      </c>
      <c r="CJ168" s="22" t="s">
        <v>392</v>
      </c>
      <c r="CK168" s="22" t="s">
        <v>835</v>
      </c>
      <c r="CL168" s="22" t="s">
        <v>344</v>
      </c>
      <c r="CM168" s="22" t="s">
        <v>344</v>
      </c>
      <c r="CN168" s="22" t="s">
        <v>345</v>
      </c>
      <c r="CO168" s="22" t="s">
        <v>345</v>
      </c>
      <c r="CP168" s="22" t="s">
        <v>344</v>
      </c>
      <c r="CQ168" s="22" t="s">
        <v>344</v>
      </c>
      <c r="CR168" s="22" t="s">
        <v>667</v>
      </c>
      <c r="CS168" s="22">
        <v>19</v>
      </c>
      <c r="CT168" s="22">
        <v>79</v>
      </c>
      <c r="CU168" s="22">
        <v>37</v>
      </c>
      <c r="CV168" s="22">
        <v>1</v>
      </c>
      <c r="CW168" s="22" t="s">
        <v>395</v>
      </c>
      <c r="CX168" s="22" t="s">
        <v>396</v>
      </c>
      <c r="CY168" s="22" t="s">
        <v>396</v>
      </c>
      <c r="CZ168" s="22" t="s">
        <v>397</v>
      </c>
      <c r="DA168" s="22" t="s">
        <v>366</v>
      </c>
      <c r="DB168" s="22" t="s">
        <v>397</v>
      </c>
      <c r="DC168" s="22" t="s">
        <v>397</v>
      </c>
      <c r="DD168" s="22" t="s">
        <v>366</v>
      </c>
      <c r="DE168" s="22" t="s">
        <v>397</v>
      </c>
      <c r="DF168" s="22" t="s">
        <v>366</v>
      </c>
      <c r="DG168" s="22" t="s">
        <v>397</v>
      </c>
      <c r="DH168" s="22" t="s">
        <v>397</v>
      </c>
      <c r="DI168" s="22" t="s">
        <v>397</v>
      </c>
      <c r="DJ168" s="22" t="s">
        <v>1102</v>
      </c>
      <c r="DK168" s="22" t="s">
        <v>367</v>
      </c>
      <c r="DL168" s="22" t="s">
        <v>368</v>
      </c>
      <c r="DM168" s="22" t="s">
        <v>368</v>
      </c>
      <c r="DN168" s="22" t="s">
        <v>368</v>
      </c>
      <c r="DO168" s="22" t="s">
        <v>368</v>
      </c>
      <c r="DP168" s="22" t="s">
        <v>368</v>
      </c>
      <c r="DQ168" s="22" t="s">
        <v>368</v>
      </c>
      <c r="DR168" s="22" t="s">
        <v>368</v>
      </c>
      <c r="DS168" s="22" t="s">
        <v>345</v>
      </c>
      <c r="DT168" s="22" t="s">
        <v>368</v>
      </c>
      <c r="DU168" s="22" t="s">
        <v>368</v>
      </c>
      <c r="DV168" s="22" t="s">
        <v>368</v>
      </c>
      <c r="DW168" s="22" t="s">
        <v>345</v>
      </c>
      <c r="DX168" s="22" t="s">
        <v>369</v>
      </c>
      <c r="DY168" s="22" t="s">
        <v>371</v>
      </c>
      <c r="DZ168" s="22" t="s">
        <v>369</v>
      </c>
      <c r="EA168" s="22" t="s">
        <v>398</v>
      </c>
      <c r="EB168" s="22" t="s">
        <v>369</v>
      </c>
      <c r="EC168" s="22" t="s">
        <v>369</v>
      </c>
      <c r="ED168" s="22" t="s">
        <v>371</v>
      </c>
      <c r="EE168" s="22" t="s">
        <v>370</v>
      </c>
      <c r="EF168" s="22" t="s">
        <v>370</v>
      </c>
      <c r="EG168" s="22" t="s">
        <v>369</v>
      </c>
      <c r="EH168" s="22" t="s">
        <v>370</v>
      </c>
      <c r="EI168" s="22" t="s">
        <v>371</v>
      </c>
      <c r="EJ168" s="22" t="s">
        <v>370</v>
      </c>
      <c r="EK168" s="22" t="s">
        <v>370</v>
      </c>
      <c r="EL168" s="22" t="s">
        <v>373</v>
      </c>
      <c r="EM168" s="22" t="s">
        <v>440</v>
      </c>
      <c r="EN168" s="22" t="s">
        <v>374</v>
      </c>
      <c r="EO168" s="22"/>
      <c r="EP168" s="22"/>
      <c r="EQ168" s="22" t="s">
        <v>375</v>
      </c>
      <c r="ER168" s="22" t="s">
        <v>375</v>
      </c>
      <c r="ES168" s="22" t="s">
        <v>376</v>
      </c>
      <c r="ET168" s="22" t="s">
        <v>376</v>
      </c>
      <c r="EU168" s="22" t="s">
        <v>378</v>
      </c>
      <c r="EV168" s="22" t="s">
        <v>400</v>
      </c>
      <c r="EW168" s="22"/>
      <c r="EX168" s="167" t="s">
        <v>344</v>
      </c>
      <c r="EY168" s="167" t="s">
        <v>345</v>
      </c>
      <c r="EZ168" s="167" t="s">
        <v>344</v>
      </c>
      <c r="FA168" s="22" t="s">
        <v>344</v>
      </c>
      <c r="FB168" s="22" t="s">
        <v>381</v>
      </c>
      <c r="FC168" s="22"/>
      <c r="FD168" s="22" t="s">
        <v>401</v>
      </c>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t="s">
        <v>368</v>
      </c>
      <c r="GB168" s="22" t="s">
        <v>368</v>
      </c>
      <c r="GC168" s="22" t="s">
        <v>368</v>
      </c>
      <c r="GD168" s="22" t="s">
        <v>368</v>
      </c>
      <c r="GE168" s="22" t="s">
        <v>368</v>
      </c>
      <c r="GF168" s="22" t="s">
        <v>368</v>
      </c>
      <c r="GG168" s="22"/>
      <c r="GH168" s="22"/>
      <c r="GI168" s="22"/>
      <c r="GJ168" s="22"/>
      <c r="GK168" s="22"/>
      <c r="GL168" s="22" t="s">
        <v>344</v>
      </c>
      <c r="GM168" s="22" t="s">
        <v>344</v>
      </c>
      <c r="GN168" s="22" t="s">
        <v>344</v>
      </c>
      <c r="GO168" s="22" t="s">
        <v>344</v>
      </c>
      <c r="GP168" s="22" t="s">
        <v>344</v>
      </c>
      <c r="GQ168" s="22" t="s">
        <v>344</v>
      </c>
      <c r="GR168" s="22" t="s">
        <v>344</v>
      </c>
      <c r="GS168" s="22" t="s">
        <v>344</v>
      </c>
      <c r="GT168" s="22" t="s">
        <v>344</v>
      </c>
      <c r="GU168" s="22" t="s">
        <v>344</v>
      </c>
      <c r="GV168" s="22" t="s">
        <v>344</v>
      </c>
      <c r="GW168" s="22" t="s">
        <v>344</v>
      </c>
      <c r="GX168" s="22" t="s">
        <v>344</v>
      </c>
      <c r="GY168" s="22" t="s">
        <v>344</v>
      </c>
      <c r="GZ168" s="22" t="s">
        <v>345</v>
      </c>
      <c r="HA168" s="22"/>
      <c r="HB168" s="22" t="s">
        <v>344</v>
      </c>
      <c r="HC168" s="22"/>
      <c r="HD168" s="22" t="s">
        <v>344</v>
      </c>
      <c r="HE168" s="22"/>
      <c r="HF168" s="22" t="s">
        <v>344</v>
      </c>
      <c r="HG168" s="22"/>
      <c r="HH168" s="22" t="s">
        <v>344</v>
      </c>
      <c r="HI168" s="22"/>
      <c r="HJ168" s="22" t="s">
        <v>344</v>
      </c>
      <c r="HK168" s="22" t="s">
        <v>344</v>
      </c>
      <c r="HL168" s="22" t="s">
        <v>344</v>
      </c>
      <c r="HM168" s="22" t="s">
        <v>344</v>
      </c>
      <c r="HN168" s="22" t="s">
        <v>344</v>
      </c>
      <c r="HO168" s="22" t="s">
        <v>344</v>
      </c>
      <c r="HP168" s="22" t="s">
        <v>344</v>
      </c>
      <c r="HQ168" s="22" t="s">
        <v>344</v>
      </c>
      <c r="HR168" s="22" t="s">
        <v>344</v>
      </c>
      <c r="HS168" s="22" t="s">
        <v>344</v>
      </c>
      <c r="HT168" s="22" t="s">
        <v>344</v>
      </c>
      <c r="HU168" s="22" t="s">
        <v>344</v>
      </c>
      <c r="HV168" s="22" t="s">
        <v>344</v>
      </c>
      <c r="HW168" s="22" t="s">
        <v>344</v>
      </c>
      <c r="HX168" s="22" t="s">
        <v>345</v>
      </c>
      <c r="HY168" s="22"/>
      <c r="HZ168" s="22" t="s">
        <v>345</v>
      </c>
      <c r="IA168" s="22" t="s">
        <v>1103</v>
      </c>
      <c r="IB168" s="22" t="s">
        <v>344</v>
      </c>
      <c r="IC168" s="22"/>
      <c r="ID168" s="22" t="s">
        <v>344</v>
      </c>
      <c r="IE168" s="22"/>
      <c r="IF168" s="22" t="s">
        <v>344</v>
      </c>
      <c r="IG168" s="22"/>
      <c r="IH168" s="22" t="s">
        <v>345</v>
      </c>
      <c r="II168" s="22" t="s">
        <v>344</v>
      </c>
      <c r="IJ168" s="22" t="s">
        <v>344</v>
      </c>
      <c r="IK168" s="22" t="s">
        <v>345</v>
      </c>
      <c r="IL168" s="22" t="s">
        <v>345</v>
      </c>
      <c r="IM168" s="22" t="s">
        <v>345</v>
      </c>
      <c r="IN168" s="22" t="s">
        <v>344</v>
      </c>
      <c r="IO168" s="22" t="s">
        <v>345</v>
      </c>
      <c r="IP168" s="22" t="s">
        <v>344</v>
      </c>
      <c r="IQ168" s="22" t="s">
        <v>344</v>
      </c>
      <c r="IR168" s="22" t="s">
        <v>345</v>
      </c>
      <c r="IS168" s="22" t="s">
        <v>344</v>
      </c>
      <c r="IT168" s="22"/>
      <c r="IU168" s="22"/>
      <c r="IV168" s="22"/>
      <c r="IW168" s="22"/>
      <c r="IX168" s="22"/>
      <c r="IY168" s="22"/>
      <c r="IZ168" s="22"/>
      <c r="JA168" s="22"/>
      <c r="JB168" s="22"/>
      <c r="JC168" s="22"/>
      <c r="JD168" s="22"/>
      <c r="JE168" s="22"/>
      <c r="JF168" s="22"/>
      <c r="JG168" s="22"/>
      <c r="JH168" s="22"/>
    </row>
    <row r="169" spans="1:268" x14ac:dyDescent="0.3">
      <c r="A169" s="22" t="s">
        <v>813</v>
      </c>
      <c r="B169" s="22">
        <v>275</v>
      </c>
      <c r="C169" s="22" t="s">
        <v>1104</v>
      </c>
      <c r="D169" s="22">
        <v>14</v>
      </c>
      <c r="E169" s="22" t="s">
        <v>340</v>
      </c>
      <c r="F169" s="22">
        <v>568581020</v>
      </c>
      <c r="G169" s="22" t="s">
        <v>1105</v>
      </c>
      <c r="H169" s="22" t="s">
        <v>1104</v>
      </c>
      <c r="I169" s="22" t="s">
        <v>1062</v>
      </c>
      <c r="J169" s="22">
        <v>17</v>
      </c>
      <c r="K169" s="22" t="s">
        <v>406</v>
      </c>
      <c r="L169" s="22"/>
      <c r="M169" s="22" t="s">
        <v>344</v>
      </c>
      <c r="N169" s="22" t="s">
        <v>345</v>
      </c>
      <c r="O169" s="22" t="s">
        <v>344</v>
      </c>
      <c r="P169" s="22" t="s">
        <v>344</v>
      </c>
      <c r="Q169" s="22" t="s">
        <v>344</v>
      </c>
      <c r="R169" s="22"/>
      <c r="S169" s="22" t="s">
        <v>522</v>
      </c>
      <c r="T169" s="22"/>
      <c r="U169" s="22" t="s">
        <v>418</v>
      </c>
      <c r="V169" s="22"/>
      <c r="W169" s="22" t="s">
        <v>344</v>
      </c>
      <c r="X169" s="22" t="s">
        <v>344</v>
      </c>
      <c r="Y169" s="22" t="s">
        <v>344</v>
      </c>
      <c r="Z169" s="22" t="s">
        <v>345</v>
      </c>
      <c r="AA169" s="22" t="s">
        <v>344</v>
      </c>
      <c r="AB169" s="22" t="s">
        <v>344</v>
      </c>
      <c r="AC169" s="22" t="s">
        <v>344</v>
      </c>
      <c r="AD169" s="22" t="s">
        <v>344</v>
      </c>
      <c r="AE169" s="22" t="s">
        <v>345</v>
      </c>
      <c r="AF169" s="22" t="s">
        <v>344</v>
      </c>
      <c r="AG169" s="22" t="s">
        <v>344</v>
      </c>
      <c r="AH169" s="22" t="s">
        <v>344</v>
      </c>
      <c r="AI169" s="22" t="s">
        <v>344</v>
      </c>
      <c r="AJ169" s="22" t="s">
        <v>344</v>
      </c>
      <c r="AK169" s="22" t="s">
        <v>345</v>
      </c>
      <c r="AL169" s="22" t="s">
        <v>344</v>
      </c>
      <c r="AM169" s="22" t="s">
        <v>344</v>
      </c>
      <c r="AN169" s="22" t="s">
        <v>344</v>
      </c>
      <c r="AO169" s="22" t="s">
        <v>344</v>
      </c>
      <c r="AP169" s="22" t="s">
        <v>344</v>
      </c>
      <c r="AQ169" s="22" t="s">
        <v>344</v>
      </c>
      <c r="AR169" s="22" t="s">
        <v>344</v>
      </c>
      <c r="AS169" s="22" t="s">
        <v>344</v>
      </c>
      <c r="AT169" s="22" t="s">
        <v>344</v>
      </c>
      <c r="AU169" s="22" t="s">
        <v>344</v>
      </c>
      <c r="AV169" s="22" t="s">
        <v>345</v>
      </c>
      <c r="AW169" s="22" t="s">
        <v>344</v>
      </c>
      <c r="AX169" s="22" t="s">
        <v>344</v>
      </c>
      <c r="AY169" s="22" t="s">
        <v>737</v>
      </c>
      <c r="AZ169" s="22" t="s">
        <v>733</v>
      </c>
      <c r="BA169" s="22" t="s">
        <v>731</v>
      </c>
      <c r="BB169" s="22" t="s">
        <v>732</v>
      </c>
      <c r="BC169" s="22" t="s">
        <v>731</v>
      </c>
      <c r="BD169" s="22" t="s">
        <v>737</v>
      </c>
      <c r="BE169" s="22" t="s">
        <v>349</v>
      </c>
      <c r="BF169" s="22" t="s">
        <v>348</v>
      </c>
      <c r="BG169" s="22" t="s">
        <v>349</v>
      </c>
      <c r="BH169" s="22" t="s">
        <v>349</v>
      </c>
      <c r="BI169" s="22" t="s">
        <v>348</v>
      </c>
      <c r="BJ169" s="22" t="s">
        <v>351</v>
      </c>
      <c r="BK169" s="22" t="s">
        <v>356</v>
      </c>
      <c r="BL169" s="22" t="s">
        <v>353</v>
      </c>
      <c r="BM169" s="22" t="s">
        <v>353</v>
      </c>
      <c r="BN169" s="22" t="s">
        <v>357</v>
      </c>
      <c r="BO169" s="22" t="s">
        <v>391</v>
      </c>
      <c r="BP169" s="22" t="s">
        <v>391</v>
      </c>
      <c r="BQ169" s="22" t="s">
        <v>407</v>
      </c>
      <c r="BR169" s="22" t="s">
        <v>408</v>
      </c>
      <c r="BS169" s="22" t="s">
        <v>391</v>
      </c>
      <c r="BT169" s="22" t="s">
        <v>351</v>
      </c>
      <c r="BU169" s="22" t="s">
        <v>391</v>
      </c>
      <c r="BV169" s="22" t="s">
        <v>352</v>
      </c>
      <c r="BW169" s="22" t="s">
        <v>353</v>
      </c>
      <c r="BX169" s="22" t="s">
        <v>351</v>
      </c>
      <c r="BY169" s="22" t="s">
        <v>356</v>
      </c>
      <c r="BZ169" s="22" t="s">
        <v>357</v>
      </c>
      <c r="CA169" s="22" t="s">
        <v>356</v>
      </c>
      <c r="CB169" s="22" t="s">
        <v>353</v>
      </c>
      <c r="CC169" s="22" t="s">
        <v>355</v>
      </c>
      <c r="CD169" s="22" t="s">
        <v>357</v>
      </c>
      <c r="CE169" s="22" t="s">
        <v>352</v>
      </c>
      <c r="CF169" s="22" t="s">
        <v>352</v>
      </c>
      <c r="CG169" s="22" t="s">
        <v>420</v>
      </c>
      <c r="CH169" s="22" t="s">
        <v>420</v>
      </c>
      <c r="CI169" s="22" t="s">
        <v>420</v>
      </c>
      <c r="CJ169" s="22" t="s">
        <v>420</v>
      </c>
      <c r="CK169" s="22" t="s">
        <v>1106</v>
      </c>
      <c r="CL169" s="22" t="s">
        <v>344</v>
      </c>
      <c r="CM169" s="22" t="s">
        <v>344</v>
      </c>
      <c r="CN169" s="22" t="s">
        <v>344</v>
      </c>
      <c r="CO169" s="22" t="s">
        <v>344</v>
      </c>
      <c r="CP169" s="22" t="s">
        <v>345</v>
      </c>
      <c r="CQ169" s="22" t="s">
        <v>344</v>
      </c>
      <c r="CR169" s="22" t="s">
        <v>667</v>
      </c>
      <c r="CS169" s="22">
        <v>57</v>
      </c>
      <c r="CT169" s="22">
        <v>1</v>
      </c>
      <c r="CU169" s="22">
        <v>100</v>
      </c>
      <c r="CV169" s="22">
        <v>1</v>
      </c>
      <c r="CW169" s="22" t="s">
        <v>363</v>
      </c>
      <c r="CX169" s="22" t="s">
        <v>395</v>
      </c>
      <c r="CY169" s="22" t="s">
        <v>396</v>
      </c>
      <c r="CZ169" s="22" t="s">
        <v>397</v>
      </c>
      <c r="DA169" s="22" t="s">
        <v>397</v>
      </c>
      <c r="DB169" s="22" t="s">
        <v>397</v>
      </c>
      <c r="DC169" s="22" t="s">
        <v>397</v>
      </c>
      <c r="DD169" s="22" t="s">
        <v>397</v>
      </c>
      <c r="DE169" s="22" t="s">
        <v>366</v>
      </c>
      <c r="DF169" s="22" t="s">
        <v>366</v>
      </c>
      <c r="DG169" s="22" t="s">
        <v>423</v>
      </c>
      <c r="DH169" s="22" t="s">
        <v>366</v>
      </c>
      <c r="DI169" s="22" t="s">
        <v>366</v>
      </c>
      <c r="DJ169" s="22"/>
      <c r="DK169" s="22" t="s">
        <v>367</v>
      </c>
      <c r="DL169" s="22" t="s">
        <v>368</v>
      </c>
      <c r="DM169" s="22" t="s">
        <v>368</v>
      </c>
      <c r="DN169" s="22" t="s">
        <v>368</v>
      </c>
      <c r="DO169" s="22" t="s">
        <v>368</v>
      </c>
      <c r="DP169" s="22" t="s">
        <v>345</v>
      </c>
      <c r="DQ169" s="22" t="s">
        <v>344</v>
      </c>
      <c r="DR169" s="22" t="s">
        <v>345</v>
      </c>
      <c r="DS169" s="22" t="s">
        <v>344</v>
      </c>
      <c r="DT169" s="22" t="s">
        <v>345</v>
      </c>
      <c r="DU169" s="22" t="s">
        <v>345</v>
      </c>
      <c r="DV169" s="22" t="s">
        <v>345</v>
      </c>
      <c r="DW169" s="22" t="s">
        <v>344</v>
      </c>
      <c r="DX169" s="22" t="s">
        <v>371</v>
      </c>
      <c r="DY169" s="22" t="s">
        <v>370</v>
      </c>
      <c r="DZ169" s="22" t="s">
        <v>371</v>
      </c>
      <c r="EA169" s="22" t="s">
        <v>371</v>
      </c>
      <c r="EB169" s="22" t="s">
        <v>369</v>
      </c>
      <c r="EC169" s="22" t="s">
        <v>369</v>
      </c>
      <c r="ED169" s="22" t="s">
        <v>371</v>
      </c>
      <c r="EE169" s="22" t="s">
        <v>370</v>
      </c>
      <c r="EF169" s="22" t="s">
        <v>370</v>
      </c>
      <c r="EG169" s="22" t="s">
        <v>370</v>
      </c>
      <c r="EH169" s="22" t="s">
        <v>370</v>
      </c>
      <c r="EI169" s="22" t="s">
        <v>370</v>
      </c>
      <c r="EJ169" s="22" t="s">
        <v>370</v>
      </c>
      <c r="EK169" s="22" t="s">
        <v>370</v>
      </c>
      <c r="EL169" s="22" t="s">
        <v>374</v>
      </c>
      <c r="EM169" s="22" t="s">
        <v>373</v>
      </c>
      <c r="EN169" s="22" t="s">
        <v>372</v>
      </c>
      <c r="EO169" s="22"/>
      <c r="EP169" s="22"/>
      <c r="EQ169" s="22" t="s">
        <v>376</v>
      </c>
      <c r="ER169" s="22" t="s">
        <v>376</v>
      </c>
      <c r="ES169" s="22" t="s">
        <v>378</v>
      </c>
      <c r="ET169" s="22" t="s">
        <v>376</v>
      </c>
      <c r="EU169" s="22" t="s">
        <v>375</v>
      </c>
      <c r="EV169" s="22" t="s">
        <v>400</v>
      </c>
      <c r="EW169" s="22"/>
      <c r="EX169" s="22" t="s">
        <v>368</v>
      </c>
      <c r="EY169" s="22" t="s">
        <v>368</v>
      </c>
      <c r="EZ169" s="22" t="s">
        <v>368</v>
      </c>
      <c r="FA169" s="22" t="s">
        <v>345</v>
      </c>
      <c r="FB169" s="22" t="s">
        <v>401</v>
      </c>
      <c r="FC169" s="22"/>
      <c r="FD169" s="22" t="s">
        <v>401</v>
      </c>
      <c r="FE169" s="22"/>
      <c r="FF169" s="22" t="s">
        <v>382</v>
      </c>
      <c r="FG169" s="22" t="s">
        <v>413</v>
      </c>
      <c r="FH169" s="22" t="s">
        <v>384</v>
      </c>
      <c r="FI169" s="22" t="s">
        <v>403</v>
      </c>
      <c r="FJ169" s="22"/>
      <c r="FK169" s="22"/>
      <c r="FL169" s="22"/>
      <c r="FM169" s="22"/>
      <c r="FN169" s="22"/>
      <c r="FO169" s="22"/>
      <c r="FP169" s="22"/>
      <c r="FQ169" s="22"/>
      <c r="FR169" s="22"/>
      <c r="FS169" s="22"/>
      <c r="FT169" s="22"/>
      <c r="FU169" s="22"/>
      <c r="FV169" s="22"/>
      <c r="FW169" s="22"/>
      <c r="FX169" s="22"/>
      <c r="FY169" s="22"/>
      <c r="FZ169" s="22"/>
      <c r="GA169" s="22" t="s">
        <v>368</v>
      </c>
      <c r="GB169" s="22" t="s">
        <v>368</v>
      </c>
      <c r="GC169" s="22" t="s">
        <v>368</v>
      </c>
      <c r="GD169" s="22" t="s">
        <v>368</v>
      </c>
      <c r="GE169" s="22" t="s">
        <v>368</v>
      </c>
      <c r="GF169" s="22" t="s">
        <v>368</v>
      </c>
      <c r="GG169" s="22"/>
      <c r="GH169" s="22"/>
      <c r="GI169" s="22"/>
      <c r="GJ169" s="22"/>
      <c r="GK169" s="22"/>
      <c r="GL169" s="22" t="s">
        <v>344</v>
      </c>
      <c r="GM169" s="22" t="s">
        <v>344</v>
      </c>
      <c r="GN169" s="22" t="s">
        <v>344</v>
      </c>
      <c r="GO169" s="22" t="s">
        <v>344</v>
      </c>
      <c r="GP169" s="22" t="s">
        <v>344</v>
      </c>
      <c r="GQ169" s="22" t="s">
        <v>344</v>
      </c>
      <c r="GR169" s="22" t="s">
        <v>344</v>
      </c>
      <c r="GS169" s="22" t="s">
        <v>344</v>
      </c>
      <c r="GT169" s="22" t="s">
        <v>344</v>
      </c>
      <c r="GU169" s="22" t="s">
        <v>344</v>
      </c>
      <c r="GV169" s="22" t="s">
        <v>345</v>
      </c>
      <c r="GW169" s="22" t="s">
        <v>345</v>
      </c>
      <c r="GX169" s="22" t="s">
        <v>344</v>
      </c>
      <c r="GY169" s="22" t="s">
        <v>344</v>
      </c>
      <c r="GZ169" s="22" t="s">
        <v>344</v>
      </c>
      <c r="HA169" s="22"/>
      <c r="HB169" s="22" t="s">
        <v>344</v>
      </c>
      <c r="HC169" s="22"/>
      <c r="HD169" s="22" t="s">
        <v>344</v>
      </c>
      <c r="HE169" s="22"/>
      <c r="HF169" s="22" t="s">
        <v>344</v>
      </c>
      <c r="HG169" s="22"/>
      <c r="HH169" s="22" t="s">
        <v>344</v>
      </c>
      <c r="HI169" s="22"/>
      <c r="HJ169" s="22" t="s">
        <v>344</v>
      </c>
      <c r="HK169" s="22" t="s">
        <v>344</v>
      </c>
      <c r="HL169" s="22" t="s">
        <v>344</v>
      </c>
      <c r="HM169" s="22" t="s">
        <v>344</v>
      </c>
      <c r="HN169" s="22" t="s">
        <v>344</v>
      </c>
      <c r="HO169" s="22" t="s">
        <v>344</v>
      </c>
      <c r="HP169" s="22" t="s">
        <v>344</v>
      </c>
      <c r="HQ169" s="22" t="s">
        <v>344</v>
      </c>
      <c r="HR169" s="22" t="s">
        <v>344</v>
      </c>
      <c r="HS169" s="22" t="s">
        <v>344</v>
      </c>
      <c r="HT169" s="22" t="s">
        <v>344</v>
      </c>
      <c r="HU169" s="22" t="s">
        <v>345</v>
      </c>
      <c r="HV169" s="22" t="s">
        <v>345</v>
      </c>
      <c r="HW169" s="22" t="s">
        <v>344</v>
      </c>
      <c r="HX169" s="22" t="s">
        <v>344</v>
      </c>
      <c r="HY169" s="22"/>
      <c r="HZ169" s="22" t="s">
        <v>344</v>
      </c>
      <c r="IA169" s="22"/>
      <c r="IB169" s="22" t="s">
        <v>344</v>
      </c>
      <c r="IC169" s="22"/>
      <c r="ID169" s="22" t="s">
        <v>344</v>
      </c>
      <c r="IE169" s="22"/>
      <c r="IF169" s="22" t="s">
        <v>344</v>
      </c>
      <c r="IG169" s="22"/>
      <c r="IH169" s="22" t="s">
        <v>345</v>
      </c>
      <c r="II169" s="22" t="s">
        <v>345</v>
      </c>
      <c r="IJ169" s="22" t="s">
        <v>344</v>
      </c>
      <c r="IK169" s="22" t="s">
        <v>344</v>
      </c>
      <c r="IL169" s="22" t="s">
        <v>345</v>
      </c>
      <c r="IM169" s="22" t="s">
        <v>345</v>
      </c>
      <c r="IN169" s="22" t="s">
        <v>344</v>
      </c>
      <c r="IO169" s="22" t="s">
        <v>344</v>
      </c>
      <c r="IP169" s="22" t="s">
        <v>344</v>
      </c>
      <c r="IQ169" s="22" t="s">
        <v>344</v>
      </c>
      <c r="IR169" s="22" t="s">
        <v>344</v>
      </c>
      <c r="IS169" s="22" t="s">
        <v>344</v>
      </c>
      <c r="IT169" s="22"/>
      <c r="IU169" s="22"/>
      <c r="IV169" s="22"/>
      <c r="IW169" s="22"/>
      <c r="IX169" s="22"/>
      <c r="IY169" s="22"/>
      <c r="IZ169" s="22"/>
      <c r="JA169" s="22"/>
      <c r="JB169" s="22"/>
      <c r="JC169" s="22"/>
      <c r="JD169" s="22"/>
      <c r="JE169" s="22"/>
      <c r="JF169" s="22"/>
      <c r="JG169" s="22"/>
      <c r="JH169" s="22"/>
    </row>
    <row r="170" spans="1:268" x14ac:dyDescent="0.3">
      <c r="A170" s="22" t="s">
        <v>813</v>
      </c>
      <c r="B170" s="22">
        <v>277</v>
      </c>
      <c r="C170" s="22" t="s">
        <v>1107</v>
      </c>
      <c r="D170" s="22">
        <v>14</v>
      </c>
      <c r="E170" s="22" t="s">
        <v>387</v>
      </c>
      <c r="F170" s="22">
        <v>1062631862</v>
      </c>
      <c r="G170" s="22" t="s">
        <v>1108</v>
      </c>
      <c r="H170" s="22" t="s">
        <v>1107</v>
      </c>
      <c r="I170" s="22" t="s">
        <v>1035</v>
      </c>
      <c r="J170" s="22">
        <v>17</v>
      </c>
      <c r="K170" s="22" t="s">
        <v>406</v>
      </c>
      <c r="L170" s="22"/>
      <c r="M170" s="22" t="s">
        <v>345</v>
      </c>
      <c r="N170" s="22" t="s">
        <v>345</v>
      </c>
      <c r="O170" s="22" t="s">
        <v>344</v>
      </c>
      <c r="P170" s="22" t="s">
        <v>344</v>
      </c>
      <c r="Q170" s="22" t="s">
        <v>344</v>
      </c>
      <c r="R170" s="22"/>
      <c r="S170" s="22" t="s">
        <v>522</v>
      </c>
      <c r="T170" s="22"/>
      <c r="U170" s="22" t="s">
        <v>428</v>
      </c>
      <c r="V170" s="22"/>
      <c r="W170" s="22" t="s">
        <v>345</v>
      </c>
      <c r="X170" s="22" t="s">
        <v>345</v>
      </c>
      <c r="Y170" s="22" t="s">
        <v>345</v>
      </c>
      <c r="Z170" s="22" t="s">
        <v>344</v>
      </c>
      <c r="AA170" s="22" t="s">
        <v>344</v>
      </c>
      <c r="AB170" s="22" t="s">
        <v>344</v>
      </c>
      <c r="AC170" s="22" t="s">
        <v>344</v>
      </c>
      <c r="AD170" s="22" t="s">
        <v>344</v>
      </c>
      <c r="AE170" s="22" t="s">
        <v>344</v>
      </c>
      <c r="AF170" s="22" t="s">
        <v>344</v>
      </c>
      <c r="AG170" s="22" t="s">
        <v>344</v>
      </c>
      <c r="AH170" s="22" t="s">
        <v>345</v>
      </c>
      <c r="AI170" s="22" t="s">
        <v>344</v>
      </c>
      <c r="AJ170" s="22" t="s">
        <v>344</v>
      </c>
      <c r="AK170" s="22" t="s">
        <v>344</v>
      </c>
      <c r="AL170" s="22" t="s">
        <v>345</v>
      </c>
      <c r="AM170" s="22" t="s">
        <v>345</v>
      </c>
      <c r="AN170" s="22" t="s">
        <v>344</v>
      </c>
      <c r="AO170" s="22" t="s">
        <v>344</v>
      </c>
      <c r="AP170" s="22" t="s">
        <v>344</v>
      </c>
      <c r="AQ170" s="22" t="s">
        <v>344</v>
      </c>
      <c r="AR170" s="22" t="s">
        <v>345</v>
      </c>
      <c r="AS170" s="22" t="s">
        <v>344</v>
      </c>
      <c r="AT170" s="22" t="s">
        <v>345</v>
      </c>
      <c r="AU170" s="22" t="s">
        <v>344</v>
      </c>
      <c r="AV170" s="22" t="s">
        <v>345</v>
      </c>
      <c r="AW170" s="22" t="s">
        <v>344</v>
      </c>
      <c r="AX170" s="22" t="s">
        <v>344</v>
      </c>
      <c r="AY170" s="22" t="s">
        <v>731</v>
      </c>
      <c r="AZ170" s="22" t="s">
        <v>732</v>
      </c>
      <c r="BA170" s="22" t="s">
        <v>737</v>
      </c>
      <c r="BB170" s="22" t="s">
        <v>733</v>
      </c>
      <c r="BC170" s="22" t="s">
        <v>731</v>
      </c>
      <c r="BD170" s="22" t="s">
        <v>731</v>
      </c>
      <c r="BE170" s="22" t="s">
        <v>348</v>
      </c>
      <c r="BF170" s="22" t="s">
        <v>349</v>
      </c>
      <c r="BG170" s="22" t="s">
        <v>390</v>
      </c>
      <c r="BH170" s="22" t="s">
        <v>348</v>
      </c>
      <c r="BI170" s="22" t="s">
        <v>348</v>
      </c>
      <c r="BJ170" s="22" t="s">
        <v>356</v>
      </c>
      <c r="BK170" s="22" t="s">
        <v>353</v>
      </c>
      <c r="BL170" s="22" t="s">
        <v>355</v>
      </c>
      <c r="BM170" s="22" t="s">
        <v>351</v>
      </c>
      <c r="BN170" s="22" t="s">
        <v>355</v>
      </c>
      <c r="BO170" s="22" t="s">
        <v>354</v>
      </c>
      <c r="BP170" s="22" t="s">
        <v>352</v>
      </c>
      <c r="BQ170" s="22" t="s">
        <v>358</v>
      </c>
      <c r="BR170" s="22" t="s">
        <v>429</v>
      </c>
      <c r="BS170" s="22" t="s">
        <v>351</v>
      </c>
      <c r="BT170" s="22" t="s">
        <v>355</v>
      </c>
      <c r="BU170" s="22" t="s">
        <v>353</v>
      </c>
      <c r="BV170" s="22" t="s">
        <v>354</v>
      </c>
      <c r="BW170" s="22" t="s">
        <v>352</v>
      </c>
      <c r="BX170" s="22" t="s">
        <v>356</v>
      </c>
      <c r="BY170" s="22" t="s">
        <v>357</v>
      </c>
      <c r="BZ170" s="22" t="s">
        <v>354</v>
      </c>
      <c r="CA170" s="22" t="s">
        <v>352</v>
      </c>
      <c r="CB170" s="22" t="s">
        <v>353</v>
      </c>
      <c r="CC170" s="22" t="s">
        <v>356</v>
      </c>
      <c r="CD170" s="22" t="s">
        <v>351</v>
      </c>
      <c r="CE170" s="22" t="s">
        <v>357</v>
      </c>
      <c r="CF170" s="22" t="s">
        <v>351</v>
      </c>
      <c r="CG170" s="22" t="s">
        <v>420</v>
      </c>
      <c r="CH170" s="22" t="s">
        <v>420</v>
      </c>
      <c r="CI170" s="22" t="s">
        <v>392</v>
      </c>
      <c r="CJ170" s="22" t="s">
        <v>392</v>
      </c>
      <c r="CK170" s="22" t="s">
        <v>1109</v>
      </c>
      <c r="CL170" s="22" t="s">
        <v>344</v>
      </c>
      <c r="CM170" s="22" t="s">
        <v>344</v>
      </c>
      <c r="CN170" s="22" t="s">
        <v>344</v>
      </c>
      <c r="CO170" s="22" t="s">
        <v>344</v>
      </c>
      <c r="CP170" s="22" t="s">
        <v>345</v>
      </c>
      <c r="CQ170" s="22" t="s">
        <v>344</v>
      </c>
      <c r="CR170" s="22" t="s">
        <v>655</v>
      </c>
      <c r="CS170" s="22">
        <v>14</v>
      </c>
      <c r="CT170" s="22">
        <v>73</v>
      </c>
      <c r="CU170" s="22">
        <v>61</v>
      </c>
      <c r="CV170" s="22">
        <v>18</v>
      </c>
      <c r="CW170" s="22" t="s">
        <v>363</v>
      </c>
      <c r="CX170" s="22" t="s">
        <v>396</v>
      </c>
      <c r="CY170" s="22" t="s">
        <v>396</v>
      </c>
      <c r="CZ170" s="22" t="s">
        <v>365</v>
      </c>
      <c r="DA170" s="22" t="s">
        <v>365</v>
      </c>
      <c r="DB170" s="22" t="s">
        <v>365</v>
      </c>
      <c r="DC170" s="22" t="s">
        <v>365</v>
      </c>
      <c r="DD170" s="22" t="s">
        <v>366</v>
      </c>
      <c r="DE170" s="22" t="s">
        <v>365</v>
      </c>
      <c r="DF170" s="22" t="s">
        <v>365</v>
      </c>
      <c r="DG170" s="22" t="s">
        <v>365</v>
      </c>
      <c r="DH170" s="22" t="s">
        <v>365</v>
      </c>
      <c r="DI170" s="22" t="s">
        <v>366</v>
      </c>
      <c r="DJ170" s="22" t="s">
        <v>1110</v>
      </c>
      <c r="DK170" s="22" t="s">
        <v>806</v>
      </c>
      <c r="DL170" s="22" t="s">
        <v>344</v>
      </c>
      <c r="DM170" s="22" t="s">
        <v>344</v>
      </c>
      <c r="DN170" s="22" t="s">
        <v>345</v>
      </c>
      <c r="DO170" s="22" t="s">
        <v>344</v>
      </c>
      <c r="DP170" s="22" t="s">
        <v>368</v>
      </c>
      <c r="DQ170" s="22" t="s">
        <v>368</v>
      </c>
      <c r="DR170" s="22" t="s">
        <v>368</v>
      </c>
      <c r="DS170" s="22" t="s">
        <v>345</v>
      </c>
      <c r="DT170" s="22" t="s">
        <v>345</v>
      </c>
      <c r="DU170" s="22" t="s">
        <v>344</v>
      </c>
      <c r="DV170" s="22" t="s">
        <v>345</v>
      </c>
      <c r="DW170" s="22" t="s">
        <v>344</v>
      </c>
      <c r="DX170" s="22" t="s">
        <v>369</v>
      </c>
      <c r="DY170" s="22" t="s">
        <v>370</v>
      </c>
      <c r="DZ170" s="22" t="s">
        <v>369</v>
      </c>
      <c r="EA170" s="22" t="s">
        <v>399</v>
      </c>
      <c r="EB170" s="22" t="s">
        <v>371</v>
      </c>
      <c r="EC170" s="22" t="s">
        <v>371</v>
      </c>
      <c r="ED170" s="22" t="s">
        <v>371</v>
      </c>
      <c r="EE170" s="22" t="s">
        <v>370</v>
      </c>
      <c r="EF170" s="22" t="s">
        <v>370</v>
      </c>
      <c r="EG170" s="22" t="s">
        <v>370</v>
      </c>
      <c r="EH170" s="22" t="s">
        <v>370</v>
      </c>
      <c r="EI170" s="22" t="s">
        <v>370</v>
      </c>
      <c r="EJ170" s="22" t="s">
        <v>370</v>
      </c>
      <c r="EK170" s="22" t="s">
        <v>370</v>
      </c>
      <c r="EL170" s="22" t="s">
        <v>373</v>
      </c>
      <c r="EM170" s="22" t="s">
        <v>440</v>
      </c>
      <c r="EN170" s="22" t="s">
        <v>372</v>
      </c>
      <c r="EO170" s="22"/>
      <c r="EP170" s="22"/>
      <c r="EQ170" s="22" t="s">
        <v>411</v>
      </c>
      <c r="ER170" s="22" t="s">
        <v>376</v>
      </c>
      <c r="ES170" s="22" t="s">
        <v>376</v>
      </c>
      <c r="ET170" s="22" t="s">
        <v>376</v>
      </c>
      <c r="EU170" s="22" t="s">
        <v>376</v>
      </c>
      <c r="EV170" s="22" t="s">
        <v>400</v>
      </c>
      <c r="EW170" s="22"/>
      <c r="EX170" s="22" t="s">
        <v>368</v>
      </c>
      <c r="EY170" s="22" t="s">
        <v>368</v>
      </c>
      <c r="EZ170" s="22" t="s">
        <v>368</v>
      </c>
      <c r="FA170" s="22" t="s">
        <v>345</v>
      </c>
      <c r="FB170" s="22" t="s">
        <v>401</v>
      </c>
      <c r="FC170" s="22"/>
      <c r="FD170" s="22" t="s">
        <v>401</v>
      </c>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t="s">
        <v>368</v>
      </c>
      <c r="GB170" s="22" t="s">
        <v>368</v>
      </c>
      <c r="GC170" s="22" t="s">
        <v>368</v>
      </c>
      <c r="GD170" s="22" t="s">
        <v>368</v>
      </c>
      <c r="GE170" s="22" t="s">
        <v>368</v>
      </c>
      <c r="GF170" s="22" t="s">
        <v>368</v>
      </c>
      <c r="GG170" s="22"/>
      <c r="GH170" s="22"/>
      <c r="GI170" s="22"/>
      <c r="GJ170" s="22"/>
      <c r="GK170" s="22"/>
      <c r="GL170" s="22" t="s">
        <v>344</v>
      </c>
      <c r="GM170" s="22" t="s">
        <v>344</v>
      </c>
      <c r="GN170" s="22" t="s">
        <v>344</v>
      </c>
      <c r="GO170" s="22" t="s">
        <v>344</v>
      </c>
      <c r="GP170" s="22" t="s">
        <v>344</v>
      </c>
      <c r="GQ170" s="22" t="s">
        <v>344</v>
      </c>
      <c r="GR170" s="22" t="s">
        <v>344</v>
      </c>
      <c r="GS170" s="22" t="s">
        <v>344</v>
      </c>
      <c r="GT170" s="22" t="s">
        <v>344</v>
      </c>
      <c r="GU170" s="22" t="s">
        <v>344</v>
      </c>
      <c r="GV170" s="22" t="s">
        <v>344</v>
      </c>
      <c r="GW170" s="22" t="s">
        <v>344</v>
      </c>
      <c r="GX170" s="22" t="s">
        <v>344</v>
      </c>
      <c r="GY170" s="22" t="s">
        <v>344</v>
      </c>
      <c r="GZ170" s="22" t="s">
        <v>345</v>
      </c>
      <c r="HA170" s="22"/>
      <c r="HB170" s="22" t="s">
        <v>344</v>
      </c>
      <c r="HC170" s="22"/>
      <c r="HD170" s="22" t="s">
        <v>344</v>
      </c>
      <c r="HE170" s="22"/>
      <c r="HF170" s="22" t="s">
        <v>344</v>
      </c>
      <c r="HG170" s="22"/>
      <c r="HH170" s="22" t="s">
        <v>344</v>
      </c>
      <c r="HI170" s="22"/>
      <c r="HJ170" s="22" t="s">
        <v>344</v>
      </c>
      <c r="HK170" s="22" t="s">
        <v>344</v>
      </c>
      <c r="HL170" s="22" t="s">
        <v>344</v>
      </c>
      <c r="HM170" s="22" t="s">
        <v>345</v>
      </c>
      <c r="HN170" s="22" t="s">
        <v>344</v>
      </c>
      <c r="HO170" s="22" t="s">
        <v>344</v>
      </c>
      <c r="HP170" s="22" t="s">
        <v>344</v>
      </c>
      <c r="HQ170" s="22" t="s">
        <v>344</v>
      </c>
      <c r="HR170" s="22" t="s">
        <v>344</v>
      </c>
      <c r="HS170" s="22" t="s">
        <v>344</v>
      </c>
      <c r="HT170" s="22" t="s">
        <v>344</v>
      </c>
      <c r="HU170" s="22" t="s">
        <v>344</v>
      </c>
      <c r="HV170" s="22" t="s">
        <v>344</v>
      </c>
      <c r="HW170" s="22" t="s">
        <v>344</v>
      </c>
      <c r="HX170" s="22" t="s">
        <v>344</v>
      </c>
      <c r="HY170" s="22"/>
      <c r="HZ170" s="22" t="s">
        <v>344</v>
      </c>
      <c r="IA170" s="22"/>
      <c r="IB170" s="22" t="s">
        <v>344</v>
      </c>
      <c r="IC170" s="22"/>
      <c r="ID170" s="22" t="s">
        <v>344</v>
      </c>
      <c r="IE170" s="22"/>
      <c r="IF170" s="22" t="s">
        <v>344</v>
      </c>
      <c r="IG170" s="22"/>
      <c r="IH170" s="22" t="s">
        <v>345</v>
      </c>
      <c r="II170" s="22" t="s">
        <v>345</v>
      </c>
      <c r="IJ170" s="22" t="s">
        <v>344</v>
      </c>
      <c r="IK170" s="22" t="s">
        <v>344</v>
      </c>
      <c r="IL170" s="22" t="s">
        <v>345</v>
      </c>
      <c r="IM170" s="22" t="s">
        <v>345</v>
      </c>
      <c r="IN170" s="22" t="s">
        <v>344</v>
      </c>
      <c r="IO170" s="22" t="s">
        <v>344</v>
      </c>
      <c r="IP170" s="22" t="s">
        <v>344</v>
      </c>
      <c r="IQ170" s="22" t="s">
        <v>344</v>
      </c>
      <c r="IR170" s="22" t="s">
        <v>344</v>
      </c>
      <c r="IS170" s="22" t="s">
        <v>344</v>
      </c>
      <c r="IT170" s="22"/>
      <c r="IU170" s="22"/>
      <c r="IV170" s="22"/>
      <c r="IW170" s="22"/>
      <c r="IX170" s="22"/>
      <c r="IY170" s="22"/>
      <c r="IZ170" s="22"/>
      <c r="JA170" s="22"/>
      <c r="JB170" s="22"/>
      <c r="JC170" s="22"/>
      <c r="JD170" s="22"/>
      <c r="JE170" s="22"/>
      <c r="JF170" s="22"/>
      <c r="JG170" s="22"/>
      <c r="JH170" s="22"/>
    </row>
    <row r="171" spans="1:268" x14ac:dyDescent="0.3">
      <c r="A171" s="22" t="s">
        <v>813</v>
      </c>
      <c r="B171" s="22">
        <v>278</v>
      </c>
      <c r="C171" s="22" t="s">
        <v>1111</v>
      </c>
      <c r="D171" s="22">
        <v>14</v>
      </c>
      <c r="E171" s="22" t="s">
        <v>387</v>
      </c>
      <c r="F171" s="22">
        <v>1213539833</v>
      </c>
      <c r="G171" s="22" t="s">
        <v>1108</v>
      </c>
      <c r="H171" s="22" t="s">
        <v>1111</v>
      </c>
      <c r="I171" s="22" t="s">
        <v>1035</v>
      </c>
      <c r="J171" s="22">
        <v>18</v>
      </c>
      <c r="K171" s="22" t="s">
        <v>406</v>
      </c>
      <c r="L171" s="22"/>
      <c r="M171" s="22" t="s">
        <v>345</v>
      </c>
      <c r="N171" s="22" t="s">
        <v>345</v>
      </c>
      <c r="O171" s="22" t="s">
        <v>344</v>
      </c>
      <c r="P171" s="22" t="s">
        <v>344</v>
      </c>
      <c r="Q171" s="22" t="s">
        <v>344</v>
      </c>
      <c r="R171" s="22"/>
      <c r="S171" s="22" t="s">
        <v>522</v>
      </c>
      <c r="T171" s="22"/>
      <c r="U171" s="22" t="s">
        <v>428</v>
      </c>
      <c r="V171" s="22"/>
      <c r="W171" s="22" t="s">
        <v>345</v>
      </c>
      <c r="X171" s="22" t="s">
        <v>344</v>
      </c>
      <c r="Y171" s="22" t="s">
        <v>344</v>
      </c>
      <c r="Z171" s="22" t="s">
        <v>344</v>
      </c>
      <c r="AA171" s="22" t="s">
        <v>344</v>
      </c>
      <c r="AB171" s="22" t="s">
        <v>344</v>
      </c>
      <c r="AC171" s="22" t="s">
        <v>344</v>
      </c>
      <c r="AD171" s="22" t="s">
        <v>344</v>
      </c>
      <c r="AE171" s="22" t="s">
        <v>345</v>
      </c>
      <c r="AF171" s="22" t="s">
        <v>344</v>
      </c>
      <c r="AG171" s="22" t="s">
        <v>344</v>
      </c>
      <c r="AH171" s="22" t="s">
        <v>344</v>
      </c>
      <c r="AI171" s="22" t="s">
        <v>344</v>
      </c>
      <c r="AJ171" s="22" t="s">
        <v>344</v>
      </c>
      <c r="AK171" s="22" t="s">
        <v>345</v>
      </c>
      <c r="AL171" s="22" t="s">
        <v>344</v>
      </c>
      <c r="AM171" s="22" t="s">
        <v>344</v>
      </c>
      <c r="AN171" s="22" t="s">
        <v>344</v>
      </c>
      <c r="AO171" s="22" t="s">
        <v>344</v>
      </c>
      <c r="AP171" s="22" t="s">
        <v>344</v>
      </c>
      <c r="AQ171" s="22" t="s">
        <v>344</v>
      </c>
      <c r="AR171" s="22" t="s">
        <v>344</v>
      </c>
      <c r="AS171" s="22" t="s">
        <v>345</v>
      </c>
      <c r="AT171" s="22" t="s">
        <v>344</v>
      </c>
      <c r="AU171" s="22" t="s">
        <v>345</v>
      </c>
      <c r="AV171" s="22" t="s">
        <v>344</v>
      </c>
      <c r="AW171" s="22" t="s">
        <v>344</v>
      </c>
      <c r="AX171" s="22" t="s">
        <v>344</v>
      </c>
      <c r="AY171" s="22" t="s">
        <v>391</v>
      </c>
      <c r="AZ171" s="22" t="s">
        <v>391</v>
      </c>
      <c r="BA171" s="22" t="s">
        <v>391</v>
      </c>
      <c r="BB171" s="22" t="s">
        <v>391</v>
      </c>
      <c r="BC171" s="22" t="s">
        <v>391</v>
      </c>
      <c r="BD171" s="22" t="s">
        <v>391</v>
      </c>
      <c r="BE171" s="22" t="s">
        <v>350</v>
      </c>
      <c r="BF171" s="22" t="s">
        <v>350</v>
      </c>
      <c r="BG171" s="22" t="s">
        <v>350</v>
      </c>
      <c r="BH171" s="22" t="s">
        <v>348</v>
      </c>
      <c r="BI171" s="22" t="s">
        <v>348</v>
      </c>
      <c r="BJ171" s="22" t="s">
        <v>391</v>
      </c>
      <c r="BK171" s="22" t="s">
        <v>391</v>
      </c>
      <c r="BL171" s="22" t="s">
        <v>391</v>
      </c>
      <c r="BM171" s="22" t="s">
        <v>391</v>
      </c>
      <c r="BN171" s="22" t="s">
        <v>391</v>
      </c>
      <c r="BO171" s="22" t="s">
        <v>391</v>
      </c>
      <c r="BP171" s="22" t="s">
        <v>391</v>
      </c>
      <c r="BQ171" s="22" t="s">
        <v>419</v>
      </c>
      <c r="BR171" s="22" t="s">
        <v>429</v>
      </c>
      <c r="BS171" s="22" t="s">
        <v>391</v>
      </c>
      <c r="BT171" s="22" t="s">
        <v>391</v>
      </c>
      <c r="BU171" s="22" t="s">
        <v>391</v>
      </c>
      <c r="BV171" s="22" t="s">
        <v>391</v>
      </c>
      <c r="BW171" s="22" t="s">
        <v>391</v>
      </c>
      <c r="BX171" s="22" t="s">
        <v>391</v>
      </c>
      <c r="BY171" s="22" t="s">
        <v>391</v>
      </c>
      <c r="BZ171" s="22" t="s">
        <v>391</v>
      </c>
      <c r="CA171" s="22" t="s">
        <v>391</v>
      </c>
      <c r="CB171" s="22" t="s">
        <v>391</v>
      </c>
      <c r="CC171" s="22" t="s">
        <v>391</v>
      </c>
      <c r="CD171" s="22" t="s">
        <v>391</v>
      </c>
      <c r="CE171" s="22" t="s">
        <v>391</v>
      </c>
      <c r="CF171" s="22" t="s">
        <v>391</v>
      </c>
      <c r="CG171" s="22" t="s">
        <v>420</v>
      </c>
      <c r="CH171" s="22" t="s">
        <v>420</v>
      </c>
      <c r="CI171" s="22" t="s">
        <v>393</v>
      </c>
      <c r="CJ171" s="22" t="s">
        <v>393</v>
      </c>
      <c r="CK171" s="22" t="s">
        <v>843</v>
      </c>
      <c r="CL171" s="22" t="s">
        <v>344</v>
      </c>
      <c r="CM171" s="22" t="s">
        <v>344</v>
      </c>
      <c r="CN171" s="22" t="s">
        <v>344</v>
      </c>
      <c r="CO171" s="22" t="s">
        <v>345</v>
      </c>
      <c r="CP171" s="22" t="s">
        <v>345</v>
      </c>
      <c r="CQ171" s="22" t="s">
        <v>344</v>
      </c>
      <c r="CR171" s="22" t="s">
        <v>667</v>
      </c>
      <c r="CS171" s="22">
        <v>50</v>
      </c>
      <c r="CT171" s="22">
        <v>54</v>
      </c>
      <c r="CU171" s="22">
        <v>49</v>
      </c>
      <c r="CV171" s="22">
        <v>53</v>
      </c>
      <c r="CW171" s="22" t="s">
        <v>395</v>
      </c>
      <c r="CX171" s="22" t="s">
        <v>396</v>
      </c>
      <c r="CY171" s="22" t="s">
        <v>396</v>
      </c>
      <c r="CZ171" s="22" t="s">
        <v>397</v>
      </c>
      <c r="DA171" s="22" t="s">
        <v>397</v>
      </c>
      <c r="DB171" s="22" t="s">
        <v>397</v>
      </c>
      <c r="DC171" s="22" t="s">
        <v>397</v>
      </c>
      <c r="DD171" s="22" t="s">
        <v>397</v>
      </c>
      <c r="DE171" s="22" t="s">
        <v>397</v>
      </c>
      <c r="DF171" s="22" t="s">
        <v>397</v>
      </c>
      <c r="DG171" s="22" t="s">
        <v>397</v>
      </c>
      <c r="DH171" s="22" t="s">
        <v>397</v>
      </c>
      <c r="DI171" s="22" t="s">
        <v>397</v>
      </c>
      <c r="DJ171" s="22"/>
      <c r="DK171" s="22" t="s">
        <v>367</v>
      </c>
      <c r="DL171" s="22" t="s">
        <v>368</v>
      </c>
      <c r="DM171" s="22" t="s">
        <v>368</v>
      </c>
      <c r="DN171" s="22" t="s">
        <v>368</v>
      </c>
      <c r="DO171" s="22" t="s">
        <v>368</v>
      </c>
      <c r="DP171" s="22" t="s">
        <v>345</v>
      </c>
      <c r="DQ171" s="22" t="s">
        <v>344</v>
      </c>
      <c r="DR171" s="22" t="s">
        <v>345</v>
      </c>
      <c r="DS171" s="22" t="s">
        <v>344</v>
      </c>
      <c r="DT171" s="22" t="s">
        <v>345</v>
      </c>
      <c r="DU171" s="22" t="s">
        <v>344</v>
      </c>
      <c r="DV171" s="22" t="s">
        <v>344</v>
      </c>
      <c r="DW171" s="22" t="s">
        <v>344</v>
      </c>
      <c r="DX171" s="22" t="s">
        <v>399</v>
      </c>
      <c r="DY171" s="22" t="s">
        <v>370</v>
      </c>
      <c r="DZ171" s="22" t="s">
        <v>370</v>
      </c>
      <c r="EA171" s="22" t="s">
        <v>371</v>
      </c>
      <c r="EB171" s="22" t="s">
        <v>369</v>
      </c>
      <c r="EC171" s="22" t="s">
        <v>369</v>
      </c>
      <c r="ED171" s="22" t="s">
        <v>399</v>
      </c>
      <c r="EE171" s="22" t="s">
        <v>370</v>
      </c>
      <c r="EF171" s="22" t="s">
        <v>370</v>
      </c>
      <c r="EG171" s="22" t="s">
        <v>370</v>
      </c>
      <c r="EH171" s="22" t="s">
        <v>370</v>
      </c>
      <c r="EI171" s="22" t="s">
        <v>370</v>
      </c>
      <c r="EJ171" s="22" t="s">
        <v>370</v>
      </c>
      <c r="EK171" s="22" t="s">
        <v>370</v>
      </c>
      <c r="EL171" s="22" t="s">
        <v>373</v>
      </c>
      <c r="EM171" s="22" t="s">
        <v>440</v>
      </c>
      <c r="EN171" s="22" t="s">
        <v>372</v>
      </c>
      <c r="EO171" s="22"/>
      <c r="EP171" s="22"/>
      <c r="EQ171" s="22" t="s">
        <v>411</v>
      </c>
      <c r="ER171" s="22" t="s">
        <v>411</v>
      </c>
      <c r="ES171" s="22" t="s">
        <v>411</v>
      </c>
      <c r="ET171" s="22" t="s">
        <v>391</v>
      </c>
      <c r="EU171" s="22" t="s">
        <v>391</v>
      </c>
      <c r="EV171" s="22" t="s">
        <v>400</v>
      </c>
      <c r="EW171" s="22"/>
      <c r="EX171" s="22" t="s">
        <v>368</v>
      </c>
      <c r="EY171" s="22" t="s">
        <v>368</v>
      </c>
      <c r="EZ171" s="22" t="s">
        <v>368</v>
      </c>
      <c r="FA171" s="22" t="s">
        <v>345</v>
      </c>
      <c r="FB171" s="22" t="s">
        <v>381</v>
      </c>
      <c r="FC171" s="22"/>
      <c r="FD171" s="22" t="s">
        <v>381</v>
      </c>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t="s">
        <v>368</v>
      </c>
      <c r="GB171" s="22" t="s">
        <v>368</v>
      </c>
      <c r="GC171" s="22" t="s">
        <v>368</v>
      </c>
      <c r="GD171" s="22" t="s">
        <v>368</v>
      </c>
      <c r="GE171" s="22" t="s">
        <v>368</v>
      </c>
      <c r="GF171" s="22" t="s">
        <v>368</v>
      </c>
      <c r="GG171" s="22"/>
      <c r="GH171" s="22"/>
      <c r="GI171" s="22"/>
      <c r="GJ171" s="22"/>
      <c r="GK171" s="22"/>
      <c r="GL171" s="22" t="s">
        <v>344</v>
      </c>
      <c r="GM171" s="22" t="s">
        <v>344</v>
      </c>
      <c r="GN171" s="22" t="s">
        <v>344</v>
      </c>
      <c r="GO171" s="22" t="s">
        <v>344</v>
      </c>
      <c r="GP171" s="22" t="s">
        <v>344</v>
      </c>
      <c r="GQ171" s="22" t="s">
        <v>344</v>
      </c>
      <c r="GR171" s="22" t="s">
        <v>344</v>
      </c>
      <c r="GS171" s="22" t="s">
        <v>344</v>
      </c>
      <c r="GT171" s="22" t="s">
        <v>344</v>
      </c>
      <c r="GU171" s="22" t="s">
        <v>344</v>
      </c>
      <c r="GV171" s="22" t="s">
        <v>344</v>
      </c>
      <c r="GW171" s="22" t="s">
        <v>344</v>
      </c>
      <c r="GX171" s="22" t="s">
        <v>344</v>
      </c>
      <c r="GY171" s="22" t="s">
        <v>344</v>
      </c>
      <c r="GZ171" s="22" t="s">
        <v>345</v>
      </c>
      <c r="HA171" s="22"/>
      <c r="HB171" s="22" t="s">
        <v>344</v>
      </c>
      <c r="HC171" s="22"/>
      <c r="HD171" s="22" t="s">
        <v>344</v>
      </c>
      <c r="HE171" s="22"/>
      <c r="HF171" s="22" t="s">
        <v>344</v>
      </c>
      <c r="HG171" s="22"/>
      <c r="HH171" s="22" t="s">
        <v>344</v>
      </c>
      <c r="HI171" s="22"/>
      <c r="HJ171" s="22" t="s">
        <v>345</v>
      </c>
      <c r="HK171" s="22" t="s">
        <v>344</v>
      </c>
      <c r="HL171" s="22" t="s">
        <v>344</v>
      </c>
      <c r="HM171" s="22" t="s">
        <v>344</v>
      </c>
      <c r="HN171" s="22" t="s">
        <v>344</v>
      </c>
      <c r="HO171" s="22" t="s">
        <v>344</v>
      </c>
      <c r="HP171" s="22" t="s">
        <v>344</v>
      </c>
      <c r="HQ171" s="22" t="s">
        <v>344</v>
      </c>
      <c r="HR171" s="22" t="s">
        <v>344</v>
      </c>
      <c r="HS171" s="22" t="s">
        <v>344</v>
      </c>
      <c r="HT171" s="22" t="s">
        <v>344</v>
      </c>
      <c r="HU171" s="22" t="s">
        <v>344</v>
      </c>
      <c r="HV171" s="22" t="s">
        <v>345</v>
      </c>
      <c r="HW171" s="22" t="s">
        <v>344</v>
      </c>
      <c r="HX171" s="22" t="s">
        <v>344</v>
      </c>
      <c r="HY171" s="22"/>
      <c r="HZ171" s="22" t="s">
        <v>344</v>
      </c>
      <c r="IA171" s="22"/>
      <c r="IB171" s="22" t="s">
        <v>344</v>
      </c>
      <c r="IC171" s="22"/>
      <c r="ID171" s="22" t="s">
        <v>344</v>
      </c>
      <c r="IE171" s="22"/>
      <c r="IF171" s="22" t="s">
        <v>344</v>
      </c>
      <c r="IG171" s="22"/>
      <c r="IH171" s="22" t="s">
        <v>345</v>
      </c>
      <c r="II171" s="22" t="s">
        <v>345</v>
      </c>
      <c r="IJ171" s="22" t="s">
        <v>344</v>
      </c>
      <c r="IK171" s="22" t="s">
        <v>344</v>
      </c>
      <c r="IL171" s="22" t="s">
        <v>344</v>
      </c>
      <c r="IM171" s="22" t="s">
        <v>345</v>
      </c>
      <c r="IN171" s="22" t="s">
        <v>344</v>
      </c>
      <c r="IO171" s="22" t="s">
        <v>344</v>
      </c>
      <c r="IP171" s="22" t="s">
        <v>344</v>
      </c>
      <c r="IQ171" s="22" t="s">
        <v>344</v>
      </c>
      <c r="IR171" s="22" t="s">
        <v>344</v>
      </c>
      <c r="IS171" s="22" t="s">
        <v>344</v>
      </c>
      <c r="IT171" s="22"/>
      <c r="IU171" s="22" t="s">
        <v>843</v>
      </c>
      <c r="IV171" s="22"/>
      <c r="IW171" s="22"/>
      <c r="IX171" s="22"/>
      <c r="IY171" s="22"/>
      <c r="IZ171" s="22"/>
      <c r="JA171" s="22"/>
      <c r="JB171" s="22"/>
      <c r="JC171" s="22"/>
      <c r="JD171" s="22"/>
      <c r="JE171" s="22"/>
      <c r="JF171" s="22"/>
      <c r="JG171" s="22"/>
      <c r="JH171" s="22"/>
    </row>
    <row r="172" spans="1:268" x14ac:dyDescent="0.3">
      <c r="A172" s="22" t="s">
        <v>813</v>
      </c>
      <c r="B172" s="22">
        <v>279</v>
      </c>
      <c r="C172" s="22" t="s">
        <v>1112</v>
      </c>
      <c r="D172" s="22">
        <v>14</v>
      </c>
      <c r="E172" s="22" t="s">
        <v>340</v>
      </c>
      <c r="F172" s="22">
        <v>1065330176</v>
      </c>
      <c r="G172" s="22" t="s">
        <v>1113</v>
      </c>
      <c r="H172" s="22" t="s">
        <v>1112</v>
      </c>
      <c r="I172" s="22" t="s">
        <v>1035</v>
      </c>
      <c r="J172" s="22">
        <v>17</v>
      </c>
      <c r="K172" s="22" t="s">
        <v>406</v>
      </c>
      <c r="L172" s="22"/>
      <c r="M172" s="22" t="s">
        <v>344</v>
      </c>
      <c r="N172" s="22" t="s">
        <v>345</v>
      </c>
      <c r="O172" s="22" t="s">
        <v>344</v>
      </c>
      <c r="P172" s="22" t="s">
        <v>344</v>
      </c>
      <c r="Q172" s="22" t="s">
        <v>344</v>
      </c>
      <c r="R172" s="22"/>
      <c r="S172" s="22" t="s">
        <v>522</v>
      </c>
      <c r="T172" s="22"/>
      <c r="U172" s="22" t="s">
        <v>418</v>
      </c>
      <c r="V172" s="22"/>
      <c r="W172" s="22" t="s">
        <v>345</v>
      </c>
      <c r="X172" s="22" t="s">
        <v>344</v>
      </c>
      <c r="Y172" s="22" t="s">
        <v>344</v>
      </c>
      <c r="Z172" s="22" t="s">
        <v>344</v>
      </c>
      <c r="AA172" s="22" t="s">
        <v>344</v>
      </c>
      <c r="AB172" s="22" t="s">
        <v>344</v>
      </c>
      <c r="AC172" s="22" t="s">
        <v>344</v>
      </c>
      <c r="AD172" s="22" t="s">
        <v>344</v>
      </c>
      <c r="AE172" s="22" t="s">
        <v>345</v>
      </c>
      <c r="AF172" s="22" t="s">
        <v>345</v>
      </c>
      <c r="AG172" s="22" t="s">
        <v>344</v>
      </c>
      <c r="AH172" s="22" t="s">
        <v>344</v>
      </c>
      <c r="AI172" s="22" t="s">
        <v>344</v>
      </c>
      <c r="AJ172" s="22" t="s">
        <v>344</v>
      </c>
      <c r="AK172" s="22" t="s">
        <v>368</v>
      </c>
      <c r="AL172" s="22" t="s">
        <v>368</v>
      </c>
      <c r="AM172" s="22" t="s">
        <v>368</v>
      </c>
      <c r="AN172" s="22" t="s">
        <v>368</v>
      </c>
      <c r="AO172" s="22" t="s">
        <v>368</v>
      </c>
      <c r="AP172" s="22" t="s">
        <v>368</v>
      </c>
      <c r="AQ172" s="22" t="s">
        <v>345</v>
      </c>
      <c r="AR172" s="22" t="s">
        <v>344</v>
      </c>
      <c r="AS172" s="22" t="s">
        <v>345</v>
      </c>
      <c r="AT172" s="22" t="s">
        <v>345</v>
      </c>
      <c r="AU172" s="22" t="s">
        <v>344</v>
      </c>
      <c r="AV172" s="22" t="s">
        <v>344</v>
      </c>
      <c r="AW172" s="22" t="s">
        <v>344</v>
      </c>
      <c r="AX172" s="22" t="s">
        <v>344</v>
      </c>
      <c r="AY172" s="22" t="s">
        <v>731</v>
      </c>
      <c r="AZ172" s="22" t="s">
        <v>733</v>
      </c>
      <c r="BA172" s="22" t="s">
        <v>737</v>
      </c>
      <c r="BB172" s="22" t="s">
        <v>733</v>
      </c>
      <c r="BC172" s="22" t="s">
        <v>731</v>
      </c>
      <c r="BD172" s="22" t="s">
        <v>731</v>
      </c>
      <c r="BE172" s="22" t="s">
        <v>390</v>
      </c>
      <c r="BF172" s="22" t="s">
        <v>390</v>
      </c>
      <c r="BG172" s="22" t="s">
        <v>390</v>
      </c>
      <c r="BH172" s="22" t="s">
        <v>390</v>
      </c>
      <c r="BI172" s="22" t="s">
        <v>390</v>
      </c>
      <c r="BJ172" s="22" t="s">
        <v>353</v>
      </c>
      <c r="BK172" s="22" t="s">
        <v>355</v>
      </c>
      <c r="BL172" s="22" t="s">
        <v>356</v>
      </c>
      <c r="BM172" s="22" t="s">
        <v>357</v>
      </c>
      <c r="BN172" s="22" t="s">
        <v>352</v>
      </c>
      <c r="BO172" s="22" t="s">
        <v>351</v>
      </c>
      <c r="BP172" s="22" t="s">
        <v>354</v>
      </c>
      <c r="BQ172" s="22" t="s">
        <v>419</v>
      </c>
      <c r="BR172" s="22" t="s">
        <v>429</v>
      </c>
      <c r="BS172" s="22" t="s">
        <v>357</v>
      </c>
      <c r="BT172" s="22" t="s">
        <v>351</v>
      </c>
      <c r="BU172" s="22" t="s">
        <v>356</v>
      </c>
      <c r="BV172" s="22" t="s">
        <v>354</v>
      </c>
      <c r="BW172" s="22" t="s">
        <v>353</v>
      </c>
      <c r="BX172" s="22" t="s">
        <v>352</v>
      </c>
      <c r="BY172" s="22" t="s">
        <v>355</v>
      </c>
      <c r="BZ172" s="22" t="s">
        <v>353</v>
      </c>
      <c r="CA172" s="22" t="s">
        <v>352</v>
      </c>
      <c r="CB172" s="22" t="s">
        <v>354</v>
      </c>
      <c r="CC172" s="22" t="s">
        <v>357</v>
      </c>
      <c r="CD172" s="22" t="s">
        <v>351</v>
      </c>
      <c r="CE172" s="22" t="s">
        <v>356</v>
      </c>
      <c r="CF172" s="22" t="s">
        <v>355</v>
      </c>
      <c r="CG172" s="22" t="s">
        <v>421</v>
      </c>
      <c r="CH172" s="22" t="s">
        <v>393</v>
      </c>
      <c r="CI172" s="22" t="s">
        <v>420</v>
      </c>
      <c r="CJ172" s="22" t="s">
        <v>420</v>
      </c>
      <c r="CK172" s="22" t="s">
        <v>1114</v>
      </c>
      <c r="CL172" s="22" t="s">
        <v>344</v>
      </c>
      <c r="CM172" s="22" t="s">
        <v>344</v>
      </c>
      <c r="CN172" s="22" t="s">
        <v>344</v>
      </c>
      <c r="CO172" s="22" t="s">
        <v>345</v>
      </c>
      <c r="CP172" s="22" t="s">
        <v>344</v>
      </c>
      <c r="CQ172" s="22" t="s">
        <v>344</v>
      </c>
      <c r="CR172" s="22" t="s">
        <v>655</v>
      </c>
      <c r="CS172" s="22">
        <v>65</v>
      </c>
      <c r="CT172" s="22">
        <v>9</v>
      </c>
      <c r="CU172" s="22">
        <v>22</v>
      </c>
      <c r="CV172" s="22">
        <v>100</v>
      </c>
      <c r="CW172" s="22" t="s">
        <v>363</v>
      </c>
      <c r="CX172" s="22" t="s">
        <v>396</v>
      </c>
      <c r="CY172" s="22" t="s">
        <v>395</v>
      </c>
      <c r="CZ172" s="22" t="s">
        <v>397</v>
      </c>
      <c r="DA172" s="22" t="s">
        <v>397</v>
      </c>
      <c r="DB172" s="22" t="s">
        <v>397</v>
      </c>
      <c r="DC172" s="22" t="s">
        <v>397</v>
      </c>
      <c r="DD172" s="22" t="s">
        <v>397</v>
      </c>
      <c r="DE172" s="22" t="s">
        <v>397</v>
      </c>
      <c r="DF172" s="22" t="s">
        <v>366</v>
      </c>
      <c r="DG172" s="22" t="s">
        <v>397</v>
      </c>
      <c r="DH172" s="22" t="s">
        <v>397</v>
      </c>
      <c r="DI172" s="22" t="s">
        <v>366</v>
      </c>
      <c r="DJ172" s="22" t="s">
        <v>1115</v>
      </c>
      <c r="DK172" s="22" t="s">
        <v>367</v>
      </c>
      <c r="DL172" s="22" t="s">
        <v>368</v>
      </c>
      <c r="DM172" s="22" t="s">
        <v>368</v>
      </c>
      <c r="DN172" s="22" t="s">
        <v>368</v>
      </c>
      <c r="DO172" s="22" t="s">
        <v>368</v>
      </c>
      <c r="DP172" s="22" t="s">
        <v>345</v>
      </c>
      <c r="DQ172" s="22" t="s">
        <v>344</v>
      </c>
      <c r="DR172" s="22" t="s">
        <v>345</v>
      </c>
      <c r="DS172" s="22" t="s">
        <v>344</v>
      </c>
      <c r="DT172" s="22" t="s">
        <v>344</v>
      </c>
      <c r="DU172" s="22" t="s">
        <v>344</v>
      </c>
      <c r="DV172" s="22" t="s">
        <v>345</v>
      </c>
      <c r="DW172" s="22" t="s">
        <v>344</v>
      </c>
      <c r="DX172" s="22" t="s">
        <v>369</v>
      </c>
      <c r="DY172" s="22" t="s">
        <v>369</v>
      </c>
      <c r="DZ172" s="22" t="s">
        <v>371</v>
      </c>
      <c r="EA172" s="22" t="s">
        <v>369</v>
      </c>
      <c r="EB172" s="22" t="s">
        <v>369</v>
      </c>
      <c r="EC172" s="22" t="s">
        <v>369</v>
      </c>
      <c r="ED172" s="22" t="s">
        <v>399</v>
      </c>
      <c r="EE172" s="22" t="s">
        <v>370</v>
      </c>
      <c r="EF172" s="22" t="s">
        <v>370</v>
      </c>
      <c r="EG172" s="22" t="s">
        <v>370</v>
      </c>
      <c r="EH172" s="22" t="s">
        <v>370</v>
      </c>
      <c r="EI172" s="22" t="s">
        <v>370</v>
      </c>
      <c r="EJ172" s="22" t="s">
        <v>370</v>
      </c>
      <c r="EK172" s="22" t="s">
        <v>370</v>
      </c>
      <c r="EL172" s="22" t="s">
        <v>373</v>
      </c>
      <c r="EM172" s="22" t="s">
        <v>374</v>
      </c>
      <c r="EN172" s="22" t="s">
        <v>372</v>
      </c>
      <c r="EO172" s="22"/>
      <c r="EP172" s="22"/>
      <c r="EQ172" s="22" t="s">
        <v>378</v>
      </c>
      <c r="ER172" s="22" t="s">
        <v>377</v>
      </c>
      <c r="ES172" s="22" t="s">
        <v>378</v>
      </c>
      <c r="ET172" s="22" t="s">
        <v>378</v>
      </c>
      <c r="EU172" s="22" t="s">
        <v>378</v>
      </c>
      <c r="EV172" s="22" t="s">
        <v>400</v>
      </c>
      <c r="EW172" s="22"/>
      <c r="EX172" s="22" t="s">
        <v>368</v>
      </c>
      <c r="EY172" s="22" t="s">
        <v>368</v>
      </c>
      <c r="EZ172" s="22" t="s">
        <v>368</v>
      </c>
      <c r="FA172" s="22" t="s">
        <v>345</v>
      </c>
      <c r="FB172" s="22" t="s">
        <v>380</v>
      </c>
      <c r="FC172" s="22"/>
      <c r="FD172" s="22" t="s">
        <v>401</v>
      </c>
      <c r="FE172" s="22"/>
      <c r="FF172" s="22" t="s">
        <v>412</v>
      </c>
      <c r="FG172" s="22" t="s">
        <v>383</v>
      </c>
      <c r="FH172" s="22" t="s">
        <v>451</v>
      </c>
      <c r="FI172" s="22" t="s">
        <v>403</v>
      </c>
      <c r="FJ172" s="22"/>
      <c r="FK172" s="22"/>
      <c r="FL172" s="22"/>
      <c r="FM172" s="22"/>
      <c r="FN172" s="22"/>
      <c r="FO172" s="22"/>
      <c r="FP172" s="22"/>
      <c r="FQ172" s="22"/>
      <c r="FR172" s="22"/>
      <c r="FS172" s="22"/>
      <c r="FT172" s="22"/>
      <c r="FU172" s="22"/>
      <c r="FV172" s="22"/>
      <c r="FW172" s="22"/>
      <c r="FX172" s="22"/>
      <c r="FY172" s="22"/>
      <c r="FZ172" s="22"/>
      <c r="GA172" s="22" t="s">
        <v>368</v>
      </c>
      <c r="GB172" s="22" t="s">
        <v>368</v>
      </c>
      <c r="GC172" s="22" t="s">
        <v>368</v>
      </c>
      <c r="GD172" s="22" t="s">
        <v>368</v>
      </c>
      <c r="GE172" s="22" t="s">
        <v>368</v>
      </c>
      <c r="GF172" s="22" t="s">
        <v>368</v>
      </c>
      <c r="GG172" s="22"/>
      <c r="GH172" s="22"/>
      <c r="GI172" s="22"/>
      <c r="GJ172" s="22"/>
      <c r="GK172" s="22"/>
      <c r="GL172" s="22" t="s">
        <v>344</v>
      </c>
      <c r="GM172" s="22" t="s">
        <v>344</v>
      </c>
      <c r="GN172" s="22" t="s">
        <v>344</v>
      </c>
      <c r="GO172" s="22" t="s">
        <v>344</v>
      </c>
      <c r="GP172" s="22" t="s">
        <v>344</v>
      </c>
      <c r="GQ172" s="22" t="s">
        <v>344</v>
      </c>
      <c r="GR172" s="22" t="s">
        <v>344</v>
      </c>
      <c r="GS172" s="22" t="s">
        <v>344</v>
      </c>
      <c r="GT172" s="22" t="s">
        <v>344</v>
      </c>
      <c r="GU172" s="22" t="s">
        <v>344</v>
      </c>
      <c r="GV172" s="22" t="s">
        <v>344</v>
      </c>
      <c r="GW172" s="22" t="s">
        <v>344</v>
      </c>
      <c r="GX172" s="22" t="s">
        <v>344</v>
      </c>
      <c r="GY172" s="22" t="s">
        <v>344</v>
      </c>
      <c r="GZ172" s="22" t="s">
        <v>345</v>
      </c>
      <c r="HA172" s="22"/>
      <c r="HB172" s="22" t="s">
        <v>344</v>
      </c>
      <c r="HC172" s="22"/>
      <c r="HD172" s="22" t="s">
        <v>344</v>
      </c>
      <c r="HE172" s="22"/>
      <c r="HF172" s="22" t="s">
        <v>344</v>
      </c>
      <c r="HG172" s="22"/>
      <c r="HH172" s="22" t="s">
        <v>344</v>
      </c>
      <c r="HI172" s="22"/>
      <c r="HJ172" s="22" t="s">
        <v>344</v>
      </c>
      <c r="HK172" s="22" t="s">
        <v>344</v>
      </c>
      <c r="HL172" s="22" t="s">
        <v>344</v>
      </c>
      <c r="HM172" s="22" t="s">
        <v>344</v>
      </c>
      <c r="HN172" s="22" t="s">
        <v>344</v>
      </c>
      <c r="HO172" s="22" t="s">
        <v>344</v>
      </c>
      <c r="HP172" s="22" t="s">
        <v>344</v>
      </c>
      <c r="HQ172" s="22" t="s">
        <v>344</v>
      </c>
      <c r="HR172" s="22" t="s">
        <v>344</v>
      </c>
      <c r="HS172" s="22" t="s">
        <v>344</v>
      </c>
      <c r="HT172" s="22" t="s">
        <v>344</v>
      </c>
      <c r="HU172" s="22" t="s">
        <v>344</v>
      </c>
      <c r="HV172" s="22" t="s">
        <v>345</v>
      </c>
      <c r="HW172" s="22" t="s">
        <v>344</v>
      </c>
      <c r="HX172" s="22" t="s">
        <v>344</v>
      </c>
      <c r="HY172" s="22"/>
      <c r="HZ172" s="22" t="s">
        <v>344</v>
      </c>
      <c r="IA172" s="22"/>
      <c r="IB172" s="22" t="s">
        <v>344</v>
      </c>
      <c r="IC172" s="22"/>
      <c r="ID172" s="22" t="s">
        <v>344</v>
      </c>
      <c r="IE172" s="22"/>
      <c r="IF172" s="22" t="s">
        <v>344</v>
      </c>
      <c r="IG172" s="22"/>
      <c r="IH172" s="22" t="s">
        <v>345</v>
      </c>
      <c r="II172" s="22" t="s">
        <v>345</v>
      </c>
      <c r="IJ172" s="22" t="s">
        <v>345</v>
      </c>
      <c r="IK172" s="22" t="s">
        <v>344</v>
      </c>
      <c r="IL172" s="22" t="s">
        <v>345</v>
      </c>
      <c r="IM172" s="22" t="s">
        <v>345</v>
      </c>
      <c r="IN172" s="22" t="s">
        <v>344</v>
      </c>
      <c r="IO172" s="22" t="s">
        <v>345</v>
      </c>
      <c r="IP172" s="22" t="s">
        <v>344</v>
      </c>
      <c r="IQ172" s="22" t="s">
        <v>344</v>
      </c>
      <c r="IR172" s="22" t="s">
        <v>344</v>
      </c>
      <c r="IS172" s="22" t="s">
        <v>344</v>
      </c>
      <c r="IT172" s="22"/>
      <c r="IU172" s="22"/>
      <c r="IV172" s="22"/>
      <c r="IW172" s="22"/>
      <c r="IX172" s="22"/>
      <c r="IY172" s="22"/>
      <c r="IZ172" s="22"/>
      <c r="JA172" s="22"/>
      <c r="JB172" s="22"/>
      <c r="JC172" s="22"/>
      <c r="JD172" s="22"/>
      <c r="JE172" s="22"/>
      <c r="JF172" s="22"/>
      <c r="JG172" s="22"/>
      <c r="JH172" s="22"/>
    </row>
    <row r="173" spans="1:268" x14ac:dyDescent="0.3">
      <c r="A173" s="22" t="s">
        <v>813</v>
      </c>
      <c r="B173" s="22">
        <v>280</v>
      </c>
      <c r="C173" s="22" t="s">
        <v>1116</v>
      </c>
      <c r="D173" s="22">
        <v>14</v>
      </c>
      <c r="E173" s="22" t="s">
        <v>387</v>
      </c>
      <c r="F173" s="22">
        <v>1430843525</v>
      </c>
      <c r="G173" s="22" t="s">
        <v>1117</v>
      </c>
      <c r="H173" s="22" t="s">
        <v>1116</v>
      </c>
      <c r="I173" s="22" t="s">
        <v>1035</v>
      </c>
      <c r="J173" s="22">
        <v>17</v>
      </c>
      <c r="K173" s="22" t="s">
        <v>406</v>
      </c>
      <c r="L173" s="22"/>
      <c r="M173" s="22" t="s">
        <v>344</v>
      </c>
      <c r="N173" s="22" t="s">
        <v>345</v>
      </c>
      <c r="O173" s="22" t="s">
        <v>344</v>
      </c>
      <c r="P173" s="22" t="s">
        <v>344</v>
      </c>
      <c r="Q173" s="22" t="s">
        <v>344</v>
      </c>
      <c r="R173" s="22"/>
      <c r="S173" s="22" t="s">
        <v>522</v>
      </c>
      <c r="T173" s="22"/>
      <c r="U173" s="22" t="s">
        <v>418</v>
      </c>
      <c r="V173" s="22"/>
      <c r="W173" s="22" t="s">
        <v>345</v>
      </c>
      <c r="X173" s="22" t="s">
        <v>344</v>
      </c>
      <c r="Y173" s="22" t="s">
        <v>344</v>
      </c>
      <c r="Z173" s="22" t="s">
        <v>344</v>
      </c>
      <c r="AA173" s="22" t="s">
        <v>344</v>
      </c>
      <c r="AB173" s="22" t="s">
        <v>344</v>
      </c>
      <c r="AC173" s="22" t="s">
        <v>344</v>
      </c>
      <c r="AD173" s="22" t="s">
        <v>344</v>
      </c>
      <c r="AE173" s="22" t="s">
        <v>345</v>
      </c>
      <c r="AF173" s="22" t="s">
        <v>344</v>
      </c>
      <c r="AG173" s="22" t="s">
        <v>344</v>
      </c>
      <c r="AH173" s="22" t="s">
        <v>344</v>
      </c>
      <c r="AI173" s="22" t="s">
        <v>344</v>
      </c>
      <c r="AJ173" s="22" t="s">
        <v>344</v>
      </c>
      <c r="AK173" s="22" t="s">
        <v>344</v>
      </c>
      <c r="AL173" s="22" t="s">
        <v>345</v>
      </c>
      <c r="AM173" s="22" t="s">
        <v>345</v>
      </c>
      <c r="AN173" s="22" t="s">
        <v>344</v>
      </c>
      <c r="AO173" s="22" t="s">
        <v>344</v>
      </c>
      <c r="AP173" s="22" t="s">
        <v>344</v>
      </c>
      <c r="AQ173" s="22" t="s">
        <v>344</v>
      </c>
      <c r="AR173" s="22" t="s">
        <v>344</v>
      </c>
      <c r="AS173" s="22" t="s">
        <v>345</v>
      </c>
      <c r="AT173" s="22" t="s">
        <v>345</v>
      </c>
      <c r="AU173" s="22" t="s">
        <v>344</v>
      </c>
      <c r="AV173" s="22" t="s">
        <v>344</v>
      </c>
      <c r="AW173" s="22" t="s">
        <v>345</v>
      </c>
      <c r="AX173" s="22" t="s">
        <v>344</v>
      </c>
      <c r="AY173" s="22" t="s">
        <v>731</v>
      </c>
      <c r="AZ173" s="22" t="s">
        <v>732</v>
      </c>
      <c r="BA173" s="22" t="s">
        <v>732</v>
      </c>
      <c r="BB173" s="22" t="s">
        <v>732</v>
      </c>
      <c r="BC173" s="22" t="s">
        <v>733</v>
      </c>
      <c r="BD173" s="22" t="s">
        <v>731</v>
      </c>
      <c r="BE173" s="22" t="s">
        <v>348</v>
      </c>
      <c r="BF173" s="22" t="s">
        <v>348</v>
      </c>
      <c r="BG173" s="22" t="s">
        <v>390</v>
      </c>
      <c r="BH173" s="22" t="s">
        <v>350</v>
      </c>
      <c r="BI173" s="22" t="s">
        <v>348</v>
      </c>
      <c r="BJ173" s="22" t="s">
        <v>356</v>
      </c>
      <c r="BK173" s="22" t="s">
        <v>353</v>
      </c>
      <c r="BL173" s="22" t="s">
        <v>357</v>
      </c>
      <c r="BM173" s="22" t="s">
        <v>356</v>
      </c>
      <c r="BN173" s="22" t="s">
        <v>351</v>
      </c>
      <c r="BO173" s="22" t="s">
        <v>353</v>
      </c>
      <c r="BP173" s="22" t="s">
        <v>355</v>
      </c>
      <c r="BQ173" s="22" t="s">
        <v>419</v>
      </c>
      <c r="BR173" s="22" t="s">
        <v>408</v>
      </c>
      <c r="BS173" s="22" t="s">
        <v>357</v>
      </c>
      <c r="BT173" s="22" t="s">
        <v>351</v>
      </c>
      <c r="BU173" s="22" t="s">
        <v>356</v>
      </c>
      <c r="BV173" s="22" t="s">
        <v>355</v>
      </c>
      <c r="BW173" s="22" t="s">
        <v>356</v>
      </c>
      <c r="BX173" s="22" t="s">
        <v>352</v>
      </c>
      <c r="BY173" s="22" t="s">
        <v>356</v>
      </c>
      <c r="BZ173" s="22" t="s">
        <v>351</v>
      </c>
      <c r="CA173" s="22" t="s">
        <v>355</v>
      </c>
      <c r="CB173" s="22" t="s">
        <v>354</v>
      </c>
      <c r="CC173" s="22" t="s">
        <v>355</v>
      </c>
      <c r="CD173" s="22" t="s">
        <v>357</v>
      </c>
      <c r="CE173" s="22" t="s">
        <v>356</v>
      </c>
      <c r="CF173" s="22" t="s">
        <v>357</v>
      </c>
      <c r="CG173" s="22" t="s">
        <v>360</v>
      </c>
      <c r="CH173" s="22" t="s">
        <v>392</v>
      </c>
      <c r="CI173" s="22" t="s">
        <v>420</v>
      </c>
      <c r="CJ173" s="22" t="s">
        <v>392</v>
      </c>
      <c r="CK173" s="22"/>
      <c r="CL173" s="22" t="s">
        <v>344</v>
      </c>
      <c r="CM173" s="22" t="s">
        <v>344</v>
      </c>
      <c r="CN173" s="22" t="s">
        <v>344</v>
      </c>
      <c r="CO173" s="22" t="s">
        <v>345</v>
      </c>
      <c r="CP173" s="22" t="s">
        <v>345</v>
      </c>
      <c r="CQ173" s="22" t="s">
        <v>344</v>
      </c>
      <c r="CR173" s="22" t="s">
        <v>667</v>
      </c>
      <c r="CS173" s="22">
        <v>32</v>
      </c>
      <c r="CT173" s="22">
        <v>39</v>
      </c>
      <c r="CU173" s="22">
        <v>100</v>
      </c>
      <c r="CV173" s="22">
        <v>100</v>
      </c>
      <c r="CW173" s="22" t="s">
        <v>471</v>
      </c>
      <c r="CX173" s="22" t="s">
        <v>395</v>
      </c>
      <c r="CY173" s="22" t="s">
        <v>363</v>
      </c>
      <c r="CZ173" s="22" t="s">
        <v>423</v>
      </c>
      <c r="DA173" s="22" t="s">
        <v>365</v>
      </c>
      <c r="DB173" s="22" t="s">
        <v>397</v>
      </c>
      <c r="DC173" s="22" t="s">
        <v>397</v>
      </c>
      <c r="DD173" s="22" t="s">
        <v>366</v>
      </c>
      <c r="DE173" s="22" t="s">
        <v>397</v>
      </c>
      <c r="DF173" s="22" t="s">
        <v>397</v>
      </c>
      <c r="DG173" s="22" t="s">
        <v>397</v>
      </c>
      <c r="DH173" s="22" t="s">
        <v>397</v>
      </c>
      <c r="DI173" s="22" t="s">
        <v>397</v>
      </c>
      <c r="DJ173" s="22"/>
      <c r="DK173" s="22" t="s">
        <v>367</v>
      </c>
      <c r="DL173" s="22" t="s">
        <v>368</v>
      </c>
      <c r="DM173" s="22" t="s">
        <v>368</v>
      </c>
      <c r="DN173" s="22" t="s">
        <v>368</v>
      </c>
      <c r="DO173" s="22" t="s">
        <v>368</v>
      </c>
      <c r="DP173" s="22" t="s">
        <v>368</v>
      </c>
      <c r="DQ173" s="22" t="s">
        <v>368</v>
      </c>
      <c r="DR173" s="22" t="s">
        <v>368</v>
      </c>
      <c r="DS173" s="22" t="s">
        <v>345</v>
      </c>
      <c r="DT173" s="22" t="s">
        <v>368</v>
      </c>
      <c r="DU173" s="22" t="s">
        <v>368</v>
      </c>
      <c r="DV173" s="22" t="s">
        <v>368</v>
      </c>
      <c r="DW173" s="22" t="s">
        <v>345</v>
      </c>
      <c r="DX173" s="22" t="s">
        <v>371</v>
      </c>
      <c r="DY173" s="22" t="s">
        <v>370</v>
      </c>
      <c r="DZ173" s="22" t="s">
        <v>398</v>
      </c>
      <c r="EA173" s="22" t="s">
        <v>371</v>
      </c>
      <c r="EB173" s="22" t="s">
        <v>369</v>
      </c>
      <c r="EC173" s="22" t="s">
        <v>369</v>
      </c>
      <c r="ED173" s="22" t="s">
        <v>399</v>
      </c>
      <c r="EE173" s="22" t="s">
        <v>370</v>
      </c>
      <c r="EF173" s="22" t="s">
        <v>370</v>
      </c>
      <c r="EG173" s="22" t="s">
        <v>370</v>
      </c>
      <c r="EH173" s="22" t="s">
        <v>370</v>
      </c>
      <c r="EI173" s="22" t="s">
        <v>370</v>
      </c>
      <c r="EJ173" s="22" t="s">
        <v>370</v>
      </c>
      <c r="EK173" s="22" t="s">
        <v>370</v>
      </c>
      <c r="EL173" s="22" t="s">
        <v>373</v>
      </c>
      <c r="EM173" s="22" t="s">
        <v>374</v>
      </c>
      <c r="EN173" s="22" t="s">
        <v>440</v>
      </c>
      <c r="EO173" s="22"/>
      <c r="EP173" s="22"/>
      <c r="EQ173" s="22" t="s">
        <v>375</v>
      </c>
      <c r="ER173" s="22" t="s">
        <v>375</v>
      </c>
      <c r="ES173" s="22" t="s">
        <v>375</v>
      </c>
      <c r="ET173" s="22" t="s">
        <v>375</v>
      </c>
      <c r="EU173" s="22" t="s">
        <v>375</v>
      </c>
      <c r="EV173" s="22" t="s">
        <v>400</v>
      </c>
      <c r="EW173" s="22"/>
      <c r="EX173" s="167" t="s">
        <v>344</v>
      </c>
      <c r="EY173" s="167" t="s">
        <v>345</v>
      </c>
      <c r="EZ173" s="167" t="s">
        <v>344</v>
      </c>
      <c r="FA173" s="22" t="s">
        <v>344</v>
      </c>
      <c r="FB173" s="22" t="s">
        <v>380</v>
      </c>
      <c r="FC173" s="22"/>
      <c r="FD173" s="22" t="s">
        <v>401</v>
      </c>
      <c r="FE173" s="22"/>
      <c r="FF173" s="22" t="s">
        <v>412</v>
      </c>
      <c r="FG173" s="22" t="s">
        <v>413</v>
      </c>
      <c r="FH173" s="22" t="s">
        <v>384</v>
      </c>
      <c r="FI173" s="22" t="s">
        <v>385</v>
      </c>
      <c r="FJ173" s="22"/>
      <c r="FK173" s="22"/>
      <c r="FL173" s="22"/>
      <c r="FM173" s="22"/>
      <c r="FN173" s="22"/>
      <c r="FO173" s="22"/>
      <c r="FP173" s="22"/>
      <c r="FQ173" s="22"/>
      <c r="FR173" s="22"/>
      <c r="FS173" s="22"/>
      <c r="FT173" s="22"/>
      <c r="FU173" s="22"/>
      <c r="FV173" s="22"/>
      <c r="FW173" s="22"/>
      <c r="FX173" s="22"/>
      <c r="FY173" s="22"/>
      <c r="FZ173" s="22"/>
      <c r="GA173" s="22" t="s">
        <v>368</v>
      </c>
      <c r="GB173" s="22" t="s">
        <v>368</v>
      </c>
      <c r="GC173" s="22" t="s">
        <v>368</v>
      </c>
      <c r="GD173" s="22" t="s">
        <v>368</v>
      </c>
      <c r="GE173" s="22" t="s">
        <v>368</v>
      </c>
      <c r="GF173" s="22" t="s">
        <v>368</v>
      </c>
      <c r="GG173" s="22"/>
      <c r="GH173" s="22"/>
      <c r="GI173" s="22"/>
      <c r="GJ173" s="22"/>
      <c r="GK173" s="22"/>
      <c r="GL173" s="22" t="s">
        <v>344</v>
      </c>
      <c r="GM173" s="22" t="s">
        <v>344</v>
      </c>
      <c r="GN173" s="22" t="s">
        <v>344</v>
      </c>
      <c r="GO173" s="22" t="s">
        <v>345</v>
      </c>
      <c r="GP173" s="22" t="s">
        <v>344</v>
      </c>
      <c r="GQ173" s="22" t="s">
        <v>344</v>
      </c>
      <c r="GR173" s="22" t="s">
        <v>345</v>
      </c>
      <c r="GS173" s="22" t="s">
        <v>344</v>
      </c>
      <c r="GT173" s="22" t="s">
        <v>344</v>
      </c>
      <c r="GU173" s="22" t="s">
        <v>344</v>
      </c>
      <c r="GV173" s="22" t="s">
        <v>345</v>
      </c>
      <c r="GW173" s="22" t="s">
        <v>345</v>
      </c>
      <c r="GX173" s="22" t="s">
        <v>345</v>
      </c>
      <c r="GY173" s="22" t="s">
        <v>344</v>
      </c>
      <c r="GZ173" s="22" t="s">
        <v>344</v>
      </c>
      <c r="HA173" s="22"/>
      <c r="HB173" s="22" t="s">
        <v>344</v>
      </c>
      <c r="HC173" s="22"/>
      <c r="HD173" s="22" t="s">
        <v>344</v>
      </c>
      <c r="HE173" s="22"/>
      <c r="HF173" s="22" t="s">
        <v>344</v>
      </c>
      <c r="HG173" s="22"/>
      <c r="HH173" s="22" t="s">
        <v>344</v>
      </c>
      <c r="HI173" s="22"/>
      <c r="HJ173" s="22" t="s">
        <v>344</v>
      </c>
      <c r="HK173" s="22" t="s">
        <v>344</v>
      </c>
      <c r="HL173" s="22" t="s">
        <v>345</v>
      </c>
      <c r="HM173" s="22" t="s">
        <v>344</v>
      </c>
      <c r="HN173" s="22" t="s">
        <v>344</v>
      </c>
      <c r="HO173" s="22" t="s">
        <v>345</v>
      </c>
      <c r="HP173" s="22" t="s">
        <v>344</v>
      </c>
      <c r="HQ173" s="22" t="s">
        <v>345</v>
      </c>
      <c r="HR173" s="22" t="s">
        <v>344</v>
      </c>
      <c r="HS173" s="22" t="s">
        <v>344</v>
      </c>
      <c r="HT173" s="22" t="s">
        <v>344</v>
      </c>
      <c r="HU173" s="22" t="s">
        <v>344</v>
      </c>
      <c r="HV173" s="22" t="s">
        <v>344</v>
      </c>
      <c r="HW173" s="22" t="s">
        <v>344</v>
      </c>
      <c r="HX173" s="22" t="s">
        <v>344</v>
      </c>
      <c r="HY173" s="22"/>
      <c r="HZ173" s="22" t="s">
        <v>344</v>
      </c>
      <c r="IA173" s="22"/>
      <c r="IB173" s="22" t="s">
        <v>344</v>
      </c>
      <c r="IC173" s="22"/>
      <c r="ID173" s="22" t="s">
        <v>344</v>
      </c>
      <c r="IE173" s="22"/>
      <c r="IF173" s="22" t="s">
        <v>344</v>
      </c>
      <c r="IG173" s="22"/>
      <c r="IH173" s="22" t="s">
        <v>345</v>
      </c>
      <c r="II173" s="22" t="s">
        <v>344</v>
      </c>
      <c r="IJ173" s="22" t="s">
        <v>344</v>
      </c>
      <c r="IK173" s="22" t="s">
        <v>344</v>
      </c>
      <c r="IL173" s="22" t="s">
        <v>344</v>
      </c>
      <c r="IM173" s="22" t="s">
        <v>345</v>
      </c>
      <c r="IN173" s="22" t="s">
        <v>344</v>
      </c>
      <c r="IO173" s="22" t="s">
        <v>344</v>
      </c>
      <c r="IP173" s="22" t="s">
        <v>344</v>
      </c>
      <c r="IQ173" s="22" t="s">
        <v>344</v>
      </c>
      <c r="IR173" s="22" t="s">
        <v>344</v>
      </c>
      <c r="IS173" s="22" t="s">
        <v>344</v>
      </c>
      <c r="IT173" s="22"/>
      <c r="IU173" s="22"/>
      <c r="IV173" s="22"/>
      <c r="IW173" s="22"/>
      <c r="IX173" s="22"/>
      <c r="IY173" s="22"/>
      <c r="IZ173" s="22"/>
      <c r="JA173" s="22"/>
      <c r="JB173" s="22"/>
      <c r="JC173" s="22"/>
      <c r="JD173" s="22"/>
      <c r="JE173" s="22"/>
      <c r="JF173" s="22"/>
      <c r="JG173" s="22"/>
      <c r="JH173" s="22"/>
    </row>
    <row r="174" spans="1:268" x14ac:dyDescent="0.3">
      <c r="A174" s="22" t="s">
        <v>813</v>
      </c>
      <c r="B174" s="22">
        <v>281</v>
      </c>
      <c r="C174" s="22" t="s">
        <v>1118</v>
      </c>
      <c r="D174" s="22">
        <v>14</v>
      </c>
      <c r="E174" s="22" t="s">
        <v>387</v>
      </c>
      <c r="F174" s="22">
        <v>227849247</v>
      </c>
      <c r="G174" s="22" t="s">
        <v>1119</v>
      </c>
      <c r="H174" s="22" t="s">
        <v>1118</v>
      </c>
      <c r="I174" s="22" t="s">
        <v>1035</v>
      </c>
      <c r="J174" s="22">
        <v>17</v>
      </c>
      <c r="K174" s="22" t="s">
        <v>406</v>
      </c>
      <c r="L174" s="22"/>
      <c r="M174" s="22" t="s">
        <v>344</v>
      </c>
      <c r="N174" s="22" t="s">
        <v>345</v>
      </c>
      <c r="O174" s="22" t="s">
        <v>344</v>
      </c>
      <c r="P174" s="22" t="s">
        <v>344</v>
      </c>
      <c r="Q174" s="22" t="s">
        <v>344</v>
      </c>
      <c r="R174" s="22"/>
      <c r="S174" s="22" t="s">
        <v>522</v>
      </c>
      <c r="T174" s="22"/>
      <c r="U174" s="22" t="s">
        <v>428</v>
      </c>
      <c r="V174" s="22"/>
      <c r="W174" s="22" t="s">
        <v>368</v>
      </c>
      <c r="X174" s="22" t="s">
        <v>368</v>
      </c>
      <c r="Y174" s="22" t="s">
        <v>368</v>
      </c>
      <c r="Z174" s="22" t="s">
        <v>368</v>
      </c>
      <c r="AA174" s="22" t="s">
        <v>368</v>
      </c>
      <c r="AB174" s="22" t="s">
        <v>368</v>
      </c>
      <c r="AC174" s="22" t="s">
        <v>345</v>
      </c>
      <c r="AD174" s="22" t="s">
        <v>368</v>
      </c>
      <c r="AE174" s="22" t="s">
        <v>368</v>
      </c>
      <c r="AF174" s="22" t="s">
        <v>368</v>
      </c>
      <c r="AG174" s="22" t="s">
        <v>368</v>
      </c>
      <c r="AH174" s="22" t="s">
        <v>368</v>
      </c>
      <c r="AI174" s="22" t="s">
        <v>368</v>
      </c>
      <c r="AJ174" s="22" t="s">
        <v>345</v>
      </c>
      <c r="AK174" s="22" t="s">
        <v>368</v>
      </c>
      <c r="AL174" s="22" t="s">
        <v>368</v>
      </c>
      <c r="AM174" s="22" t="s">
        <v>368</v>
      </c>
      <c r="AN174" s="22" t="s">
        <v>368</v>
      </c>
      <c r="AO174" s="22" t="s">
        <v>368</v>
      </c>
      <c r="AP174" s="22" t="s">
        <v>368</v>
      </c>
      <c r="AQ174" s="22" t="s">
        <v>345</v>
      </c>
      <c r="AR174" s="22" t="s">
        <v>368</v>
      </c>
      <c r="AS174" s="22" t="s">
        <v>368</v>
      </c>
      <c r="AT174" s="22" t="s">
        <v>368</v>
      </c>
      <c r="AU174" s="22" t="s">
        <v>368</v>
      </c>
      <c r="AV174" s="22" t="s">
        <v>368</v>
      </c>
      <c r="AW174" s="22" t="s">
        <v>368</v>
      </c>
      <c r="AX174" s="22" t="s">
        <v>345</v>
      </c>
      <c r="AY174" s="22" t="s">
        <v>737</v>
      </c>
      <c r="AZ174" s="22" t="s">
        <v>731</v>
      </c>
      <c r="BA174" s="22" t="s">
        <v>731</v>
      </c>
      <c r="BB174" s="22" t="s">
        <v>733</v>
      </c>
      <c r="BC174" s="22" t="s">
        <v>733</v>
      </c>
      <c r="BD174" s="22" t="s">
        <v>733</v>
      </c>
      <c r="BE174" s="22" t="s">
        <v>390</v>
      </c>
      <c r="BF174" s="22" t="s">
        <v>390</v>
      </c>
      <c r="BG174" s="22" t="s">
        <v>390</v>
      </c>
      <c r="BH174" s="22" t="s">
        <v>390</v>
      </c>
      <c r="BI174" s="22" t="s">
        <v>390</v>
      </c>
      <c r="BJ174" s="22" t="s">
        <v>391</v>
      </c>
      <c r="BK174" s="22" t="s">
        <v>391</v>
      </c>
      <c r="BL174" s="22" t="s">
        <v>391</v>
      </c>
      <c r="BM174" s="22" t="s">
        <v>391</v>
      </c>
      <c r="BN174" s="22" t="s">
        <v>391</v>
      </c>
      <c r="BO174" s="22" t="s">
        <v>391</v>
      </c>
      <c r="BP174" s="22" t="s">
        <v>391</v>
      </c>
      <c r="BQ174" s="22" t="s">
        <v>419</v>
      </c>
      <c r="BR174" s="22" t="s">
        <v>408</v>
      </c>
      <c r="BS174" s="22" t="s">
        <v>391</v>
      </c>
      <c r="BT174" s="22" t="s">
        <v>391</v>
      </c>
      <c r="BU174" s="22" t="s">
        <v>391</v>
      </c>
      <c r="BV174" s="22" t="s">
        <v>391</v>
      </c>
      <c r="BW174" s="22" t="s">
        <v>391</v>
      </c>
      <c r="BX174" s="22" t="s">
        <v>391</v>
      </c>
      <c r="BY174" s="22" t="s">
        <v>391</v>
      </c>
      <c r="BZ174" s="22" t="s">
        <v>391</v>
      </c>
      <c r="CA174" s="22" t="s">
        <v>391</v>
      </c>
      <c r="CB174" s="22" t="s">
        <v>391</v>
      </c>
      <c r="CC174" s="22" t="s">
        <v>391</v>
      </c>
      <c r="CD174" s="22" t="s">
        <v>391</v>
      </c>
      <c r="CE174" s="22" t="s">
        <v>391</v>
      </c>
      <c r="CF174" s="22" t="s">
        <v>391</v>
      </c>
      <c r="CG174" s="22" t="s">
        <v>421</v>
      </c>
      <c r="CH174" s="22" t="s">
        <v>393</v>
      </c>
      <c r="CI174" s="22" t="s">
        <v>420</v>
      </c>
      <c r="CJ174" s="22" t="s">
        <v>420</v>
      </c>
      <c r="CK174" s="22" t="s">
        <v>1120</v>
      </c>
      <c r="CL174" s="22" t="s">
        <v>344</v>
      </c>
      <c r="CM174" s="22" t="s">
        <v>344</v>
      </c>
      <c r="CN174" s="22" t="s">
        <v>345</v>
      </c>
      <c r="CO174" s="22" t="s">
        <v>345</v>
      </c>
      <c r="CP174" s="22" t="s">
        <v>345</v>
      </c>
      <c r="CQ174" s="22" t="s">
        <v>344</v>
      </c>
      <c r="CR174" s="22" t="s">
        <v>667</v>
      </c>
      <c r="CS174" s="22">
        <v>16</v>
      </c>
      <c r="CT174" s="22">
        <v>40</v>
      </c>
      <c r="CU174" s="22">
        <v>100</v>
      </c>
      <c r="CV174" s="22">
        <v>1</v>
      </c>
      <c r="CW174" s="22" t="s">
        <v>395</v>
      </c>
      <c r="CX174" s="22" t="s">
        <v>396</v>
      </c>
      <c r="CY174" s="22" t="s">
        <v>396</v>
      </c>
      <c r="CZ174" s="22" t="s">
        <v>397</v>
      </c>
      <c r="DA174" s="22" t="s">
        <v>397</v>
      </c>
      <c r="DB174" s="22" t="s">
        <v>397</v>
      </c>
      <c r="DC174" s="22" t="s">
        <v>397</v>
      </c>
      <c r="DD174" s="22" t="s">
        <v>397</v>
      </c>
      <c r="DE174" s="22" t="s">
        <v>397</v>
      </c>
      <c r="DF174" s="22" t="s">
        <v>397</v>
      </c>
      <c r="DG174" s="22" t="s">
        <v>397</v>
      </c>
      <c r="DH174" s="22" t="s">
        <v>397</v>
      </c>
      <c r="DI174" s="22" t="s">
        <v>397</v>
      </c>
      <c r="DJ174" s="22"/>
      <c r="DK174" s="22" t="s">
        <v>367</v>
      </c>
      <c r="DL174" s="22" t="s">
        <v>368</v>
      </c>
      <c r="DM174" s="22" t="s">
        <v>368</v>
      </c>
      <c r="DN174" s="22" t="s">
        <v>368</v>
      </c>
      <c r="DO174" s="22" t="s">
        <v>368</v>
      </c>
      <c r="DP174" s="22" t="s">
        <v>368</v>
      </c>
      <c r="DQ174" s="22" t="s">
        <v>368</v>
      </c>
      <c r="DR174" s="22" t="s">
        <v>368</v>
      </c>
      <c r="DS174" s="22" t="s">
        <v>345</v>
      </c>
      <c r="DT174" s="22" t="s">
        <v>368</v>
      </c>
      <c r="DU174" s="22" t="s">
        <v>368</v>
      </c>
      <c r="DV174" s="22" t="s">
        <v>368</v>
      </c>
      <c r="DW174" s="22" t="s">
        <v>345</v>
      </c>
      <c r="DX174" s="22" t="s">
        <v>369</v>
      </c>
      <c r="DY174" s="22" t="s">
        <v>370</v>
      </c>
      <c r="DZ174" s="22" t="s">
        <v>369</v>
      </c>
      <c r="EA174" s="22" t="s">
        <v>399</v>
      </c>
      <c r="EB174" s="22" t="s">
        <v>369</v>
      </c>
      <c r="EC174" s="22" t="s">
        <v>369</v>
      </c>
      <c r="ED174" s="22" t="s">
        <v>399</v>
      </c>
      <c r="EE174" s="22" t="s">
        <v>370</v>
      </c>
      <c r="EF174" s="22" t="s">
        <v>370</v>
      </c>
      <c r="EG174" s="22" t="s">
        <v>370</v>
      </c>
      <c r="EH174" s="22" t="s">
        <v>370</v>
      </c>
      <c r="EI174" s="22" t="s">
        <v>370</v>
      </c>
      <c r="EJ174" s="22" t="s">
        <v>370</v>
      </c>
      <c r="EK174" s="22" t="s">
        <v>370</v>
      </c>
      <c r="EL174" s="22" t="s">
        <v>372</v>
      </c>
      <c r="EM174" s="22" t="s">
        <v>373</v>
      </c>
      <c r="EN174" s="22" t="s">
        <v>440</v>
      </c>
      <c r="EO174" s="22"/>
      <c r="EP174" s="22"/>
      <c r="EQ174" s="22" t="s">
        <v>376</v>
      </c>
      <c r="ER174" s="22" t="s">
        <v>376</v>
      </c>
      <c r="ES174" s="22" t="s">
        <v>375</v>
      </c>
      <c r="ET174" s="22" t="s">
        <v>376</v>
      </c>
      <c r="EU174" s="22" t="s">
        <v>376</v>
      </c>
      <c r="EV174" s="22" t="s">
        <v>400</v>
      </c>
      <c r="EW174" s="22"/>
      <c r="EX174" s="167" t="s">
        <v>345</v>
      </c>
      <c r="EY174" s="167" t="s">
        <v>344</v>
      </c>
      <c r="EZ174" s="167" t="s">
        <v>344</v>
      </c>
      <c r="FA174" s="22" t="s">
        <v>344</v>
      </c>
      <c r="FB174" s="22" t="s">
        <v>401</v>
      </c>
      <c r="FC174" s="22"/>
      <c r="FD174" s="22" t="s">
        <v>401</v>
      </c>
      <c r="FE174" s="22"/>
      <c r="FF174" s="22" t="s">
        <v>412</v>
      </c>
      <c r="FG174" s="22" t="s">
        <v>413</v>
      </c>
      <c r="FH174" s="22" t="s">
        <v>384</v>
      </c>
      <c r="FI174" s="22" t="s">
        <v>385</v>
      </c>
      <c r="FJ174" s="22"/>
      <c r="FK174" s="22"/>
      <c r="FL174" s="22"/>
      <c r="FM174" s="22"/>
      <c r="FN174" s="22"/>
      <c r="FO174" s="22"/>
      <c r="FP174" s="22"/>
      <c r="FQ174" s="22"/>
      <c r="FR174" s="22"/>
      <c r="FS174" s="22"/>
      <c r="FT174" s="22"/>
      <c r="FU174" s="22"/>
      <c r="FV174" s="22"/>
      <c r="FW174" s="22"/>
      <c r="FX174" s="22"/>
      <c r="FY174" s="22"/>
      <c r="FZ174" s="22"/>
      <c r="GA174" s="22" t="s">
        <v>368</v>
      </c>
      <c r="GB174" s="22" t="s">
        <v>368</v>
      </c>
      <c r="GC174" s="22" t="s">
        <v>368</v>
      </c>
      <c r="GD174" s="22" t="s">
        <v>368</v>
      </c>
      <c r="GE174" s="22" t="s">
        <v>368</v>
      </c>
      <c r="GF174" s="22" t="s">
        <v>368</v>
      </c>
      <c r="GG174" s="22"/>
      <c r="GH174" s="22"/>
      <c r="GI174" s="22"/>
      <c r="GJ174" s="22"/>
      <c r="GK174" s="22"/>
      <c r="GL174" s="22" t="s">
        <v>344</v>
      </c>
      <c r="GM174" s="22" t="s">
        <v>344</v>
      </c>
      <c r="GN174" s="22" t="s">
        <v>344</v>
      </c>
      <c r="GO174" s="22" t="s">
        <v>344</v>
      </c>
      <c r="GP174" s="22" t="s">
        <v>344</v>
      </c>
      <c r="GQ174" s="22" t="s">
        <v>344</v>
      </c>
      <c r="GR174" s="22" t="s">
        <v>344</v>
      </c>
      <c r="GS174" s="22" t="s">
        <v>344</v>
      </c>
      <c r="GT174" s="22" t="s">
        <v>344</v>
      </c>
      <c r="GU174" s="22" t="s">
        <v>344</v>
      </c>
      <c r="GV174" s="22" t="s">
        <v>345</v>
      </c>
      <c r="GW174" s="22" t="s">
        <v>344</v>
      </c>
      <c r="GX174" s="22" t="s">
        <v>344</v>
      </c>
      <c r="GY174" s="22" t="s">
        <v>344</v>
      </c>
      <c r="GZ174" s="22" t="s">
        <v>344</v>
      </c>
      <c r="HA174" s="22"/>
      <c r="HB174" s="22" t="s">
        <v>344</v>
      </c>
      <c r="HC174" s="22"/>
      <c r="HD174" s="22" t="s">
        <v>344</v>
      </c>
      <c r="HE174" s="22"/>
      <c r="HF174" s="22" t="s">
        <v>344</v>
      </c>
      <c r="HG174" s="22"/>
      <c r="HH174" s="22" t="s">
        <v>344</v>
      </c>
      <c r="HI174" s="22"/>
      <c r="HJ174" s="22" t="s">
        <v>344</v>
      </c>
      <c r="HK174" s="22" t="s">
        <v>344</v>
      </c>
      <c r="HL174" s="22" t="s">
        <v>344</v>
      </c>
      <c r="HM174" s="22" t="s">
        <v>344</v>
      </c>
      <c r="HN174" s="22" t="s">
        <v>344</v>
      </c>
      <c r="HO174" s="22" t="s">
        <v>344</v>
      </c>
      <c r="HP174" s="22" t="s">
        <v>344</v>
      </c>
      <c r="HQ174" s="22" t="s">
        <v>344</v>
      </c>
      <c r="HR174" s="22" t="s">
        <v>344</v>
      </c>
      <c r="HS174" s="22" t="s">
        <v>344</v>
      </c>
      <c r="HT174" s="22" t="s">
        <v>344</v>
      </c>
      <c r="HU174" s="22" t="s">
        <v>344</v>
      </c>
      <c r="HV174" s="22" t="s">
        <v>344</v>
      </c>
      <c r="HW174" s="22" t="s">
        <v>344</v>
      </c>
      <c r="HX174" s="22" t="s">
        <v>345</v>
      </c>
      <c r="HY174" s="22"/>
      <c r="HZ174" s="22" t="s">
        <v>344</v>
      </c>
      <c r="IA174" s="22"/>
      <c r="IB174" s="22" t="s">
        <v>344</v>
      </c>
      <c r="IC174" s="22"/>
      <c r="ID174" s="22" t="s">
        <v>344</v>
      </c>
      <c r="IE174" s="22"/>
      <c r="IF174" s="22" t="s">
        <v>344</v>
      </c>
      <c r="IG174" s="22"/>
      <c r="IH174" s="22" t="s">
        <v>345</v>
      </c>
      <c r="II174" s="22" t="s">
        <v>345</v>
      </c>
      <c r="IJ174" s="22" t="s">
        <v>345</v>
      </c>
      <c r="IK174" s="22" t="s">
        <v>344</v>
      </c>
      <c r="IL174" s="22" t="s">
        <v>345</v>
      </c>
      <c r="IM174" s="22" t="s">
        <v>345</v>
      </c>
      <c r="IN174" s="22" t="s">
        <v>344</v>
      </c>
      <c r="IO174" s="22" t="s">
        <v>345</v>
      </c>
      <c r="IP174" s="22" t="s">
        <v>344</v>
      </c>
      <c r="IQ174" s="22" t="s">
        <v>344</v>
      </c>
      <c r="IR174" s="22" t="s">
        <v>344</v>
      </c>
      <c r="IS174" s="22" t="s">
        <v>344</v>
      </c>
      <c r="IT174" s="22"/>
      <c r="IU174" s="22"/>
      <c r="IV174" s="22"/>
      <c r="IW174" s="22"/>
      <c r="IX174" s="22"/>
      <c r="IY174" s="22"/>
      <c r="IZ174" s="22"/>
      <c r="JA174" s="22"/>
      <c r="JB174" s="22"/>
      <c r="JC174" s="22"/>
      <c r="JD174" s="22"/>
      <c r="JE174" s="22"/>
      <c r="JF174" s="22"/>
      <c r="JG174" s="22"/>
      <c r="JH174" s="22"/>
    </row>
    <row r="175" spans="1:268" x14ac:dyDescent="0.3">
      <c r="A175" s="22" t="s">
        <v>813</v>
      </c>
      <c r="B175" s="22">
        <v>282</v>
      </c>
      <c r="C175" s="22" t="s">
        <v>1121</v>
      </c>
      <c r="D175" s="22">
        <v>14</v>
      </c>
      <c r="E175" s="22" t="s">
        <v>387</v>
      </c>
      <c r="F175" s="22">
        <v>1779985798</v>
      </c>
      <c r="G175" s="22" t="s">
        <v>1122</v>
      </c>
      <c r="H175" s="22" t="s">
        <v>1121</v>
      </c>
      <c r="I175" s="22" t="s">
        <v>1035</v>
      </c>
      <c r="J175" s="22">
        <v>17</v>
      </c>
      <c r="K175" s="22" t="s">
        <v>406</v>
      </c>
      <c r="L175" s="22"/>
      <c r="M175" s="22" t="s">
        <v>345</v>
      </c>
      <c r="N175" s="22" t="s">
        <v>345</v>
      </c>
      <c r="O175" s="22" t="s">
        <v>344</v>
      </c>
      <c r="P175" s="22" t="s">
        <v>344</v>
      </c>
      <c r="Q175" s="22" t="s">
        <v>344</v>
      </c>
      <c r="R175" s="22"/>
      <c r="S175" s="22" t="s">
        <v>522</v>
      </c>
      <c r="T175" s="22"/>
      <c r="U175" s="22" t="s">
        <v>428</v>
      </c>
      <c r="V175" s="22"/>
      <c r="W175" s="22" t="s">
        <v>345</v>
      </c>
      <c r="X175" s="22" t="s">
        <v>344</v>
      </c>
      <c r="Y175" s="22" t="s">
        <v>345</v>
      </c>
      <c r="Z175" s="22" t="s">
        <v>344</v>
      </c>
      <c r="AA175" s="22" t="s">
        <v>344</v>
      </c>
      <c r="AB175" s="22" t="s">
        <v>345</v>
      </c>
      <c r="AC175" s="22" t="s">
        <v>344</v>
      </c>
      <c r="AD175" s="22" t="s">
        <v>344</v>
      </c>
      <c r="AE175" s="22" t="s">
        <v>345</v>
      </c>
      <c r="AF175" s="22" t="s">
        <v>344</v>
      </c>
      <c r="AG175" s="22" t="s">
        <v>344</v>
      </c>
      <c r="AH175" s="22" t="s">
        <v>345</v>
      </c>
      <c r="AI175" s="22" t="s">
        <v>345</v>
      </c>
      <c r="AJ175" s="22" t="s">
        <v>344</v>
      </c>
      <c r="AK175" s="22" t="s">
        <v>344</v>
      </c>
      <c r="AL175" s="22" t="s">
        <v>344</v>
      </c>
      <c r="AM175" s="22" t="s">
        <v>345</v>
      </c>
      <c r="AN175" s="22" t="s">
        <v>344</v>
      </c>
      <c r="AO175" s="22" t="s">
        <v>345</v>
      </c>
      <c r="AP175" s="22" t="s">
        <v>344</v>
      </c>
      <c r="AQ175" s="22" t="s">
        <v>344</v>
      </c>
      <c r="AR175" s="22" t="s">
        <v>344</v>
      </c>
      <c r="AS175" s="22" t="s">
        <v>344</v>
      </c>
      <c r="AT175" s="22" t="s">
        <v>344</v>
      </c>
      <c r="AU175" s="22" t="s">
        <v>345</v>
      </c>
      <c r="AV175" s="22" t="s">
        <v>345</v>
      </c>
      <c r="AW175" s="22" t="s">
        <v>345</v>
      </c>
      <c r="AX175" s="22" t="s">
        <v>344</v>
      </c>
      <c r="AY175" s="22" t="s">
        <v>731</v>
      </c>
      <c r="AZ175" s="22" t="s">
        <v>733</v>
      </c>
      <c r="BA175" s="22" t="s">
        <v>731</v>
      </c>
      <c r="BB175" s="22" t="s">
        <v>733</v>
      </c>
      <c r="BC175" s="22" t="s">
        <v>733</v>
      </c>
      <c r="BD175" s="22" t="s">
        <v>731</v>
      </c>
      <c r="BE175" s="22" t="s">
        <v>390</v>
      </c>
      <c r="BF175" s="22" t="s">
        <v>349</v>
      </c>
      <c r="BG175" s="22" t="s">
        <v>349</v>
      </c>
      <c r="BH175" s="22" t="s">
        <v>349</v>
      </c>
      <c r="BI175" s="22" t="s">
        <v>349</v>
      </c>
      <c r="BJ175" s="22" t="s">
        <v>351</v>
      </c>
      <c r="BK175" s="22" t="s">
        <v>353</v>
      </c>
      <c r="BL175" s="22" t="s">
        <v>354</v>
      </c>
      <c r="BM175" s="22" t="s">
        <v>351</v>
      </c>
      <c r="BN175" s="22" t="s">
        <v>354</v>
      </c>
      <c r="BO175" s="22" t="s">
        <v>353</v>
      </c>
      <c r="BP175" s="22" t="s">
        <v>357</v>
      </c>
      <c r="BQ175" s="22" t="s">
        <v>689</v>
      </c>
      <c r="BR175" s="22" t="s">
        <v>408</v>
      </c>
      <c r="BS175" s="22" t="s">
        <v>356</v>
      </c>
      <c r="BT175" s="22" t="s">
        <v>351</v>
      </c>
      <c r="BU175" s="22" t="s">
        <v>357</v>
      </c>
      <c r="BV175" s="22" t="s">
        <v>354</v>
      </c>
      <c r="BW175" s="22" t="s">
        <v>351</v>
      </c>
      <c r="BX175" s="22" t="s">
        <v>355</v>
      </c>
      <c r="BY175" s="22" t="s">
        <v>353</v>
      </c>
      <c r="BZ175" s="22" t="s">
        <v>356</v>
      </c>
      <c r="CA175" s="22" t="s">
        <v>351</v>
      </c>
      <c r="CB175" s="22" t="s">
        <v>357</v>
      </c>
      <c r="CC175" s="22" t="s">
        <v>352</v>
      </c>
      <c r="CD175" s="22" t="s">
        <v>353</v>
      </c>
      <c r="CE175" s="22" t="s">
        <v>355</v>
      </c>
      <c r="CF175" s="22" t="s">
        <v>351</v>
      </c>
      <c r="CG175" s="22" t="s">
        <v>420</v>
      </c>
      <c r="CH175" s="22" t="s">
        <v>421</v>
      </c>
      <c r="CI175" s="22" t="s">
        <v>393</v>
      </c>
      <c r="CJ175" s="22" t="s">
        <v>420</v>
      </c>
      <c r="CK175" s="22" t="s">
        <v>1123</v>
      </c>
      <c r="CL175" s="22" t="s">
        <v>344</v>
      </c>
      <c r="CM175" s="22" t="s">
        <v>344</v>
      </c>
      <c r="CN175" s="22" t="s">
        <v>344</v>
      </c>
      <c r="CO175" s="22" t="s">
        <v>344</v>
      </c>
      <c r="CP175" s="22" t="s">
        <v>344</v>
      </c>
      <c r="CQ175" s="22" t="s">
        <v>345</v>
      </c>
      <c r="CR175" s="22" t="s">
        <v>655</v>
      </c>
      <c r="CS175" s="22">
        <v>3</v>
      </c>
      <c r="CT175" s="22">
        <v>50</v>
      </c>
      <c r="CU175" s="22">
        <v>50</v>
      </c>
      <c r="CV175" s="22">
        <v>3</v>
      </c>
      <c r="CW175" s="22" t="s">
        <v>363</v>
      </c>
      <c r="CX175" s="22" t="s">
        <v>396</v>
      </c>
      <c r="CY175" s="22" t="s">
        <v>396</v>
      </c>
      <c r="CZ175" s="22" t="s">
        <v>397</v>
      </c>
      <c r="DA175" s="22" t="s">
        <v>397</v>
      </c>
      <c r="DB175" s="22" t="s">
        <v>397</v>
      </c>
      <c r="DC175" s="22" t="s">
        <v>366</v>
      </c>
      <c r="DD175" s="22" t="s">
        <v>366</v>
      </c>
      <c r="DE175" s="22" t="s">
        <v>397</v>
      </c>
      <c r="DF175" s="22" t="s">
        <v>397</v>
      </c>
      <c r="DG175" s="22" t="s">
        <v>397</v>
      </c>
      <c r="DH175" s="22" t="s">
        <v>397</v>
      </c>
      <c r="DI175" s="22" t="s">
        <v>397</v>
      </c>
      <c r="DJ175" s="22"/>
      <c r="DK175" s="22" t="s">
        <v>492</v>
      </c>
      <c r="DL175" s="22" t="s">
        <v>368</v>
      </c>
      <c r="DM175" s="22" t="s">
        <v>368</v>
      </c>
      <c r="DN175" s="22" t="s">
        <v>368</v>
      </c>
      <c r="DO175" s="22" t="s">
        <v>345</v>
      </c>
      <c r="DP175" s="22" t="s">
        <v>368</v>
      </c>
      <c r="DQ175" s="22" t="s">
        <v>368</v>
      </c>
      <c r="DR175" s="22" t="s">
        <v>368</v>
      </c>
      <c r="DS175" s="22" t="s">
        <v>345</v>
      </c>
      <c r="DT175" s="22" t="s">
        <v>368</v>
      </c>
      <c r="DU175" s="22" t="s">
        <v>368</v>
      </c>
      <c r="DV175" s="22" t="s">
        <v>368</v>
      </c>
      <c r="DW175" s="22" t="s">
        <v>345</v>
      </c>
      <c r="DX175" s="22" t="s">
        <v>399</v>
      </c>
      <c r="DY175" s="22" t="s">
        <v>370</v>
      </c>
      <c r="DZ175" s="22" t="s">
        <v>371</v>
      </c>
      <c r="EA175" s="22" t="s">
        <v>371</v>
      </c>
      <c r="EB175" s="22" t="s">
        <v>369</v>
      </c>
      <c r="EC175" s="22" t="s">
        <v>369</v>
      </c>
      <c r="ED175" s="22" t="s">
        <v>371</v>
      </c>
      <c r="EE175" s="22" t="s">
        <v>370</v>
      </c>
      <c r="EF175" s="22" t="s">
        <v>370</v>
      </c>
      <c r="EG175" s="22" t="s">
        <v>370</v>
      </c>
      <c r="EH175" s="22" t="s">
        <v>370</v>
      </c>
      <c r="EI175" s="22" t="s">
        <v>369</v>
      </c>
      <c r="EJ175" s="22" t="s">
        <v>369</v>
      </c>
      <c r="EK175" s="22" t="s">
        <v>370</v>
      </c>
      <c r="EL175" s="22" t="s">
        <v>373</v>
      </c>
      <c r="EM175" s="22" t="s">
        <v>374</v>
      </c>
      <c r="EN175" s="22" t="s">
        <v>372</v>
      </c>
      <c r="EO175" s="22"/>
      <c r="EP175" s="22"/>
      <c r="EQ175" s="22" t="s">
        <v>375</v>
      </c>
      <c r="ER175" s="22" t="s">
        <v>375</v>
      </c>
      <c r="ES175" s="22" t="s">
        <v>376</v>
      </c>
      <c r="ET175" s="22" t="s">
        <v>391</v>
      </c>
      <c r="EU175" s="22" t="s">
        <v>391</v>
      </c>
      <c r="EV175" s="22" t="s">
        <v>400</v>
      </c>
      <c r="EW175" s="22"/>
      <c r="EX175" s="22" t="s">
        <v>368</v>
      </c>
      <c r="EY175" s="22" t="s">
        <v>368</v>
      </c>
      <c r="EZ175" s="22" t="s">
        <v>368</v>
      </c>
      <c r="FA175" s="22" t="s">
        <v>345</v>
      </c>
      <c r="FB175" s="22" t="s">
        <v>381</v>
      </c>
      <c r="FC175" s="22"/>
      <c r="FD175" s="22" t="s">
        <v>401</v>
      </c>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t="s">
        <v>368</v>
      </c>
      <c r="GB175" s="22" t="s">
        <v>368</v>
      </c>
      <c r="GC175" s="22" t="s">
        <v>368</v>
      </c>
      <c r="GD175" s="22" t="s">
        <v>368</v>
      </c>
      <c r="GE175" s="22" t="s">
        <v>368</v>
      </c>
      <c r="GF175" s="22" t="s">
        <v>368</v>
      </c>
      <c r="GG175" s="22"/>
      <c r="GH175" s="22"/>
      <c r="GI175" s="22"/>
      <c r="GJ175" s="22"/>
      <c r="GK175" s="22"/>
      <c r="GL175" s="22" t="s">
        <v>344</v>
      </c>
      <c r="GM175" s="22" t="s">
        <v>344</v>
      </c>
      <c r="GN175" s="22" t="s">
        <v>345</v>
      </c>
      <c r="GO175" s="22" t="s">
        <v>344</v>
      </c>
      <c r="GP175" s="22" t="s">
        <v>344</v>
      </c>
      <c r="GQ175" s="22" t="s">
        <v>344</v>
      </c>
      <c r="GR175" s="22" t="s">
        <v>344</v>
      </c>
      <c r="GS175" s="22" t="s">
        <v>344</v>
      </c>
      <c r="GT175" s="22" t="s">
        <v>344</v>
      </c>
      <c r="GU175" s="22" t="s">
        <v>344</v>
      </c>
      <c r="GV175" s="22" t="s">
        <v>344</v>
      </c>
      <c r="GW175" s="22" t="s">
        <v>344</v>
      </c>
      <c r="GX175" s="22" t="s">
        <v>344</v>
      </c>
      <c r="GY175" s="22" t="s">
        <v>344</v>
      </c>
      <c r="GZ175" s="22" t="s">
        <v>344</v>
      </c>
      <c r="HA175" s="22"/>
      <c r="HB175" s="22" t="s">
        <v>344</v>
      </c>
      <c r="HC175" s="22"/>
      <c r="HD175" s="22" t="s">
        <v>344</v>
      </c>
      <c r="HE175" s="22"/>
      <c r="HF175" s="22" t="s">
        <v>344</v>
      </c>
      <c r="HG175" s="22"/>
      <c r="HH175" s="22" t="s">
        <v>344</v>
      </c>
      <c r="HI175" s="22"/>
      <c r="HJ175" s="22" t="s">
        <v>344</v>
      </c>
      <c r="HK175" s="22" t="s">
        <v>344</v>
      </c>
      <c r="HL175" s="22" t="s">
        <v>344</v>
      </c>
      <c r="HM175" s="22" t="s">
        <v>344</v>
      </c>
      <c r="HN175" s="22" t="s">
        <v>344</v>
      </c>
      <c r="HO175" s="22" t="s">
        <v>344</v>
      </c>
      <c r="HP175" s="22" t="s">
        <v>344</v>
      </c>
      <c r="HQ175" s="22" t="s">
        <v>344</v>
      </c>
      <c r="HR175" s="22" t="s">
        <v>344</v>
      </c>
      <c r="HS175" s="22" t="s">
        <v>344</v>
      </c>
      <c r="HT175" s="22" t="s">
        <v>344</v>
      </c>
      <c r="HU175" s="22" t="s">
        <v>344</v>
      </c>
      <c r="HV175" s="22" t="s">
        <v>344</v>
      </c>
      <c r="HW175" s="22" t="s">
        <v>344</v>
      </c>
      <c r="HX175" s="22" t="s">
        <v>345</v>
      </c>
      <c r="HY175" s="22"/>
      <c r="HZ175" s="22" t="s">
        <v>344</v>
      </c>
      <c r="IA175" s="22"/>
      <c r="IB175" s="22" t="s">
        <v>344</v>
      </c>
      <c r="IC175" s="22"/>
      <c r="ID175" s="22" t="s">
        <v>344</v>
      </c>
      <c r="IE175" s="22"/>
      <c r="IF175" s="22" t="s">
        <v>344</v>
      </c>
      <c r="IG175" s="22"/>
      <c r="IH175" s="22" t="s">
        <v>345</v>
      </c>
      <c r="II175" s="22" t="s">
        <v>345</v>
      </c>
      <c r="IJ175" s="22" t="s">
        <v>345</v>
      </c>
      <c r="IK175" s="22" t="s">
        <v>344</v>
      </c>
      <c r="IL175" s="22" t="s">
        <v>344</v>
      </c>
      <c r="IM175" s="22" t="s">
        <v>345</v>
      </c>
      <c r="IN175" s="22" t="s">
        <v>344</v>
      </c>
      <c r="IO175" s="22" t="s">
        <v>344</v>
      </c>
      <c r="IP175" s="22" t="s">
        <v>344</v>
      </c>
      <c r="IQ175" s="22" t="s">
        <v>344</v>
      </c>
      <c r="IR175" s="22" t="s">
        <v>344</v>
      </c>
      <c r="IS175" s="22" t="s">
        <v>344</v>
      </c>
      <c r="IT175" s="22"/>
      <c r="IU175" s="22"/>
      <c r="IV175" s="22"/>
      <c r="IW175" s="22"/>
      <c r="IX175" s="22"/>
      <c r="IY175" s="22"/>
      <c r="IZ175" s="22"/>
      <c r="JA175" s="22"/>
      <c r="JB175" s="22"/>
      <c r="JC175" s="22"/>
      <c r="JD175" s="22"/>
      <c r="JE175" s="22"/>
      <c r="JF175" s="22"/>
      <c r="JG175" s="22"/>
      <c r="JH175" s="22"/>
    </row>
    <row r="176" spans="1:268" x14ac:dyDescent="0.3">
      <c r="A176" s="22" t="s">
        <v>813</v>
      </c>
      <c r="B176" s="22">
        <v>283</v>
      </c>
      <c r="C176" s="22" t="s">
        <v>1124</v>
      </c>
      <c r="D176" s="22">
        <v>14</v>
      </c>
      <c r="E176" s="22" t="s">
        <v>387</v>
      </c>
      <c r="F176" s="22">
        <v>231905899</v>
      </c>
      <c r="G176" s="22" t="s">
        <v>1122</v>
      </c>
      <c r="H176" s="22" t="s">
        <v>1124</v>
      </c>
      <c r="I176" s="22" t="s">
        <v>1035</v>
      </c>
      <c r="J176" s="22">
        <v>17</v>
      </c>
      <c r="K176" s="22" t="s">
        <v>406</v>
      </c>
      <c r="L176" s="22"/>
      <c r="M176" s="22" t="s">
        <v>344</v>
      </c>
      <c r="N176" s="22" t="s">
        <v>345</v>
      </c>
      <c r="O176" s="22" t="s">
        <v>344</v>
      </c>
      <c r="P176" s="22" t="s">
        <v>344</v>
      </c>
      <c r="Q176" s="22" t="s">
        <v>344</v>
      </c>
      <c r="R176" s="22"/>
      <c r="S176" s="22" t="s">
        <v>522</v>
      </c>
      <c r="T176" s="22"/>
      <c r="U176" s="22" t="s">
        <v>418</v>
      </c>
      <c r="V176" s="22"/>
      <c r="W176" s="22" t="s">
        <v>344</v>
      </c>
      <c r="X176" s="22" t="s">
        <v>344</v>
      </c>
      <c r="Y176" s="22" t="s">
        <v>344</v>
      </c>
      <c r="Z176" s="22" t="s">
        <v>345</v>
      </c>
      <c r="AA176" s="22" t="s">
        <v>344</v>
      </c>
      <c r="AB176" s="22" t="s">
        <v>344</v>
      </c>
      <c r="AC176" s="22" t="s">
        <v>344</v>
      </c>
      <c r="AD176" s="22" t="s">
        <v>368</v>
      </c>
      <c r="AE176" s="22" t="s">
        <v>368</v>
      </c>
      <c r="AF176" s="22" t="s">
        <v>368</v>
      </c>
      <c r="AG176" s="22" t="s">
        <v>368</v>
      </c>
      <c r="AH176" s="22" t="s">
        <v>368</v>
      </c>
      <c r="AI176" s="22" t="s">
        <v>368</v>
      </c>
      <c r="AJ176" s="22" t="s">
        <v>345</v>
      </c>
      <c r="AK176" s="22" t="s">
        <v>345</v>
      </c>
      <c r="AL176" s="22" t="s">
        <v>344</v>
      </c>
      <c r="AM176" s="22" t="s">
        <v>344</v>
      </c>
      <c r="AN176" s="22" t="s">
        <v>344</v>
      </c>
      <c r="AO176" s="22" t="s">
        <v>344</v>
      </c>
      <c r="AP176" s="22" t="s">
        <v>344</v>
      </c>
      <c r="AQ176" s="22" t="s">
        <v>344</v>
      </c>
      <c r="AR176" s="22" t="s">
        <v>344</v>
      </c>
      <c r="AS176" s="22" t="s">
        <v>344</v>
      </c>
      <c r="AT176" s="22" t="s">
        <v>345</v>
      </c>
      <c r="AU176" s="22" t="s">
        <v>345</v>
      </c>
      <c r="AV176" s="22" t="s">
        <v>344</v>
      </c>
      <c r="AW176" s="22" t="s">
        <v>344</v>
      </c>
      <c r="AX176" s="22" t="s">
        <v>344</v>
      </c>
      <c r="AY176" s="22" t="s">
        <v>732</v>
      </c>
      <c r="AZ176" s="22" t="s">
        <v>731</v>
      </c>
      <c r="BA176" s="22" t="s">
        <v>733</v>
      </c>
      <c r="BB176" s="22" t="s">
        <v>733</v>
      </c>
      <c r="BC176" s="22" t="s">
        <v>733</v>
      </c>
      <c r="BD176" s="22" t="s">
        <v>733</v>
      </c>
      <c r="BE176" s="22" t="s">
        <v>390</v>
      </c>
      <c r="BF176" s="22" t="s">
        <v>349</v>
      </c>
      <c r="BG176" s="22" t="s">
        <v>390</v>
      </c>
      <c r="BH176" s="22" t="s">
        <v>349</v>
      </c>
      <c r="BI176" s="22" t="s">
        <v>348</v>
      </c>
      <c r="BJ176" s="22" t="s">
        <v>354</v>
      </c>
      <c r="BK176" s="22" t="s">
        <v>355</v>
      </c>
      <c r="BL176" s="22" t="s">
        <v>357</v>
      </c>
      <c r="BM176" s="22" t="s">
        <v>351</v>
      </c>
      <c r="BN176" s="22" t="s">
        <v>353</v>
      </c>
      <c r="BO176" s="22" t="s">
        <v>352</v>
      </c>
      <c r="BP176" s="22" t="s">
        <v>356</v>
      </c>
      <c r="BQ176" s="22" t="s">
        <v>419</v>
      </c>
      <c r="BR176" s="22" t="s">
        <v>429</v>
      </c>
      <c r="BS176" s="22" t="s">
        <v>354</v>
      </c>
      <c r="BT176" s="22" t="s">
        <v>351</v>
      </c>
      <c r="BU176" s="22" t="s">
        <v>357</v>
      </c>
      <c r="BV176" s="22" t="s">
        <v>353</v>
      </c>
      <c r="BW176" s="22" t="s">
        <v>356</v>
      </c>
      <c r="BX176" s="22" t="s">
        <v>355</v>
      </c>
      <c r="BY176" s="22" t="s">
        <v>352</v>
      </c>
      <c r="BZ176" s="22" t="s">
        <v>352</v>
      </c>
      <c r="CA176" s="22" t="s">
        <v>355</v>
      </c>
      <c r="CB176" s="22" t="s">
        <v>356</v>
      </c>
      <c r="CC176" s="22" t="s">
        <v>353</v>
      </c>
      <c r="CD176" s="22" t="s">
        <v>357</v>
      </c>
      <c r="CE176" s="22" t="s">
        <v>351</v>
      </c>
      <c r="CF176" s="22" t="s">
        <v>354</v>
      </c>
      <c r="CG176" s="22" t="s">
        <v>393</v>
      </c>
      <c r="CH176" s="22" t="s">
        <v>421</v>
      </c>
      <c r="CI176" s="22" t="s">
        <v>421</v>
      </c>
      <c r="CJ176" s="22" t="s">
        <v>393</v>
      </c>
      <c r="CK176" s="22" t="s">
        <v>391</v>
      </c>
      <c r="CL176" s="22" t="s">
        <v>344</v>
      </c>
      <c r="CM176" s="22" t="s">
        <v>345</v>
      </c>
      <c r="CN176" s="22" t="s">
        <v>344</v>
      </c>
      <c r="CO176" s="22" t="s">
        <v>344</v>
      </c>
      <c r="CP176" s="22" t="s">
        <v>344</v>
      </c>
      <c r="CQ176" s="22" t="s">
        <v>344</v>
      </c>
      <c r="CR176" s="22" t="s">
        <v>667</v>
      </c>
      <c r="CS176" s="22">
        <v>66</v>
      </c>
      <c r="CT176" s="22">
        <v>23</v>
      </c>
      <c r="CU176" s="22">
        <v>66</v>
      </c>
      <c r="CV176" s="22">
        <v>67</v>
      </c>
      <c r="CW176" s="22" t="s">
        <v>395</v>
      </c>
      <c r="CX176" s="22" t="s">
        <v>395</v>
      </c>
      <c r="CY176" s="22" t="s">
        <v>395</v>
      </c>
      <c r="CZ176" s="22" t="s">
        <v>397</v>
      </c>
      <c r="DA176" s="22" t="s">
        <v>397</v>
      </c>
      <c r="DB176" s="22" t="s">
        <v>397</v>
      </c>
      <c r="DC176" s="22" t="s">
        <v>397</v>
      </c>
      <c r="DD176" s="22" t="s">
        <v>397</v>
      </c>
      <c r="DE176" s="22" t="s">
        <v>397</v>
      </c>
      <c r="DF176" s="22" t="s">
        <v>397</v>
      </c>
      <c r="DG176" s="22" t="s">
        <v>397</v>
      </c>
      <c r="DH176" s="22" t="s">
        <v>397</v>
      </c>
      <c r="DI176" s="22" t="s">
        <v>397</v>
      </c>
      <c r="DJ176" s="22"/>
      <c r="DK176" s="22" t="s">
        <v>367</v>
      </c>
      <c r="DL176" s="22" t="s">
        <v>368</v>
      </c>
      <c r="DM176" s="22" t="s">
        <v>368</v>
      </c>
      <c r="DN176" s="22" t="s">
        <v>368</v>
      </c>
      <c r="DO176" s="22" t="s">
        <v>368</v>
      </c>
      <c r="DP176" s="22" t="s">
        <v>344</v>
      </c>
      <c r="DQ176" s="22" t="s">
        <v>344</v>
      </c>
      <c r="DR176" s="22" t="s">
        <v>345</v>
      </c>
      <c r="DS176" s="22" t="s">
        <v>344</v>
      </c>
      <c r="DT176" s="22" t="s">
        <v>368</v>
      </c>
      <c r="DU176" s="22" t="s">
        <v>368</v>
      </c>
      <c r="DV176" s="22" t="s">
        <v>368</v>
      </c>
      <c r="DW176" s="22" t="s">
        <v>345</v>
      </c>
      <c r="DX176" s="22" t="s">
        <v>369</v>
      </c>
      <c r="DY176" s="22" t="s">
        <v>370</v>
      </c>
      <c r="DZ176" s="22" t="s">
        <v>369</v>
      </c>
      <c r="EA176" s="22" t="s">
        <v>369</v>
      </c>
      <c r="EB176" s="22" t="s">
        <v>369</v>
      </c>
      <c r="EC176" s="22" t="s">
        <v>369</v>
      </c>
      <c r="ED176" s="22" t="s">
        <v>369</v>
      </c>
      <c r="EE176" s="22" t="s">
        <v>370</v>
      </c>
      <c r="EF176" s="22" t="s">
        <v>370</v>
      </c>
      <c r="EG176" s="22" t="s">
        <v>369</v>
      </c>
      <c r="EH176" s="22" t="s">
        <v>370</v>
      </c>
      <c r="EI176" s="22" t="s">
        <v>370</v>
      </c>
      <c r="EJ176" s="22" t="s">
        <v>370</v>
      </c>
      <c r="EK176" s="22" t="s">
        <v>370</v>
      </c>
      <c r="EL176" s="22" t="s">
        <v>374</v>
      </c>
      <c r="EM176" s="22" t="s">
        <v>373</v>
      </c>
      <c r="EN176" s="22" t="s">
        <v>424</v>
      </c>
      <c r="EO176" s="22"/>
      <c r="EP176" s="22"/>
      <c r="EQ176" s="22" t="s">
        <v>391</v>
      </c>
      <c r="ER176" s="22" t="s">
        <v>376</v>
      </c>
      <c r="ES176" s="22" t="s">
        <v>376</v>
      </c>
      <c r="ET176" s="22" t="s">
        <v>391</v>
      </c>
      <c r="EU176" s="22" t="s">
        <v>391</v>
      </c>
      <c r="EV176" s="22" t="s">
        <v>400</v>
      </c>
      <c r="EW176" s="22"/>
      <c r="EX176" s="22" t="s">
        <v>368</v>
      </c>
      <c r="EY176" s="22" t="s">
        <v>368</v>
      </c>
      <c r="EZ176" s="22" t="s">
        <v>368</v>
      </c>
      <c r="FA176" s="22" t="s">
        <v>345</v>
      </c>
      <c r="FB176" s="22" t="s">
        <v>401</v>
      </c>
      <c r="FC176" s="22"/>
      <c r="FD176" s="22" t="s">
        <v>401</v>
      </c>
      <c r="FE176" s="22"/>
      <c r="FF176" s="22" t="s">
        <v>412</v>
      </c>
      <c r="FG176" s="22" t="s">
        <v>383</v>
      </c>
      <c r="FH176" s="22" t="s">
        <v>451</v>
      </c>
      <c r="FI176" s="22" t="s">
        <v>403</v>
      </c>
      <c r="FJ176" s="22"/>
      <c r="FK176" s="22"/>
      <c r="FL176" s="22"/>
      <c r="FM176" s="22"/>
      <c r="FN176" s="22"/>
      <c r="FO176" s="22"/>
      <c r="FP176" s="22"/>
      <c r="FQ176" s="22"/>
      <c r="FR176" s="22"/>
      <c r="FS176" s="22"/>
      <c r="FT176" s="22"/>
      <c r="FU176" s="22"/>
      <c r="FV176" s="22"/>
      <c r="FW176" s="22"/>
      <c r="FX176" s="22"/>
      <c r="FY176" s="22"/>
      <c r="FZ176" s="22"/>
      <c r="GA176" s="22" t="s">
        <v>368</v>
      </c>
      <c r="GB176" s="22" t="s">
        <v>368</v>
      </c>
      <c r="GC176" s="22" t="s">
        <v>368</v>
      </c>
      <c r="GD176" s="22" t="s">
        <v>368</v>
      </c>
      <c r="GE176" s="22" t="s">
        <v>368</v>
      </c>
      <c r="GF176" s="22" t="s">
        <v>368</v>
      </c>
      <c r="GG176" s="22"/>
      <c r="GH176" s="22"/>
      <c r="GI176" s="22"/>
      <c r="GJ176" s="22"/>
      <c r="GK176" s="22"/>
      <c r="GL176" s="22" t="s">
        <v>344</v>
      </c>
      <c r="GM176" s="22" t="s">
        <v>344</v>
      </c>
      <c r="GN176" s="22" t="s">
        <v>344</v>
      </c>
      <c r="GO176" s="22" t="s">
        <v>344</v>
      </c>
      <c r="GP176" s="22" t="s">
        <v>344</v>
      </c>
      <c r="GQ176" s="22" t="s">
        <v>344</v>
      </c>
      <c r="GR176" s="22" t="s">
        <v>344</v>
      </c>
      <c r="GS176" s="22" t="s">
        <v>344</v>
      </c>
      <c r="GT176" s="22" t="s">
        <v>344</v>
      </c>
      <c r="GU176" s="22" t="s">
        <v>344</v>
      </c>
      <c r="GV176" s="22" t="s">
        <v>344</v>
      </c>
      <c r="GW176" s="22" t="s">
        <v>344</v>
      </c>
      <c r="GX176" s="22" t="s">
        <v>344</v>
      </c>
      <c r="GY176" s="22" t="s">
        <v>344</v>
      </c>
      <c r="GZ176" s="22" t="s">
        <v>345</v>
      </c>
      <c r="HA176" s="22"/>
      <c r="HB176" s="22" t="s">
        <v>344</v>
      </c>
      <c r="HC176" s="22"/>
      <c r="HD176" s="22" t="s">
        <v>344</v>
      </c>
      <c r="HE176" s="22"/>
      <c r="HF176" s="22" t="s">
        <v>344</v>
      </c>
      <c r="HG176" s="22"/>
      <c r="HH176" s="22" t="s">
        <v>344</v>
      </c>
      <c r="HI176" s="22"/>
      <c r="HJ176" s="22" t="s">
        <v>344</v>
      </c>
      <c r="HK176" s="22" t="s">
        <v>344</v>
      </c>
      <c r="HL176" s="22" t="s">
        <v>344</v>
      </c>
      <c r="HM176" s="22" t="s">
        <v>344</v>
      </c>
      <c r="HN176" s="22" t="s">
        <v>344</v>
      </c>
      <c r="HO176" s="22" t="s">
        <v>344</v>
      </c>
      <c r="HP176" s="22" t="s">
        <v>344</v>
      </c>
      <c r="HQ176" s="22" t="s">
        <v>344</v>
      </c>
      <c r="HR176" s="22" t="s">
        <v>344</v>
      </c>
      <c r="HS176" s="22" t="s">
        <v>344</v>
      </c>
      <c r="HT176" s="22" t="s">
        <v>344</v>
      </c>
      <c r="HU176" s="22" t="s">
        <v>344</v>
      </c>
      <c r="HV176" s="22" t="s">
        <v>344</v>
      </c>
      <c r="HW176" s="22" t="s">
        <v>344</v>
      </c>
      <c r="HX176" s="22" t="s">
        <v>345</v>
      </c>
      <c r="HY176" s="22"/>
      <c r="HZ176" s="22" t="s">
        <v>344</v>
      </c>
      <c r="IA176" s="22"/>
      <c r="IB176" s="22" t="s">
        <v>344</v>
      </c>
      <c r="IC176" s="22"/>
      <c r="ID176" s="22" t="s">
        <v>344</v>
      </c>
      <c r="IE176" s="22"/>
      <c r="IF176" s="22" t="s">
        <v>344</v>
      </c>
      <c r="IG176" s="22"/>
      <c r="IH176" s="22" t="s">
        <v>345</v>
      </c>
      <c r="II176" s="22" t="s">
        <v>345</v>
      </c>
      <c r="IJ176" s="22" t="s">
        <v>344</v>
      </c>
      <c r="IK176" s="22" t="s">
        <v>344</v>
      </c>
      <c r="IL176" s="22" t="s">
        <v>345</v>
      </c>
      <c r="IM176" s="22" t="s">
        <v>345</v>
      </c>
      <c r="IN176" s="22" t="s">
        <v>344</v>
      </c>
      <c r="IO176" s="22" t="s">
        <v>345</v>
      </c>
      <c r="IP176" s="22" t="s">
        <v>344</v>
      </c>
      <c r="IQ176" s="22" t="s">
        <v>344</v>
      </c>
      <c r="IR176" s="22" t="s">
        <v>345</v>
      </c>
      <c r="IS176" s="22" t="s">
        <v>344</v>
      </c>
      <c r="IT176" s="22"/>
      <c r="IU176" s="22" t="s">
        <v>1125</v>
      </c>
      <c r="IV176" s="22"/>
      <c r="IW176" s="22"/>
      <c r="IX176" s="22"/>
      <c r="IY176" s="22"/>
      <c r="IZ176" s="22"/>
      <c r="JA176" s="22"/>
      <c r="JB176" s="22"/>
      <c r="JC176" s="22"/>
      <c r="JD176" s="22"/>
      <c r="JE176" s="22"/>
      <c r="JF176" s="22"/>
      <c r="JG176" s="22"/>
      <c r="JH176" s="22"/>
    </row>
    <row r="177" spans="1:268" x14ac:dyDescent="0.3">
      <c r="A177" s="22" t="s">
        <v>813</v>
      </c>
      <c r="B177" s="22">
        <v>284</v>
      </c>
      <c r="C177" s="22" t="s">
        <v>1126</v>
      </c>
      <c r="D177" s="22">
        <v>14</v>
      </c>
      <c r="E177" s="22" t="s">
        <v>387</v>
      </c>
      <c r="F177" s="22">
        <v>248035640</v>
      </c>
      <c r="G177" s="22" t="s">
        <v>1127</v>
      </c>
      <c r="H177" s="22" t="s">
        <v>1126</v>
      </c>
      <c r="I177" s="22" t="s">
        <v>1035</v>
      </c>
      <c r="J177" s="22">
        <v>17</v>
      </c>
      <c r="K177" s="22" t="s">
        <v>406</v>
      </c>
      <c r="L177" s="22"/>
      <c r="M177" s="22" t="s">
        <v>345</v>
      </c>
      <c r="N177" s="22" t="s">
        <v>345</v>
      </c>
      <c r="O177" s="22" t="s">
        <v>344</v>
      </c>
      <c r="P177" s="22" t="s">
        <v>344</v>
      </c>
      <c r="Q177" s="22" t="s">
        <v>344</v>
      </c>
      <c r="R177" s="22"/>
      <c r="S177" s="22" t="s">
        <v>522</v>
      </c>
      <c r="T177" s="22"/>
      <c r="U177" s="22" t="s">
        <v>347</v>
      </c>
      <c r="V177" s="22"/>
      <c r="W177" s="22" t="s">
        <v>344</v>
      </c>
      <c r="X177" s="22" t="s">
        <v>345</v>
      </c>
      <c r="Y177" s="22" t="s">
        <v>344</v>
      </c>
      <c r="Z177" s="22" t="s">
        <v>344</v>
      </c>
      <c r="AA177" s="22" t="s">
        <v>344</v>
      </c>
      <c r="AB177" s="22" t="s">
        <v>344</v>
      </c>
      <c r="AC177" s="22" t="s">
        <v>344</v>
      </c>
      <c r="AD177" s="22" t="s">
        <v>344</v>
      </c>
      <c r="AE177" s="22" t="s">
        <v>344</v>
      </c>
      <c r="AF177" s="22" t="s">
        <v>344</v>
      </c>
      <c r="AG177" s="22" t="s">
        <v>344</v>
      </c>
      <c r="AH177" s="22" t="s">
        <v>345</v>
      </c>
      <c r="AI177" s="22" t="s">
        <v>344</v>
      </c>
      <c r="AJ177" s="22" t="s">
        <v>344</v>
      </c>
      <c r="AK177" s="22" t="s">
        <v>344</v>
      </c>
      <c r="AL177" s="22" t="s">
        <v>344</v>
      </c>
      <c r="AM177" s="22" t="s">
        <v>344</v>
      </c>
      <c r="AN177" s="22" t="s">
        <v>345</v>
      </c>
      <c r="AO177" s="22" t="s">
        <v>344</v>
      </c>
      <c r="AP177" s="22" t="s">
        <v>344</v>
      </c>
      <c r="AQ177" s="22" t="s">
        <v>344</v>
      </c>
      <c r="AR177" s="22" t="s">
        <v>345</v>
      </c>
      <c r="AS177" s="22" t="s">
        <v>344</v>
      </c>
      <c r="AT177" s="22" t="s">
        <v>344</v>
      </c>
      <c r="AU177" s="22" t="s">
        <v>344</v>
      </c>
      <c r="AV177" s="22" t="s">
        <v>344</v>
      </c>
      <c r="AW177" s="22" t="s">
        <v>344</v>
      </c>
      <c r="AX177" s="22" t="s">
        <v>344</v>
      </c>
      <c r="AY177" s="22" t="s">
        <v>731</v>
      </c>
      <c r="AZ177" s="22" t="s">
        <v>732</v>
      </c>
      <c r="BA177" s="22" t="s">
        <v>732</v>
      </c>
      <c r="BB177" s="22" t="s">
        <v>737</v>
      </c>
      <c r="BC177" s="22" t="s">
        <v>732</v>
      </c>
      <c r="BD177" s="22" t="s">
        <v>731</v>
      </c>
      <c r="BE177" s="22" t="s">
        <v>390</v>
      </c>
      <c r="BF177" s="22" t="s">
        <v>390</v>
      </c>
      <c r="BG177" s="22" t="s">
        <v>390</v>
      </c>
      <c r="BH177" s="22" t="s">
        <v>390</v>
      </c>
      <c r="BI177" s="22" t="s">
        <v>390</v>
      </c>
      <c r="BJ177" s="22" t="s">
        <v>351</v>
      </c>
      <c r="BK177" s="22" t="s">
        <v>356</v>
      </c>
      <c r="BL177" s="22" t="s">
        <v>354</v>
      </c>
      <c r="BM177" s="22" t="s">
        <v>357</v>
      </c>
      <c r="BN177" s="22" t="s">
        <v>391</v>
      </c>
      <c r="BO177" s="22" t="s">
        <v>356</v>
      </c>
      <c r="BP177" s="22" t="s">
        <v>391</v>
      </c>
      <c r="BQ177" s="22" t="s">
        <v>455</v>
      </c>
      <c r="BR177" s="22" t="s">
        <v>359</v>
      </c>
      <c r="BS177" s="22" t="s">
        <v>354</v>
      </c>
      <c r="BT177" s="22" t="s">
        <v>391</v>
      </c>
      <c r="BU177" s="22" t="s">
        <v>356</v>
      </c>
      <c r="BV177" s="22" t="s">
        <v>356</v>
      </c>
      <c r="BW177" s="22" t="s">
        <v>356</v>
      </c>
      <c r="BX177" s="22" t="s">
        <v>351</v>
      </c>
      <c r="BY177" s="22" t="s">
        <v>353</v>
      </c>
      <c r="BZ177" s="22" t="s">
        <v>354</v>
      </c>
      <c r="CA177" s="22" t="s">
        <v>391</v>
      </c>
      <c r="CB177" s="22" t="s">
        <v>355</v>
      </c>
      <c r="CC177" s="22" t="s">
        <v>391</v>
      </c>
      <c r="CD177" s="22" t="s">
        <v>356</v>
      </c>
      <c r="CE177" s="22" t="s">
        <v>357</v>
      </c>
      <c r="CF177" s="22" t="s">
        <v>391</v>
      </c>
      <c r="CG177" s="22" t="s">
        <v>360</v>
      </c>
      <c r="CH177" s="22" t="s">
        <v>360</v>
      </c>
      <c r="CI177" s="22" t="s">
        <v>360</v>
      </c>
      <c r="CJ177" s="22" t="s">
        <v>421</v>
      </c>
      <c r="CK177" s="22" t="s">
        <v>1128</v>
      </c>
      <c r="CL177" s="22" t="s">
        <v>345</v>
      </c>
      <c r="CM177" s="22" t="s">
        <v>344</v>
      </c>
      <c r="CN177" s="22" t="s">
        <v>344</v>
      </c>
      <c r="CO177" s="22" t="s">
        <v>345</v>
      </c>
      <c r="CP177" s="22" t="s">
        <v>345</v>
      </c>
      <c r="CQ177" s="22" t="s">
        <v>344</v>
      </c>
      <c r="CR177" s="22" t="s">
        <v>655</v>
      </c>
      <c r="CS177" s="22">
        <v>1</v>
      </c>
      <c r="CT177" s="22">
        <v>100</v>
      </c>
      <c r="CU177" s="22">
        <v>10</v>
      </c>
      <c r="CV177" s="22">
        <v>1</v>
      </c>
      <c r="CW177" s="22" t="s">
        <v>363</v>
      </c>
      <c r="CX177" s="22" t="s">
        <v>396</v>
      </c>
      <c r="CY177" s="22" t="s">
        <v>396</v>
      </c>
      <c r="CZ177" s="22" t="s">
        <v>397</v>
      </c>
      <c r="DA177" s="22" t="s">
        <v>397</v>
      </c>
      <c r="DB177" s="22" t="s">
        <v>397</v>
      </c>
      <c r="DC177" s="22" t="s">
        <v>397</v>
      </c>
      <c r="DD177" s="22" t="s">
        <v>397</v>
      </c>
      <c r="DE177" s="22" t="s">
        <v>365</v>
      </c>
      <c r="DF177" s="22" t="s">
        <v>397</v>
      </c>
      <c r="DG177" s="22" t="s">
        <v>397</v>
      </c>
      <c r="DH177" s="22" t="s">
        <v>365</v>
      </c>
      <c r="DI177" s="22" t="s">
        <v>397</v>
      </c>
      <c r="DJ177" s="22" t="s">
        <v>1129</v>
      </c>
      <c r="DK177" s="22" t="s">
        <v>492</v>
      </c>
      <c r="DL177" s="22" t="s">
        <v>345</v>
      </c>
      <c r="DM177" s="22" t="s">
        <v>344</v>
      </c>
      <c r="DN177" s="22" t="s">
        <v>344</v>
      </c>
      <c r="DO177" s="22" t="s">
        <v>344</v>
      </c>
      <c r="DP177" s="22" t="s">
        <v>345</v>
      </c>
      <c r="DQ177" s="22" t="s">
        <v>345</v>
      </c>
      <c r="DR177" s="22" t="s">
        <v>345</v>
      </c>
      <c r="DS177" s="22" t="s">
        <v>344</v>
      </c>
      <c r="DT177" s="22" t="s">
        <v>368</v>
      </c>
      <c r="DU177" s="22" t="s">
        <v>368</v>
      </c>
      <c r="DV177" s="22" t="s">
        <v>368</v>
      </c>
      <c r="DW177" s="22" t="s">
        <v>345</v>
      </c>
      <c r="DX177" s="22" t="s">
        <v>399</v>
      </c>
      <c r="DY177" s="22" t="s">
        <v>369</v>
      </c>
      <c r="DZ177" s="22" t="s">
        <v>370</v>
      </c>
      <c r="EA177" s="22" t="s">
        <v>369</v>
      </c>
      <c r="EB177" s="22" t="s">
        <v>369</v>
      </c>
      <c r="EC177" s="22" t="s">
        <v>399</v>
      </c>
      <c r="ED177" s="22" t="s">
        <v>369</v>
      </c>
      <c r="EE177" s="22" t="s">
        <v>370</v>
      </c>
      <c r="EF177" s="22" t="s">
        <v>370</v>
      </c>
      <c r="EG177" s="22" t="s">
        <v>370</v>
      </c>
      <c r="EH177" s="22" t="s">
        <v>370</v>
      </c>
      <c r="EI177" s="22" t="s">
        <v>369</v>
      </c>
      <c r="EJ177" s="22" t="s">
        <v>370</v>
      </c>
      <c r="EK177" s="22" t="s">
        <v>370</v>
      </c>
      <c r="EL177" s="22" t="s">
        <v>373</v>
      </c>
      <c r="EM177" s="22" t="s">
        <v>374</v>
      </c>
      <c r="EN177" s="22" t="s">
        <v>424</v>
      </c>
      <c r="EO177" s="22"/>
      <c r="EP177" s="22"/>
      <c r="EQ177" s="22" t="s">
        <v>376</v>
      </c>
      <c r="ER177" s="22" t="s">
        <v>375</v>
      </c>
      <c r="ES177" s="22" t="s">
        <v>411</v>
      </c>
      <c r="ET177" s="22" t="s">
        <v>378</v>
      </c>
      <c r="EU177" s="22" t="s">
        <v>391</v>
      </c>
      <c r="EV177" s="22" t="s">
        <v>400</v>
      </c>
      <c r="EW177" s="22"/>
      <c r="EX177" s="22" t="s">
        <v>368</v>
      </c>
      <c r="EY177" s="22" t="s">
        <v>368</v>
      </c>
      <c r="EZ177" s="22" t="s">
        <v>368</v>
      </c>
      <c r="FA177" s="22" t="s">
        <v>345</v>
      </c>
      <c r="FB177" s="22" t="s">
        <v>401</v>
      </c>
      <c r="FC177" s="22"/>
      <c r="FD177" s="22" t="s">
        <v>401</v>
      </c>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t="s">
        <v>368</v>
      </c>
      <c r="GB177" s="22" t="s">
        <v>368</v>
      </c>
      <c r="GC177" s="22" t="s">
        <v>368</v>
      </c>
      <c r="GD177" s="22" t="s">
        <v>368</v>
      </c>
      <c r="GE177" s="22" t="s">
        <v>368</v>
      </c>
      <c r="GF177" s="22" t="s">
        <v>368</v>
      </c>
      <c r="GG177" s="22"/>
      <c r="GH177" s="22"/>
      <c r="GI177" s="22"/>
      <c r="GJ177" s="22"/>
      <c r="GK177" s="22"/>
      <c r="GL177" s="22" t="s">
        <v>344</v>
      </c>
      <c r="GM177" s="22" t="s">
        <v>344</v>
      </c>
      <c r="GN177" s="22" t="s">
        <v>344</v>
      </c>
      <c r="GO177" s="22" t="s">
        <v>344</v>
      </c>
      <c r="GP177" s="22" t="s">
        <v>344</v>
      </c>
      <c r="GQ177" s="22" t="s">
        <v>344</v>
      </c>
      <c r="GR177" s="22" t="s">
        <v>344</v>
      </c>
      <c r="GS177" s="22" t="s">
        <v>344</v>
      </c>
      <c r="GT177" s="22" t="s">
        <v>344</v>
      </c>
      <c r="GU177" s="22" t="s">
        <v>344</v>
      </c>
      <c r="GV177" s="22" t="s">
        <v>345</v>
      </c>
      <c r="GW177" s="22" t="s">
        <v>344</v>
      </c>
      <c r="GX177" s="22" t="s">
        <v>344</v>
      </c>
      <c r="GY177" s="22" t="s">
        <v>344</v>
      </c>
      <c r="GZ177" s="22" t="s">
        <v>344</v>
      </c>
      <c r="HA177" s="22"/>
      <c r="HB177" s="22" t="s">
        <v>344</v>
      </c>
      <c r="HC177" s="22"/>
      <c r="HD177" s="22" t="s">
        <v>344</v>
      </c>
      <c r="HE177" s="22"/>
      <c r="HF177" s="22" t="s">
        <v>344</v>
      </c>
      <c r="HG177" s="22"/>
      <c r="HH177" s="22" t="s">
        <v>344</v>
      </c>
      <c r="HI177" s="22"/>
      <c r="HJ177" s="22" t="s">
        <v>344</v>
      </c>
      <c r="HK177" s="22" t="s">
        <v>344</v>
      </c>
      <c r="HL177" s="22" t="s">
        <v>344</v>
      </c>
      <c r="HM177" s="22" t="s">
        <v>344</v>
      </c>
      <c r="HN177" s="22" t="s">
        <v>344</v>
      </c>
      <c r="HO177" s="22" t="s">
        <v>344</v>
      </c>
      <c r="HP177" s="22" t="s">
        <v>344</v>
      </c>
      <c r="HQ177" s="22" t="s">
        <v>344</v>
      </c>
      <c r="HR177" s="22" t="s">
        <v>344</v>
      </c>
      <c r="HS177" s="22" t="s">
        <v>344</v>
      </c>
      <c r="HT177" s="22" t="s">
        <v>344</v>
      </c>
      <c r="HU177" s="22" t="s">
        <v>345</v>
      </c>
      <c r="HV177" s="22" t="s">
        <v>345</v>
      </c>
      <c r="HW177" s="22" t="s">
        <v>344</v>
      </c>
      <c r="HX177" s="22" t="s">
        <v>344</v>
      </c>
      <c r="HY177" s="22"/>
      <c r="HZ177" s="22" t="s">
        <v>344</v>
      </c>
      <c r="IA177" s="22"/>
      <c r="IB177" s="22" t="s">
        <v>344</v>
      </c>
      <c r="IC177" s="22"/>
      <c r="ID177" s="22" t="s">
        <v>344</v>
      </c>
      <c r="IE177" s="22"/>
      <c r="IF177" s="22" t="s">
        <v>344</v>
      </c>
      <c r="IG177" s="22"/>
      <c r="IH177" s="22" t="s">
        <v>345</v>
      </c>
      <c r="II177" s="22" t="s">
        <v>345</v>
      </c>
      <c r="IJ177" s="22" t="s">
        <v>344</v>
      </c>
      <c r="IK177" s="22" t="s">
        <v>344</v>
      </c>
      <c r="IL177" s="22" t="s">
        <v>345</v>
      </c>
      <c r="IM177" s="22" t="s">
        <v>345</v>
      </c>
      <c r="IN177" s="22" t="s">
        <v>344</v>
      </c>
      <c r="IO177" s="22" t="s">
        <v>345</v>
      </c>
      <c r="IP177" s="22" t="s">
        <v>344</v>
      </c>
      <c r="IQ177" s="22" t="s">
        <v>344</v>
      </c>
      <c r="IR177" s="22" t="s">
        <v>344</v>
      </c>
      <c r="IS177" s="22" t="s">
        <v>344</v>
      </c>
      <c r="IT177" s="22"/>
      <c r="IU177" s="22"/>
      <c r="IV177" s="22"/>
      <c r="IW177" s="22"/>
      <c r="IX177" s="22"/>
      <c r="IY177" s="22"/>
      <c r="IZ177" s="22"/>
      <c r="JA177" s="22"/>
      <c r="JB177" s="22"/>
      <c r="JC177" s="22"/>
      <c r="JD177" s="22"/>
      <c r="JE177" s="22"/>
      <c r="JF177" s="22"/>
      <c r="JG177" s="22"/>
      <c r="JH177" s="22"/>
    </row>
    <row r="178" spans="1:268" x14ac:dyDescent="0.3">
      <c r="A178" s="22" t="s">
        <v>813</v>
      </c>
      <c r="B178" s="22">
        <v>285</v>
      </c>
      <c r="C178" s="22" t="s">
        <v>1130</v>
      </c>
      <c r="D178" s="22">
        <v>14</v>
      </c>
      <c r="E178" s="22" t="s">
        <v>387</v>
      </c>
      <c r="F178" s="22">
        <v>1634980774</v>
      </c>
      <c r="G178" s="22" t="s">
        <v>1131</v>
      </c>
      <c r="H178" s="22" t="s">
        <v>1130</v>
      </c>
      <c r="I178" s="22" t="s">
        <v>1035</v>
      </c>
      <c r="J178" s="22">
        <v>17</v>
      </c>
      <c r="K178" s="22" t="s">
        <v>406</v>
      </c>
      <c r="L178" s="22"/>
      <c r="M178" s="22" t="s">
        <v>344</v>
      </c>
      <c r="N178" s="22" t="s">
        <v>345</v>
      </c>
      <c r="O178" s="22" t="s">
        <v>344</v>
      </c>
      <c r="P178" s="22" t="s">
        <v>344</v>
      </c>
      <c r="Q178" s="22" t="s">
        <v>344</v>
      </c>
      <c r="R178" s="22"/>
      <c r="S178" s="22" t="s">
        <v>522</v>
      </c>
      <c r="T178" s="22"/>
      <c r="U178" s="22" t="s">
        <v>347</v>
      </c>
      <c r="V178" s="22"/>
      <c r="W178" s="22" t="s">
        <v>345</v>
      </c>
      <c r="X178" s="22" t="s">
        <v>344</v>
      </c>
      <c r="Y178" s="22" t="s">
        <v>344</v>
      </c>
      <c r="Z178" s="22" t="s">
        <v>344</v>
      </c>
      <c r="AA178" s="22" t="s">
        <v>344</v>
      </c>
      <c r="AB178" s="22" t="s">
        <v>344</v>
      </c>
      <c r="AC178" s="22" t="s">
        <v>344</v>
      </c>
      <c r="AD178" s="22" t="s">
        <v>368</v>
      </c>
      <c r="AE178" s="22" t="s">
        <v>368</v>
      </c>
      <c r="AF178" s="22" t="s">
        <v>368</v>
      </c>
      <c r="AG178" s="22" t="s">
        <v>368</v>
      </c>
      <c r="AH178" s="22" t="s">
        <v>368</v>
      </c>
      <c r="AI178" s="22" t="s">
        <v>368</v>
      </c>
      <c r="AJ178" s="22" t="s">
        <v>345</v>
      </c>
      <c r="AK178" s="22" t="s">
        <v>345</v>
      </c>
      <c r="AL178" s="22" t="s">
        <v>345</v>
      </c>
      <c r="AM178" s="22" t="s">
        <v>345</v>
      </c>
      <c r="AN178" s="22" t="s">
        <v>344</v>
      </c>
      <c r="AO178" s="22" t="s">
        <v>344</v>
      </c>
      <c r="AP178" s="22" t="s">
        <v>344</v>
      </c>
      <c r="AQ178" s="22" t="s">
        <v>344</v>
      </c>
      <c r="AR178" s="22" t="s">
        <v>368</v>
      </c>
      <c r="AS178" s="22" t="s">
        <v>368</v>
      </c>
      <c r="AT178" s="22" t="s">
        <v>368</v>
      </c>
      <c r="AU178" s="22" t="s">
        <v>368</v>
      </c>
      <c r="AV178" s="22" t="s">
        <v>368</v>
      </c>
      <c r="AW178" s="22" t="s">
        <v>368</v>
      </c>
      <c r="AX178" s="22" t="s">
        <v>345</v>
      </c>
      <c r="AY178" s="22" t="s">
        <v>732</v>
      </c>
      <c r="AZ178" s="22" t="s">
        <v>391</v>
      </c>
      <c r="BA178" s="22" t="s">
        <v>733</v>
      </c>
      <c r="BB178" s="22" t="s">
        <v>732</v>
      </c>
      <c r="BC178" s="22" t="s">
        <v>732</v>
      </c>
      <c r="BD178" s="22" t="s">
        <v>391</v>
      </c>
      <c r="BE178" s="22" t="s">
        <v>390</v>
      </c>
      <c r="BF178" s="22" t="s">
        <v>348</v>
      </c>
      <c r="BG178" s="22" t="s">
        <v>390</v>
      </c>
      <c r="BH178" s="22" t="s">
        <v>390</v>
      </c>
      <c r="BI178" s="22" t="s">
        <v>348</v>
      </c>
      <c r="BJ178" s="22" t="s">
        <v>391</v>
      </c>
      <c r="BK178" s="22" t="s">
        <v>391</v>
      </c>
      <c r="BL178" s="22" t="s">
        <v>391</v>
      </c>
      <c r="BM178" s="22" t="s">
        <v>391</v>
      </c>
      <c r="BN178" s="22" t="s">
        <v>391</v>
      </c>
      <c r="BO178" s="22" t="s">
        <v>391</v>
      </c>
      <c r="BP178" s="22" t="s">
        <v>391</v>
      </c>
      <c r="BQ178" s="22" t="s">
        <v>358</v>
      </c>
      <c r="BR178" s="22" t="s">
        <v>429</v>
      </c>
      <c r="BS178" s="22" t="s">
        <v>356</v>
      </c>
      <c r="BT178" s="22" t="s">
        <v>354</v>
      </c>
      <c r="BU178" s="22" t="s">
        <v>352</v>
      </c>
      <c r="BV178" s="22" t="s">
        <v>353</v>
      </c>
      <c r="BW178" s="22" t="s">
        <v>355</v>
      </c>
      <c r="BX178" s="22" t="s">
        <v>351</v>
      </c>
      <c r="BY178" s="22" t="s">
        <v>357</v>
      </c>
      <c r="BZ178" s="22" t="s">
        <v>355</v>
      </c>
      <c r="CA178" s="22" t="s">
        <v>352</v>
      </c>
      <c r="CB178" s="22" t="s">
        <v>357</v>
      </c>
      <c r="CC178" s="22" t="s">
        <v>353</v>
      </c>
      <c r="CD178" s="22" t="s">
        <v>354</v>
      </c>
      <c r="CE178" s="22" t="s">
        <v>351</v>
      </c>
      <c r="CF178" s="22" t="s">
        <v>356</v>
      </c>
      <c r="CG178" s="22" t="s">
        <v>393</v>
      </c>
      <c r="CH178" s="22" t="s">
        <v>393</v>
      </c>
      <c r="CI178" s="22" t="s">
        <v>393</v>
      </c>
      <c r="CJ178" s="22" t="s">
        <v>393</v>
      </c>
      <c r="CK178" s="22"/>
      <c r="CL178" s="22" t="s">
        <v>344</v>
      </c>
      <c r="CM178" s="22" t="s">
        <v>344</v>
      </c>
      <c r="CN178" s="22" t="s">
        <v>344</v>
      </c>
      <c r="CO178" s="22" t="s">
        <v>345</v>
      </c>
      <c r="CP178" s="22" t="s">
        <v>345</v>
      </c>
      <c r="CQ178" s="22" t="s">
        <v>344</v>
      </c>
      <c r="CR178" s="22" t="s">
        <v>667</v>
      </c>
      <c r="CS178" s="22">
        <v>51</v>
      </c>
      <c r="CT178" s="22">
        <v>21</v>
      </c>
      <c r="CU178" s="22">
        <v>59</v>
      </c>
      <c r="CV178" s="22">
        <v>100</v>
      </c>
      <c r="CW178" s="22" t="s">
        <v>363</v>
      </c>
      <c r="CX178" s="22" t="s">
        <v>395</v>
      </c>
      <c r="CY178" s="22" t="s">
        <v>395</v>
      </c>
      <c r="CZ178" s="22" t="s">
        <v>366</v>
      </c>
      <c r="DA178" s="22" t="s">
        <v>366</v>
      </c>
      <c r="DB178" s="22" t="s">
        <v>366</v>
      </c>
      <c r="DC178" s="22" t="s">
        <v>366</v>
      </c>
      <c r="DD178" s="22" t="s">
        <v>366</v>
      </c>
      <c r="DE178" s="22" t="s">
        <v>366</v>
      </c>
      <c r="DF178" s="22" t="s">
        <v>366</v>
      </c>
      <c r="DG178" s="22" t="s">
        <v>366</v>
      </c>
      <c r="DH178" s="22" t="s">
        <v>366</v>
      </c>
      <c r="DI178" s="22" t="s">
        <v>366</v>
      </c>
      <c r="DJ178" s="22"/>
      <c r="DK178" s="22" t="s">
        <v>515</v>
      </c>
      <c r="DL178" s="22" t="s">
        <v>368</v>
      </c>
      <c r="DM178" s="22" t="s">
        <v>368</v>
      </c>
      <c r="DN178" s="22" t="s">
        <v>368</v>
      </c>
      <c r="DO178" s="22" t="s">
        <v>345</v>
      </c>
      <c r="DP178" s="22" t="s">
        <v>368</v>
      </c>
      <c r="DQ178" s="22" t="s">
        <v>368</v>
      </c>
      <c r="DR178" s="22" t="s">
        <v>368</v>
      </c>
      <c r="DS178" s="22" t="s">
        <v>345</v>
      </c>
      <c r="DT178" s="22" t="s">
        <v>368</v>
      </c>
      <c r="DU178" s="22" t="s">
        <v>368</v>
      </c>
      <c r="DV178" s="22" t="s">
        <v>368</v>
      </c>
      <c r="DW178" s="22" t="s">
        <v>345</v>
      </c>
      <c r="DX178" s="22" t="s">
        <v>369</v>
      </c>
      <c r="DY178" s="22" t="s">
        <v>369</v>
      </c>
      <c r="DZ178" s="22" t="s">
        <v>369</v>
      </c>
      <c r="EA178" s="22" t="s">
        <v>369</v>
      </c>
      <c r="EB178" s="22" t="s">
        <v>399</v>
      </c>
      <c r="EC178" s="22" t="s">
        <v>369</v>
      </c>
      <c r="ED178" s="22" t="s">
        <v>369</v>
      </c>
      <c r="EE178" s="22" t="s">
        <v>370</v>
      </c>
      <c r="EF178" s="22" t="s">
        <v>370</v>
      </c>
      <c r="EG178" s="22" t="s">
        <v>370</v>
      </c>
      <c r="EH178" s="22" t="s">
        <v>370</v>
      </c>
      <c r="EI178" s="22" t="s">
        <v>370</v>
      </c>
      <c r="EJ178" s="22" t="s">
        <v>370</v>
      </c>
      <c r="EK178" s="22" t="s">
        <v>370</v>
      </c>
      <c r="EL178" s="22" t="s">
        <v>372</v>
      </c>
      <c r="EM178" s="22" t="s">
        <v>373</v>
      </c>
      <c r="EN178" s="22" t="s">
        <v>374</v>
      </c>
      <c r="EO178" s="22"/>
      <c r="EP178" s="22"/>
      <c r="EQ178" s="22" t="s">
        <v>376</v>
      </c>
      <c r="ER178" s="22" t="s">
        <v>375</v>
      </c>
      <c r="ES178" s="22" t="s">
        <v>376</v>
      </c>
      <c r="ET178" s="22" t="s">
        <v>376</v>
      </c>
      <c r="EU178" s="22" t="s">
        <v>376</v>
      </c>
      <c r="EV178" s="22" t="s">
        <v>400</v>
      </c>
      <c r="EW178" s="22"/>
      <c r="EX178" s="22" t="s">
        <v>368</v>
      </c>
      <c r="EY178" s="22" t="s">
        <v>368</v>
      </c>
      <c r="EZ178" s="22" t="s">
        <v>368</v>
      </c>
      <c r="FA178" s="22" t="s">
        <v>345</v>
      </c>
      <c r="FB178" s="22" t="s">
        <v>380</v>
      </c>
      <c r="FC178" s="22"/>
      <c r="FD178" s="22" t="s">
        <v>380</v>
      </c>
      <c r="FE178" s="22"/>
      <c r="FF178" s="22" t="s">
        <v>412</v>
      </c>
      <c r="FG178" s="22" t="s">
        <v>413</v>
      </c>
      <c r="FH178" s="22" t="s">
        <v>384</v>
      </c>
      <c r="FI178" s="22" t="s">
        <v>403</v>
      </c>
      <c r="FJ178" s="22"/>
      <c r="FK178" s="22"/>
      <c r="FL178" s="22"/>
      <c r="FM178" s="22"/>
      <c r="FN178" s="22"/>
      <c r="FO178" s="22"/>
      <c r="FP178" s="22"/>
      <c r="FQ178" s="22"/>
      <c r="FR178" s="22"/>
      <c r="FS178" s="22"/>
      <c r="FT178" s="22"/>
      <c r="FU178" s="22"/>
      <c r="FV178" s="22"/>
      <c r="FW178" s="22"/>
      <c r="FX178" s="22"/>
      <c r="FY178" s="22"/>
      <c r="FZ178" s="22"/>
      <c r="GA178" s="22" t="s">
        <v>368</v>
      </c>
      <c r="GB178" s="22" t="s">
        <v>368</v>
      </c>
      <c r="GC178" s="22" t="s">
        <v>368</v>
      </c>
      <c r="GD178" s="22" t="s">
        <v>368</v>
      </c>
      <c r="GE178" s="22" t="s">
        <v>368</v>
      </c>
      <c r="GF178" s="22" t="s">
        <v>368</v>
      </c>
      <c r="GG178" s="22"/>
      <c r="GH178" s="22"/>
      <c r="GI178" s="22"/>
      <c r="GJ178" s="22"/>
      <c r="GK178" s="22"/>
      <c r="GL178" s="22" t="s">
        <v>344</v>
      </c>
      <c r="GM178" s="22" t="s">
        <v>344</v>
      </c>
      <c r="GN178" s="22" t="s">
        <v>344</v>
      </c>
      <c r="GO178" s="22" t="s">
        <v>345</v>
      </c>
      <c r="GP178" s="22" t="s">
        <v>344</v>
      </c>
      <c r="GQ178" s="22" t="s">
        <v>344</v>
      </c>
      <c r="GR178" s="22" t="s">
        <v>344</v>
      </c>
      <c r="GS178" s="22" t="s">
        <v>344</v>
      </c>
      <c r="GT178" s="22" t="s">
        <v>344</v>
      </c>
      <c r="GU178" s="22" t="s">
        <v>345</v>
      </c>
      <c r="GV178" s="22" t="s">
        <v>344</v>
      </c>
      <c r="GW178" s="22" t="s">
        <v>344</v>
      </c>
      <c r="GX178" s="22" t="s">
        <v>344</v>
      </c>
      <c r="GY178" s="22" t="s">
        <v>344</v>
      </c>
      <c r="GZ178" s="22" t="s">
        <v>344</v>
      </c>
      <c r="HA178" s="22"/>
      <c r="HB178" s="22" t="s">
        <v>344</v>
      </c>
      <c r="HC178" s="22"/>
      <c r="HD178" s="22" t="s">
        <v>344</v>
      </c>
      <c r="HE178" s="22"/>
      <c r="HF178" s="22" t="s">
        <v>344</v>
      </c>
      <c r="HG178" s="22"/>
      <c r="HH178" s="22" t="s">
        <v>344</v>
      </c>
      <c r="HI178" s="22"/>
      <c r="HJ178" s="22" t="s">
        <v>344</v>
      </c>
      <c r="HK178" s="22" t="s">
        <v>344</v>
      </c>
      <c r="HL178" s="22" t="s">
        <v>344</v>
      </c>
      <c r="HM178" s="22" t="s">
        <v>344</v>
      </c>
      <c r="HN178" s="22" t="s">
        <v>344</v>
      </c>
      <c r="HO178" s="22" t="s">
        <v>344</v>
      </c>
      <c r="HP178" s="22" t="s">
        <v>344</v>
      </c>
      <c r="HQ178" s="22" t="s">
        <v>344</v>
      </c>
      <c r="HR178" s="22" t="s">
        <v>344</v>
      </c>
      <c r="HS178" s="22" t="s">
        <v>344</v>
      </c>
      <c r="HT178" s="22" t="s">
        <v>344</v>
      </c>
      <c r="HU178" s="22" t="s">
        <v>344</v>
      </c>
      <c r="HV178" s="22" t="s">
        <v>344</v>
      </c>
      <c r="HW178" s="22" t="s">
        <v>344</v>
      </c>
      <c r="HX178" s="22" t="s">
        <v>345</v>
      </c>
      <c r="HY178" s="22"/>
      <c r="HZ178" s="22" t="s">
        <v>344</v>
      </c>
      <c r="IA178" s="22"/>
      <c r="IB178" s="22" t="s">
        <v>344</v>
      </c>
      <c r="IC178" s="22"/>
      <c r="ID178" s="22" t="s">
        <v>344</v>
      </c>
      <c r="IE178" s="22"/>
      <c r="IF178" s="22" t="s">
        <v>344</v>
      </c>
      <c r="IG178" s="22"/>
      <c r="IH178" s="22" t="s">
        <v>344</v>
      </c>
      <c r="II178" s="22" t="s">
        <v>344</v>
      </c>
      <c r="IJ178" s="22" t="s">
        <v>344</v>
      </c>
      <c r="IK178" s="22" t="s">
        <v>344</v>
      </c>
      <c r="IL178" s="22" t="s">
        <v>345</v>
      </c>
      <c r="IM178" s="22" t="s">
        <v>345</v>
      </c>
      <c r="IN178" s="22" t="s">
        <v>344</v>
      </c>
      <c r="IO178" s="22" t="s">
        <v>345</v>
      </c>
      <c r="IP178" s="22" t="s">
        <v>344</v>
      </c>
      <c r="IQ178" s="22" t="s">
        <v>344</v>
      </c>
      <c r="IR178" s="22" t="s">
        <v>344</v>
      </c>
      <c r="IS178" s="22" t="s">
        <v>344</v>
      </c>
      <c r="IT178" s="22"/>
      <c r="IU178" s="22"/>
      <c r="IV178" s="22"/>
      <c r="IW178" s="22"/>
      <c r="IX178" s="22"/>
      <c r="IY178" s="22"/>
      <c r="IZ178" s="22"/>
      <c r="JA178" s="22"/>
      <c r="JB178" s="22"/>
      <c r="JC178" s="22"/>
      <c r="JD178" s="22"/>
      <c r="JE178" s="22"/>
      <c r="JF178" s="22"/>
      <c r="JG178" s="22"/>
      <c r="JH178" s="22"/>
    </row>
    <row r="179" spans="1:268" x14ac:dyDescent="0.3">
      <c r="A179" s="22" t="s">
        <v>813</v>
      </c>
      <c r="B179" s="22">
        <v>286</v>
      </c>
      <c r="C179" s="22" t="s">
        <v>1132</v>
      </c>
      <c r="D179" s="22">
        <v>14</v>
      </c>
      <c r="E179" s="22" t="s">
        <v>387</v>
      </c>
      <c r="F179" s="22">
        <v>1527409020</v>
      </c>
      <c r="G179" s="22" t="s">
        <v>1133</v>
      </c>
      <c r="H179" s="22" t="s">
        <v>1132</v>
      </c>
      <c r="I179" s="22" t="s">
        <v>1035</v>
      </c>
      <c r="J179" s="22">
        <v>17</v>
      </c>
      <c r="K179" s="22" t="s">
        <v>406</v>
      </c>
      <c r="L179" s="22"/>
      <c r="M179" s="22" t="s">
        <v>345</v>
      </c>
      <c r="N179" s="22" t="s">
        <v>345</v>
      </c>
      <c r="O179" s="22" t="s">
        <v>344</v>
      </c>
      <c r="P179" s="22" t="s">
        <v>344</v>
      </c>
      <c r="Q179" s="22" t="s">
        <v>344</v>
      </c>
      <c r="R179" s="22"/>
      <c r="S179" s="22" t="s">
        <v>522</v>
      </c>
      <c r="T179" s="22"/>
      <c r="U179" s="22" t="s">
        <v>428</v>
      </c>
      <c r="V179" s="22"/>
      <c r="W179" s="22" t="s">
        <v>345</v>
      </c>
      <c r="X179" s="22" t="s">
        <v>345</v>
      </c>
      <c r="Y179" s="22" t="s">
        <v>345</v>
      </c>
      <c r="Z179" s="22" t="s">
        <v>345</v>
      </c>
      <c r="AA179" s="22" t="s">
        <v>344</v>
      </c>
      <c r="AB179" s="22" t="s">
        <v>344</v>
      </c>
      <c r="AC179" s="22" t="s">
        <v>344</v>
      </c>
      <c r="AD179" s="22" t="s">
        <v>344</v>
      </c>
      <c r="AE179" s="22" t="s">
        <v>345</v>
      </c>
      <c r="AF179" s="22" t="s">
        <v>344</v>
      </c>
      <c r="AG179" s="22" t="s">
        <v>345</v>
      </c>
      <c r="AH179" s="22" t="s">
        <v>344</v>
      </c>
      <c r="AI179" s="22" t="s">
        <v>345</v>
      </c>
      <c r="AJ179" s="22" t="s">
        <v>344</v>
      </c>
      <c r="AK179" s="22" t="s">
        <v>345</v>
      </c>
      <c r="AL179" s="22" t="s">
        <v>345</v>
      </c>
      <c r="AM179" s="22" t="s">
        <v>345</v>
      </c>
      <c r="AN179" s="22" t="s">
        <v>344</v>
      </c>
      <c r="AO179" s="22" t="s">
        <v>344</v>
      </c>
      <c r="AP179" s="22" t="s">
        <v>345</v>
      </c>
      <c r="AQ179" s="22" t="s">
        <v>344</v>
      </c>
      <c r="AR179" s="22" t="s">
        <v>345</v>
      </c>
      <c r="AS179" s="22" t="s">
        <v>345</v>
      </c>
      <c r="AT179" s="22" t="s">
        <v>345</v>
      </c>
      <c r="AU179" s="22" t="s">
        <v>345</v>
      </c>
      <c r="AV179" s="22" t="s">
        <v>345</v>
      </c>
      <c r="AW179" s="22" t="s">
        <v>345</v>
      </c>
      <c r="AX179" s="22" t="s">
        <v>344</v>
      </c>
      <c r="AY179" s="22" t="s">
        <v>731</v>
      </c>
      <c r="AZ179" s="22" t="s">
        <v>737</v>
      </c>
      <c r="BA179" s="22" t="s">
        <v>731</v>
      </c>
      <c r="BB179" s="22" t="s">
        <v>733</v>
      </c>
      <c r="BC179" s="22" t="s">
        <v>737</v>
      </c>
      <c r="BD179" s="22" t="s">
        <v>733</v>
      </c>
      <c r="BE179" s="22" t="s">
        <v>349</v>
      </c>
      <c r="BF179" s="22" t="s">
        <v>348</v>
      </c>
      <c r="BG179" s="22" t="s">
        <v>349</v>
      </c>
      <c r="BH179" s="22" t="s">
        <v>349</v>
      </c>
      <c r="BI179" s="22" t="s">
        <v>348</v>
      </c>
      <c r="BJ179" s="22" t="s">
        <v>357</v>
      </c>
      <c r="BK179" s="22" t="s">
        <v>356</v>
      </c>
      <c r="BL179" s="22" t="s">
        <v>352</v>
      </c>
      <c r="BM179" s="22" t="s">
        <v>352</v>
      </c>
      <c r="BN179" s="22" t="s">
        <v>351</v>
      </c>
      <c r="BO179" s="22" t="s">
        <v>357</v>
      </c>
      <c r="BP179" s="22" t="s">
        <v>352</v>
      </c>
      <c r="BQ179" s="22" t="s">
        <v>358</v>
      </c>
      <c r="BR179" s="22" t="s">
        <v>429</v>
      </c>
      <c r="BS179" s="22" t="s">
        <v>356</v>
      </c>
      <c r="BT179" s="22" t="s">
        <v>355</v>
      </c>
      <c r="BU179" s="22" t="s">
        <v>351</v>
      </c>
      <c r="BV179" s="22" t="s">
        <v>354</v>
      </c>
      <c r="BW179" s="22" t="s">
        <v>352</v>
      </c>
      <c r="BX179" s="22" t="s">
        <v>351</v>
      </c>
      <c r="BY179" s="22" t="s">
        <v>353</v>
      </c>
      <c r="BZ179" s="22" t="s">
        <v>353</v>
      </c>
      <c r="CA179" s="22" t="s">
        <v>357</v>
      </c>
      <c r="CB179" s="22" t="s">
        <v>351</v>
      </c>
      <c r="CC179" s="22" t="s">
        <v>354</v>
      </c>
      <c r="CD179" s="22" t="s">
        <v>356</v>
      </c>
      <c r="CE179" s="22" t="s">
        <v>352</v>
      </c>
      <c r="CF179" s="22" t="s">
        <v>391</v>
      </c>
      <c r="CG179" s="22" t="s">
        <v>420</v>
      </c>
      <c r="CH179" s="22" t="s">
        <v>421</v>
      </c>
      <c r="CI179" s="22" t="s">
        <v>420</v>
      </c>
      <c r="CJ179" s="22" t="s">
        <v>392</v>
      </c>
      <c r="CK179" s="22" t="s">
        <v>1134</v>
      </c>
      <c r="CL179" s="22" t="s">
        <v>344</v>
      </c>
      <c r="CM179" s="22" t="s">
        <v>344</v>
      </c>
      <c r="CN179" s="22" t="s">
        <v>344</v>
      </c>
      <c r="CO179" s="22" t="s">
        <v>345</v>
      </c>
      <c r="CP179" s="22" t="s">
        <v>344</v>
      </c>
      <c r="CQ179" s="22" t="s">
        <v>344</v>
      </c>
      <c r="CR179" s="22" t="s">
        <v>667</v>
      </c>
      <c r="CS179" s="22">
        <v>100</v>
      </c>
      <c r="CT179" s="22">
        <v>51</v>
      </c>
      <c r="CU179" s="22">
        <v>51</v>
      </c>
      <c r="CV179" s="22">
        <v>1</v>
      </c>
      <c r="CW179" s="22" t="s">
        <v>364</v>
      </c>
      <c r="CX179" s="22" t="s">
        <v>363</v>
      </c>
      <c r="CY179" s="22" t="s">
        <v>396</v>
      </c>
      <c r="CZ179" s="22" t="s">
        <v>397</v>
      </c>
      <c r="DA179" s="22" t="s">
        <v>397</v>
      </c>
      <c r="DB179" s="22" t="s">
        <v>397</v>
      </c>
      <c r="DC179" s="22" t="s">
        <v>397</v>
      </c>
      <c r="DD179" s="22" t="s">
        <v>397</v>
      </c>
      <c r="DE179" s="22" t="s">
        <v>397</v>
      </c>
      <c r="DF179" s="22" t="s">
        <v>366</v>
      </c>
      <c r="DG179" s="22" t="s">
        <v>397</v>
      </c>
      <c r="DH179" s="22" t="s">
        <v>365</v>
      </c>
      <c r="DI179" s="22" t="s">
        <v>365</v>
      </c>
      <c r="DJ179" s="22" t="s">
        <v>1135</v>
      </c>
      <c r="DK179" s="22" t="s">
        <v>367</v>
      </c>
      <c r="DL179" s="22" t="s">
        <v>368</v>
      </c>
      <c r="DM179" s="22" t="s">
        <v>368</v>
      </c>
      <c r="DN179" s="22" t="s">
        <v>368</v>
      </c>
      <c r="DO179" s="22" t="s">
        <v>368</v>
      </c>
      <c r="DP179" s="22" t="s">
        <v>368</v>
      </c>
      <c r="DQ179" s="22" t="s">
        <v>368</v>
      </c>
      <c r="DR179" s="22" t="s">
        <v>368</v>
      </c>
      <c r="DS179" s="22" t="s">
        <v>345</v>
      </c>
      <c r="DT179" s="22" t="s">
        <v>345</v>
      </c>
      <c r="DU179" s="22" t="s">
        <v>344</v>
      </c>
      <c r="DV179" s="22" t="s">
        <v>344</v>
      </c>
      <c r="DW179" s="22" t="s">
        <v>344</v>
      </c>
      <c r="DX179" s="22" t="s">
        <v>370</v>
      </c>
      <c r="DY179" s="22" t="s">
        <v>371</v>
      </c>
      <c r="DZ179" s="22" t="s">
        <v>371</v>
      </c>
      <c r="EA179" s="22" t="s">
        <v>398</v>
      </c>
      <c r="EB179" s="22" t="s">
        <v>398</v>
      </c>
      <c r="EC179" s="22" t="s">
        <v>398</v>
      </c>
      <c r="ED179" s="22" t="s">
        <v>371</v>
      </c>
      <c r="EE179" s="22" t="s">
        <v>370</v>
      </c>
      <c r="EF179" s="22" t="s">
        <v>370</v>
      </c>
      <c r="EG179" s="22" t="s">
        <v>370</v>
      </c>
      <c r="EH179" s="22" t="s">
        <v>370</v>
      </c>
      <c r="EI179" s="22" t="s">
        <v>370</v>
      </c>
      <c r="EJ179" s="22" t="s">
        <v>370</v>
      </c>
      <c r="EK179" s="22" t="s">
        <v>370</v>
      </c>
      <c r="EL179" s="22" t="s">
        <v>373</v>
      </c>
      <c r="EM179" s="22" t="s">
        <v>440</v>
      </c>
      <c r="EN179" s="22" t="s">
        <v>374</v>
      </c>
      <c r="EO179" s="22"/>
      <c r="EP179" s="22"/>
      <c r="EQ179" s="22" t="s">
        <v>375</v>
      </c>
      <c r="ER179" s="22" t="s">
        <v>375</v>
      </c>
      <c r="ES179" s="22" t="s">
        <v>375</v>
      </c>
      <c r="ET179" s="22" t="s">
        <v>375</v>
      </c>
      <c r="EU179" s="22" t="s">
        <v>375</v>
      </c>
      <c r="EV179" s="22" t="s">
        <v>400</v>
      </c>
      <c r="EW179" s="22"/>
      <c r="EX179" s="22" t="s">
        <v>368</v>
      </c>
      <c r="EY179" s="22" t="s">
        <v>368</v>
      </c>
      <c r="EZ179" s="22" t="s">
        <v>368</v>
      </c>
      <c r="FA179" s="22" t="s">
        <v>345</v>
      </c>
      <c r="FB179" s="22" t="s">
        <v>401</v>
      </c>
      <c r="FC179" s="22"/>
      <c r="FD179" s="22" t="s">
        <v>401</v>
      </c>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t="s">
        <v>368</v>
      </c>
      <c r="GB179" s="22" t="s">
        <v>368</v>
      </c>
      <c r="GC179" s="22" t="s">
        <v>368</v>
      </c>
      <c r="GD179" s="22" t="s">
        <v>368</v>
      </c>
      <c r="GE179" s="22" t="s">
        <v>368</v>
      </c>
      <c r="GF179" s="22" t="s">
        <v>368</v>
      </c>
      <c r="GG179" s="22"/>
      <c r="GH179" s="22"/>
      <c r="GI179" s="22"/>
      <c r="GJ179" s="22"/>
      <c r="GK179" s="22"/>
      <c r="GL179" s="22" t="s">
        <v>344</v>
      </c>
      <c r="GM179" s="22" t="s">
        <v>344</v>
      </c>
      <c r="GN179" s="22" t="s">
        <v>345</v>
      </c>
      <c r="GO179" s="22" t="s">
        <v>344</v>
      </c>
      <c r="GP179" s="22" t="s">
        <v>344</v>
      </c>
      <c r="GQ179" s="22" t="s">
        <v>344</v>
      </c>
      <c r="GR179" s="22" t="s">
        <v>344</v>
      </c>
      <c r="GS179" s="22" t="s">
        <v>344</v>
      </c>
      <c r="GT179" s="22" t="s">
        <v>344</v>
      </c>
      <c r="GU179" s="22" t="s">
        <v>344</v>
      </c>
      <c r="GV179" s="22" t="s">
        <v>345</v>
      </c>
      <c r="GW179" s="22" t="s">
        <v>344</v>
      </c>
      <c r="GX179" s="22" t="s">
        <v>344</v>
      </c>
      <c r="GY179" s="22" t="s">
        <v>344</v>
      </c>
      <c r="GZ179" s="22" t="s">
        <v>344</v>
      </c>
      <c r="HA179" s="22"/>
      <c r="HB179" s="22" t="s">
        <v>344</v>
      </c>
      <c r="HC179" s="22"/>
      <c r="HD179" s="22" t="s">
        <v>344</v>
      </c>
      <c r="HE179" s="22"/>
      <c r="HF179" s="22" t="s">
        <v>344</v>
      </c>
      <c r="HG179" s="22"/>
      <c r="HH179" s="22" t="s">
        <v>344</v>
      </c>
      <c r="HI179" s="22"/>
      <c r="HJ179" s="22" t="s">
        <v>344</v>
      </c>
      <c r="HK179" s="22" t="s">
        <v>344</v>
      </c>
      <c r="HL179" s="22" t="s">
        <v>344</v>
      </c>
      <c r="HM179" s="22" t="s">
        <v>345</v>
      </c>
      <c r="HN179" s="22" t="s">
        <v>344</v>
      </c>
      <c r="HO179" s="22" t="s">
        <v>344</v>
      </c>
      <c r="HP179" s="22" t="s">
        <v>344</v>
      </c>
      <c r="HQ179" s="22" t="s">
        <v>344</v>
      </c>
      <c r="HR179" s="22" t="s">
        <v>344</v>
      </c>
      <c r="HS179" s="22" t="s">
        <v>344</v>
      </c>
      <c r="HT179" s="22" t="s">
        <v>344</v>
      </c>
      <c r="HU179" s="22" t="s">
        <v>345</v>
      </c>
      <c r="HV179" s="22" t="s">
        <v>345</v>
      </c>
      <c r="HW179" s="22" t="s">
        <v>344</v>
      </c>
      <c r="HX179" s="22" t="s">
        <v>344</v>
      </c>
      <c r="HY179" s="22"/>
      <c r="HZ179" s="22" t="s">
        <v>344</v>
      </c>
      <c r="IA179" s="22"/>
      <c r="IB179" s="22" t="s">
        <v>344</v>
      </c>
      <c r="IC179" s="22"/>
      <c r="ID179" s="22" t="s">
        <v>344</v>
      </c>
      <c r="IE179" s="22"/>
      <c r="IF179" s="22" t="s">
        <v>344</v>
      </c>
      <c r="IG179" s="22"/>
      <c r="IH179" s="22" t="s">
        <v>345</v>
      </c>
      <c r="II179" s="22" t="s">
        <v>345</v>
      </c>
      <c r="IJ179" s="22" t="s">
        <v>344</v>
      </c>
      <c r="IK179" s="22" t="s">
        <v>344</v>
      </c>
      <c r="IL179" s="22" t="s">
        <v>345</v>
      </c>
      <c r="IM179" s="22" t="s">
        <v>345</v>
      </c>
      <c r="IN179" s="22" t="s">
        <v>344</v>
      </c>
      <c r="IO179" s="22" t="s">
        <v>345</v>
      </c>
      <c r="IP179" s="22" t="s">
        <v>344</v>
      </c>
      <c r="IQ179" s="22" t="s">
        <v>344</v>
      </c>
      <c r="IR179" s="22" t="s">
        <v>344</v>
      </c>
      <c r="IS179" s="22" t="s">
        <v>344</v>
      </c>
      <c r="IT179" s="22"/>
      <c r="IU179" s="22"/>
      <c r="IV179" s="22"/>
      <c r="IW179" s="22"/>
      <c r="IX179" s="22"/>
      <c r="IY179" s="22"/>
      <c r="IZ179" s="22"/>
      <c r="JA179" s="22"/>
      <c r="JB179" s="22"/>
      <c r="JC179" s="22"/>
      <c r="JD179" s="22"/>
      <c r="JE179" s="22"/>
      <c r="JF179" s="22"/>
      <c r="JG179" s="22"/>
      <c r="JH179" s="22"/>
    </row>
    <row r="180" spans="1:268" x14ac:dyDescent="0.3">
      <c r="A180" s="22" t="s">
        <v>813</v>
      </c>
      <c r="B180" s="22">
        <v>287</v>
      </c>
      <c r="C180" s="22" t="s">
        <v>1136</v>
      </c>
      <c r="D180" s="22">
        <v>14</v>
      </c>
      <c r="E180" s="22" t="s">
        <v>340</v>
      </c>
      <c r="F180" s="22">
        <v>356910052</v>
      </c>
      <c r="G180" s="22" t="s">
        <v>1137</v>
      </c>
      <c r="H180" s="22" t="s">
        <v>1136</v>
      </c>
      <c r="I180" s="22" t="s">
        <v>1035</v>
      </c>
      <c r="J180" s="22">
        <v>18</v>
      </c>
      <c r="K180" s="22" t="s">
        <v>406</v>
      </c>
      <c r="L180" s="22"/>
      <c r="M180" s="22" t="s">
        <v>344</v>
      </c>
      <c r="N180" s="22" t="s">
        <v>345</v>
      </c>
      <c r="O180" s="22" t="s">
        <v>344</v>
      </c>
      <c r="P180" s="22" t="s">
        <v>344</v>
      </c>
      <c r="Q180" s="22" t="s">
        <v>344</v>
      </c>
      <c r="R180" s="22"/>
      <c r="S180" s="22" t="s">
        <v>522</v>
      </c>
      <c r="T180" s="22"/>
      <c r="U180" s="22" t="s">
        <v>428</v>
      </c>
      <c r="V180" s="22"/>
      <c r="W180" s="22" t="s">
        <v>345</v>
      </c>
      <c r="X180" s="22" t="s">
        <v>344</v>
      </c>
      <c r="Y180" s="22" t="s">
        <v>344</v>
      </c>
      <c r="Z180" s="22" t="s">
        <v>344</v>
      </c>
      <c r="AA180" s="22" t="s">
        <v>345</v>
      </c>
      <c r="AB180" s="22" t="s">
        <v>344</v>
      </c>
      <c r="AC180" s="22" t="s">
        <v>344</v>
      </c>
      <c r="AD180" s="22" t="s">
        <v>344</v>
      </c>
      <c r="AE180" s="22" t="s">
        <v>345</v>
      </c>
      <c r="AF180" s="22" t="s">
        <v>344</v>
      </c>
      <c r="AG180" s="22" t="s">
        <v>344</v>
      </c>
      <c r="AH180" s="22" t="s">
        <v>345</v>
      </c>
      <c r="AI180" s="22" t="s">
        <v>345</v>
      </c>
      <c r="AJ180" s="22" t="s">
        <v>344</v>
      </c>
      <c r="AK180" s="22" t="s">
        <v>344</v>
      </c>
      <c r="AL180" s="22" t="s">
        <v>345</v>
      </c>
      <c r="AM180" s="22" t="s">
        <v>345</v>
      </c>
      <c r="AN180" s="22" t="s">
        <v>345</v>
      </c>
      <c r="AO180" s="22" t="s">
        <v>344</v>
      </c>
      <c r="AP180" s="22" t="s">
        <v>344</v>
      </c>
      <c r="AQ180" s="22" t="s">
        <v>344</v>
      </c>
      <c r="AR180" s="22" t="s">
        <v>344</v>
      </c>
      <c r="AS180" s="22" t="s">
        <v>344</v>
      </c>
      <c r="AT180" s="22" t="s">
        <v>344</v>
      </c>
      <c r="AU180" s="22" t="s">
        <v>344</v>
      </c>
      <c r="AV180" s="22" t="s">
        <v>345</v>
      </c>
      <c r="AW180" s="22" t="s">
        <v>345</v>
      </c>
      <c r="AX180" s="22" t="s">
        <v>344</v>
      </c>
      <c r="AY180" s="22" t="s">
        <v>732</v>
      </c>
      <c r="AZ180" s="22" t="s">
        <v>732</v>
      </c>
      <c r="BA180" s="22" t="s">
        <v>732</v>
      </c>
      <c r="BB180" s="22" t="s">
        <v>732</v>
      </c>
      <c r="BC180" s="22" t="s">
        <v>732</v>
      </c>
      <c r="BD180" s="22" t="s">
        <v>732</v>
      </c>
      <c r="BE180" s="22" t="s">
        <v>390</v>
      </c>
      <c r="BF180" s="22" t="s">
        <v>390</v>
      </c>
      <c r="BG180" s="22" t="s">
        <v>390</v>
      </c>
      <c r="BH180" s="22" t="s">
        <v>390</v>
      </c>
      <c r="BI180" s="22" t="s">
        <v>390</v>
      </c>
      <c r="BJ180" s="22" t="s">
        <v>391</v>
      </c>
      <c r="BK180" s="22" t="s">
        <v>391</v>
      </c>
      <c r="BL180" s="22" t="s">
        <v>391</v>
      </c>
      <c r="BM180" s="22" t="s">
        <v>391</v>
      </c>
      <c r="BN180" s="22" t="s">
        <v>391</v>
      </c>
      <c r="BO180" s="22" t="s">
        <v>391</v>
      </c>
      <c r="BP180" s="22" t="s">
        <v>391</v>
      </c>
      <c r="BQ180" s="22" t="s">
        <v>358</v>
      </c>
      <c r="BR180" s="22" t="s">
        <v>359</v>
      </c>
      <c r="BS180" s="22" t="s">
        <v>391</v>
      </c>
      <c r="BT180" s="22" t="s">
        <v>391</v>
      </c>
      <c r="BU180" s="22" t="s">
        <v>391</v>
      </c>
      <c r="BV180" s="22" t="s">
        <v>391</v>
      </c>
      <c r="BW180" s="22" t="s">
        <v>391</v>
      </c>
      <c r="BX180" s="22" t="s">
        <v>391</v>
      </c>
      <c r="BY180" s="22" t="s">
        <v>391</v>
      </c>
      <c r="BZ180" s="22" t="s">
        <v>391</v>
      </c>
      <c r="CA180" s="22" t="s">
        <v>391</v>
      </c>
      <c r="CB180" s="22" t="s">
        <v>391</v>
      </c>
      <c r="CC180" s="22" t="s">
        <v>391</v>
      </c>
      <c r="CD180" s="22" t="s">
        <v>391</v>
      </c>
      <c r="CE180" s="22" t="s">
        <v>391</v>
      </c>
      <c r="CF180" s="22" t="s">
        <v>391</v>
      </c>
      <c r="CG180" s="22" t="s">
        <v>420</v>
      </c>
      <c r="CH180" s="22" t="s">
        <v>393</v>
      </c>
      <c r="CI180" s="22" t="s">
        <v>420</v>
      </c>
      <c r="CJ180" s="22" t="s">
        <v>420</v>
      </c>
      <c r="CK180" s="22"/>
      <c r="CL180" s="22" t="s">
        <v>344</v>
      </c>
      <c r="CM180" s="22" t="s">
        <v>344</v>
      </c>
      <c r="CN180" s="22" t="s">
        <v>344</v>
      </c>
      <c r="CO180" s="22" t="s">
        <v>344</v>
      </c>
      <c r="CP180" s="22" t="s">
        <v>345</v>
      </c>
      <c r="CQ180" s="22" t="s">
        <v>344</v>
      </c>
      <c r="CR180" s="22" t="s">
        <v>667</v>
      </c>
      <c r="CS180" s="22">
        <v>81</v>
      </c>
      <c r="CT180" s="22">
        <v>6</v>
      </c>
      <c r="CU180" s="22">
        <v>86</v>
      </c>
      <c r="CV180" s="22">
        <v>6</v>
      </c>
      <c r="CW180" s="22" t="s">
        <v>363</v>
      </c>
      <c r="CX180" s="22" t="s">
        <v>363</v>
      </c>
      <c r="CY180" s="22" t="s">
        <v>396</v>
      </c>
      <c r="CZ180" s="22" t="s">
        <v>397</v>
      </c>
      <c r="DA180" s="22" t="s">
        <v>397</v>
      </c>
      <c r="DB180" s="22" t="s">
        <v>397</v>
      </c>
      <c r="DC180" s="22" t="s">
        <v>397</v>
      </c>
      <c r="DD180" s="22" t="s">
        <v>397</v>
      </c>
      <c r="DE180" s="22" t="s">
        <v>397</v>
      </c>
      <c r="DF180" s="22" t="s">
        <v>397</v>
      </c>
      <c r="DG180" s="22" t="s">
        <v>397</v>
      </c>
      <c r="DH180" s="22" t="s">
        <v>397</v>
      </c>
      <c r="DI180" s="22" t="s">
        <v>397</v>
      </c>
      <c r="DJ180" s="22"/>
      <c r="DK180" s="22" t="s">
        <v>367</v>
      </c>
      <c r="DL180" s="22" t="s">
        <v>368</v>
      </c>
      <c r="DM180" s="22" t="s">
        <v>368</v>
      </c>
      <c r="DN180" s="22" t="s">
        <v>368</v>
      </c>
      <c r="DO180" s="22" t="s">
        <v>368</v>
      </c>
      <c r="DP180" s="22" t="s">
        <v>345</v>
      </c>
      <c r="DQ180" s="22" t="s">
        <v>344</v>
      </c>
      <c r="DR180" s="22" t="s">
        <v>345</v>
      </c>
      <c r="DS180" s="22" t="s">
        <v>344</v>
      </c>
      <c r="DT180" s="22" t="s">
        <v>368</v>
      </c>
      <c r="DU180" s="22" t="s">
        <v>368</v>
      </c>
      <c r="DV180" s="22" t="s">
        <v>368</v>
      </c>
      <c r="DW180" s="22" t="s">
        <v>345</v>
      </c>
      <c r="DX180" s="22" t="s">
        <v>369</v>
      </c>
      <c r="DY180" s="22" t="s">
        <v>369</v>
      </c>
      <c r="DZ180" s="22" t="s">
        <v>370</v>
      </c>
      <c r="EA180" s="22" t="s">
        <v>369</v>
      </c>
      <c r="EB180" s="22" t="s">
        <v>369</v>
      </c>
      <c r="EC180" s="22" t="s">
        <v>369</v>
      </c>
      <c r="ED180" s="22" t="s">
        <v>399</v>
      </c>
      <c r="EE180" s="22" t="s">
        <v>370</v>
      </c>
      <c r="EF180" s="22" t="s">
        <v>370</v>
      </c>
      <c r="EG180" s="22" t="s">
        <v>370</v>
      </c>
      <c r="EH180" s="22" t="s">
        <v>370</v>
      </c>
      <c r="EI180" s="22" t="s">
        <v>370</v>
      </c>
      <c r="EJ180" s="22" t="s">
        <v>370</v>
      </c>
      <c r="EK180" s="22" t="s">
        <v>370</v>
      </c>
      <c r="EL180" s="22" t="s">
        <v>440</v>
      </c>
      <c r="EM180" s="22" t="s">
        <v>374</v>
      </c>
      <c r="EN180" s="22" t="s">
        <v>424</v>
      </c>
      <c r="EO180" s="22"/>
      <c r="EP180" s="22"/>
      <c r="EQ180" s="22" t="s">
        <v>375</v>
      </c>
      <c r="ER180" s="22" t="s">
        <v>375</v>
      </c>
      <c r="ES180" s="22" t="s">
        <v>375</v>
      </c>
      <c r="ET180" s="22" t="s">
        <v>375</v>
      </c>
      <c r="EU180" s="22" t="s">
        <v>375</v>
      </c>
      <c r="EV180" s="22" t="s">
        <v>400</v>
      </c>
      <c r="EW180" s="22"/>
      <c r="EX180" s="22" t="s">
        <v>368</v>
      </c>
      <c r="EY180" s="22" t="s">
        <v>368</v>
      </c>
      <c r="EZ180" s="22" t="s">
        <v>368</v>
      </c>
      <c r="FA180" s="22" t="s">
        <v>345</v>
      </c>
      <c r="FB180" s="22" t="s">
        <v>380</v>
      </c>
      <c r="FC180" s="22"/>
      <c r="FD180" s="22" t="s">
        <v>380</v>
      </c>
      <c r="FE180" s="22"/>
      <c r="FF180" s="22" t="s">
        <v>382</v>
      </c>
      <c r="FG180" s="22" t="s">
        <v>413</v>
      </c>
      <c r="FH180" s="22" t="s">
        <v>451</v>
      </c>
      <c r="FI180" s="22" t="s">
        <v>385</v>
      </c>
      <c r="FJ180" s="22"/>
      <c r="FK180" s="22"/>
      <c r="FL180" s="22"/>
      <c r="FM180" s="22"/>
      <c r="FN180" s="22"/>
      <c r="FO180" s="22"/>
      <c r="FP180" s="22"/>
      <c r="FQ180" s="22"/>
      <c r="FR180" s="22"/>
      <c r="FS180" s="22"/>
      <c r="FT180" s="22"/>
      <c r="FU180" s="22"/>
      <c r="FV180" s="22"/>
      <c r="FW180" s="22"/>
      <c r="FX180" s="22"/>
      <c r="FY180" s="22"/>
      <c r="FZ180" s="22"/>
      <c r="GA180" s="22" t="s">
        <v>368</v>
      </c>
      <c r="GB180" s="22" t="s">
        <v>368</v>
      </c>
      <c r="GC180" s="22" t="s">
        <v>368</v>
      </c>
      <c r="GD180" s="22" t="s">
        <v>368</v>
      </c>
      <c r="GE180" s="22" t="s">
        <v>368</v>
      </c>
      <c r="GF180" s="22" t="s">
        <v>368</v>
      </c>
      <c r="GG180" s="22"/>
      <c r="GH180" s="22"/>
      <c r="GI180" s="22"/>
      <c r="GJ180" s="22"/>
      <c r="GK180" s="22"/>
      <c r="GL180" s="22" t="s">
        <v>344</v>
      </c>
      <c r="GM180" s="22" t="s">
        <v>344</v>
      </c>
      <c r="GN180" s="22" t="s">
        <v>344</v>
      </c>
      <c r="GO180" s="22" t="s">
        <v>344</v>
      </c>
      <c r="GP180" s="22" t="s">
        <v>344</v>
      </c>
      <c r="GQ180" s="22" t="s">
        <v>344</v>
      </c>
      <c r="GR180" s="22" t="s">
        <v>344</v>
      </c>
      <c r="GS180" s="22" t="s">
        <v>344</v>
      </c>
      <c r="GT180" s="22" t="s">
        <v>344</v>
      </c>
      <c r="GU180" s="22" t="s">
        <v>344</v>
      </c>
      <c r="GV180" s="22" t="s">
        <v>344</v>
      </c>
      <c r="GW180" s="22" t="s">
        <v>344</v>
      </c>
      <c r="GX180" s="22" t="s">
        <v>344</v>
      </c>
      <c r="GY180" s="22" t="s">
        <v>344</v>
      </c>
      <c r="GZ180" s="22" t="s">
        <v>345</v>
      </c>
      <c r="HA180" s="22"/>
      <c r="HB180" s="22" t="s">
        <v>344</v>
      </c>
      <c r="HC180" s="22"/>
      <c r="HD180" s="22" t="s">
        <v>344</v>
      </c>
      <c r="HE180" s="22"/>
      <c r="HF180" s="22" t="s">
        <v>344</v>
      </c>
      <c r="HG180" s="22"/>
      <c r="HH180" s="22" t="s">
        <v>344</v>
      </c>
      <c r="HI180" s="22"/>
      <c r="HJ180" s="22" t="s">
        <v>344</v>
      </c>
      <c r="HK180" s="22" t="s">
        <v>344</v>
      </c>
      <c r="HL180" s="22" t="s">
        <v>344</v>
      </c>
      <c r="HM180" s="22" t="s">
        <v>344</v>
      </c>
      <c r="HN180" s="22" t="s">
        <v>344</v>
      </c>
      <c r="HO180" s="22" t="s">
        <v>344</v>
      </c>
      <c r="HP180" s="22" t="s">
        <v>344</v>
      </c>
      <c r="HQ180" s="22" t="s">
        <v>344</v>
      </c>
      <c r="HR180" s="22" t="s">
        <v>344</v>
      </c>
      <c r="HS180" s="22" t="s">
        <v>344</v>
      </c>
      <c r="HT180" s="22" t="s">
        <v>344</v>
      </c>
      <c r="HU180" s="22" t="s">
        <v>344</v>
      </c>
      <c r="HV180" s="22" t="s">
        <v>344</v>
      </c>
      <c r="HW180" s="22" t="s">
        <v>344</v>
      </c>
      <c r="HX180" s="22" t="s">
        <v>345</v>
      </c>
      <c r="HY180" s="22"/>
      <c r="HZ180" s="22" t="s">
        <v>344</v>
      </c>
      <c r="IA180" s="22"/>
      <c r="IB180" s="22" t="s">
        <v>344</v>
      </c>
      <c r="IC180" s="22"/>
      <c r="ID180" s="22" t="s">
        <v>344</v>
      </c>
      <c r="IE180" s="22"/>
      <c r="IF180" s="22" t="s">
        <v>344</v>
      </c>
      <c r="IG180" s="22"/>
      <c r="IH180" s="22" t="s">
        <v>345</v>
      </c>
      <c r="II180" s="22" t="s">
        <v>345</v>
      </c>
      <c r="IJ180" s="22" t="s">
        <v>344</v>
      </c>
      <c r="IK180" s="22" t="s">
        <v>344</v>
      </c>
      <c r="IL180" s="22" t="s">
        <v>345</v>
      </c>
      <c r="IM180" s="22" t="s">
        <v>345</v>
      </c>
      <c r="IN180" s="22" t="s">
        <v>344</v>
      </c>
      <c r="IO180" s="22" t="s">
        <v>345</v>
      </c>
      <c r="IP180" s="22" t="s">
        <v>344</v>
      </c>
      <c r="IQ180" s="22" t="s">
        <v>344</v>
      </c>
      <c r="IR180" s="22" t="s">
        <v>344</v>
      </c>
      <c r="IS180" s="22" t="s">
        <v>344</v>
      </c>
      <c r="IT180" s="22"/>
      <c r="IU180" s="22"/>
      <c r="IV180" s="22"/>
      <c r="IW180" s="22"/>
      <c r="IX180" s="22"/>
      <c r="IY180" s="22"/>
      <c r="IZ180" s="22"/>
      <c r="JA180" s="22"/>
      <c r="JB180" s="22"/>
      <c r="JC180" s="22"/>
      <c r="JD180" s="22"/>
      <c r="JE180" s="22"/>
      <c r="JF180" s="22"/>
      <c r="JG180" s="22"/>
      <c r="JH180" s="22"/>
    </row>
    <row r="181" spans="1:268" x14ac:dyDescent="0.3">
      <c r="A181" s="22" t="s">
        <v>813</v>
      </c>
      <c r="B181" s="22">
        <v>288</v>
      </c>
      <c r="C181" s="22" t="s">
        <v>1138</v>
      </c>
      <c r="D181" s="22">
        <v>14</v>
      </c>
      <c r="E181" s="22" t="s">
        <v>387</v>
      </c>
      <c r="F181" s="22">
        <v>2039757327</v>
      </c>
      <c r="G181" s="22" t="s">
        <v>1139</v>
      </c>
      <c r="H181" s="22" t="s">
        <v>1138</v>
      </c>
      <c r="I181" s="22" t="s">
        <v>1035</v>
      </c>
      <c r="J181" s="22">
        <v>17</v>
      </c>
      <c r="K181" s="22" t="s">
        <v>406</v>
      </c>
      <c r="L181" s="22"/>
      <c r="M181" s="22" t="s">
        <v>345</v>
      </c>
      <c r="N181" s="22" t="s">
        <v>345</v>
      </c>
      <c r="O181" s="22" t="s">
        <v>344</v>
      </c>
      <c r="P181" s="22" t="s">
        <v>344</v>
      </c>
      <c r="Q181" s="22" t="s">
        <v>344</v>
      </c>
      <c r="R181" s="22"/>
      <c r="S181" s="22" t="s">
        <v>522</v>
      </c>
      <c r="T181" s="22"/>
      <c r="U181" s="22" t="s">
        <v>428</v>
      </c>
      <c r="V181" s="22"/>
      <c r="W181" s="22" t="s">
        <v>344</v>
      </c>
      <c r="X181" s="22" t="s">
        <v>344</v>
      </c>
      <c r="Y181" s="22" t="s">
        <v>344</v>
      </c>
      <c r="Z181" s="22" t="s">
        <v>345</v>
      </c>
      <c r="AA181" s="22" t="s">
        <v>344</v>
      </c>
      <c r="AB181" s="22" t="s">
        <v>345</v>
      </c>
      <c r="AC181" s="22" t="s">
        <v>344</v>
      </c>
      <c r="AD181" s="22" t="s">
        <v>344</v>
      </c>
      <c r="AE181" s="22" t="s">
        <v>344</v>
      </c>
      <c r="AF181" s="22" t="s">
        <v>344</v>
      </c>
      <c r="AG181" s="22" t="s">
        <v>344</v>
      </c>
      <c r="AH181" s="22" t="s">
        <v>345</v>
      </c>
      <c r="AI181" s="22" t="s">
        <v>345</v>
      </c>
      <c r="AJ181" s="22" t="s">
        <v>344</v>
      </c>
      <c r="AK181" s="22" t="s">
        <v>344</v>
      </c>
      <c r="AL181" s="22" t="s">
        <v>344</v>
      </c>
      <c r="AM181" s="22" t="s">
        <v>345</v>
      </c>
      <c r="AN181" s="22" t="s">
        <v>344</v>
      </c>
      <c r="AO181" s="22" t="s">
        <v>344</v>
      </c>
      <c r="AP181" s="22" t="s">
        <v>344</v>
      </c>
      <c r="AQ181" s="22" t="s">
        <v>344</v>
      </c>
      <c r="AR181" s="22" t="s">
        <v>344</v>
      </c>
      <c r="AS181" s="22" t="s">
        <v>344</v>
      </c>
      <c r="AT181" s="22" t="s">
        <v>344</v>
      </c>
      <c r="AU181" s="22" t="s">
        <v>345</v>
      </c>
      <c r="AV181" s="22" t="s">
        <v>345</v>
      </c>
      <c r="AW181" s="22" t="s">
        <v>344</v>
      </c>
      <c r="AX181" s="22" t="s">
        <v>344</v>
      </c>
      <c r="AY181" s="22" t="s">
        <v>731</v>
      </c>
      <c r="AZ181" s="22" t="s">
        <v>733</v>
      </c>
      <c r="BA181" s="22" t="s">
        <v>732</v>
      </c>
      <c r="BB181" s="22" t="s">
        <v>733</v>
      </c>
      <c r="BC181" s="22" t="s">
        <v>733</v>
      </c>
      <c r="BD181" s="22" t="s">
        <v>732</v>
      </c>
      <c r="BE181" s="22" t="s">
        <v>348</v>
      </c>
      <c r="BF181" s="22" t="s">
        <v>348</v>
      </c>
      <c r="BG181" s="22" t="s">
        <v>390</v>
      </c>
      <c r="BH181" s="22" t="s">
        <v>349</v>
      </c>
      <c r="BI181" s="22" t="s">
        <v>348</v>
      </c>
      <c r="BJ181" s="22" t="s">
        <v>352</v>
      </c>
      <c r="BK181" s="22" t="s">
        <v>354</v>
      </c>
      <c r="BL181" s="22" t="s">
        <v>351</v>
      </c>
      <c r="BM181" s="22" t="s">
        <v>352</v>
      </c>
      <c r="BN181" s="22" t="s">
        <v>356</v>
      </c>
      <c r="BO181" s="22" t="s">
        <v>357</v>
      </c>
      <c r="BP181" s="22" t="s">
        <v>355</v>
      </c>
      <c r="BQ181" s="22" t="s">
        <v>358</v>
      </c>
      <c r="BR181" s="22" t="s">
        <v>429</v>
      </c>
      <c r="BS181" s="22" t="s">
        <v>357</v>
      </c>
      <c r="BT181" s="22" t="s">
        <v>355</v>
      </c>
      <c r="BU181" s="22" t="s">
        <v>356</v>
      </c>
      <c r="BV181" s="22" t="s">
        <v>391</v>
      </c>
      <c r="BW181" s="22" t="s">
        <v>353</v>
      </c>
      <c r="BX181" s="22" t="s">
        <v>351</v>
      </c>
      <c r="BY181" s="22" t="s">
        <v>352</v>
      </c>
      <c r="BZ181" s="22" t="s">
        <v>354</v>
      </c>
      <c r="CA181" s="22" t="s">
        <v>357</v>
      </c>
      <c r="CB181" s="22" t="s">
        <v>352</v>
      </c>
      <c r="CC181" s="22" t="s">
        <v>356</v>
      </c>
      <c r="CD181" s="22" t="s">
        <v>353</v>
      </c>
      <c r="CE181" s="22" t="s">
        <v>351</v>
      </c>
      <c r="CF181" s="22" t="s">
        <v>355</v>
      </c>
      <c r="CG181" s="22" t="s">
        <v>421</v>
      </c>
      <c r="CH181" s="22" t="s">
        <v>392</v>
      </c>
      <c r="CI181" s="22" t="s">
        <v>420</v>
      </c>
      <c r="CJ181" s="22" t="s">
        <v>360</v>
      </c>
      <c r="CK181" s="22" t="s">
        <v>391</v>
      </c>
      <c r="CL181" s="22" t="s">
        <v>344</v>
      </c>
      <c r="CM181" s="22" t="s">
        <v>345</v>
      </c>
      <c r="CN181" s="22" t="s">
        <v>344</v>
      </c>
      <c r="CO181" s="22" t="s">
        <v>344</v>
      </c>
      <c r="CP181" s="22" t="s">
        <v>345</v>
      </c>
      <c r="CQ181" s="22" t="s">
        <v>344</v>
      </c>
      <c r="CR181" s="22" t="s">
        <v>655</v>
      </c>
      <c r="CS181" s="22">
        <v>80</v>
      </c>
      <c r="CT181" s="22">
        <v>20</v>
      </c>
      <c r="CU181" s="22">
        <v>80</v>
      </c>
      <c r="CV181" s="22">
        <v>1</v>
      </c>
      <c r="CW181" s="22" t="s">
        <v>364</v>
      </c>
      <c r="CX181" s="22" t="s">
        <v>396</v>
      </c>
      <c r="CY181" s="22" t="s">
        <v>396</v>
      </c>
      <c r="CZ181" s="22" t="s">
        <v>397</v>
      </c>
      <c r="DA181" s="22" t="s">
        <v>397</v>
      </c>
      <c r="DB181" s="22" t="s">
        <v>397</v>
      </c>
      <c r="DC181" s="22" t="s">
        <v>397</v>
      </c>
      <c r="DD181" s="22" t="s">
        <v>397</v>
      </c>
      <c r="DE181" s="22" t="s">
        <v>366</v>
      </c>
      <c r="DF181" s="22" t="s">
        <v>365</v>
      </c>
      <c r="DG181" s="22" t="s">
        <v>397</v>
      </c>
      <c r="DH181" s="22" t="s">
        <v>397</v>
      </c>
      <c r="DI181" s="22" t="s">
        <v>365</v>
      </c>
      <c r="DJ181" s="22" t="s">
        <v>1140</v>
      </c>
      <c r="DK181" s="22" t="s">
        <v>367</v>
      </c>
      <c r="DL181" s="22" t="s">
        <v>368</v>
      </c>
      <c r="DM181" s="22" t="s">
        <v>368</v>
      </c>
      <c r="DN181" s="22" t="s">
        <v>368</v>
      </c>
      <c r="DO181" s="22" t="s">
        <v>368</v>
      </c>
      <c r="DP181" s="22" t="s">
        <v>344</v>
      </c>
      <c r="DQ181" s="22" t="s">
        <v>344</v>
      </c>
      <c r="DR181" s="22" t="s">
        <v>345</v>
      </c>
      <c r="DS181" s="22" t="s">
        <v>344</v>
      </c>
      <c r="DT181" s="22" t="s">
        <v>345</v>
      </c>
      <c r="DU181" s="22" t="s">
        <v>344</v>
      </c>
      <c r="DV181" s="22" t="s">
        <v>345</v>
      </c>
      <c r="DW181" s="22" t="s">
        <v>344</v>
      </c>
      <c r="DX181" s="22" t="s">
        <v>399</v>
      </c>
      <c r="DY181" s="22" t="s">
        <v>370</v>
      </c>
      <c r="DZ181" s="22" t="s">
        <v>369</v>
      </c>
      <c r="EA181" s="22" t="s">
        <v>399</v>
      </c>
      <c r="EB181" s="22" t="s">
        <v>369</v>
      </c>
      <c r="EC181" s="22" t="s">
        <v>371</v>
      </c>
      <c r="ED181" s="22" t="s">
        <v>398</v>
      </c>
      <c r="EE181" s="22" t="s">
        <v>370</v>
      </c>
      <c r="EF181" s="22" t="s">
        <v>370</v>
      </c>
      <c r="EG181" s="22" t="s">
        <v>369</v>
      </c>
      <c r="EH181" s="22" t="s">
        <v>370</v>
      </c>
      <c r="EI181" s="22" t="s">
        <v>369</v>
      </c>
      <c r="EJ181" s="22" t="s">
        <v>370</v>
      </c>
      <c r="EK181" s="22" t="s">
        <v>370</v>
      </c>
      <c r="EL181" s="22" t="s">
        <v>373</v>
      </c>
      <c r="EM181" s="22" t="s">
        <v>440</v>
      </c>
      <c r="EN181" s="22" t="s">
        <v>424</v>
      </c>
      <c r="EO181" s="22"/>
      <c r="EP181" s="22"/>
      <c r="EQ181" s="22" t="s">
        <v>375</v>
      </c>
      <c r="ER181" s="22" t="s">
        <v>376</v>
      </c>
      <c r="ES181" s="22" t="s">
        <v>375</v>
      </c>
      <c r="ET181" s="22" t="s">
        <v>378</v>
      </c>
      <c r="EU181" s="22" t="s">
        <v>378</v>
      </c>
      <c r="EV181" s="22" t="s">
        <v>400</v>
      </c>
      <c r="EW181" s="22"/>
      <c r="EX181" s="22" t="s">
        <v>368</v>
      </c>
      <c r="EY181" s="22" t="s">
        <v>368</v>
      </c>
      <c r="EZ181" s="22" t="s">
        <v>368</v>
      </c>
      <c r="FA181" s="22" t="s">
        <v>345</v>
      </c>
      <c r="FB181" s="22" t="s">
        <v>381</v>
      </c>
      <c r="FC181" s="22"/>
      <c r="FD181" s="22" t="s">
        <v>401</v>
      </c>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t="s">
        <v>368</v>
      </c>
      <c r="GB181" s="22" t="s">
        <v>368</v>
      </c>
      <c r="GC181" s="22" t="s">
        <v>368</v>
      </c>
      <c r="GD181" s="22" t="s">
        <v>368</v>
      </c>
      <c r="GE181" s="22" t="s">
        <v>368</v>
      </c>
      <c r="GF181" s="22" t="s">
        <v>368</v>
      </c>
      <c r="GG181" s="22"/>
      <c r="GH181" s="22"/>
      <c r="GI181" s="22"/>
      <c r="GJ181" s="22"/>
      <c r="GK181" s="22"/>
      <c r="GL181" s="22" t="s">
        <v>344</v>
      </c>
      <c r="GM181" s="22" t="s">
        <v>344</v>
      </c>
      <c r="GN181" s="22" t="s">
        <v>344</v>
      </c>
      <c r="GO181" s="22" t="s">
        <v>344</v>
      </c>
      <c r="GP181" s="22" t="s">
        <v>344</v>
      </c>
      <c r="GQ181" s="22" t="s">
        <v>344</v>
      </c>
      <c r="GR181" s="22" t="s">
        <v>344</v>
      </c>
      <c r="GS181" s="22" t="s">
        <v>344</v>
      </c>
      <c r="GT181" s="22" t="s">
        <v>344</v>
      </c>
      <c r="GU181" s="22" t="s">
        <v>344</v>
      </c>
      <c r="GV181" s="22" t="s">
        <v>344</v>
      </c>
      <c r="GW181" s="22" t="s">
        <v>344</v>
      </c>
      <c r="GX181" s="22" t="s">
        <v>344</v>
      </c>
      <c r="GY181" s="22" t="s">
        <v>344</v>
      </c>
      <c r="GZ181" s="22" t="s">
        <v>345</v>
      </c>
      <c r="HA181" s="22"/>
      <c r="HB181" s="22" t="s">
        <v>344</v>
      </c>
      <c r="HC181" s="22"/>
      <c r="HD181" s="22" t="s">
        <v>344</v>
      </c>
      <c r="HE181" s="22"/>
      <c r="HF181" s="22" t="s">
        <v>344</v>
      </c>
      <c r="HG181" s="22"/>
      <c r="HH181" s="22" t="s">
        <v>344</v>
      </c>
      <c r="HI181" s="22"/>
      <c r="HJ181" s="22" t="s">
        <v>344</v>
      </c>
      <c r="HK181" s="22" t="s">
        <v>344</v>
      </c>
      <c r="HL181" s="22" t="s">
        <v>344</v>
      </c>
      <c r="HM181" s="22" t="s">
        <v>344</v>
      </c>
      <c r="HN181" s="22" t="s">
        <v>344</v>
      </c>
      <c r="HO181" s="22" t="s">
        <v>344</v>
      </c>
      <c r="HP181" s="22" t="s">
        <v>344</v>
      </c>
      <c r="HQ181" s="22" t="s">
        <v>344</v>
      </c>
      <c r="HR181" s="22" t="s">
        <v>344</v>
      </c>
      <c r="HS181" s="22" t="s">
        <v>344</v>
      </c>
      <c r="HT181" s="22" t="s">
        <v>344</v>
      </c>
      <c r="HU181" s="22" t="s">
        <v>345</v>
      </c>
      <c r="HV181" s="22" t="s">
        <v>344</v>
      </c>
      <c r="HW181" s="22" t="s">
        <v>344</v>
      </c>
      <c r="HX181" s="22" t="s">
        <v>344</v>
      </c>
      <c r="HY181" s="22"/>
      <c r="HZ181" s="22" t="s">
        <v>344</v>
      </c>
      <c r="IA181" s="22"/>
      <c r="IB181" s="22" t="s">
        <v>344</v>
      </c>
      <c r="IC181" s="22"/>
      <c r="ID181" s="22" t="s">
        <v>344</v>
      </c>
      <c r="IE181" s="22"/>
      <c r="IF181" s="22" t="s">
        <v>344</v>
      </c>
      <c r="IG181" s="22"/>
      <c r="IH181" s="22" t="s">
        <v>345</v>
      </c>
      <c r="II181" s="22" t="s">
        <v>345</v>
      </c>
      <c r="IJ181" s="22" t="s">
        <v>344</v>
      </c>
      <c r="IK181" s="22" t="s">
        <v>344</v>
      </c>
      <c r="IL181" s="22" t="s">
        <v>345</v>
      </c>
      <c r="IM181" s="22" t="s">
        <v>344</v>
      </c>
      <c r="IN181" s="22" t="s">
        <v>344</v>
      </c>
      <c r="IO181" s="22" t="s">
        <v>345</v>
      </c>
      <c r="IP181" s="22" t="s">
        <v>344</v>
      </c>
      <c r="IQ181" s="22" t="s">
        <v>344</v>
      </c>
      <c r="IR181" s="22" t="s">
        <v>345</v>
      </c>
      <c r="IS181" s="22" t="s">
        <v>344</v>
      </c>
      <c r="IT181" s="22"/>
      <c r="IU181" s="22"/>
      <c r="IV181" s="22"/>
      <c r="IW181" s="22"/>
      <c r="IX181" s="22"/>
      <c r="IY181" s="22"/>
      <c r="IZ181" s="22"/>
      <c r="JA181" s="22"/>
      <c r="JB181" s="22"/>
      <c r="JC181" s="22"/>
      <c r="JD181" s="22"/>
      <c r="JE181" s="22"/>
      <c r="JF181" s="22"/>
      <c r="JG181" s="22"/>
      <c r="JH181" s="22"/>
    </row>
    <row r="182" spans="1:268" x14ac:dyDescent="0.3">
      <c r="A182" s="22" t="s">
        <v>813</v>
      </c>
      <c r="B182" s="22">
        <v>289</v>
      </c>
      <c r="C182" s="22" t="s">
        <v>1141</v>
      </c>
      <c r="D182" s="22">
        <v>14</v>
      </c>
      <c r="E182" s="22" t="s">
        <v>387</v>
      </c>
      <c r="F182" s="22">
        <v>1071304060</v>
      </c>
      <c r="G182" s="22" t="s">
        <v>1142</v>
      </c>
      <c r="H182" s="22" t="s">
        <v>1141</v>
      </c>
      <c r="I182" s="22" t="s">
        <v>1035</v>
      </c>
      <c r="J182" s="22">
        <v>18</v>
      </c>
      <c r="K182" s="22" t="s">
        <v>389</v>
      </c>
      <c r="L182" s="22"/>
      <c r="M182" s="22" t="s">
        <v>345</v>
      </c>
      <c r="N182" s="22" t="s">
        <v>345</v>
      </c>
      <c r="O182" s="22" t="s">
        <v>344</v>
      </c>
      <c r="P182" s="22" t="s">
        <v>344</v>
      </c>
      <c r="Q182" s="22" t="s">
        <v>344</v>
      </c>
      <c r="R182" s="22"/>
      <c r="S182" s="22" t="s">
        <v>522</v>
      </c>
      <c r="T182" s="22"/>
      <c r="U182" s="22" t="s">
        <v>347</v>
      </c>
      <c r="V182" s="22"/>
      <c r="W182" s="22" t="s">
        <v>344</v>
      </c>
      <c r="X182" s="22" t="s">
        <v>345</v>
      </c>
      <c r="Y182" s="22" t="s">
        <v>344</v>
      </c>
      <c r="Z182" s="22" t="s">
        <v>344</v>
      </c>
      <c r="AA182" s="22" t="s">
        <v>344</v>
      </c>
      <c r="AB182" s="22" t="s">
        <v>344</v>
      </c>
      <c r="AC182" s="22" t="s">
        <v>344</v>
      </c>
      <c r="AD182" s="22" t="s">
        <v>344</v>
      </c>
      <c r="AE182" s="22" t="s">
        <v>345</v>
      </c>
      <c r="AF182" s="22" t="s">
        <v>344</v>
      </c>
      <c r="AG182" s="22" t="s">
        <v>344</v>
      </c>
      <c r="AH182" s="22" t="s">
        <v>344</v>
      </c>
      <c r="AI182" s="22" t="s">
        <v>344</v>
      </c>
      <c r="AJ182" s="22" t="s">
        <v>344</v>
      </c>
      <c r="AK182" s="22" t="s">
        <v>345</v>
      </c>
      <c r="AL182" s="22" t="s">
        <v>344</v>
      </c>
      <c r="AM182" s="22" t="s">
        <v>344</v>
      </c>
      <c r="AN182" s="22" t="s">
        <v>344</v>
      </c>
      <c r="AO182" s="22" t="s">
        <v>344</v>
      </c>
      <c r="AP182" s="22" t="s">
        <v>344</v>
      </c>
      <c r="AQ182" s="22" t="s">
        <v>344</v>
      </c>
      <c r="AR182" s="22" t="s">
        <v>344</v>
      </c>
      <c r="AS182" s="22" t="s">
        <v>344</v>
      </c>
      <c r="AT182" s="22" t="s">
        <v>345</v>
      </c>
      <c r="AU182" s="22" t="s">
        <v>345</v>
      </c>
      <c r="AV182" s="22" t="s">
        <v>344</v>
      </c>
      <c r="AW182" s="22" t="s">
        <v>344</v>
      </c>
      <c r="AX182" s="22" t="s">
        <v>344</v>
      </c>
      <c r="AY182" s="22" t="s">
        <v>731</v>
      </c>
      <c r="AZ182" s="22" t="s">
        <v>732</v>
      </c>
      <c r="BA182" s="22" t="s">
        <v>733</v>
      </c>
      <c r="BB182" s="22" t="s">
        <v>737</v>
      </c>
      <c r="BC182" s="22" t="s">
        <v>737</v>
      </c>
      <c r="BD182" s="22" t="s">
        <v>733</v>
      </c>
      <c r="BE182" s="22" t="s">
        <v>390</v>
      </c>
      <c r="BF182" s="22" t="s">
        <v>349</v>
      </c>
      <c r="BG182" s="22" t="s">
        <v>390</v>
      </c>
      <c r="BH182" s="22" t="s">
        <v>390</v>
      </c>
      <c r="BI182" s="22" t="s">
        <v>349</v>
      </c>
      <c r="BJ182" s="22" t="s">
        <v>391</v>
      </c>
      <c r="BK182" s="22" t="s">
        <v>391</v>
      </c>
      <c r="BL182" s="22" t="s">
        <v>391</v>
      </c>
      <c r="BM182" s="22" t="s">
        <v>352</v>
      </c>
      <c r="BN182" s="22" t="s">
        <v>391</v>
      </c>
      <c r="BO182" s="22" t="s">
        <v>391</v>
      </c>
      <c r="BP182" s="22" t="s">
        <v>391</v>
      </c>
      <c r="BQ182" s="22" t="s">
        <v>358</v>
      </c>
      <c r="BR182" s="22" t="s">
        <v>408</v>
      </c>
      <c r="BS182" s="22" t="s">
        <v>356</v>
      </c>
      <c r="BT182" s="22" t="s">
        <v>354</v>
      </c>
      <c r="BU182" s="22" t="s">
        <v>357</v>
      </c>
      <c r="BV182" s="22" t="s">
        <v>355</v>
      </c>
      <c r="BW182" s="22" t="s">
        <v>351</v>
      </c>
      <c r="BX182" s="22" t="s">
        <v>353</v>
      </c>
      <c r="BY182" s="22" t="s">
        <v>352</v>
      </c>
      <c r="BZ182" s="22" t="s">
        <v>354</v>
      </c>
      <c r="CA182" s="22" t="s">
        <v>352</v>
      </c>
      <c r="CB182" s="22" t="s">
        <v>351</v>
      </c>
      <c r="CC182" s="22" t="s">
        <v>357</v>
      </c>
      <c r="CD182" s="22" t="s">
        <v>391</v>
      </c>
      <c r="CE182" s="22" t="s">
        <v>354</v>
      </c>
      <c r="CF182" s="22" t="s">
        <v>391</v>
      </c>
      <c r="CG182" s="22" t="s">
        <v>420</v>
      </c>
      <c r="CH182" s="22" t="s">
        <v>393</v>
      </c>
      <c r="CI182" s="22" t="s">
        <v>420</v>
      </c>
      <c r="CJ182" s="22" t="s">
        <v>393</v>
      </c>
      <c r="CK182" s="22" t="s">
        <v>391</v>
      </c>
      <c r="CL182" s="22" t="s">
        <v>344</v>
      </c>
      <c r="CM182" s="22" t="s">
        <v>344</v>
      </c>
      <c r="CN182" s="22" t="s">
        <v>344</v>
      </c>
      <c r="CO182" s="22" t="s">
        <v>344</v>
      </c>
      <c r="CP182" s="22" t="s">
        <v>345</v>
      </c>
      <c r="CQ182" s="22" t="s">
        <v>344</v>
      </c>
      <c r="CR182" s="22" t="s">
        <v>655</v>
      </c>
      <c r="CS182" s="22">
        <v>1</v>
      </c>
      <c r="CT182" s="22">
        <v>76</v>
      </c>
      <c r="CU182" s="22">
        <v>76</v>
      </c>
      <c r="CV182" s="22">
        <v>36</v>
      </c>
      <c r="CW182" s="22" t="s">
        <v>364</v>
      </c>
      <c r="CX182" s="22" t="s">
        <v>396</v>
      </c>
      <c r="CY182" s="22" t="s">
        <v>396</v>
      </c>
      <c r="CZ182" s="22" t="s">
        <v>397</v>
      </c>
      <c r="DA182" s="22" t="s">
        <v>397</v>
      </c>
      <c r="DB182" s="22" t="s">
        <v>397</v>
      </c>
      <c r="DC182" s="22" t="s">
        <v>397</v>
      </c>
      <c r="DD182" s="22" t="s">
        <v>397</v>
      </c>
      <c r="DE182" s="22" t="s">
        <v>397</v>
      </c>
      <c r="DF182" s="22" t="s">
        <v>397</v>
      </c>
      <c r="DG182" s="22" t="s">
        <v>397</v>
      </c>
      <c r="DH182" s="22" t="s">
        <v>397</v>
      </c>
      <c r="DI182" s="22" t="s">
        <v>397</v>
      </c>
      <c r="DJ182" s="22"/>
      <c r="DK182" s="22" t="s">
        <v>367</v>
      </c>
      <c r="DL182" s="22" t="s">
        <v>368</v>
      </c>
      <c r="DM182" s="22" t="s">
        <v>368</v>
      </c>
      <c r="DN182" s="22" t="s">
        <v>368</v>
      </c>
      <c r="DO182" s="22" t="s">
        <v>368</v>
      </c>
      <c r="DP182" s="22" t="s">
        <v>345</v>
      </c>
      <c r="DQ182" s="22" t="s">
        <v>344</v>
      </c>
      <c r="DR182" s="22" t="s">
        <v>345</v>
      </c>
      <c r="DS182" s="22" t="s">
        <v>344</v>
      </c>
      <c r="DT182" s="22" t="s">
        <v>368</v>
      </c>
      <c r="DU182" s="22" t="s">
        <v>368</v>
      </c>
      <c r="DV182" s="22" t="s">
        <v>368</v>
      </c>
      <c r="DW182" s="22" t="s">
        <v>345</v>
      </c>
      <c r="DX182" s="22" t="s">
        <v>369</v>
      </c>
      <c r="DY182" s="22" t="s">
        <v>370</v>
      </c>
      <c r="DZ182" s="22" t="s">
        <v>370</v>
      </c>
      <c r="EA182" s="22" t="s">
        <v>369</v>
      </c>
      <c r="EB182" s="22" t="s">
        <v>369</v>
      </c>
      <c r="EC182" s="22" t="s">
        <v>399</v>
      </c>
      <c r="ED182" s="22" t="s">
        <v>399</v>
      </c>
      <c r="EE182" s="22" t="s">
        <v>370</v>
      </c>
      <c r="EF182" s="22" t="s">
        <v>370</v>
      </c>
      <c r="EG182" s="22" t="s">
        <v>370</v>
      </c>
      <c r="EH182" s="22" t="s">
        <v>370</v>
      </c>
      <c r="EI182" s="22" t="s">
        <v>370</v>
      </c>
      <c r="EJ182" s="22" t="s">
        <v>370</v>
      </c>
      <c r="EK182" s="22" t="s">
        <v>370</v>
      </c>
      <c r="EL182" s="22" t="s">
        <v>372</v>
      </c>
      <c r="EM182" s="22" t="s">
        <v>424</v>
      </c>
      <c r="EN182" s="22" t="s">
        <v>440</v>
      </c>
      <c r="EO182" s="22"/>
      <c r="EP182" s="22"/>
      <c r="EQ182" s="22" t="s">
        <v>375</v>
      </c>
      <c r="ER182" s="22" t="s">
        <v>375</v>
      </c>
      <c r="ES182" s="22" t="s">
        <v>376</v>
      </c>
      <c r="ET182" s="22" t="s">
        <v>378</v>
      </c>
      <c r="EU182" s="22" t="s">
        <v>378</v>
      </c>
      <c r="EV182" s="22" t="s">
        <v>400</v>
      </c>
      <c r="EW182" s="22"/>
      <c r="EX182" s="22" t="s">
        <v>368</v>
      </c>
      <c r="EY182" s="22" t="s">
        <v>368</v>
      </c>
      <c r="EZ182" s="22" t="s">
        <v>368</v>
      </c>
      <c r="FA182" s="22" t="s">
        <v>345</v>
      </c>
      <c r="FB182" s="22" t="s">
        <v>401</v>
      </c>
      <c r="FC182" s="22"/>
      <c r="FD182" s="22" t="s">
        <v>401</v>
      </c>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t="s">
        <v>368</v>
      </c>
      <c r="GB182" s="22" t="s">
        <v>368</v>
      </c>
      <c r="GC182" s="22" t="s">
        <v>368</v>
      </c>
      <c r="GD182" s="22" t="s">
        <v>368</v>
      </c>
      <c r="GE182" s="22" t="s">
        <v>368</v>
      </c>
      <c r="GF182" s="22" t="s">
        <v>368</v>
      </c>
      <c r="GG182" s="22"/>
      <c r="GH182" s="22"/>
      <c r="GI182" s="22"/>
      <c r="GJ182" s="22"/>
      <c r="GK182" s="22"/>
      <c r="GL182" s="22" t="s">
        <v>344</v>
      </c>
      <c r="GM182" s="22" t="s">
        <v>344</v>
      </c>
      <c r="GN182" s="22" t="s">
        <v>344</v>
      </c>
      <c r="GO182" s="22" t="s">
        <v>344</v>
      </c>
      <c r="GP182" s="22" t="s">
        <v>344</v>
      </c>
      <c r="GQ182" s="22" t="s">
        <v>344</v>
      </c>
      <c r="GR182" s="22" t="s">
        <v>344</v>
      </c>
      <c r="GS182" s="22" t="s">
        <v>344</v>
      </c>
      <c r="GT182" s="22" t="s">
        <v>344</v>
      </c>
      <c r="GU182" s="22" t="s">
        <v>344</v>
      </c>
      <c r="GV182" s="22" t="s">
        <v>344</v>
      </c>
      <c r="GW182" s="22" t="s">
        <v>344</v>
      </c>
      <c r="GX182" s="22" t="s">
        <v>344</v>
      </c>
      <c r="GY182" s="22" t="s">
        <v>344</v>
      </c>
      <c r="GZ182" s="22" t="s">
        <v>345</v>
      </c>
      <c r="HA182" s="22"/>
      <c r="HB182" s="22" t="s">
        <v>344</v>
      </c>
      <c r="HC182" s="22"/>
      <c r="HD182" s="22" t="s">
        <v>344</v>
      </c>
      <c r="HE182" s="22"/>
      <c r="HF182" s="22" t="s">
        <v>344</v>
      </c>
      <c r="HG182" s="22"/>
      <c r="HH182" s="22" t="s">
        <v>344</v>
      </c>
      <c r="HI182" s="22"/>
      <c r="HJ182" s="22" t="s">
        <v>344</v>
      </c>
      <c r="HK182" s="22" t="s">
        <v>344</v>
      </c>
      <c r="HL182" s="22" t="s">
        <v>344</v>
      </c>
      <c r="HM182" s="22" t="s">
        <v>344</v>
      </c>
      <c r="HN182" s="22" t="s">
        <v>344</v>
      </c>
      <c r="HO182" s="22" t="s">
        <v>344</v>
      </c>
      <c r="HP182" s="22" t="s">
        <v>344</v>
      </c>
      <c r="HQ182" s="22" t="s">
        <v>344</v>
      </c>
      <c r="HR182" s="22" t="s">
        <v>344</v>
      </c>
      <c r="HS182" s="22" t="s">
        <v>344</v>
      </c>
      <c r="HT182" s="22" t="s">
        <v>344</v>
      </c>
      <c r="HU182" s="22" t="s">
        <v>345</v>
      </c>
      <c r="HV182" s="22" t="s">
        <v>345</v>
      </c>
      <c r="HW182" s="22" t="s">
        <v>344</v>
      </c>
      <c r="HX182" s="22" t="s">
        <v>344</v>
      </c>
      <c r="HY182" s="22"/>
      <c r="HZ182" s="22" t="s">
        <v>344</v>
      </c>
      <c r="IA182" s="22"/>
      <c r="IB182" s="22" t="s">
        <v>344</v>
      </c>
      <c r="IC182" s="22"/>
      <c r="ID182" s="22" t="s">
        <v>344</v>
      </c>
      <c r="IE182" s="22"/>
      <c r="IF182" s="22" t="s">
        <v>344</v>
      </c>
      <c r="IG182" s="22"/>
      <c r="IH182" s="22" t="s">
        <v>345</v>
      </c>
      <c r="II182" s="22" t="s">
        <v>344</v>
      </c>
      <c r="IJ182" s="22" t="s">
        <v>344</v>
      </c>
      <c r="IK182" s="22" t="s">
        <v>344</v>
      </c>
      <c r="IL182" s="22" t="s">
        <v>345</v>
      </c>
      <c r="IM182" s="22" t="s">
        <v>345</v>
      </c>
      <c r="IN182" s="22" t="s">
        <v>344</v>
      </c>
      <c r="IO182" s="22" t="s">
        <v>345</v>
      </c>
      <c r="IP182" s="22" t="s">
        <v>344</v>
      </c>
      <c r="IQ182" s="22" t="s">
        <v>344</v>
      </c>
      <c r="IR182" s="22" t="s">
        <v>344</v>
      </c>
      <c r="IS182" s="22" t="s">
        <v>344</v>
      </c>
      <c r="IT182" s="22"/>
      <c r="IU182" s="22"/>
      <c r="IV182" s="22"/>
      <c r="IW182" s="22"/>
      <c r="IX182" s="22"/>
      <c r="IY182" s="22"/>
      <c r="IZ182" s="22"/>
      <c r="JA182" s="22"/>
      <c r="JB182" s="22"/>
      <c r="JC182" s="22"/>
      <c r="JD182" s="22"/>
      <c r="JE182" s="22"/>
      <c r="JF182" s="22"/>
      <c r="JG182" s="22"/>
      <c r="JH182" s="22"/>
    </row>
    <row r="183" spans="1:268" x14ac:dyDescent="0.3">
      <c r="A183" s="22" t="s">
        <v>813</v>
      </c>
      <c r="B183" s="22">
        <v>290</v>
      </c>
      <c r="C183" s="22" t="s">
        <v>1143</v>
      </c>
      <c r="D183" s="22">
        <v>14</v>
      </c>
      <c r="E183" s="22" t="s">
        <v>387</v>
      </c>
      <c r="F183" s="22">
        <v>1513887235</v>
      </c>
      <c r="G183" s="22" t="s">
        <v>1142</v>
      </c>
      <c r="H183" s="22" t="s">
        <v>1143</v>
      </c>
      <c r="I183" s="22" t="s">
        <v>1035</v>
      </c>
      <c r="J183" s="22">
        <v>17</v>
      </c>
      <c r="K183" s="22" t="s">
        <v>406</v>
      </c>
      <c r="L183" s="22"/>
      <c r="M183" s="22" t="s">
        <v>345</v>
      </c>
      <c r="N183" s="22" t="s">
        <v>345</v>
      </c>
      <c r="O183" s="22" t="s">
        <v>344</v>
      </c>
      <c r="P183" s="22" t="s">
        <v>344</v>
      </c>
      <c r="Q183" s="22" t="s">
        <v>344</v>
      </c>
      <c r="R183" s="22"/>
      <c r="S183" s="22" t="s">
        <v>522</v>
      </c>
      <c r="T183" s="22"/>
      <c r="U183" s="22" t="s">
        <v>347</v>
      </c>
      <c r="V183" s="22"/>
      <c r="W183" s="22" t="s">
        <v>368</v>
      </c>
      <c r="X183" s="22" t="s">
        <v>368</v>
      </c>
      <c r="Y183" s="22" t="s">
        <v>368</v>
      </c>
      <c r="Z183" s="22" t="s">
        <v>368</v>
      </c>
      <c r="AA183" s="22" t="s">
        <v>368</v>
      </c>
      <c r="AB183" s="22" t="s">
        <v>368</v>
      </c>
      <c r="AC183" s="22" t="s">
        <v>345</v>
      </c>
      <c r="AD183" s="22" t="s">
        <v>368</v>
      </c>
      <c r="AE183" s="22" t="s">
        <v>368</v>
      </c>
      <c r="AF183" s="22" t="s">
        <v>368</v>
      </c>
      <c r="AG183" s="22" t="s">
        <v>368</v>
      </c>
      <c r="AH183" s="22" t="s">
        <v>368</v>
      </c>
      <c r="AI183" s="22" t="s">
        <v>368</v>
      </c>
      <c r="AJ183" s="22" t="s">
        <v>345</v>
      </c>
      <c r="AK183" s="22" t="s">
        <v>368</v>
      </c>
      <c r="AL183" s="22" t="s">
        <v>368</v>
      </c>
      <c r="AM183" s="22" t="s">
        <v>368</v>
      </c>
      <c r="AN183" s="22" t="s">
        <v>368</v>
      </c>
      <c r="AO183" s="22" t="s">
        <v>368</v>
      </c>
      <c r="AP183" s="22" t="s">
        <v>368</v>
      </c>
      <c r="AQ183" s="22" t="s">
        <v>345</v>
      </c>
      <c r="AR183" s="22" t="s">
        <v>368</v>
      </c>
      <c r="AS183" s="22" t="s">
        <v>368</v>
      </c>
      <c r="AT183" s="22" t="s">
        <v>368</v>
      </c>
      <c r="AU183" s="22" t="s">
        <v>368</v>
      </c>
      <c r="AV183" s="22" t="s">
        <v>368</v>
      </c>
      <c r="AW183" s="22" t="s">
        <v>368</v>
      </c>
      <c r="AX183" s="22" t="s">
        <v>345</v>
      </c>
      <c r="AY183" s="22" t="s">
        <v>391</v>
      </c>
      <c r="AZ183" s="22" t="s">
        <v>391</v>
      </c>
      <c r="BA183" s="22" t="s">
        <v>391</v>
      </c>
      <c r="BB183" s="22" t="s">
        <v>391</v>
      </c>
      <c r="BC183" s="22" t="s">
        <v>391</v>
      </c>
      <c r="BD183" s="22" t="s">
        <v>391</v>
      </c>
      <c r="BE183" s="22" t="s">
        <v>390</v>
      </c>
      <c r="BF183" s="22" t="s">
        <v>349</v>
      </c>
      <c r="BG183" s="22" t="s">
        <v>390</v>
      </c>
      <c r="BH183" s="22" t="s">
        <v>390</v>
      </c>
      <c r="BI183" s="22" t="s">
        <v>390</v>
      </c>
      <c r="BJ183" s="22" t="s">
        <v>391</v>
      </c>
      <c r="BK183" s="22" t="s">
        <v>391</v>
      </c>
      <c r="BL183" s="22" t="s">
        <v>391</v>
      </c>
      <c r="BM183" s="22" t="s">
        <v>391</v>
      </c>
      <c r="BN183" s="22" t="s">
        <v>391</v>
      </c>
      <c r="BO183" s="22" t="s">
        <v>391</v>
      </c>
      <c r="BP183" s="22" t="s">
        <v>391</v>
      </c>
      <c r="BQ183" s="22" t="s">
        <v>358</v>
      </c>
      <c r="BR183" s="22" t="s">
        <v>429</v>
      </c>
      <c r="BS183" s="22" t="s">
        <v>391</v>
      </c>
      <c r="BT183" s="22" t="s">
        <v>391</v>
      </c>
      <c r="BU183" s="22" t="s">
        <v>391</v>
      </c>
      <c r="BV183" s="22" t="s">
        <v>391</v>
      </c>
      <c r="BW183" s="22" t="s">
        <v>391</v>
      </c>
      <c r="BX183" s="22" t="s">
        <v>391</v>
      </c>
      <c r="BY183" s="22" t="s">
        <v>391</v>
      </c>
      <c r="BZ183" s="22" t="s">
        <v>391</v>
      </c>
      <c r="CA183" s="22" t="s">
        <v>391</v>
      </c>
      <c r="CB183" s="22" t="s">
        <v>391</v>
      </c>
      <c r="CC183" s="22" t="s">
        <v>391</v>
      </c>
      <c r="CD183" s="22" t="s">
        <v>391</v>
      </c>
      <c r="CE183" s="22" t="s">
        <v>391</v>
      </c>
      <c r="CF183" s="22" t="s">
        <v>391</v>
      </c>
      <c r="CG183" s="22" t="s">
        <v>420</v>
      </c>
      <c r="CH183" s="22" t="s">
        <v>421</v>
      </c>
      <c r="CI183" s="22" t="s">
        <v>421</v>
      </c>
      <c r="CJ183" s="22" t="s">
        <v>420</v>
      </c>
      <c r="CK183" s="22" t="s">
        <v>391</v>
      </c>
      <c r="CL183" s="22" t="s">
        <v>344</v>
      </c>
      <c r="CM183" s="22" t="s">
        <v>344</v>
      </c>
      <c r="CN183" s="22" t="s">
        <v>344</v>
      </c>
      <c r="CO183" s="22" t="s">
        <v>344</v>
      </c>
      <c r="CP183" s="22" t="s">
        <v>345</v>
      </c>
      <c r="CQ183" s="22" t="s">
        <v>344</v>
      </c>
      <c r="CR183" s="22" t="s">
        <v>672</v>
      </c>
      <c r="CS183" s="22">
        <v>1</v>
      </c>
      <c r="CT183" s="22">
        <v>10</v>
      </c>
      <c r="CU183" s="22">
        <v>77</v>
      </c>
      <c r="CV183" s="22">
        <v>78</v>
      </c>
      <c r="CW183" s="22" t="s">
        <v>363</v>
      </c>
      <c r="CX183" s="22" t="s">
        <v>396</v>
      </c>
      <c r="CY183" s="22" t="s">
        <v>396</v>
      </c>
      <c r="CZ183" s="22" t="s">
        <v>397</v>
      </c>
      <c r="DA183" s="22" t="s">
        <v>397</v>
      </c>
      <c r="DB183" s="22" t="s">
        <v>397</v>
      </c>
      <c r="DC183" s="22" t="s">
        <v>397</v>
      </c>
      <c r="DD183" s="22" t="s">
        <v>397</v>
      </c>
      <c r="DE183" s="22" t="s">
        <v>366</v>
      </c>
      <c r="DF183" s="22" t="s">
        <v>365</v>
      </c>
      <c r="DG183" s="22" t="s">
        <v>366</v>
      </c>
      <c r="DH183" s="22" t="s">
        <v>397</v>
      </c>
      <c r="DI183" s="22" t="s">
        <v>397</v>
      </c>
      <c r="DJ183" s="22" t="s">
        <v>1144</v>
      </c>
      <c r="DK183" s="22" t="s">
        <v>367</v>
      </c>
      <c r="DL183" s="22" t="s">
        <v>368</v>
      </c>
      <c r="DM183" s="22" t="s">
        <v>368</v>
      </c>
      <c r="DN183" s="22" t="s">
        <v>368</v>
      </c>
      <c r="DO183" s="22" t="s">
        <v>368</v>
      </c>
      <c r="DP183" s="22" t="s">
        <v>368</v>
      </c>
      <c r="DQ183" s="22" t="s">
        <v>368</v>
      </c>
      <c r="DR183" s="22" t="s">
        <v>368</v>
      </c>
      <c r="DS183" s="22" t="s">
        <v>345</v>
      </c>
      <c r="DT183" s="22" t="s">
        <v>345</v>
      </c>
      <c r="DU183" s="22" t="s">
        <v>344</v>
      </c>
      <c r="DV183" s="22" t="s">
        <v>345</v>
      </c>
      <c r="DW183" s="22" t="s">
        <v>344</v>
      </c>
      <c r="DX183" s="22" t="s">
        <v>399</v>
      </c>
      <c r="DY183" s="22" t="s">
        <v>399</v>
      </c>
      <c r="DZ183" s="22" t="s">
        <v>369</v>
      </c>
      <c r="EA183" s="22" t="s">
        <v>369</v>
      </c>
      <c r="EB183" s="22" t="s">
        <v>369</v>
      </c>
      <c r="EC183" s="22" t="s">
        <v>399</v>
      </c>
      <c r="ED183" s="22" t="s">
        <v>369</v>
      </c>
      <c r="EE183" s="22" t="s">
        <v>370</v>
      </c>
      <c r="EF183" s="22" t="s">
        <v>370</v>
      </c>
      <c r="EG183" s="22" t="s">
        <v>370</v>
      </c>
      <c r="EH183" s="22" t="s">
        <v>370</v>
      </c>
      <c r="EI183" s="22" t="s">
        <v>370</v>
      </c>
      <c r="EJ183" s="22" t="s">
        <v>370</v>
      </c>
      <c r="EK183" s="22" t="s">
        <v>370</v>
      </c>
      <c r="EL183" s="22" t="s">
        <v>373</v>
      </c>
      <c r="EM183" s="22" t="s">
        <v>374</v>
      </c>
      <c r="EN183" s="22" t="s">
        <v>440</v>
      </c>
      <c r="EO183" s="22"/>
      <c r="EP183" s="22"/>
      <c r="EQ183" s="22" t="s">
        <v>391</v>
      </c>
      <c r="ER183" s="22" t="s">
        <v>391</v>
      </c>
      <c r="ES183" s="22" t="s">
        <v>391</v>
      </c>
      <c r="ET183" s="22" t="s">
        <v>391</v>
      </c>
      <c r="EU183" s="22" t="s">
        <v>391</v>
      </c>
      <c r="EV183" s="22" t="s">
        <v>400</v>
      </c>
      <c r="EW183" s="22"/>
      <c r="EX183" s="22" t="s">
        <v>368</v>
      </c>
      <c r="EY183" s="22" t="s">
        <v>368</v>
      </c>
      <c r="EZ183" s="22" t="s">
        <v>368</v>
      </c>
      <c r="FA183" s="22" t="s">
        <v>345</v>
      </c>
      <c r="FB183" s="22" t="s">
        <v>380</v>
      </c>
      <c r="FC183" s="22"/>
      <c r="FD183" s="22" t="s">
        <v>381</v>
      </c>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t="s">
        <v>368</v>
      </c>
      <c r="GB183" s="22" t="s">
        <v>368</v>
      </c>
      <c r="GC183" s="22" t="s">
        <v>368</v>
      </c>
      <c r="GD183" s="22" t="s">
        <v>368</v>
      </c>
      <c r="GE183" s="22" t="s">
        <v>368</v>
      </c>
      <c r="GF183" s="22" t="s">
        <v>368</v>
      </c>
      <c r="GG183" s="22"/>
      <c r="GH183" s="22"/>
      <c r="GI183" s="22"/>
      <c r="GJ183" s="22"/>
      <c r="GK183" s="22"/>
      <c r="GL183" s="22" t="s">
        <v>344</v>
      </c>
      <c r="GM183" s="22" t="s">
        <v>344</v>
      </c>
      <c r="GN183" s="22" t="s">
        <v>344</v>
      </c>
      <c r="GO183" s="22" t="s">
        <v>344</v>
      </c>
      <c r="GP183" s="22" t="s">
        <v>344</v>
      </c>
      <c r="GQ183" s="22" t="s">
        <v>344</v>
      </c>
      <c r="GR183" s="22" t="s">
        <v>344</v>
      </c>
      <c r="GS183" s="22" t="s">
        <v>344</v>
      </c>
      <c r="GT183" s="22" t="s">
        <v>344</v>
      </c>
      <c r="GU183" s="22" t="s">
        <v>344</v>
      </c>
      <c r="GV183" s="22" t="s">
        <v>344</v>
      </c>
      <c r="GW183" s="22" t="s">
        <v>344</v>
      </c>
      <c r="GX183" s="22" t="s">
        <v>344</v>
      </c>
      <c r="GY183" s="22" t="s">
        <v>344</v>
      </c>
      <c r="GZ183" s="22" t="s">
        <v>345</v>
      </c>
      <c r="HA183" s="22"/>
      <c r="HB183" s="22" t="s">
        <v>344</v>
      </c>
      <c r="HC183" s="22"/>
      <c r="HD183" s="22" t="s">
        <v>344</v>
      </c>
      <c r="HE183" s="22"/>
      <c r="HF183" s="22" t="s">
        <v>344</v>
      </c>
      <c r="HG183" s="22"/>
      <c r="HH183" s="22" t="s">
        <v>344</v>
      </c>
      <c r="HI183" s="22"/>
      <c r="HJ183" s="22" t="s">
        <v>345</v>
      </c>
      <c r="HK183" s="22" t="s">
        <v>345</v>
      </c>
      <c r="HL183" s="22" t="s">
        <v>344</v>
      </c>
      <c r="HM183" s="22" t="s">
        <v>344</v>
      </c>
      <c r="HN183" s="22" t="s">
        <v>344</v>
      </c>
      <c r="HO183" s="22" t="s">
        <v>344</v>
      </c>
      <c r="HP183" s="22" t="s">
        <v>344</v>
      </c>
      <c r="HQ183" s="22" t="s">
        <v>344</v>
      </c>
      <c r="HR183" s="22" t="s">
        <v>344</v>
      </c>
      <c r="HS183" s="22" t="s">
        <v>344</v>
      </c>
      <c r="HT183" s="22" t="s">
        <v>344</v>
      </c>
      <c r="HU183" s="22" t="s">
        <v>344</v>
      </c>
      <c r="HV183" s="22" t="s">
        <v>345</v>
      </c>
      <c r="HW183" s="22" t="s">
        <v>344</v>
      </c>
      <c r="HX183" s="22" t="s">
        <v>344</v>
      </c>
      <c r="HY183" s="22"/>
      <c r="HZ183" s="22" t="s">
        <v>344</v>
      </c>
      <c r="IA183" s="22"/>
      <c r="IB183" s="22" t="s">
        <v>344</v>
      </c>
      <c r="IC183" s="22"/>
      <c r="ID183" s="22" t="s">
        <v>344</v>
      </c>
      <c r="IE183" s="22"/>
      <c r="IF183" s="22" t="s">
        <v>344</v>
      </c>
      <c r="IG183" s="22"/>
      <c r="IH183" s="22" t="s">
        <v>345</v>
      </c>
      <c r="II183" s="22" t="s">
        <v>345</v>
      </c>
      <c r="IJ183" s="22" t="s">
        <v>344</v>
      </c>
      <c r="IK183" s="22" t="s">
        <v>344</v>
      </c>
      <c r="IL183" s="22" t="s">
        <v>345</v>
      </c>
      <c r="IM183" s="22" t="s">
        <v>345</v>
      </c>
      <c r="IN183" s="22" t="s">
        <v>344</v>
      </c>
      <c r="IO183" s="22" t="s">
        <v>345</v>
      </c>
      <c r="IP183" s="22" t="s">
        <v>344</v>
      </c>
      <c r="IQ183" s="22" t="s">
        <v>344</v>
      </c>
      <c r="IR183" s="22" t="s">
        <v>345</v>
      </c>
      <c r="IS183" s="22" t="s">
        <v>344</v>
      </c>
      <c r="IT183" s="22"/>
      <c r="IU183" s="22"/>
      <c r="IV183" s="22"/>
      <c r="IW183" s="22"/>
      <c r="IX183" s="22"/>
      <c r="IY183" s="22"/>
      <c r="IZ183" s="22"/>
      <c r="JA183" s="22"/>
      <c r="JB183" s="22"/>
      <c r="JC183" s="22"/>
      <c r="JD183" s="22"/>
      <c r="JE183" s="22"/>
      <c r="JF183" s="22"/>
      <c r="JG183" s="22"/>
      <c r="JH183" s="22"/>
    </row>
    <row r="184" spans="1:268" x14ac:dyDescent="0.3">
      <c r="A184" s="22" t="s">
        <v>813</v>
      </c>
      <c r="B184" s="22">
        <v>291</v>
      </c>
      <c r="C184" s="22" t="s">
        <v>1145</v>
      </c>
      <c r="D184" s="22">
        <v>14</v>
      </c>
      <c r="E184" s="22" t="s">
        <v>387</v>
      </c>
      <c r="F184" s="22">
        <v>738359089</v>
      </c>
      <c r="G184" s="22" t="s">
        <v>1146</v>
      </c>
      <c r="H184" s="22" t="s">
        <v>1145</v>
      </c>
      <c r="I184" s="22" t="s">
        <v>1035</v>
      </c>
      <c r="J184" s="22">
        <v>17</v>
      </c>
      <c r="K184" s="22" t="s">
        <v>389</v>
      </c>
      <c r="L184" s="22"/>
      <c r="M184" s="22" t="s">
        <v>344</v>
      </c>
      <c r="N184" s="22" t="s">
        <v>345</v>
      </c>
      <c r="O184" s="22" t="s">
        <v>344</v>
      </c>
      <c r="P184" s="22" t="s">
        <v>344</v>
      </c>
      <c r="Q184" s="22" t="s">
        <v>344</v>
      </c>
      <c r="R184" s="22"/>
      <c r="S184" s="22" t="s">
        <v>522</v>
      </c>
      <c r="T184" s="22"/>
      <c r="U184" s="22" t="s">
        <v>418</v>
      </c>
      <c r="V184" s="22"/>
      <c r="W184" s="22" t="s">
        <v>345</v>
      </c>
      <c r="X184" s="22" t="s">
        <v>344</v>
      </c>
      <c r="Y184" s="22" t="s">
        <v>344</v>
      </c>
      <c r="Z184" s="22" t="s">
        <v>344</v>
      </c>
      <c r="AA184" s="22" t="s">
        <v>344</v>
      </c>
      <c r="AB184" s="22" t="s">
        <v>344</v>
      </c>
      <c r="AC184" s="22" t="s">
        <v>344</v>
      </c>
      <c r="AD184" s="22" t="s">
        <v>344</v>
      </c>
      <c r="AE184" s="22" t="s">
        <v>345</v>
      </c>
      <c r="AF184" s="22" t="s">
        <v>344</v>
      </c>
      <c r="AG184" s="22" t="s">
        <v>344</v>
      </c>
      <c r="AH184" s="22" t="s">
        <v>344</v>
      </c>
      <c r="AI184" s="22" t="s">
        <v>344</v>
      </c>
      <c r="AJ184" s="22" t="s">
        <v>344</v>
      </c>
      <c r="AK184" s="22" t="s">
        <v>368</v>
      </c>
      <c r="AL184" s="22" t="s">
        <v>368</v>
      </c>
      <c r="AM184" s="22" t="s">
        <v>368</v>
      </c>
      <c r="AN184" s="22" t="s">
        <v>368</v>
      </c>
      <c r="AO184" s="22" t="s">
        <v>368</v>
      </c>
      <c r="AP184" s="22" t="s">
        <v>368</v>
      </c>
      <c r="AQ184" s="22" t="s">
        <v>345</v>
      </c>
      <c r="AR184" s="22" t="s">
        <v>344</v>
      </c>
      <c r="AS184" s="22" t="s">
        <v>344</v>
      </c>
      <c r="AT184" s="22" t="s">
        <v>345</v>
      </c>
      <c r="AU184" s="22" t="s">
        <v>344</v>
      </c>
      <c r="AV184" s="22" t="s">
        <v>344</v>
      </c>
      <c r="AW184" s="22" t="s">
        <v>344</v>
      </c>
      <c r="AX184" s="22" t="s">
        <v>344</v>
      </c>
      <c r="AY184" s="22" t="s">
        <v>731</v>
      </c>
      <c r="AZ184" s="22" t="s">
        <v>733</v>
      </c>
      <c r="BA184" s="22" t="s">
        <v>737</v>
      </c>
      <c r="BB184" s="22" t="s">
        <v>732</v>
      </c>
      <c r="BC184" s="22" t="s">
        <v>391</v>
      </c>
      <c r="BD184" s="22" t="s">
        <v>733</v>
      </c>
      <c r="BE184" s="22" t="s">
        <v>390</v>
      </c>
      <c r="BF184" s="22" t="s">
        <v>390</v>
      </c>
      <c r="BG184" s="22" t="s">
        <v>390</v>
      </c>
      <c r="BH184" s="22" t="s">
        <v>390</v>
      </c>
      <c r="BI184" s="22" t="s">
        <v>390</v>
      </c>
      <c r="BJ184" s="22" t="s">
        <v>391</v>
      </c>
      <c r="BK184" s="22" t="s">
        <v>391</v>
      </c>
      <c r="BL184" s="22" t="s">
        <v>391</v>
      </c>
      <c r="BM184" s="22" t="s">
        <v>391</v>
      </c>
      <c r="BN184" s="22" t="s">
        <v>391</v>
      </c>
      <c r="BO184" s="22" t="s">
        <v>391</v>
      </c>
      <c r="BP184" s="22" t="s">
        <v>391</v>
      </c>
      <c r="BQ184" s="22" t="s">
        <v>407</v>
      </c>
      <c r="BR184" s="22" t="s">
        <v>359</v>
      </c>
      <c r="BS184" s="22" t="s">
        <v>354</v>
      </c>
      <c r="BT184" s="22" t="s">
        <v>357</v>
      </c>
      <c r="BU184" s="22" t="s">
        <v>354</v>
      </c>
      <c r="BV184" s="22" t="s">
        <v>356</v>
      </c>
      <c r="BW184" s="22" t="s">
        <v>355</v>
      </c>
      <c r="BX184" s="22" t="s">
        <v>351</v>
      </c>
      <c r="BY184" s="22" t="s">
        <v>356</v>
      </c>
      <c r="BZ184" s="22" t="s">
        <v>356</v>
      </c>
      <c r="CA184" s="22" t="s">
        <v>351</v>
      </c>
      <c r="CB184" s="22" t="s">
        <v>354</v>
      </c>
      <c r="CC184" s="22" t="s">
        <v>355</v>
      </c>
      <c r="CD184" s="22" t="s">
        <v>353</v>
      </c>
      <c r="CE184" s="22" t="s">
        <v>357</v>
      </c>
      <c r="CF184" s="22" t="s">
        <v>352</v>
      </c>
      <c r="CG184" s="22" t="s">
        <v>420</v>
      </c>
      <c r="CH184" s="22" t="s">
        <v>393</v>
      </c>
      <c r="CI184" s="22" t="s">
        <v>420</v>
      </c>
      <c r="CJ184" s="22" t="s">
        <v>393</v>
      </c>
      <c r="CK184" s="22" t="s">
        <v>391</v>
      </c>
      <c r="CL184" s="22" t="s">
        <v>344</v>
      </c>
      <c r="CM184" s="22" t="s">
        <v>344</v>
      </c>
      <c r="CN184" s="22" t="s">
        <v>344</v>
      </c>
      <c r="CO184" s="22" t="s">
        <v>344</v>
      </c>
      <c r="CP184" s="22" t="s">
        <v>345</v>
      </c>
      <c r="CQ184" s="22" t="s">
        <v>344</v>
      </c>
      <c r="CR184" s="22" t="s">
        <v>667</v>
      </c>
      <c r="CS184" s="22">
        <v>8</v>
      </c>
      <c r="CT184" s="22">
        <v>48</v>
      </c>
      <c r="CU184" s="22">
        <v>48</v>
      </c>
      <c r="CV184" s="22">
        <v>48</v>
      </c>
      <c r="CW184" s="22" t="s">
        <v>471</v>
      </c>
      <c r="CX184" s="22" t="s">
        <v>471</v>
      </c>
      <c r="CY184" s="22" t="s">
        <v>471</v>
      </c>
      <c r="CZ184" s="22" t="s">
        <v>397</v>
      </c>
      <c r="DA184" s="22" t="s">
        <v>397</v>
      </c>
      <c r="DB184" s="22" t="s">
        <v>397</v>
      </c>
      <c r="DC184" s="22" t="s">
        <v>397</v>
      </c>
      <c r="DD184" s="22" t="s">
        <v>397</v>
      </c>
      <c r="DE184" s="22" t="s">
        <v>397</v>
      </c>
      <c r="DF184" s="22" t="s">
        <v>397</v>
      </c>
      <c r="DG184" s="22" t="s">
        <v>397</v>
      </c>
      <c r="DH184" s="22" t="s">
        <v>397</v>
      </c>
      <c r="DI184" s="22" t="s">
        <v>397</v>
      </c>
      <c r="DJ184" s="22"/>
      <c r="DK184" s="22" t="s">
        <v>367</v>
      </c>
      <c r="DL184" s="22" t="s">
        <v>368</v>
      </c>
      <c r="DM184" s="22" t="s">
        <v>368</v>
      </c>
      <c r="DN184" s="22" t="s">
        <v>368</v>
      </c>
      <c r="DO184" s="22" t="s">
        <v>368</v>
      </c>
      <c r="DP184" s="22" t="s">
        <v>345</v>
      </c>
      <c r="DQ184" s="22" t="s">
        <v>345</v>
      </c>
      <c r="DR184" s="22" t="s">
        <v>345</v>
      </c>
      <c r="DS184" s="22" t="s">
        <v>344</v>
      </c>
      <c r="DT184" s="22" t="s">
        <v>368</v>
      </c>
      <c r="DU184" s="22" t="s">
        <v>368</v>
      </c>
      <c r="DV184" s="22" t="s">
        <v>368</v>
      </c>
      <c r="DW184" s="22" t="s">
        <v>345</v>
      </c>
      <c r="DX184" s="22" t="s">
        <v>369</v>
      </c>
      <c r="DY184" s="22" t="s">
        <v>370</v>
      </c>
      <c r="DZ184" s="22" t="s">
        <v>370</v>
      </c>
      <c r="EA184" s="22" t="s">
        <v>369</v>
      </c>
      <c r="EB184" s="22" t="s">
        <v>369</v>
      </c>
      <c r="EC184" s="22" t="s">
        <v>369</v>
      </c>
      <c r="ED184" s="22" t="s">
        <v>371</v>
      </c>
      <c r="EE184" s="22" t="s">
        <v>370</v>
      </c>
      <c r="EF184" s="22" t="s">
        <v>370</v>
      </c>
      <c r="EG184" s="22" t="s">
        <v>370</v>
      </c>
      <c r="EH184" s="22" t="s">
        <v>370</v>
      </c>
      <c r="EI184" s="22" t="s">
        <v>370</v>
      </c>
      <c r="EJ184" s="22" t="s">
        <v>370</v>
      </c>
      <c r="EK184" s="22" t="s">
        <v>399</v>
      </c>
      <c r="EL184" s="22" t="s">
        <v>372</v>
      </c>
      <c r="EM184" s="22" t="s">
        <v>374</v>
      </c>
      <c r="EN184" s="22" t="s">
        <v>424</v>
      </c>
      <c r="EO184" s="22"/>
      <c r="EP184" s="22"/>
      <c r="EQ184" s="22" t="s">
        <v>391</v>
      </c>
      <c r="ER184" s="22" t="s">
        <v>391</v>
      </c>
      <c r="ES184" s="22" t="s">
        <v>391</v>
      </c>
      <c r="ET184" s="22" t="s">
        <v>391</v>
      </c>
      <c r="EU184" s="22" t="s">
        <v>391</v>
      </c>
      <c r="EV184" s="22" t="s">
        <v>400</v>
      </c>
      <c r="EW184" s="22"/>
      <c r="EX184" s="22" t="s">
        <v>368</v>
      </c>
      <c r="EY184" s="22" t="s">
        <v>368</v>
      </c>
      <c r="EZ184" s="22" t="s">
        <v>368</v>
      </c>
      <c r="FA184" s="22" t="s">
        <v>345</v>
      </c>
      <c r="FB184" s="22" t="s">
        <v>401</v>
      </c>
      <c r="FC184" s="22"/>
      <c r="FD184" s="22" t="s">
        <v>401</v>
      </c>
      <c r="FE184" s="22"/>
      <c r="FF184" s="22" t="s">
        <v>477</v>
      </c>
      <c r="FG184" s="22" t="s">
        <v>413</v>
      </c>
      <c r="FH184" s="22" t="s">
        <v>384</v>
      </c>
      <c r="FI184" s="22" t="s">
        <v>385</v>
      </c>
      <c r="FJ184" s="22"/>
      <c r="FK184" s="22"/>
      <c r="FL184" s="22"/>
      <c r="FM184" s="22"/>
      <c r="FN184" s="22"/>
      <c r="FO184" s="22"/>
      <c r="FP184" s="22"/>
      <c r="FQ184" s="22"/>
      <c r="FR184" s="22"/>
      <c r="FS184" s="22"/>
      <c r="FT184" s="22"/>
      <c r="FU184" s="22"/>
      <c r="FV184" s="22"/>
      <c r="FW184" s="22"/>
      <c r="FX184" s="22"/>
      <c r="FY184" s="22"/>
      <c r="FZ184" s="22"/>
      <c r="GA184" s="22" t="s">
        <v>368</v>
      </c>
      <c r="GB184" s="22" t="s">
        <v>368</v>
      </c>
      <c r="GC184" s="22" t="s">
        <v>368</v>
      </c>
      <c r="GD184" s="22" t="s">
        <v>368</v>
      </c>
      <c r="GE184" s="22" t="s">
        <v>368</v>
      </c>
      <c r="GF184" s="22" t="s">
        <v>368</v>
      </c>
      <c r="GG184" s="22"/>
      <c r="GH184" s="22"/>
      <c r="GI184" s="22"/>
      <c r="GJ184" s="22"/>
      <c r="GK184" s="22"/>
      <c r="GL184" s="22" t="s">
        <v>344</v>
      </c>
      <c r="GM184" s="22" t="s">
        <v>344</v>
      </c>
      <c r="GN184" s="22" t="s">
        <v>344</v>
      </c>
      <c r="GO184" s="22" t="s">
        <v>344</v>
      </c>
      <c r="GP184" s="22" t="s">
        <v>344</v>
      </c>
      <c r="GQ184" s="22" t="s">
        <v>344</v>
      </c>
      <c r="GR184" s="22" t="s">
        <v>344</v>
      </c>
      <c r="GS184" s="22" t="s">
        <v>344</v>
      </c>
      <c r="GT184" s="22" t="s">
        <v>344</v>
      </c>
      <c r="GU184" s="22" t="s">
        <v>344</v>
      </c>
      <c r="GV184" s="22" t="s">
        <v>344</v>
      </c>
      <c r="GW184" s="22" t="s">
        <v>344</v>
      </c>
      <c r="GX184" s="22" t="s">
        <v>344</v>
      </c>
      <c r="GY184" s="22" t="s">
        <v>344</v>
      </c>
      <c r="GZ184" s="22" t="s">
        <v>345</v>
      </c>
      <c r="HA184" s="22"/>
      <c r="HB184" s="22" t="s">
        <v>344</v>
      </c>
      <c r="HC184" s="22"/>
      <c r="HD184" s="22" t="s">
        <v>344</v>
      </c>
      <c r="HE184" s="22"/>
      <c r="HF184" s="22" t="s">
        <v>344</v>
      </c>
      <c r="HG184" s="22"/>
      <c r="HH184" s="22" t="s">
        <v>344</v>
      </c>
      <c r="HI184" s="22"/>
      <c r="HJ184" s="22" t="s">
        <v>344</v>
      </c>
      <c r="HK184" s="22" t="s">
        <v>344</v>
      </c>
      <c r="HL184" s="22" t="s">
        <v>344</v>
      </c>
      <c r="HM184" s="22" t="s">
        <v>344</v>
      </c>
      <c r="HN184" s="22" t="s">
        <v>344</v>
      </c>
      <c r="HO184" s="22" t="s">
        <v>344</v>
      </c>
      <c r="HP184" s="22" t="s">
        <v>344</v>
      </c>
      <c r="HQ184" s="22" t="s">
        <v>344</v>
      </c>
      <c r="HR184" s="22" t="s">
        <v>344</v>
      </c>
      <c r="HS184" s="22" t="s">
        <v>344</v>
      </c>
      <c r="HT184" s="22" t="s">
        <v>344</v>
      </c>
      <c r="HU184" s="22" t="s">
        <v>344</v>
      </c>
      <c r="HV184" s="22" t="s">
        <v>344</v>
      </c>
      <c r="HW184" s="22" t="s">
        <v>344</v>
      </c>
      <c r="HX184" s="22" t="s">
        <v>345</v>
      </c>
      <c r="HY184" s="22"/>
      <c r="HZ184" s="22" t="s">
        <v>344</v>
      </c>
      <c r="IA184" s="22"/>
      <c r="IB184" s="22" t="s">
        <v>344</v>
      </c>
      <c r="IC184" s="22"/>
      <c r="ID184" s="22" t="s">
        <v>344</v>
      </c>
      <c r="IE184" s="22"/>
      <c r="IF184" s="22" t="s">
        <v>344</v>
      </c>
      <c r="IG184" s="22"/>
      <c r="IH184" s="22" t="s">
        <v>345</v>
      </c>
      <c r="II184" s="22" t="s">
        <v>345</v>
      </c>
      <c r="IJ184" s="22" t="s">
        <v>344</v>
      </c>
      <c r="IK184" s="22" t="s">
        <v>344</v>
      </c>
      <c r="IL184" s="22" t="s">
        <v>345</v>
      </c>
      <c r="IM184" s="22" t="s">
        <v>345</v>
      </c>
      <c r="IN184" s="22" t="s">
        <v>344</v>
      </c>
      <c r="IO184" s="22" t="s">
        <v>345</v>
      </c>
      <c r="IP184" s="22" t="s">
        <v>344</v>
      </c>
      <c r="IQ184" s="22" t="s">
        <v>344</v>
      </c>
      <c r="IR184" s="22" t="s">
        <v>344</v>
      </c>
      <c r="IS184" s="22" t="s">
        <v>344</v>
      </c>
      <c r="IT184" s="22"/>
      <c r="IU184" s="22"/>
      <c r="IV184" s="22"/>
      <c r="IW184" s="22"/>
      <c r="IX184" s="22"/>
      <c r="IY184" s="22"/>
      <c r="IZ184" s="22"/>
      <c r="JA184" s="22"/>
      <c r="JB184" s="22"/>
      <c r="JC184" s="22"/>
      <c r="JD184" s="22"/>
      <c r="JE184" s="22"/>
      <c r="JF184" s="22"/>
      <c r="JG184" s="22"/>
      <c r="JH184" s="22"/>
    </row>
    <row r="185" spans="1:268" x14ac:dyDescent="0.3">
      <c r="A185" s="22" t="s">
        <v>813</v>
      </c>
      <c r="B185" s="22">
        <v>292</v>
      </c>
      <c r="C185" s="22"/>
      <c r="D185" s="22">
        <v>12</v>
      </c>
      <c r="E185" s="22" t="s">
        <v>387</v>
      </c>
      <c r="F185" s="22">
        <v>1072863603</v>
      </c>
      <c r="G185" s="22" t="s">
        <v>1147</v>
      </c>
      <c r="H185" s="22" t="s">
        <v>1148</v>
      </c>
      <c r="I185" s="22" t="s">
        <v>1035</v>
      </c>
      <c r="J185" s="22">
        <v>17</v>
      </c>
      <c r="K185" s="22" t="s">
        <v>389</v>
      </c>
      <c r="L185" s="22"/>
      <c r="M185" s="22" t="s">
        <v>344</v>
      </c>
      <c r="N185" s="22" t="s">
        <v>345</v>
      </c>
      <c r="O185" s="22" t="s">
        <v>344</v>
      </c>
      <c r="P185" s="22" t="s">
        <v>344</v>
      </c>
      <c r="Q185" s="22" t="s">
        <v>344</v>
      </c>
      <c r="R185" s="22"/>
      <c r="S185" s="22" t="s">
        <v>522</v>
      </c>
      <c r="T185" s="22"/>
      <c r="U185" s="22" t="s">
        <v>523</v>
      </c>
      <c r="V185" s="22"/>
      <c r="W185" s="22" t="s">
        <v>345</v>
      </c>
      <c r="X185" s="22" t="s">
        <v>345</v>
      </c>
      <c r="Y185" s="22" t="s">
        <v>344</v>
      </c>
      <c r="Z185" s="22" t="s">
        <v>344</v>
      </c>
      <c r="AA185" s="22" t="s">
        <v>344</v>
      </c>
      <c r="AB185" s="22" t="s">
        <v>344</v>
      </c>
      <c r="AC185" s="22" t="s">
        <v>344</v>
      </c>
      <c r="AD185" s="22" t="s">
        <v>344</v>
      </c>
      <c r="AE185" s="22" t="s">
        <v>345</v>
      </c>
      <c r="AF185" s="22" t="s">
        <v>344</v>
      </c>
      <c r="AG185" s="22" t="s">
        <v>344</v>
      </c>
      <c r="AH185" s="22" t="s">
        <v>344</v>
      </c>
      <c r="AI185" s="22" t="s">
        <v>344</v>
      </c>
      <c r="AJ185" s="22" t="s">
        <v>344</v>
      </c>
      <c r="AK185" s="22" t="s">
        <v>344</v>
      </c>
      <c r="AL185" s="22" t="s">
        <v>345</v>
      </c>
      <c r="AM185" s="22" t="s">
        <v>345</v>
      </c>
      <c r="AN185" s="22" t="s">
        <v>344</v>
      </c>
      <c r="AO185" s="22" t="s">
        <v>344</v>
      </c>
      <c r="AP185" s="22" t="s">
        <v>344</v>
      </c>
      <c r="AQ185" s="22" t="s">
        <v>344</v>
      </c>
      <c r="AR185" s="22" t="s">
        <v>345</v>
      </c>
      <c r="AS185" s="22" t="s">
        <v>345</v>
      </c>
      <c r="AT185" s="22" t="s">
        <v>344</v>
      </c>
      <c r="AU185" s="22" t="s">
        <v>344</v>
      </c>
      <c r="AV185" s="22" t="s">
        <v>344</v>
      </c>
      <c r="AW185" s="22" t="s">
        <v>344</v>
      </c>
      <c r="AX185" s="22" t="s">
        <v>344</v>
      </c>
      <c r="AY185" s="22" t="s">
        <v>731</v>
      </c>
      <c r="AZ185" s="22" t="s">
        <v>733</v>
      </c>
      <c r="BA185" s="22" t="s">
        <v>731</v>
      </c>
      <c r="BB185" s="22" t="s">
        <v>737</v>
      </c>
      <c r="BC185" s="22" t="s">
        <v>391</v>
      </c>
      <c r="BD185" s="22" t="s">
        <v>737</v>
      </c>
      <c r="BE185" s="22" t="s">
        <v>348</v>
      </c>
      <c r="BF185" s="22" t="s">
        <v>350</v>
      </c>
      <c r="BG185" s="22" t="s">
        <v>348</v>
      </c>
      <c r="BH185" s="22" t="s">
        <v>349</v>
      </c>
      <c r="BI185" s="22" t="s">
        <v>348</v>
      </c>
      <c r="BJ185" s="22" t="s">
        <v>353</v>
      </c>
      <c r="BK185" s="22" t="s">
        <v>356</v>
      </c>
      <c r="BL185" s="22" t="s">
        <v>352</v>
      </c>
      <c r="BM185" s="22" t="s">
        <v>355</v>
      </c>
      <c r="BN185" s="22" t="s">
        <v>351</v>
      </c>
      <c r="BO185" s="22" t="s">
        <v>357</v>
      </c>
      <c r="BP185" s="22" t="s">
        <v>354</v>
      </c>
      <c r="BQ185" s="22" t="s">
        <v>358</v>
      </c>
      <c r="BR185" s="22" t="s">
        <v>429</v>
      </c>
      <c r="BS185" s="22" t="s">
        <v>353</v>
      </c>
      <c r="BT185" s="22" t="s">
        <v>357</v>
      </c>
      <c r="BU185" s="22" t="s">
        <v>355</v>
      </c>
      <c r="BV185" s="22" t="s">
        <v>356</v>
      </c>
      <c r="BW185" s="22" t="s">
        <v>352</v>
      </c>
      <c r="BX185" s="22" t="s">
        <v>354</v>
      </c>
      <c r="BY185" s="22" t="s">
        <v>351</v>
      </c>
      <c r="BZ185" s="22" t="s">
        <v>353</v>
      </c>
      <c r="CA185" s="22" t="s">
        <v>352</v>
      </c>
      <c r="CB185" s="22" t="s">
        <v>351</v>
      </c>
      <c r="CC185" s="22" t="s">
        <v>355</v>
      </c>
      <c r="CD185" s="22" t="s">
        <v>357</v>
      </c>
      <c r="CE185" s="22" t="s">
        <v>356</v>
      </c>
      <c r="CF185" s="22" t="s">
        <v>354</v>
      </c>
      <c r="CG185" s="22" t="s">
        <v>393</v>
      </c>
      <c r="CH185" s="22" t="s">
        <v>421</v>
      </c>
      <c r="CI185" s="22" t="s">
        <v>392</v>
      </c>
      <c r="CJ185" s="22" t="s">
        <v>421</v>
      </c>
      <c r="CK185" s="22" t="s">
        <v>1149</v>
      </c>
      <c r="CL185" s="22" t="s">
        <v>344</v>
      </c>
      <c r="CM185" s="22" t="s">
        <v>344</v>
      </c>
      <c r="CN185" s="22" t="s">
        <v>344</v>
      </c>
      <c r="CO185" s="22" t="s">
        <v>344</v>
      </c>
      <c r="CP185" s="22" t="s">
        <v>345</v>
      </c>
      <c r="CQ185" s="22" t="s">
        <v>344</v>
      </c>
      <c r="CR185" s="22" t="s">
        <v>829</v>
      </c>
      <c r="CS185" s="22">
        <v>100</v>
      </c>
      <c r="CT185" s="22">
        <v>1</v>
      </c>
      <c r="CU185" s="22">
        <v>100</v>
      </c>
      <c r="CV185" s="22">
        <v>100</v>
      </c>
      <c r="CW185" s="22" t="s">
        <v>396</v>
      </c>
      <c r="CX185" s="22" t="s">
        <v>395</v>
      </c>
      <c r="CY185" s="22" t="s">
        <v>363</v>
      </c>
      <c r="CZ185" s="22" t="s">
        <v>423</v>
      </c>
      <c r="DA185" s="22" t="s">
        <v>365</v>
      </c>
      <c r="DB185" s="22" t="s">
        <v>366</v>
      </c>
      <c r="DC185" s="22" t="s">
        <v>366</v>
      </c>
      <c r="DD185" s="22" t="s">
        <v>365</v>
      </c>
      <c r="DE185" s="22" t="s">
        <v>365</v>
      </c>
      <c r="DF185" s="22" t="s">
        <v>365</v>
      </c>
      <c r="DG185" s="22" t="s">
        <v>366</v>
      </c>
      <c r="DH185" s="22" t="s">
        <v>366</v>
      </c>
      <c r="DI185" s="22" t="s">
        <v>397</v>
      </c>
      <c r="DJ185" s="22" t="s">
        <v>719</v>
      </c>
      <c r="DK185" s="22" t="s">
        <v>367</v>
      </c>
      <c r="DL185" s="22" t="s">
        <v>368</v>
      </c>
      <c r="DM185" s="22" t="s">
        <v>368</v>
      </c>
      <c r="DN185" s="22" t="s">
        <v>368</v>
      </c>
      <c r="DO185" s="22" t="s">
        <v>368</v>
      </c>
      <c r="DP185" s="22" t="s">
        <v>345</v>
      </c>
      <c r="DQ185" s="22" t="s">
        <v>344</v>
      </c>
      <c r="DR185" s="22" t="s">
        <v>345</v>
      </c>
      <c r="DS185" s="22" t="s">
        <v>344</v>
      </c>
      <c r="DT185" s="22" t="s">
        <v>345</v>
      </c>
      <c r="DU185" s="22" t="s">
        <v>344</v>
      </c>
      <c r="DV185" s="22" t="s">
        <v>345</v>
      </c>
      <c r="DW185" s="22" t="s">
        <v>344</v>
      </c>
      <c r="DX185" s="22" t="s">
        <v>370</v>
      </c>
      <c r="DY185" s="22" t="s">
        <v>371</v>
      </c>
      <c r="DZ185" s="22" t="s">
        <v>371</v>
      </c>
      <c r="EA185" s="22" t="s">
        <v>399</v>
      </c>
      <c r="EB185" s="22" t="s">
        <v>398</v>
      </c>
      <c r="EC185" s="22" t="s">
        <v>369</v>
      </c>
      <c r="ED185" s="22" t="s">
        <v>399</v>
      </c>
      <c r="EE185" s="22" t="s">
        <v>369</v>
      </c>
      <c r="EF185" s="22" t="s">
        <v>369</v>
      </c>
      <c r="EG185" s="22" t="s">
        <v>398</v>
      </c>
      <c r="EH185" s="22" t="s">
        <v>371</v>
      </c>
      <c r="EI185" s="22" t="s">
        <v>399</v>
      </c>
      <c r="EJ185" s="22" t="s">
        <v>370</v>
      </c>
      <c r="EK185" s="22" t="s">
        <v>371</v>
      </c>
      <c r="EL185" s="22" t="s">
        <v>372</v>
      </c>
      <c r="EM185" s="22" t="s">
        <v>373</v>
      </c>
      <c r="EN185" s="22" t="s">
        <v>440</v>
      </c>
      <c r="EO185" s="22"/>
      <c r="EP185" s="22"/>
      <c r="EQ185" s="22" t="s">
        <v>391</v>
      </c>
      <c r="ER185" s="22" t="s">
        <v>391</v>
      </c>
      <c r="ES185" s="22" t="s">
        <v>378</v>
      </c>
      <c r="ET185" s="22" t="s">
        <v>377</v>
      </c>
      <c r="EU185" s="22" t="s">
        <v>391</v>
      </c>
      <c r="EV185" s="22" t="s">
        <v>400</v>
      </c>
      <c r="EW185" s="22"/>
      <c r="EX185" s="167" t="s">
        <v>344</v>
      </c>
      <c r="EY185" s="167" t="s">
        <v>345</v>
      </c>
      <c r="EZ185" s="167" t="s">
        <v>344</v>
      </c>
      <c r="FA185" s="22" t="s">
        <v>344</v>
      </c>
      <c r="FB185" s="22" t="s">
        <v>401</v>
      </c>
      <c r="FC185" s="22"/>
      <c r="FD185" s="22" t="s">
        <v>380</v>
      </c>
      <c r="FE185" s="22"/>
      <c r="FF185" s="22" t="s">
        <v>431</v>
      </c>
      <c r="FG185" s="22" t="s">
        <v>413</v>
      </c>
      <c r="FH185" s="22" t="s">
        <v>451</v>
      </c>
      <c r="FI185" s="22" t="s">
        <v>403</v>
      </c>
      <c r="FJ185" s="22"/>
      <c r="FK185" s="22"/>
      <c r="FL185" s="22"/>
      <c r="FM185" s="22"/>
      <c r="FN185" s="22"/>
      <c r="FO185" s="22"/>
      <c r="FP185" s="22"/>
      <c r="FQ185" s="22"/>
      <c r="FR185" s="22"/>
      <c r="FS185" s="22"/>
      <c r="FT185" s="22"/>
      <c r="FU185" s="22"/>
      <c r="FV185" s="22"/>
      <c r="FW185" s="22"/>
      <c r="FX185" s="22"/>
      <c r="FY185" s="22"/>
      <c r="FZ185" s="22"/>
      <c r="GA185" s="22" t="s">
        <v>368</v>
      </c>
      <c r="GB185" s="22" t="s">
        <v>368</v>
      </c>
      <c r="GC185" s="22" t="s">
        <v>368</v>
      </c>
      <c r="GD185" s="22" t="s">
        <v>368</v>
      </c>
      <c r="GE185" s="22" t="s">
        <v>368</v>
      </c>
      <c r="GF185" s="22" t="s">
        <v>368</v>
      </c>
      <c r="GG185" s="22"/>
      <c r="GH185" s="22"/>
      <c r="GI185" s="22"/>
      <c r="GJ185" s="22"/>
      <c r="GK185" s="22"/>
      <c r="GL185" s="22" t="s">
        <v>368</v>
      </c>
      <c r="GM185" s="22" t="s">
        <v>368</v>
      </c>
      <c r="GN185" s="22" t="s">
        <v>368</v>
      </c>
      <c r="GO185" s="22" t="s">
        <v>368</v>
      </c>
      <c r="GP185" s="22" t="s">
        <v>368</v>
      </c>
      <c r="GQ185" s="22" t="s">
        <v>368</v>
      </c>
      <c r="GR185" s="22" t="s">
        <v>368</v>
      </c>
      <c r="GS185" s="22" t="s">
        <v>368</v>
      </c>
      <c r="GT185" s="22" t="s">
        <v>368</v>
      </c>
      <c r="GU185" s="22" t="s">
        <v>368</v>
      </c>
      <c r="GV185" s="22" t="s">
        <v>368</v>
      </c>
      <c r="GW185" s="22" t="s">
        <v>368</v>
      </c>
      <c r="GX185" s="22" t="s">
        <v>368</v>
      </c>
      <c r="GY185" s="22" t="s">
        <v>368</v>
      </c>
      <c r="GZ185" s="22" t="s">
        <v>368</v>
      </c>
      <c r="HA185" s="22"/>
      <c r="HB185" s="22" t="s">
        <v>368</v>
      </c>
      <c r="HC185" s="22"/>
      <c r="HD185" s="22" t="s">
        <v>368</v>
      </c>
      <c r="HE185" s="22"/>
      <c r="HF185" s="22" t="s">
        <v>368</v>
      </c>
      <c r="HG185" s="22"/>
      <c r="HH185" s="22" t="s">
        <v>368</v>
      </c>
      <c r="HI185" s="22"/>
      <c r="HJ185" s="22" t="s">
        <v>368</v>
      </c>
      <c r="HK185" s="22" t="s">
        <v>368</v>
      </c>
      <c r="HL185" s="22" t="s">
        <v>368</v>
      </c>
      <c r="HM185" s="22" t="s">
        <v>368</v>
      </c>
      <c r="HN185" s="22" t="s">
        <v>368</v>
      </c>
      <c r="HO185" s="22" t="s">
        <v>368</v>
      </c>
      <c r="HP185" s="22" t="s">
        <v>368</v>
      </c>
      <c r="HQ185" s="22" t="s">
        <v>368</v>
      </c>
      <c r="HR185" s="22" t="s">
        <v>368</v>
      </c>
      <c r="HS185" s="22" t="s">
        <v>368</v>
      </c>
      <c r="HT185" s="22" t="s">
        <v>368</v>
      </c>
      <c r="HU185" s="22" t="s">
        <v>368</v>
      </c>
      <c r="HV185" s="22" t="s">
        <v>368</v>
      </c>
      <c r="HW185" s="22" t="s">
        <v>368</v>
      </c>
      <c r="HX185" s="22" t="s">
        <v>368</v>
      </c>
      <c r="HY185" s="22"/>
      <c r="HZ185" s="22" t="s">
        <v>368</v>
      </c>
      <c r="IA185" s="22"/>
      <c r="IB185" s="22" t="s">
        <v>368</v>
      </c>
      <c r="IC185" s="22"/>
      <c r="ID185" s="22" t="s">
        <v>368</v>
      </c>
      <c r="IE185" s="22"/>
      <c r="IF185" s="22" t="s">
        <v>368</v>
      </c>
      <c r="IG185" s="22"/>
      <c r="IH185" s="22" t="s">
        <v>368</v>
      </c>
      <c r="II185" s="22" t="s">
        <v>368</v>
      </c>
      <c r="IJ185" s="22" t="s">
        <v>368</v>
      </c>
      <c r="IK185" s="22" t="s">
        <v>368</v>
      </c>
      <c r="IL185" s="22" t="s">
        <v>368</v>
      </c>
      <c r="IM185" s="22" t="s">
        <v>368</v>
      </c>
      <c r="IN185" s="22" t="s">
        <v>368</v>
      </c>
      <c r="IO185" s="22" t="s">
        <v>368</v>
      </c>
      <c r="IP185" s="22" t="s">
        <v>368</v>
      </c>
      <c r="IQ185" s="22" t="s">
        <v>368</v>
      </c>
      <c r="IR185" s="22" t="s">
        <v>368</v>
      </c>
      <c r="IS185" s="22" t="s">
        <v>368</v>
      </c>
      <c r="IT185" s="22"/>
      <c r="IU185" s="22"/>
      <c r="IV185" s="22"/>
      <c r="IW185" s="22"/>
      <c r="IX185" s="22"/>
      <c r="IY185" s="22"/>
      <c r="IZ185" s="22"/>
      <c r="JA185" s="22"/>
      <c r="JB185" s="22"/>
      <c r="JC185" s="22"/>
      <c r="JD185" s="22"/>
      <c r="JE185" s="22"/>
      <c r="JF185" s="22"/>
      <c r="JG185" s="22"/>
      <c r="JH185" s="22"/>
    </row>
    <row r="186" spans="1:268" x14ac:dyDescent="0.3">
      <c r="A186" s="22" t="s">
        <v>813</v>
      </c>
      <c r="B186" s="22">
        <v>293</v>
      </c>
      <c r="C186" s="22" t="s">
        <v>1150</v>
      </c>
      <c r="D186" s="22">
        <v>14</v>
      </c>
      <c r="E186" s="22" t="s">
        <v>387</v>
      </c>
      <c r="F186" s="22">
        <v>58575661</v>
      </c>
      <c r="G186" s="22" t="s">
        <v>1151</v>
      </c>
      <c r="H186" s="22" t="s">
        <v>1150</v>
      </c>
      <c r="I186" s="22" t="s">
        <v>1035</v>
      </c>
      <c r="J186" s="22">
        <v>17</v>
      </c>
      <c r="K186" s="22" t="s">
        <v>389</v>
      </c>
      <c r="L186" s="22"/>
      <c r="M186" s="22" t="s">
        <v>345</v>
      </c>
      <c r="N186" s="22" t="s">
        <v>345</v>
      </c>
      <c r="O186" s="22" t="s">
        <v>344</v>
      </c>
      <c r="P186" s="22" t="s">
        <v>344</v>
      </c>
      <c r="Q186" s="22" t="s">
        <v>344</v>
      </c>
      <c r="R186" s="22"/>
      <c r="S186" s="22" t="s">
        <v>522</v>
      </c>
      <c r="T186" s="22"/>
      <c r="U186" s="22" t="s">
        <v>418</v>
      </c>
      <c r="V186" s="22"/>
      <c r="W186" s="22" t="s">
        <v>345</v>
      </c>
      <c r="X186" s="22" t="s">
        <v>345</v>
      </c>
      <c r="Y186" s="22" t="s">
        <v>344</v>
      </c>
      <c r="Z186" s="22" t="s">
        <v>344</v>
      </c>
      <c r="AA186" s="22" t="s">
        <v>344</v>
      </c>
      <c r="AB186" s="22" t="s">
        <v>344</v>
      </c>
      <c r="AC186" s="22" t="s">
        <v>344</v>
      </c>
      <c r="AD186" s="22" t="s">
        <v>344</v>
      </c>
      <c r="AE186" s="22" t="s">
        <v>345</v>
      </c>
      <c r="AF186" s="22" t="s">
        <v>344</v>
      </c>
      <c r="AG186" s="22" t="s">
        <v>344</v>
      </c>
      <c r="AH186" s="22" t="s">
        <v>345</v>
      </c>
      <c r="AI186" s="22" t="s">
        <v>344</v>
      </c>
      <c r="AJ186" s="22" t="s">
        <v>344</v>
      </c>
      <c r="AK186" s="22" t="s">
        <v>368</v>
      </c>
      <c r="AL186" s="22" t="s">
        <v>368</v>
      </c>
      <c r="AM186" s="22" t="s">
        <v>368</v>
      </c>
      <c r="AN186" s="22" t="s">
        <v>368</v>
      </c>
      <c r="AO186" s="22" t="s">
        <v>368</v>
      </c>
      <c r="AP186" s="22" t="s">
        <v>368</v>
      </c>
      <c r="AQ186" s="22" t="s">
        <v>345</v>
      </c>
      <c r="AR186" s="22" t="s">
        <v>344</v>
      </c>
      <c r="AS186" s="22" t="s">
        <v>344</v>
      </c>
      <c r="AT186" s="22" t="s">
        <v>345</v>
      </c>
      <c r="AU186" s="22" t="s">
        <v>344</v>
      </c>
      <c r="AV186" s="22" t="s">
        <v>344</v>
      </c>
      <c r="AW186" s="22" t="s">
        <v>344</v>
      </c>
      <c r="AX186" s="22" t="s">
        <v>344</v>
      </c>
      <c r="AY186" s="22" t="s">
        <v>733</v>
      </c>
      <c r="AZ186" s="22" t="s">
        <v>732</v>
      </c>
      <c r="BA186" s="22" t="s">
        <v>732</v>
      </c>
      <c r="BB186" s="22" t="s">
        <v>391</v>
      </c>
      <c r="BC186" s="22" t="s">
        <v>733</v>
      </c>
      <c r="BD186" s="22" t="s">
        <v>731</v>
      </c>
      <c r="BE186" s="22" t="s">
        <v>349</v>
      </c>
      <c r="BF186" s="22" t="s">
        <v>349</v>
      </c>
      <c r="BG186" s="22" t="s">
        <v>390</v>
      </c>
      <c r="BH186" s="22" t="s">
        <v>390</v>
      </c>
      <c r="BI186" s="22" t="s">
        <v>390</v>
      </c>
      <c r="BJ186" s="22" t="s">
        <v>391</v>
      </c>
      <c r="BK186" s="22" t="s">
        <v>391</v>
      </c>
      <c r="BL186" s="22" t="s">
        <v>391</v>
      </c>
      <c r="BM186" s="22" t="s">
        <v>391</v>
      </c>
      <c r="BN186" s="22" t="s">
        <v>391</v>
      </c>
      <c r="BO186" s="22" t="s">
        <v>391</v>
      </c>
      <c r="BP186" s="22" t="s">
        <v>391</v>
      </c>
      <c r="BQ186" s="22" t="s">
        <v>407</v>
      </c>
      <c r="BR186" s="22" t="s">
        <v>408</v>
      </c>
      <c r="BS186" s="22" t="s">
        <v>391</v>
      </c>
      <c r="BT186" s="22" t="s">
        <v>391</v>
      </c>
      <c r="BU186" s="22" t="s">
        <v>391</v>
      </c>
      <c r="BV186" s="22" t="s">
        <v>391</v>
      </c>
      <c r="BW186" s="22" t="s">
        <v>391</v>
      </c>
      <c r="BX186" s="22" t="s">
        <v>391</v>
      </c>
      <c r="BY186" s="22" t="s">
        <v>391</v>
      </c>
      <c r="BZ186" s="22" t="s">
        <v>391</v>
      </c>
      <c r="CA186" s="22" t="s">
        <v>391</v>
      </c>
      <c r="CB186" s="22" t="s">
        <v>391</v>
      </c>
      <c r="CC186" s="22" t="s">
        <v>391</v>
      </c>
      <c r="CD186" s="22" t="s">
        <v>391</v>
      </c>
      <c r="CE186" s="22" t="s">
        <v>391</v>
      </c>
      <c r="CF186" s="22" t="s">
        <v>391</v>
      </c>
      <c r="CG186" s="22" t="s">
        <v>420</v>
      </c>
      <c r="CH186" s="22" t="s">
        <v>421</v>
      </c>
      <c r="CI186" s="22" t="s">
        <v>392</v>
      </c>
      <c r="CJ186" s="22" t="s">
        <v>421</v>
      </c>
      <c r="CK186" s="22" t="s">
        <v>1152</v>
      </c>
      <c r="CL186" s="22" t="s">
        <v>344</v>
      </c>
      <c r="CM186" s="22" t="s">
        <v>344</v>
      </c>
      <c r="CN186" s="22" t="s">
        <v>345</v>
      </c>
      <c r="CO186" s="22" t="s">
        <v>345</v>
      </c>
      <c r="CP186" s="22" t="s">
        <v>345</v>
      </c>
      <c r="CQ186" s="22" t="s">
        <v>344</v>
      </c>
      <c r="CR186" s="22" t="s">
        <v>829</v>
      </c>
      <c r="CS186" s="22">
        <v>1</v>
      </c>
      <c r="CT186" s="22">
        <v>100</v>
      </c>
      <c r="CU186" s="22">
        <v>50</v>
      </c>
      <c r="CV186" s="22">
        <v>1</v>
      </c>
      <c r="CW186" s="22" t="s">
        <v>396</v>
      </c>
      <c r="CX186" s="22" t="s">
        <v>396</v>
      </c>
      <c r="CY186" s="22" t="s">
        <v>396</v>
      </c>
      <c r="CZ186" s="22" t="s">
        <v>397</v>
      </c>
      <c r="DA186" s="22" t="s">
        <v>397</v>
      </c>
      <c r="DB186" s="22" t="s">
        <v>397</v>
      </c>
      <c r="DC186" s="22" t="s">
        <v>397</v>
      </c>
      <c r="DD186" s="22" t="s">
        <v>397</v>
      </c>
      <c r="DE186" s="22" t="s">
        <v>397</v>
      </c>
      <c r="DF186" s="22" t="s">
        <v>397</v>
      </c>
      <c r="DG186" s="22" t="s">
        <v>397</v>
      </c>
      <c r="DH186" s="22" t="s">
        <v>397</v>
      </c>
      <c r="DI186" s="22" t="s">
        <v>397</v>
      </c>
      <c r="DJ186" s="22"/>
      <c r="DK186" s="22" t="s">
        <v>367</v>
      </c>
      <c r="DL186" s="22" t="s">
        <v>368</v>
      </c>
      <c r="DM186" s="22" t="s">
        <v>368</v>
      </c>
      <c r="DN186" s="22" t="s">
        <v>368</v>
      </c>
      <c r="DO186" s="22" t="s">
        <v>368</v>
      </c>
      <c r="DP186" s="22" t="s">
        <v>345</v>
      </c>
      <c r="DQ186" s="22" t="s">
        <v>344</v>
      </c>
      <c r="DR186" s="22" t="s">
        <v>344</v>
      </c>
      <c r="DS186" s="22" t="s">
        <v>344</v>
      </c>
      <c r="DT186" s="22" t="s">
        <v>345</v>
      </c>
      <c r="DU186" s="22" t="s">
        <v>344</v>
      </c>
      <c r="DV186" s="22" t="s">
        <v>345</v>
      </c>
      <c r="DW186" s="22" t="s">
        <v>344</v>
      </c>
      <c r="DX186" s="22" t="s">
        <v>399</v>
      </c>
      <c r="DY186" s="22" t="s">
        <v>370</v>
      </c>
      <c r="DZ186" s="22" t="s">
        <v>369</v>
      </c>
      <c r="EA186" s="22" t="s">
        <v>369</v>
      </c>
      <c r="EB186" s="22" t="s">
        <v>399</v>
      </c>
      <c r="EC186" s="22" t="s">
        <v>369</v>
      </c>
      <c r="ED186" s="22" t="s">
        <v>398</v>
      </c>
      <c r="EE186" s="22" t="s">
        <v>370</v>
      </c>
      <c r="EF186" s="22" t="s">
        <v>370</v>
      </c>
      <c r="EG186" s="22" t="s">
        <v>369</v>
      </c>
      <c r="EH186" s="22" t="s">
        <v>370</v>
      </c>
      <c r="EI186" s="22" t="s">
        <v>370</v>
      </c>
      <c r="EJ186" s="22" t="s">
        <v>369</v>
      </c>
      <c r="EK186" s="22" t="s">
        <v>370</v>
      </c>
      <c r="EL186" s="22" t="s">
        <v>373</v>
      </c>
      <c r="EM186" s="22" t="s">
        <v>440</v>
      </c>
      <c r="EN186" s="22" t="s">
        <v>374</v>
      </c>
      <c r="EO186" s="22"/>
      <c r="EP186" s="22"/>
      <c r="EQ186" s="22" t="s">
        <v>375</v>
      </c>
      <c r="ER186" s="22" t="s">
        <v>375</v>
      </c>
      <c r="ES186" s="22" t="s">
        <v>378</v>
      </c>
      <c r="ET186" s="22" t="s">
        <v>378</v>
      </c>
      <c r="EU186" s="22" t="s">
        <v>378</v>
      </c>
      <c r="EV186" s="22" t="s">
        <v>400</v>
      </c>
      <c r="EW186" s="22"/>
      <c r="EX186" s="22" t="s">
        <v>368</v>
      </c>
      <c r="EY186" s="22" t="s">
        <v>368</v>
      </c>
      <c r="EZ186" s="22" t="s">
        <v>368</v>
      </c>
      <c r="FA186" s="22" t="s">
        <v>345</v>
      </c>
      <c r="FB186" s="22" t="s">
        <v>381</v>
      </c>
      <c r="FC186" s="22"/>
      <c r="FD186" s="22" t="s">
        <v>381</v>
      </c>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t="s">
        <v>368</v>
      </c>
      <c r="GB186" s="22" t="s">
        <v>368</v>
      </c>
      <c r="GC186" s="22" t="s">
        <v>368</v>
      </c>
      <c r="GD186" s="22" t="s">
        <v>368</v>
      </c>
      <c r="GE186" s="22" t="s">
        <v>368</v>
      </c>
      <c r="GF186" s="22" t="s">
        <v>368</v>
      </c>
      <c r="GG186" s="22"/>
      <c r="GH186" s="22"/>
      <c r="GI186" s="22"/>
      <c r="GJ186" s="22"/>
      <c r="GK186" s="22"/>
      <c r="GL186" s="22" t="s">
        <v>344</v>
      </c>
      <c r="GM186" s="22" t="s">
        <v>344</v>
      </c>
      <c r="GN186" s="22" t="s">
        <v>344</v>
      </c>
      <c r="GO186" s="22" t="s">
        <v>345</v>
      </c>
      <c r="GP186" s="22" t="s">
        <v>344</v>
      </c>
      <c r="GQ186" s="22" t="s">
        <v>344</v>
      </c>
      <c r="GR186" s="22" t="s">
        <v>344</v>
      </c>
      <c r="GS186" s="22" t="s">
        <v>344</v>
      </c>
      <c r="GT186" s="22" t="s">
        <v>344</v>
      </c>
      <c r="GU186" s="22" t="s">
        <v>344</v>
      </c>
      <c r="GV186" s="22" t="s">
        <v>344</v>
      </c>
      <c r="GW186" s="22" t="s">
        <v>344</v>
      </c>
      <c r="GX186" s="22" t="s">
        <v>344</v>
      </c>
      <c r="GY186" s="22" t="s">
        <v>344</v>
      </c>
      <c r="GZ186" s="22" t="s">
        <v>344</v>
      </c>
      <c r="HA186" s="22"/>
      <c r="HB186" s="22" t="s">
        <v>344</v>
      </c>
      <c r="HC186" s="22"/>
      <c r="HD186" s="22" t="s">
        <v>344</v>
      </c>
      <c r="HE186" s="22"/>
      <c r="HF186" s="22" t="s">
        <v>344</v>
      </c>
      <c r="HG186" s="22"/>
      <c r="HH186" s="22" t="s">
        <v>344</v>
      </c>
      <c r="HI186" s="22"/>
      <c r="HJ186" s="22" t="s">
        <v>344</v>
      </c>
      <c r="HK186" s="22" t="s">
        <v>344</v>
      </c>
      <c r="HL186" s="22" t="s">
        <v>344</v>
      </c>
      <c r="HM186" s="22" t="s">
        <v>344</v>
      </c>
      <c r="HN186" s="22" t="s">
        <v>344</v>
      </c>
      <c r="HO186" s="22" t="s">
        <v>344</v>
      </c>
      <c r="HP186" s="22" t="s">
        <v>344</v>
      </c>
      <c r="HQ186" s="22" t="s">
        <v>344</v>
      </c>
      <c r="HR186" s="22" t="s">
        <v>344</v>
      </c>
      <c r="HS186" s="22" t="s">
        <v>344</v>
      </c>
      <c r="HT186" s="22" t="s">
        <v>344</v>
      </c>
      <c r="HU186" s="22" t="s">
        <v>345</v>
      </c>
      <c r="HV186" s="22" t="s">
        <v>344</v>
      </c>
      <c r="HW186" s="22" t="s">
        <v>344</v>
      </c>
      <c r="HX186" s="22" t="s">
        <v>344</v>
      </c>
      <c r="HY186" s="22"/>
      <c r="HZ186" s="22" t="s">
        <v>344</v>
      </c>
      <c r="IA186" s="22"/>
      <c r="IB186" s="22" t="s">
        <v>344</v>
      </c>
      <c r="IC186" s="22"/>
      <c r="ID186" s="22" t="s">
        <v>344</v>
      </c>
      <c r="IE186" s="22"/>
      <c r="IF186" s="22" t="s">
        <v>344</v>
      </c>
      <c r="IG186" s="22"/>
      <c r="IH186" s="22" t="s">
        <v>345</v>
      </c>
      <c r="II186" s="22" t="s">
        <v>345</v>
      </c>
      <c r="IJ186" s="22" t="s">
        <v>345</v>
      </c>
      <c r="IK186" s="22" t="s">
        <v>345</v>
      </c>
      <c r="IL186" s="22" t="s">
        <v>345</v>
      </c>
      <c r="IM186" s="22" t="s">
        <v>345</v>
      </c>
      <c r="IN186" s="22" t="s">
        <v>344</v>
      </c>
      <c r="IO186" s="22" t="s">
        <v>345</v>
      </c>
      <c r="IP186" s="22" t="s">
        <v>344</v>
      </c>
      <c r="IQ186" s="22" t="s">
        <v>344</v>
      </c>
      <c r="IR186" s="22" t="s">
        <v>344</v>
      </c>
      <c r="IS186" s="22" t="s">
        <v>344</v>
      </c>
      <c r="IT186" s="22"/>
      <c r="IU186" s="22"/>
      <c r="IV186" s="22"/>
      <c r="IW186" s="22"/>
      <c r="IX186" s="22"/>
      <c r="IY186" s="22"/>
      <c r="IZ186" s="22"/>
      <c r="JA186" s="22"/>
      <c r="JB186" s="22"/>
      <c r="JC186" s="22"/>
      <c r="JD186" s="22"/>
      <c r="JE186" s="22"/>
      <c r="JF186" s="22"/>
      <c r="JG186" s="22"/>
      <c r="JH186" s="22"/>
    </row>
    <row r="187" spans="1:268" x14ac:dyDescent="0.3">
      <c r="A187" s="22" t="s">
        <v>813</v>
      </c>
      <c r="B187" s="22">
        <v>295</v>
      </c>
      <c r="C187" s="22" t="s">
        <v>1153</v>
      </c>
      <c r="D187" s="22">
        <v>14</v>
      </c>
      <c r="E187" s="22" t="s">
        <v>340</v>
      </c>
      <c r="F187" s="22">
        <v>1158286140</v>
      </c>
      <c r="G187" s="22" t="s">
        <v>1154</v>
      </c>
      <c r="H187" s="22" t="s">
        <v>1153</v>
      </c>
      <c r="I187" s="22" t="s">
        <v>1062</v>
      </c>
      <c r="J187" s="22">
        <v>17</v>
      </c>
      <c r="K187" s="22" t="s">
        <v>406</v>
      </c>
      <c r="L187" s="22"/>
      <c r="M187" s="22" t="s">
        <v>344</v>
      </c>
      <c r="N187" s="22" t="s">
        <v>345</v>
      </c>
      <c r="O187" s="22" t="s">
        <v>344</v>
      </c>
      <c r="P187" s="22" t="s">
        <v>344</v>
      </c>
      <c r="Q187" s="22" t="s">
        <v>344</v>
      </c>
      <c r="R187" s="22"/>
      <c r="S187" s="22" t="s">
        <v>522</v>
      </c>
      <c r="T187" s="22"/>
      <c r="U187" s="22" t="s">
        <v>347</v>
      </c>
      <c r="V187" s="22"/>
      <c r="W187" s="22" t="s">
        <v>368</v>
      </c>
      <c r="X187" s="22" t="s">
        <v>368</v>
      </c>
      <c r="Y187" s="22" t="s">
        <v>368</v>
      </c>
      <c r="Z187" s="22" t="s">
        <v>368</v>
      </c>
      <c r="AA187" s="22" t="s">
        <v>368</v>
      </c>
      <c r="AB187" s="22" t="s">
        <v>368</v>
      </c>
      <c r="AC187" s="22" t="s">
        <v>345</v>
      </c>
      <c r="AD187" s="22" t="s">
        <v>345</v>
      </c>
      <c r="AE187" s="22" t="s">
        <v>345</v>
      </c>
      <c r="AF187" s="22" t="s">
        <v>344</v>
      </c>
      <c r="AG187" s="22" t="s">
        <v>344</v>
      </c>
      <c r="AH187" s="22" t="s">
        <v>344</v>
      </c>
      <c r="AI187" s="22" t="s">
        <v>344</v>
      </c>
      <c r="AJ187" s="22" t="s">
        <v>344</v>
      </c>
      <c r="AK187" s="22" t="s">
        <v>344</v>
      </c>
      <c r="AL187" s="22" t="s">
        <v>344</v>
      </c>
      <c r="AM187" s="22" t="s">
        <v>344</v>
      </c>
      <c r="AN187" s="22" t="s">
        <v>345</v>
      </c>
      <c r="AO187" s="22" t="s">
        <v>345</v>
      </c>
      <c r="AP187" s="22" t="s">
        <v>344</v>
      </c>
      <c r="AQ187" s="22" t="s">
        <v>344</v>
      </c>
      <c r="AR187" s="22" t="s">
        <v>345</v>
      </c>
      <c r="AS187" s="22" t="s">
        <v>345</v>
      </c>
      <c r="AT187" s="22" t="s">
        <v>344</v>
      </c>
      <c r="AU187" s="22" t="s">
        <v>345</v>
      </c>
      <c r="AV187" s="22" t="s">
        <v>345</v>
      </c>
      <c r="AW187" s="22" t="s">
        <v>344</v>
      </c>
      <c r="AX187" s="22" t="s">
        <v>344</v>
      </c>
      <c r="AY187" s="22" t="s">
        <v>731</v>
      </c>
      <c r="AZ187" s="22" t="s">
        <v>733</v>
      </c>
      <c r="BA187" s="22" t="s">
        <v>737</v>
      </c>
      <c r="BB187" s="22" t="s">
        <v>737</v>
      </c>
      <c r="BC187" s="22" t="s">
        <v>731</v>
      </c>
      <c r="BD187" s="22" t="s">
        <v>731</v>
      </c>
      <c r="BE187" s="22" t="s">
        <v>390</v>
      </c>
      <c r="BF187" s="22" t="s">
        <v>390</v>
      </c>
      <c r="BG187" s="22" t="s">
        <v>390</v>
      </c>
      <c r="BH187" s="22" t="s">
        <v>390</v>
      </c>
      <c r="BI187" s="22" t="s">
        <v>390</v>
      </c>
      <c r="BJ187" s="22" t="s">
        <v>354</v>
      </c>
      <c r="BK187" s="22" t="s">
        <v>355</v>
      </c>
      <c r="BL187" s="22" t="s">
        <v>357</v>
      </c>
      <c r="BM187" s="22" t="s">
        <v>355</v>
      </c>
      <c r="BN187" s="22" t="s">
        <v>351</v>
      </c>
      <c r="BO187" s="22" t="s">
        <v>356</v>
      </c>
      <c r="BP187" s="22" t="s">
        <v>356</v>
      </c>
      <c r="BQ187" s="22" t="s">
        <v>419</v>
      </c>
      <c r="BR187" s="22" t="s">
        <v>367</v>
      </c>
      <c r="BS187" s="22" t="s">
        <v>351</v>
      </c>
      <c r="BT187" s="22" t="s">
        <v>351</v>
      </c>
      <c r="BU187" s="22" t="s">
        <v>356</v>
      </c>
      <c r="BV187" s="22" t="s">
        <v>356</v>
      </c>
      <c r="BW187" s="22" t="s">
        <v>357</v>
      </c>
      <c r="BX187" s="22" t="s">
        <v>351</v>
      </c>
      <c r="BY187" s="22" t="s">
        <v>356</v>
      </c>
      <c r="BZ187" s="22" t="s">
        <v>353</v>
      </c>
      <c r="CA187" s="22" t="s">
        <v>355</v>
      </c>
      <c r="CB187" s="22" t="s">
        <v>357</v>
      </c>
      <c r="CC187" s="22" t="s">
        <v>352</v>
      </c>
      <c r="CD187" s="22" t="s">
        <v>391</v>
      </c>
      <c r="CE187" s="22" t="s">
        <v>356</v>
      </c>
      <c r="CF187" s="22" t="s">
        <v>354</v>
      </c>
      <c r="CG187" s="22" t="s">
        <v>421</v>
      </c>
      <c r="CH187" s="22" t="s">
        <v>392</v>
      </c>
      <c r="CI187" s="22" t="s">
        <v>392</v>
      </c>
      <c r="CJ187" s="22" t="s">
        <v>360</v>
      </c>
      <c r="CK187" s="22"/>
      <c r="CL187" s="22" t="s">
        <v>345</v>
      </c>
      <c r="CM187" s="22" t="s">
        <v>344</v>
      </c>
      <c r="CN187" s="22" t="s">
        <v>344</v>
      </c>
      <c r="CO187" s="22" t="s">
        <v>344</v>
      </c>
      <c r="CP187" s="22" t="s">
        <v>345</v>
      </c>
      <c r="CQ187" s="22" t="s">
        <v>344</v>
      </c>
      <c r="CR187" s="22" t="s">
        <v>667</v>
      </c>
      <c r="CS187" s="22">
        <v>100</v>
      </c>
      <c r="CT187" s="22">
        <v>21</v>
      </c>
      <c r="CU187" s="22">
        <v>81</v>
      </c>
      <c r="CV187" s="22">
        <v>21</v>
      </c>
      <c r="CW187" s="22" t="s">
        <v>363</v>
      </c>
      <c r="CX187" s="22" t="s">
        <v>396</v>
      </c>
      <c r="CY187" s="22" t="s">
        <v>395</v>
      </c>
      <c r="CZ187" s="22" t="s">
        <v>397</v>
      </c>
      <c r="DA187" s="22" t="s">
        <v>397</v>
      </c>
      <c r="DB187" s="22" t="s">
        <v>397</v>
      </c>
      <c r="DC187" s="22" t="s">
        <v>397</v>
      </c>
      <c r="DD187" s="22" t="s">
        <v>397</v>
      </c>
      <c r="DE187" s="22" t="s">
        <v>397</v>
      </c>
      <c r="DF187" s="22" t="s">
        <v>366</v>
      </c>
      <c r="DG187" s="22" t="s">
        <v>366</v>
      </c>
      <c r="DH187" s="22" t="s">
        <v>365</v>
      </c>
      <c r="DI187" s="22" t="s">
        <v>397</v>
      </c>
      <c r="DJ187" s="22"/>
      <c r="DK187" s="22" t="s">
        <v>367</v>
      </c>
      <c r="DL187" s="22" t="s">
        <v>368</v>
      </c>
      <c r="DM187" s="22" t="s">
        <v>368</v>
      </c>
      <c r="DN187" s="22" t="s">
        <v>368</v>
      </c>
      <c r="DO187" s="22" t="s">
        <v>368</v>
      </c>
      <c r="DP187" s="22" t="s">
        <v>368</v>
      </c>
      <c r="DQ187" s="22" t="s">
        <v>368</v>
      </c>
      <c r="DR187" s="22" t="s">
        <v>368</v>
      </c>
      <c r="DS187" s="22" t="s">
        <v>345</v>
      </c>
      <c r="DT187" s="22" t="s">
        <v>368</v>
      </c>
      <c r="DU187" s="22" t="s">
        <v>368</v>
      </c>
      <c r="DV187" s="22" t="s">
        <v>368</v>
      </c>
      <c r="DW187" s="22" t="s">
        <v>345</v>
      </c>
      <c r="DX187" s="22" t="s">
        <v>369</v>
      </c>
      <c r="DY187" s="22" t="s">
        <v>370</v>
      </c>
      <c r="DZ187" s="22" t="s">
        <v>369</v>
      </c>
      <c r="EA187" s="22" t="s">
        <v>369</v>
      </c>
      <c r="EB187" s="22" t="s">
        <v>369</v>
      </c>
      <c r="EC187" s="22" t="s">
        <v>369</v>
      </c>
      <c r="ED187" s="22" t="s">
        <v>369</v>
      </c>
      <c r="EE187" s="22" t="s">
        <v>370</v>
      </c>
      <c r="EF187" s="22" t="s">
        <v>371</v>
      </c>
      <c r="EG187" s="22" t="s">
        <v>370</v>
      </c>
      <c r="EH187" s="22" t="s">
        <v>370</v>
      </c>
      <c r="EI187" s="22" t="s">
        <v>370</v>
      </c>
      <c r="EJ187" s="22" t="s">
        <v>370</v>
      </c>
      <c r="EK187" s="22" t="s">
        <v>370</v>
      </c>
      <c r="EL187" s="22" t="s">
        <v>440</v>
      </c>
      <c r="EM187" s="22" t="s">
        <v>373</v>
      </c>
      <c r="EN187" s="22" t="s">
        <v>372</v>
      </c>
      <c r="EO187" s="22"/>
      <c r="EP187" s="22"/>
      <c r="EQ187" s="22" t="s">
        <v>375</v>
      </c>
      <c r="ER187" s="22" t="s">
        <v>377</v>
      </c>
      <c r="ES187" s="22" t="s">
        <v>376</v>
      </c>
      <c r="ET187" s="22" t="s">
        <v>391</v>
      </c>
      <c r="EU187" s="22" t="s">
        <v>378</v>
      </c>
      <c r="EV187" s="22" t="s">
        <v>400</v>
      </c>
      <c r="EW187" s="22"/>
      <c r="EX187" s="22" t="s">
        <v>368</v>
      </c>
      <c r="EY187" s="22" t="s">
        <v>368</v>
      </c>
      <c r="EZ187" s="22" t="s">
        <v>368</v>
      </c>
      <c r="FA187" s="22" t="s">
        <v>345</v>
      </c>
      <c r="FB187" s="22" t="s">
        <v>380</v>
      </c>
      <c r="FC187" s="22"/>
      <c r="FD187" s="22" t="s">
        <v>401</v>
      </c>
      <c r="FE187" s="22"/>
      <c r="FF187" s="22" t="s">
        <v>412</v>
      </c>
      <c r="FG187" s="22" t="s">
        <v>413</v>
      </c>
      <c r="FH187" s="22" t="s">
        <v>451</v>
      </c>
      <c r="FI187" s="22" t="s">
        <v>385</v>
      </c>
      <c r="FJ187" s="22"/>
      <c r="FK187" s="22"/>
      <c r="FL187" s="22"/>
      <c r="FM187" s="22"/>
      <c r="FN187" s="22"/>
      <c r="FO187" s="22"/>
      <c r="FP187" s="22"/>
      <c r="FQ187" s="22"/>
      <c r="FR187" s="22"/>
      <c r="FS187" s="22"/>
      <c r="FT187" s="22"/>
      <c r="FU187" s="22"/>
      <c r="FV187" s="22"/>
      <c r="FW187" s="22"/>
      <c r="FX187" s="22"/>
      <c r="FY187" s="22"/>
      <c r="FZ187" s="22"/>
      <c r="GA187" s="22" t="s">
        <v>368</v>
      </c>
      <c r="GB187" s="22" t="s">
        <v>368</v>
      </c>
      <c r="GC187" s="22" t="s">
        <v>368</v>
      </c>
      <c r="GD187" s="22" t="s">
        <v>368</v>
      </c>
      <c r="GE187" s="22" t="s">
        <v>368</v>
      </c>
      <c r="GF187" s="22" t="s">
        <v>368</v>
      </c>
      <c r="GG187" s="22"/>
      <c r="GH187" s="22"/>
      <c r="GI187" s="22"/>
      <c r="GJ187" s="22"/>
      <c r="GK187" s="22"/>
      <c r="GL187" s="22" t="s">
        <v>344</v>
      </c>
      <c r="GM187" s="22" t="s">
        <v>344</v>
      </c>
      <c r="GN187" s="22" t="s">
        <v>344</v>
      </c>
      <c r="GO187" s="22" t="s">
        <v>344</v>
      </c>
      <c r="GP187" s="22" t="s">
        <v>344</v>
      </c>
      <c r="GQ187" s="22" t="s">
        <v>344</v>
      </c>
      <c r="GR187" s="22" t="s">
        <v>344</v>
      </c>
      <c r="GS187" s="22" t="s">
        <v>344</v>
      </c>
      <c r="GT187" s="22" t="s">
        <v>344</v>
      </c>
      <c r="GU187" s="22" t="s">
        <v>344</v>
      </c>
      <c r="GV187" s="22" t="s">
        <v>344</v>
      </c>
      <c r="GW187" s="22" t="s">
        <v>344</v>
      </c>
      <c r="GX187" s="22" t="s">
        <v>344</v>
      </c>
      <c r="GY187" s="22" t="s">
        <v>344</v>
      </c>
      <c r="GZ187" s="22" t="s">
        <v>345</v>
      </c>
      <c r="HA187" s="22"/>
      <c r="HB187" s="22" t="s">
        <v>344</v>
      </c>
      <c r="HC187" s="22"/>
      <c r="HD187" s="22" t="s">
        <v>344</v>
      </c>
      <c r="HE187" s="22"/>
      <c r="HF187" s="22" t="s">
        <v>344</v>
      </c>
      <c r="HG187" s="22"/>
      <c r="HH187" s="22" t="s">
        <v>344</v>
      </c>
      <c r="HI187" s="22"/>
      <c r="HJ187" s="22" t="s">
        <v>344</v>
      </c>
      <c r="HK187" s="22" t="s">
        <v>344</v>
      </c>
      <c r="HL187" s="22" t="s">
        <v>344</v>
      </c>
      <c r="HM187" s="22" t="s">
        <v>344</v>
      </c>
      <c r="HN187" s="22" t="s">
        <v>345</v>
      </c>
      <c r="HO187" s="22" t="s">
        <v>344</v>
      </c>
      <c r="HP187" s="22" t="s">
        <v>344</v>
      </c>
      <c r="HQ187" s="22" t="s">
        <v>344</v>
      </c>
      <c r="HR187" s="22" t="s">
        <v>344</v>
      </c>
      <c r="HS187" s="22" t="s">
        <v>344</v>
      </c>
      <c r="HT187" s="22" t="s">
        <v>344</v>
      </c>
      <c r="HU187" s="22" t="s">
        <v>344</v>
      </c>
      <c r="HV187" s="22" t="s">
        <v>344</v>
      </c>
      <c r="HW187" s="22" t="s">
        <v>344</v>
      </c>
      <c r="HX187" s="22" t="s">
        <v>344</v>
      </c>
      <c r="HY187" s="22"/>
      <c r="HZ187" s="22" t="s">
        <v>344</v>
      </c>
      <c r="IA187" s="22"/>
      <c r="IB187" s="22" t="s">
        <v>344</v>
      </c>
      <c r="IC187" s="22"/>
      <c r="ID187" s="22" t="s">
        <v>344</v>
      </c>
      <c r="IE187" s="22"/>
      <c r="IF187" s="22" t="s">
        <v>344</v>
      </c>
      <c r="IG187" s="22"/>
      <c r="IH187" s="22" t="s">
        <v>345</v>
      </c>
      <c r="II187" s="22" t="s">
        <v>345</v>
      </c>
      <c r="IJ187" s="22" t="s">
        <v>344</v>
      </c>
      <c r="IK187" s="22" t="s">
        <v>344</v>
      </c>
      <c r="IL187" s="22" t="s">
        <v>344</v>
      </c>
      <c r="IM187" s="22" t="s">
        <v>345</v>
      </c>
      <c r="IN187" s="22" t="s">
        <v>344</v>
      </c>
      <c r="IO187" s="22" t="s">
        <v>344</v>
      </c>
      <c r="IP187" s="22" t="s">
        <v>344</v>
      </c>
      <c r="IQ187" s="22" t="s">
        <v>344</v>
      </c>
      <c r="IR187" s="22" t="s">
        <v>344</v>
      </c>
      <c r="IS187" s="22" t="s">
        <v>344</v>
      </c>
      <c r="IT187" s="22"/>
      <c r="IU187" s="22"/>
      <c r="IV187" s="22"/>
      <c r="IW187" s="22"/>
      <c r="IX187" s="22"/>
      <c r="IY187" s="22"/>
      <c r="IZ187" s="22"/>
      <c r="JA187" s="22"/>
      <c r="JB187" s="22"/>
      <c r="JC187" s="22"/>
      <c r="JD187" s="22"/>
      <c r="JE187" s="22"/>
      <c r="JF187" s="22"/>
      <c r="JG187" s="22"/>
      <c r="JH187" s="22"/>
    </row>
    <row r="188" spans="1:268" x14ac:dyDescent="0.3">
      <c r="A188" s="22" t="s">
        <v>813</v>
      </c>
      <c r="B188" s="22">
        <v>299</v>
      </c>
      <c r="C188" s="22" t="s">
        <v>1155</v>
      </c>
      <c r="D188" s="22">
        <v>14</v>
      </c>
      <c r="E188" s="22" t="s">
        <v>340</v>
      </c>
      <c r="F188" s="22">
        <v>832726104</v>
      </c>
      <c r="G188" s="22" t="s">
        <v>1156</v>
      </c>
      <c r="H188" s="22" t="s">
        <v>1155</v>
      </c>
      <c r="I188" s="22" t="s">
        <v>1062</v>
      </c>
      <c r="J188" s="22">
        <v>17</v>
      </c>
      <c r="K188" s="22" t="s">
        <v>406</v>
      </c>
      <c r="L188" s="22"/>
      <c r="M188" s="22" t="s">
        <v>345</v>
      </c>
      <c r="N188" s="22" t="s">
        <v>345</v>
      </c>
      <c r="O188" s="22" t="s">
        <v>344</v>
      </c>
      <c r="P188" s="22" t="s">
        <v>344</v>
      </c>
      <c r="Q188" s="22" t="s">
        <v>344</v>
      </c>
      <c r="R188" s="22"/>
      <c r="S188" s="22" t="s">
        <v>522</v>
      </c>
      <c r="T188" s="22"/>
      <c r="U188" s="22" t="s">
        <v>428</v>
      </c>
      <c r="V188" s="22"/>
      <c r="W188" s="22" t="s">
        <v>345</v>
      </c>
      <c r="X188" s="22" t="s">
        <v>344</v>
      </c>
      <c r="Y188" s="22" t="s">
        <v>344</v>
      </c>
      <c r="Z188" s="22" t="s">
        <v>344</v>
      </c>
      <c r="AA188" s="22" t="s">
        <v>344</v>
      </c>
      <c r="AB188" s="22" t="s">
        <v>344</v>
      </c>
      <c r="AC188" s="22" t="s">
        <v>344</v>
      </c>
      <c r="AD188" s="22" t="s">
        <v>344</v>
      </c>
      <c r="AE188" s="22" t="s">
        <v>345</v>
      </c>
      <c r="AF188" s="22" t="s">
        <v>344</v>
      </c>
      <c r="AG188" s="22" t="s">
        <v>344</v>
      </c>
      <c r="AH188" s="22" t="s">
        <v>344</v>
      </c>
      <c r="AI188" s="22" t="s">
        <v>345</v>
      </c>
      <c r="AJ188" s="22" t="s">
        <v>344</v>
      </c>
      <c r="AK188" s="22" t="s">
        <v>344</v>
      </c>
      <c r="AL188" s="22" t="s">
        <v>344</v>
      </c>
      <c r="AM188" s="22" t="s">
        <v>345</v>
      </c>
      <c r="AN188" s="22" t="s">
        <v>344</v>
      </c>
      <c r="AO188" s="22" t="s">
        <v>344</v>
      </c>
      <c r="AP188" s="22" t="s">
        <v>344</v>
      </c>
      <c r="AQ188" s="22" t="s">
        <v>344</v>
      </c>
      <c r="AR188" s="22" t="s">
        <v>345</v>
      </c>
      <c r="AS188" s="22" t="s">
        <v>345</v>
      </c>
      <c r="AT188" s="22" t="s">
        <v>344</v>
      </c>
      <c r="AU188" s="22" t="s">
        <v>344</v>
      </c>
      <c r="AV188" s="22" t="s">
        <v>345</v>
      </c>
      <c r="AW188" s="22" t="s">
        <v>344</v>
      </c>
      <c r="AX188" s="22" t="s">
        <v>344</v>
      </c>
      <c r="AY188" s="22" t="s">
        <v>731</v>
      </c>
      <c r="AZ188" s="22" t="s">
        <v>732</v>
      </c>
      <c r="BA188" s="22" t="s">
        <v>732</v>
      </c>
      <c r="BB188" s="22" t="s">
        <v>731</v>
      </c>
      <c r="BC188" s="22" t="s">
        <v>731</v>
      </c>
      <c r="BD188" s="22" t="s">
        <v>731</v>
      </c>
      <c r="BE188" s="22" t="s">
        <v>390</v>
      </c>
      <c r="BF188" s="22" t="s">
        <v>390</v>
      </c>
      <c r="BG188" s="22" t="s">
        <v>390</v>
      </c>
      <c r="BH188" s="22" t="s">
        <v>390</v>
      </c>
      <c r="BI188" s="22" t="s">
        <v>390</v>
      </c>
      <c r="BJ188" s="22" t="s">
        <v>352</v>
      </c>
      <c r="BK188" s="22" t="s">
        <v>356</v>
      </c>
      <c r="BL188" s="22" t="s">
        <v>354</v>
      </c>
      <c r="BM188" s="22" t="s">
        <v>354</v>
      </c>
      <c r="BN188" s="22" t="s">
        <v>351</v>
      </c>
      <c r="BO188" s="22" t="s">
        <v>356</v>
      </c>
      <c r="BP188" s="22" t="s">
        <v>354</v>
      </c>
      <c r="BQ188" s="22" t="s">
        <v>455</v>
      </c>
      <c r="BR188" s="22" t="s">
        <v>408</v>
      </c>
      <c r="BS188" s="22" t="s">
        <v>351</v>
      </c>
      <c r="BT188" s="22" t="s">
        <v>354</v>
      </c>
      <c r="BU188" s="22" t="s">
        <v>357</v>
      </c>
      <c r="BV188" s="22" t="s">
        <v>353</v>
      </c>
      <c r="BW188" s="22" t="s">
        <v>355</v>
      </c>
      <c r="BX188" s="22" t="s">
        <v>352</v>
      </c>
      <c r="BY188" s="22" t="s">
        <v>357</v>
      </c>
      <c r="BZ188" s="22" t="s">
        <v>354</v>
      </c>
      <c r="CA188" s="22" t="s">
        <v>357</v>
      </c>
      <c r="CB188" s="22" t="s">
        <v>354</v>
      </c>
      <c r="CC188" s="22" t="s">
        <v>356</v>
      </c>
      <c r="CD188" s="22" t="s">
        <v>351</v>
      </c>
      <c r="CE188" s="22" t="s">
        <v>357</v>
      </c>
      <c r="CF188" s="22" t="s">
        <v>352</v>
      </c>
      <c r="CG188" s="22" t="s">
        <v>421</v>
      </c>
      <c r="CH188" s="22" t="s">
        <v>392</v>
      </c>
      <c r="CI188" s="22" t="s">
        <v>420</v>
      </c>
      <c r="CJ188" s="22" t="s">
        <v>360</v>
      </c>
      <c r="CK188" s="22" t="s">
        <v>510</v>
      </c>
      <c r="CL188" s="22" t="s">
        <v>344</v>
      </c>
      <c r="CM188" s="22" t="s">
        <v>344</v>
      </c>
      <c r="CN188" s="22" t="s">
        <v>344</v>
      </c>
      <c r="CO188" s="22" t="s">
        <v>344</v>
      </c>
      <c r="CP188" s="22" t="s">
        <v>345</v>
      </c>
      <c r="CQ188" s="22" t="s">
        <v>344</v>
      </c>
      <c r="CR188" s="22" t="s">
        <v>655</v>
      </c>
      <c r="CS188" s="22">
        <v>18</v>
      </c>
      <c r="CT188" s="22">
        <v>67</v>
      </c>
      <c r="CU188" s="22">
        <v>65</v>
      </c>
      <c r="CV188" s="22">
        <v>33</v>
      </c>
      <c r="CW188" s="22" t="s">
        <v>363</v>
      </c>
      <c r="CX188" s="22" t="s">
        <v>396</v>
      </c>
      <c r="CY188" s="22" t="s">
        <v>396</v>
      </c>
      <c r="CZ188" s="22" t="s">
        <v>365</v>
      </c>
      <c r="DA188" s="22" t="s">
        <v>366</v>
      </c>
      <c r="DB188" s="22" t="s">
        <v>366</v>
      </c>
      <c r="DC188" s="22" t="s">
        <v>397</v>
      </c>
      <c r="DD188" s="22" t="s">
        <v>366</v>
      </c>
      <c r="DE188" s="22" t="s">
        <v>366</v>
      </c>
      <c r="DF188" s="22" t="s">
        <v>365</v>
      </c>
      <c r="DG188" s="22" t="s">
        <v>397</v>
      </c>
      <c r="DH188" s="22" t="s">
        <v>397</v>
      </c>
      <c r="DI188" s="22" t="s">
        <v>366</v>
      </c>
      <c r="DJ188" s="22" t="s">
        <v>1157</v>
      </c>
      <c r="DK188" s="22" t="s">
        <v>367</v>
      </c>
      <c r="DL188" s="22" t="s">
        <v>368</v>
      </c>
      <c r="DM188" s="22" t="s">
        <v>368</v>
      </c>
      <c r="DN188" s="22" t="s">
        <v>368</v>
      </c>
      <c r="DO188" s="22" t="s">
        <v>368</v>
      </c>
      <c r="DP188" s="22" t="s">
        <v>345</v>
      </c>
      <c r="DQ188" s="22" t="s">
        <v>344</v>
      </c>
      <c r="DR188" s="22" t="s">
        <v>345</v>
      </c>
      <c r="DS188" s="22" t="s">
        <v>344</v>
      </c>
      <c r="DT188" s="22" t="s">
        <v>368</v>
      </c>
      <c r="DU188" s="22" t="s">
        <v>368</v>
      </c>
      <c r="DV188" s="22" t="s">
        <v>368</v>
      </c>
      <c r="DW188" s="22" t="s">
        <v>345</v>
      </c>
      <c r="DX188" s="22" t="s">
        <v>399</v>
      </c>
      <c r="DY188" s="22" t="s">
        <v>371</v>
      </c>
      <c r="DZ188" s="22" t="s">
        <v>370</v>
      </c>
      <c r="EA188" s="22" t="s">
        <v>398</v>
      </c>
      <c r="EB188" s="22" t="s">
        <v>369</v>
      </c>
      <c r="EC188" s="22" t="s">
        <v>369</v>
      </c>
      <c r="ED188" s="22" t="s">
        <v>371</v>
      </c>
      <c r="EE188" s="22" t="s">
        <v>370</v>
      </c>
      <c r="EF188" s="22" t="s">
        <v>370</v>
      </c>
      <c r="EG188" s="22" t="s">
        <v>370</v>
      </c>
      <c r="EH188" s="22" t="s">
        <v>370</v>
      </c>
      <c r="EI188" s="22" t="s">
        <v>370</v>
      </c>
      <c r="EJ188" s="22" t="s">
        <v>370</v>
      </c>
      <c r="EK188" s="22" t="s">
        <v>370</v>
      </c>
      <c r="EL188" s="22" t="s">
        <v>373</v>
      </c>
      <c r="EM188" s="22" t="s">
        <v>372</v>
      </c>
      <c r="EN188" s="22" t="s">
        <v>374</v>
      </c>
      <c r="EO188" s="22"/>
      <c r="EP188" s="22"/>
      <c r="EQ188" s="22" t="s">
        <v>375</v>
      </c>
      <c r="ER188" s="22" t="s">
        <v>375</v>
      </c>
      <c r="ES188" s="22" t="s">
        <v>376</v>
      </c>
      <c r="ET188" s="22" t="s">
        <v>378</v>
      </c>
      <c r="EU188" s="22" t="s">
        <v>375</v>
      </c>
      <c r="EV188" s="22" t="s">
        <v>400</v>
      </c>
      <c r="EW188" s="22"/>
      <c r="EX188" s="22" t="s">
        <v>368</v>
      </c>
      <c r="EY188" s="22" t="s">
        <v>368</v>
      </c>
      <c r="EZ188" s="22" t="s">
        <v>368</v>
      </c>
      <c r="FA188" s="22" t="s">
        <v>345</v>
      </c>
      <c r="FB188" s="22" t="s">
        <v>381</v>
      </c>
      <c r="FC188" s="22"/>
      <c r="FD188" s="22" t="s">
        <v>401</v>
      </c>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t="s">
        <v>368</v>
      </c>
      <c r="GB188" s="22" t="s">
        <v>368</v>
      </c>
      <c r="GC188" s="22" t="s">
        <v>368</v>
      </c>
      <c r="GD188" s="22" t="s">
        <v>368</v>
      </c>
      <c r="GE188" s="22" t="s">
        <v>368</v>
      </c>
      <c r="GF188" s="22" t="s">
        <v>368</v>
      </c>
      <c r="GG188" s="22"/>
      <c r="GH188" s="22"/>
      <c r="GI188" s="22"/>
      <c r="GJ188" s="22"/>
      <c r="GK188" s="22"/>
      <c r="GL188" s="22" t="s">
        <v>344</v>
      </c>
      <c r="GM188" s="22" t="s">
        <v>344</v>
      </c>
      <c r="GN188" s="22" t="s">
        <v>344</v>
      </c>
      <c r="GO188" s="22" t="s">
        <v>344</v>
      </c>
      <c r="GP188" s="22" t="s">
        <v>344</v>
      </c>
      <c r="GQ188" s="22" t="s">
        <v>344</v>
      </c>
      <c r="GR188" s="22" t="s">
        <v>344</v>
      </c>
      <c r="GS188" s="22" t="s">
        <v>344</v>
      </c>
      <c r="GT188" s="22" t="s">
        <v>344</v>
      </c>
      <c r="GU188" s="22" t="s">
        <v>344</v>
      </c>
      <c r="GV188" s="22" t="s">
        <v>345</v>
      </c>
      <c r="GW188" s="22" t="s">
        <v>345</v>
      </c>
      <c r="GX188" s="22" t="s">
        <v>344</v>
      </c>
      <c r="GY188" s="22" t="s">
        <v>344</v>
      </c>
      <c r="GZ188" s="22" t="s">
        <v>344</v>
      </c>
      <c r="HA188" s="22"/>
      <c r="HB188" s="22" t="s">
        <v>344</v>
      </c>
      <c r="HC188" s="22"/>
      <c r="HD188" s="22" t="s">
        <v>344</v>
      </c>
      <c r="HE188" s="22"/>
      <c r="HF188" s="22" t="s">
        <v>344</v>
      </c>
      <c r="HG188" s="22"/>
      <c r="HH188" s="22" t="s">
        <v>344</v>
      </c>
      <c r="HI188" s="22"/>
      <c r="HJ188" s="22" t="s">
        <v>344</v>
      </c>
      <c r="HK188" s="22" t="s">
        <v>344</v>
      </c>
      <c r="HL188" s="22" t="s">
        <v>344</v>
      </c>
      <c r="HM188" s="22" t="s">
        <v>344</v>
      </c>
      <c r="HN188" s="22" t="s">
        <v>344</v>
      </c>
      <c r="HO188" s="22" t="s">
        <v>344</v>
      </c>
      <c r="HP188" s="22" t="s">
        <v>344</v>
      </c>
      <c r="HQ188" s="22" t="s">
        <v>344</v>
      </c>
      <c r="HR188" s="22" t="s">
        <v>344</v>
      </c>
      <c r="HS188" s="22" t="s">
        <v>344</v>
      </c>
      <c r="HT188" s="22" t="s">
        <v>344</v>
      </c>
      <c r="HU188" s="22" t="s">
        <v>344</v>
      </c>
      <c r="HV188" s="22" t="s">
        <v>344</v>
      </c>
      <c r="HW188" s="22" t="s">
        <v>344</v>
      </c>
      <c r="HX188" s="22" t="s">
        <v>345</v>
      </c>
      <c r="HY188" s="22"/>
      <c r="HZ188" s="22" t="s">
        <v>344</v>
      </c>
      <c r="IA188" s="22"/>
      <c r="IB188" s="22" t="s">
        <v>344</v>
      </c>
      <c r="IC188" s="22"/>
      <c r="ID188" s="22" t="s">
        <v>344</v>
      </c>
      <c r="IE188" s="22"/>
      <c r="IF188" s="22" t="s">
        <v>344</v>
      </c>
      <c r="IG188" s="22"/>
      <c r="IH188" s="22" t="s">
        <v>345</v>
      </c>
      <c r="II188" s="22" t="s">
        <v>345</v>
      </c>
      <c r="IJ188" s="22" t="s">
        <v>344</v>
      </c>
      <c r="IK188" s="22" t="s">
        <v>344</v>
      </c>
      <c r="IL188" s="22" t="s">
        <v>345</v>
      </c>
      <c r="IM188" s="22" t="s">
        <v>345</v>
      </c>
      <c r="IN188" s="22" t="s">
        <v>344</v>
      </c>
      <c r="IO188" s="22" t="s">
        <v>345</v>
      </c>
      <c r="IP188" s="22" t="s">
        <v>344</v>
      </c>
      <c r="IQ188" s="22" t="s">
        <v>344</v>
      </c>
      <c r="IR188" s="22" t="s">
        <v>344</v>
      </c>
      <c r="IS188" s="22" t="s">
        <v>344</v>
      </c>
      <c r="IT188" s="22"/>
      <c r="IU188" s="22"/>
      <c r="IV188" s="22"/>
      <c r="IW188" s="22"/>
      <c r="IX188" s="22"/>
      <c r="IY188" s="22"/>
      <c r="IZ188" s="22"/>
      <c r="JA188" s="22"/>
      <c r="JB188" s="22"/>
      <c r="JC188" s="22"/>
      <c r="JD188" s="22"/>
      <c r="JE188" s="22"/>
      <c r="JF188" s="22"/>
      <c r="JG188" s="22"/>
      <c r="JH188" s="22"/>
    </row>
    <row r="189" spans="1:268" x14ac:dyDescent="0.3">
      <c r="A189" s="22" t="s">
        <v>813</v>
      </c>
      <c r="B189" s="22">
        <v>300</v>
      </c>
      <c r="C189" s="22" t="s">
        <v>1158</v>
      </c>
      <c r="D189" s="22">
        <v>14</v>
      </c>
      <c r="E189" s="22" t="s">
        <v>340</v>
      </c>
      <c r="F189" s="22">
        <v>1834844826</v>
      </c>
      <c r="G189" s="22" t="s">
        <v>1159</v>
      </c>
      <c r="H189" s="22" t="s">
        <v>1158</v>
      </c>
      <c r="I189" s="22" t="s">
        <v>1062</v>
      </c>
      <c r="J189" s="22">
        <v>17</v>
      </c>
      <c r="K189" s="22" t="s">
        <v>406</v>
      </c>
      <c r="L189" s="22"/>
      <c r="M189" s="22" t="s">
        <v>344</v>
      </c>
      <c r="N189" s="22" t="s">
        <v>345</v>
      </c>
      <c r="O189" s="22" t="s">
        <v>344</v>
      </c>
      <c r="P189" s="22" t="s">
        <v>344</v>
      </c>
      <c r="Q189" s="22" t="s">
        <v>344</v>
      </c>
      <c r="R189" s="22"/>
      <c r="S189" s="22" t="s">
        <v>522</v>
      </c>
      <c r="T189" s="22"/>
      <c r="U189" s="22" t="s">
        <v>347</v>
      </c>
      <c r="V189" s="22"/>
      <c r="W189" s="22" t="s">
        <v>344</v>
      </c>
      <c r="X189" s="22" t="s">
        <v>345</v>
      </c>
      <c r="Y189" s="22" t="s">
        <v>344</v>
      </c>
      <c r="Z189" s="22" t="s">
        <v>345</v>
      </c>
      <c r="AA189" s="22" t="s">
        <v>345</v>
      </c>
      <c r="AB189" s="22" t="s">
        <v>344</v>
      </c>
      <c r="AC189" s="22" t="s">
        <v>344</v>
      </c>
      <c r="AD189" s="22" t="s">
        <v>345</v>
      </c>
      <c r="AE189" s="22" t="s">
        <v>345</v>
      </c>
      <c r="AF189" s="22" t="s">
        <v>344</v>
      </c>
      <c r="AG189" s="22" t="s">
        <v>344</v>
      </c>
      <c r="AH189" s="22" t="s">
        <v>345</v>
      </c>
      <c r="AI189" s="22" t="s">
        <v>344</v>
      </c>
      <c r="AJ189" s="22" t="s">
        <v>344</v>
      </c>
      <c r="AK189" s="22" t="s">
        <v>344</v>
      </c>
      <c r="AL189" s="22" t="s">
        <v>345</v>
      </c>
      <c r="AM189" s="22" t="s">
        <v>344</v>
      </c>
      <c r="AN189" s="22" t="s">
        <v>345</v>
      </c>
      <c r="AO189" s="22" t="s">
        <v>344</v>
      </c>
      <c r="AP189" s="22" t="s">
        <v>344</v>
      </c>
      <c r="AQ189" s="22" t="s">
        <v>344</v>
      </c>
      <c r="AR189" s="22" t="s">
        <v>345</v>
      </c>
      <c r="AS189" s="22" t="s">
        <v>345</v>
      </c>
      <c r="AT189" s="22" t="s">
        <v>345</v>
      </c>
      <c r="AU189" s="22" t="s">
        <v>344</v>
      </c>
      <c r="AV189" s="22" t="s">
        <v>345</v>
      </c>
      <c r="AW189" s="22" t="s">
        <v>345</v>
      </c>
      <c r="AX189" s="22" t="s">
        <v>344</v>
      </c>
      <c r="AY189" s="22" t="s">
        <v>391</v>
      </c>
      <c r="AZ189" s="22" t="s">
        <v>391</v>
      </c>
      <c r="BA189" s="22" t="s">
        <v>391</v>
      </c>
      <c r="BB189" s="22" t="s">
        <v>391</v>
      </c>
      <c r="BC189" s="22" t="s">
        <v>391</v>
      </c>
      <c r="BD189" s="22" t="s">
        <v>391</v>
      </c>
      <c r="BE189" s="22" t="s">
        <v>390</v>
      </c>
      <c r="BF189" s="22" t="s">
        <v>349</v>
      </c>
      <c r="BG189" s="22" t="s">
        <v>390</v>
      </c>
      <c r="BH189" s="22" t="s">
        <v>390</v>
      </c>
      <c r="BI189" s="22" t="s">
        <v>390</v>
      </c>
      <c r="BJ189" s="22" t="s">
        <v>391</v>
      </c>
      <c r="BK189" s="22" t="s">
        <v>391</v>
      </c>
      <c r="BL189" s="22" t="s">
        <v>391</v>
      </c>
      <c r="BM189" s="22" t="s">
        <v>391</v>
      </c>
      <c r="BN189" s="22" t="s">
        <v>391</v>
      </c>
      <c r="BO189" s="22" t="s">
        <v>391</v>
      </c>
      <c r="BP189" s="22" t="s">
        <v>391</v>
      </c>
      <c r="BQ189" s="22" t="s">
        <v>358</v>
      </c>
      <c r="BR189" s="22" t="s">
        <v>429</v>
      </c>
      <c r="BS189" s="22" t="s">
        <v>391</v>
      </c>
      <c r="BT189" s="22" t="s">
        <v>391</v>
      </c>
      <c r="BU189" s="22" t="s">
        <v>391</v>
      </c>
      <c r="BV189" s="22" t="s">
        <v>391</v>
      </c>
      <c r="BW189" s="22" t="s">
        <v>391</v>
      </c>
      <c r="BX189" s="22" t="s">
        <v>391</v>
      </c>
      <c r="BY189" s="22" t="s">
        <v>391</v>
      </c>
      <c r="BZ189" s="22" t="s">
        <v>391</v>
      </c>
      <c r="CA189" s="22" t="s">
        <v>391</v>
      </c>
      <c r="CB189" s="22" t="s">
        <v>391</v>
      </c>
      <c r="CC189" s="22" t="s">
        <v>391</v>
      </c>
      <c r="CD189" s="22" t="s">
        <v>391</v>
      </c>
      <c r="CE189" s="22" t="s">
        <v>391</v>
      </c>
      <c r="CF189" s="22" t="s">
        <v>391</v>
      </c>
      <c r="CG189" s="22" t="s">
        <v>420</v>
      </c>
      <c r="CH189" s="22" t="s">
        <v>420</v>
      </c>
      <c r="CI189" s="22" t="s">
        <v>420</v>
      </c>
      <c r="CJ189" s="22" t="s">
        <v>420</v>
      </c>
      <c r="CK189" s="22" t="s">
        <v>835</v>
      </c>
      <c r="CL189" s="22" t="s">
        <v>344</v>
      </c>
      <c r="CM189" s="22" t="s">
        <v>344</v>
      </c>
      <c r="CN189" s="22" t="s">
        <v>344</v>
      </c>
      <c r="CO189" s="22" t="s">
        <v>345</v>
      </c>
      <c r="CP189" s="22" t="s">
        <v>345</v>
      </c>
      <c r="CQ189" s="22" t="s">
        <v>344</v>
      </c>
      <c r="CR189" s="22" t="s">
        <v>655</v>
      </c>
      <c r="CS189" s="22">
        <v>65</v>
      </c>
      <c r="CT189" s="22">
        <v>1</v>
      </c>
      <c r="CU189" s="22">
        <v>100</v>
      </c>
      <c r="CV189" s="22">
        <v>40</v>
      </c>
      <c r="CW189" s="22" t="s">
        <v>363</v>
      </c>
      <c r="CX189" s="22" t="s">
        <v>395</v>
      </c>
      <c r="CY189" s="22" t="s">
        <v>396</v>
      </c>
      <c r="CZ189" s="22" t="s">
        <v>397</v>
      </c>
      <c r="DA189" s="22" t="s">
        <v>397</v>
      </c>
      <c r="DB189" s="22" t="s">
        <v>397</v>
      </c>
      <c r="DC189" s="22" t="s">
        <v>397</v>
      </c>
      <c r="DD189" s="22" t="s">
        <v>397</v>
      </c>
      <c r="DE189" s="22" t="s">
        <v>423</v>
      </c>
      <c r="DF189" s="22" t="s">
        <v>423</v>
      </c>
      <c r="DG189" s="22" t="s">
        <v>366</v>
      </c>
      <c r="DH189" s="22" t="s">
        <v>366</v>
      </c>
      <c r="DI189" s="22" t="s">
        <v>366</v>
      </c>
      <c r="DJ189" s="22" t="s">
        <v>719</v>
      </c>
      <c r="DK189" s="22" t="s">
        <v>367</v>
      </c>
      <c r="DL189" s="22" t="s">
        <v>368</v>
      </c>
      <c r="DM189" s="22" t="s">
        <v>368</v>
      </c>
      <c r="DN189" s="22" t="s">
        <v>368</v>
      </c>
      <c r="DO189" s="22" t="s">
        <v>368</v>
      </c>
      <c r="DP189" s="22" t="s">
        <v>368</v>
      </c>
      <c r="DQ189" s="22" t="s">
        <v>368</v>
      </c>
      <c r="DR189" s="22" t="s">
        <v>368</v>
      </c>
      <c r="DS189" s="22" t="s">
        <v>345</v>
      </c>
      <c r="DT189" s="22" t="s">
        <v>345</v>
      </c>
      <c r="DU189" s="22" t="s">
        <v>344</v>
      </c>
      <c r="DV189" s="22" t="s">
        <v>345</v>
      </c>
      <c r="DW189" s="22" t="s">
        <v>344</v>
      </c>
      <c r="DX189" s="22" t="s">
        <v>369</v>
      </c>
      <c r="DY189" s="22" t="s">
        <v>369</v>
      </c>
      <c r="DZ189" s="22" t="s">
        <v>370</v>
      </c>
      <c r="EA189" s="22" t="s">
        <v>369</v>
      </c>
      <c r="EB189" s="22" t="s">
        <v>369</v>
      </c>
      <c r="EC189" s="22" t="s">
        <v>369</v>
      </c>
      <c r="ED189" s="22" t="s">
        <v>399</v>
      </c>
      <c r="EE189" s="22" t="s">
        <v>370</v>
      </c>
      <c r="EF189" s="22" t="s">
        <v>370</v>
      </c>
      <c r="EG189" s="22" t="s">
        <v>370</v>
      </c>
      <c r="EH189" s="22" t="s">
        <v>370</v>
      </c>
      <c r="EI189" s="22" t="s">
        <v>370</v>
      </c>
      <c r="EJ189" s="22" t="s">
        <v>370</v>
      </c>
      <c r="EK189" s="22" t="s">
        <v>370</v>
      </c>
      <c r="EL189" s="22" t="s">
        <v>372</v>
      </c>
      <c r="EM189" s="22" t="s">
        <v>440</v>
      </c>
      <c r="EN189" s="22" t="s">
        <v>374</v>
      </c>
      <c r="EO189" s="22"/>
      <c r="EP189" s="22"/>
      <c r="EQ189" s="22" t="s">
        <v>391</v>
      </c>
      <c r="ER189" s="22" t="s">
        <v>391</v>
      </c>
      <c r="ES189" s="22" t="s">
        <v>391</v>
      </c>
      <c r="ET189" s="22" t="s">
        <v>391</v>
      </c>
      <c r="EU189" s="22" t="s">
        <v>391</v>
      </c>
      <c r="EV189" s="22" t="s">
        <v>400</v>
      </c>
      <c r="EW189" s="22"/>
      <c r="EX189" s="167" t="s">
        <v>344</v>
      </c>
      <c r="EY189" s="167" t="s">
        <v>345</v>
      </c>
      <c r="EZ189" s="167" t="s">
        <v>344</v>
      </c>
      <c r="FA189" s="22" t="s">
        <v>344</v>
      </c>
      <c r="FB189" s="22" t="s">
        <v>381</v>
      </c>
      <c r="FC189" s="22"/>
      <c r="FD189" s="22" t="s">
        <v>381</v>
      </c>
      <c r="FE189" s="22"/>
      <c r="FF189" s="22" t="s">
        <v>382</v>
      </c>
      <c r="FG189" s="22" t="s">
        <v>383</v>
      </c>
      <c r="FH189" s="22" t="s">
        <v>451</v>
      </c>
      <c r="FI189" s="22" t="s">
        <v>403</v>
      </c>
      <c r="FJ189" s="22"/>
      <c r="FK189" s="22"/>
      <c r="FL189" s="22"/>
      <c r="FM189" s="22"/>
      <c r="FN189" s="22"/>
      <c r="FO189" s="22"/>
      <c r="FP189" s="22"/>
      <c r="FQ189" s="22"/>
      <c r="FR189" s="22"/>
      <c r="FS189" s="22"/>
      <c r="FT189" s="22"/>
      <c r="FU189" s="22"/>
      <c r="FV189" s="22"/>
      <c r="FW189" s="22"/>
      <c r="FX189" s="22"/>
      <c r="FY189" s="22"/>
      <c r="FZ189" s="22"/>
      <c r="GA189" s="22" t="s">
        <v>368</v>
      </c>
      <c r="GB189" s="22" t="s">
        <v>368</v>
      </c>
      <c r="GC189" s="22" t="s">
        <v>368</v>
      </c>
      <c r="GD189" s="22" t="s">
        <v>368</v>
      </c>
      <c r="GE189" s="22" t="s">
        <v>368</v>
      </c>
      <c r="GF189" s="22" t="s">
        <v>368</v>
      </c>
      <c r="GG189" s="22"/>
      <c r="GH189" s="22"/>
      <c r="GI189" s="22"/>
      <c r="GJ189" s="22"/>
      <c r="GK189" s="22"/>
      <c r="GL189" s="22" t="s">
        <v>344</v>
      </c>
      <c r="GM189" s="22" t="s">
        <v>344</v>
      </c>
      <c r="GN189" s="22" t="s">
        <v>344</v>
      </c>
      <c r="GO189" s="22" t="s">
        <v>344</v>
      </c>
      <c r="GP189" s="22" t="s">
        <v>344</v>
      </c>
      <c r="GQ189" s="22" t="s">
        <v>344</v>
      </c>
      <c r="GR189" s="22" t="s">
        <v>344</v>
      </c>
      <c r="GS189" s="22" t="s">
        <v>344</v>
      </c>
      <c r="GT189" s="22" t="s">
        <v>344</v>
      </c>
      <c r="GU189" s="22" t="s">
        <v>344</v>
      </c>
      <c r="GV189" s="22" t="s">
        <v>344</v>
      </c>
      <c r="GW189" s="22" t="s">
        <v>344</v>
      </c>
      <c r="GX189" s="22" t="s">
        <v>344</v>
      </c>
      <c r="GY189" s="22" t="s">
        <v>344</v>
      </c>
      <c r="GZ189" s="22" t="s">
        <v>345</v>
      </c>
      <c r="HA189" s="22"/>
      <c r="HB189" s="22" t="s">
        <v>344</v>
      </c>
      <c r="HC189" s="22"/>
      <c r="HD189" s="22" t="s">
        <v>344</v>
      </c>
      <c r="HE189" s="22"/>
      <c r="HF189" s="22" t="s">
        <v>344</v>
      </c>
      <c r="HG189" s="22"/>
      <c r="HH189" s="22" t="s">
        <v>344</v>
      </c>
      <c r="HI189" s="22"/>
      <c r="HJ189" s="22" t="s">
        <v>344</v>
      </c>
      <c r="HK189" s="22" t="s">
        <v>344</v>
      </c>
      <c r="HL189" s="22" t="s">
        <v>344</v>
      </c>
      <c r="HM189" s="22" t="s">
        <v>344</v>
      </c>
      <c r="HN189" s="22" t="s">
        <v>344</v>
      </c>
      <c r="HO189" s="22" t="s">
        <v>344</v>
      </c>
      <c r="HP189" s="22" t="s">
        <v>344</v>
      </c>
      <c r="HQ189" s="22" t="s">
        <v>344</v>
      </c>
      <c r="HR189" s="22" t="s">
        <v>344</v>
      </c>
      <c r="HS189" s="22" t="s">
        <v>344</v>
      </c>
      <c r="HT189" s="22" t="s">
        <v>344</v>
      </c>
      <c r="HU189" s="22" t="s">
        <v>344</v>
      </c>
      <c r="HV189" s="22" t="s">
        <v>344</v>
      </c>
      <c r="HW189" s="22" t="s">
        <v>344</v>
      </c>
      <c r="HX189" s="22" t="s">
        <v>345</v>
      </c>
      <c r="HY189" s="22"/>
      <c r="HZ189" s="22" t="s">
        <v>344</v>
      </c>
      <c r="IA189" s="22"/>
      <c r="IB189" s="22" t="s">
        <v>344</v>
      </c>
      <c r="IC189" s="22"/>
      <c r="ID189" s="22" t="s">
        <v>344</v>
      </c>
      <c r="IE189" s="22"/>
      <c r="IF189" s="22" t="s">
        <v>344</v>
      </c>
      <c r="IG189" s="22"/>
      <c r="IH189" s="22" t="s">
        <v>345</v>
      </c>
      <c r="II189" s="22" t="s">
        <v>345</v>
      </c>
      <c r="IJ189" s="22" t="s">
        <v>344</v>
      </c>
      <c r="IK189" s="22" t="s">
        <v>345</v>
      </c>
      <c r="IL189" s="22" t="s">
        <v>345</v>
      </c>
      <c r="IM189" s="22" t="s">
        <v>345</v>
      </c>
      <c r="IN189" s="22" t="s">
        <v>344</v>
      </c>
      <c r="IO189" s="22" t="s">
        <v>345</v>
      </c>
      <c r="IP189" s="22" t="s">
        <v>344</v>
      </c>
      <c r="IQ189" s="22" t="s">
        <v>344</v>
      </c>
      <c r="IR189" s="22" t="s">
        <v>344</v>
      </c>
      <c r="IS189" s="22" t="s">
        <v>344</v>
      </c>
      <c r="IT189" s="22"/>
      <c r="IU189" s="22"/>
      <c r="IV189" s="22"/>
      <c r="IW189" s="22"/>
      <c r="IX189" s="22"/>
      <c r="IY189" s="22"/>
      <c r="IZ189" s="22"/>
      <c r="JA189" s="22"/>
      <c r="JB189" s="22"/>
      <c r="JC189" s="22"/>
      <c r="JD189" s="22"/>
      <c r="JE189" s="22"/>
      <c r="JF189" s="22"/>
      <c r="JG189" s="22"/>
      <c r="JH189" s="22"/>
    </row>
    <row r="190" spans="1:268" x14ac:dyDescent="0.3">
      <c r="A190" s="22" t="s">
        <v>813</v>
      </c>
      <c r="B190" s="22">
        <v>301</v>
      </c>
      <c r="C190" s="22" t="s">
        <v>1160</v>
      </c>
      <c r="D190" s="22">
        <v>14</v>
      </c>
      <c r="E190" s="22" t="s">
        <v>340</v>
      </c>
      <c r="F190" s="22">
        <v>684398724</v>
      </c>
      <c r="G190" s="22" t="s">
        <v>1161</v>
      </c>
      <c r="H190" s="22" t="s">
        <v>1160</v>
      </c>
      <c r="I190" s="22" t="s">
        <v>1035</v>
      </c>
      <c r="J190" s="22">
        <v>17</v>
      </c>
      <c r="K190" s="22" t="s">
        <v>406</v>
      </c>
      <c r="L190" s="22"/>
      <c r="M190" s="22" t="s">
        <v>345</v>
      </c>
      <c r="N190" s="22" t="s">
        <v>345</v>
      </c>
      <c r="O190" s="22" t="s">
        <v>344</v>
      </c>
      <c r="P190" s="22" t="s">
        <v>344</v>
      </c>
      <c r="Q190" s="22" t="s">
        <v>344</v>
      </c>
      <c r="R190" s="22"/>
      <c r="S190" s="22" t="s">
        <v>522</v>
      </c>
      <c r="T190" s="22"/>
      <c r="U190" s="22" t="s">
        <v>418</v>
      </c>
      <c r="V190" s="22"/>
      <c r="W190" s="22" t="s">
        <v>345</v>
      </c>
      <c r="X190" s="22" t="s">
        <v>344</v>
      </c>
      <c r="Y190" s="22" t="s">
        <v>344</v>
      </c>
      <c r="Z190" s="22" t="s">
        <v>344</v>
      </c>
      <c r="AA190" s="22" t="s">
        <v>344</v>
      </c>
      <c r="AB190" s="22" t="s">
        <v>344</v>
      </c>
      <c r="AC190" s="22" t="s">
        <v>344</v>
      </c>
      <c r="AD190" s="22" t="s">
        <v>345</v>
      </c>
      <c r="AE190" s="22" t="s">
        <v>345</v>
      </c>
      <c r="AF190" s="22" t="s">
        <v>344</v>
      </c>
      <c r="AG190" s="22" t="s">
        <v>344</v>
      </c>
      <c r="AH190" s="22" t="s">
        <v>345</v>
      </c>
      <c r="AI190" s="22" t="s">
        <v>344</v>
      </c>
      <c r="AJ190" s="22" t="s">
        <v>344</v>
      </c>
      <c r="AK190" s="22" t="s">
        <v>345</v>
      </c>
      <c r="AL190" s="22" t="s">
        <v>344</v>
      </c>
      <c r="AM190" s="22" t="s">
        <v>344</v>
      </c>
      <c r="AN190" s="22" t="s">
        <v>345</v>
      </c>
      <c r="AO190" s="22" t="s">
        <v>344</v>
      </c>
      <c r="AP190" s="22" t="s">
        <v>344</v>
      </c>
      <c r="AQ190" s="22" t="s">
        <v>344</v>
      </c>
      <c r="AR190" s="22" t="s">
        <v>344</v>
      </c>
      <c r="AS190" s="22" t="s">
        <v>344</v>
      </c>
      <c r="AT190" s="22" t="s">
        <v>344</v>
      </c>
      <c r="AU190" s="22" t="s">
        <v>345</v>
      </c>
      <c r="AV190" s="22" t="s">
        <v>344</v>
      </c>
      <c r="AW190" s="22" t="s">
        <v>344</v>
      </c>
      <c r="AX190" s="22" t="s">
        <v>344</v>
      </c>
      <c r="AY190" s="22" t="s">
        <v>733</v>
      </c>
      <c r="AZ190" s="22" t="s">
        <v>733</v>
      </c>
      <c r="BA190" s="22" t="s">
        <v>732</v>
      </c>
      <c r="BB190" s="22" t="s">
        <v>733</v>
      </c>
      <c r="BC190" s="22" t="s">
        <v>733</v>
      </c>
      <c r="BD190" s="22" t="s">
        <v>733</v>
      </c>
      <c r="BE190" s="22" t="s">
        <v>348</v>
      </c>
      <c r="BF190" s="22" t="s">
        <v>350</v>
      </c>
      <c r="BG190" s="22" t="s">
        <v>348</v>
      </c>
      <c r="BH190" s="22" t="s">
        <v>350</v>
      </c>
      <c r="BI190" s="22" t="s">
        <v>350</v>
      </c>
      <c r="BJ190" s="22" t="s">
        <v>357</v>
      </c>
      <c r="BK190" s="22" t="s">
        <v>356</v>
      </c>
      <c r="BL190" s="22" t="s">
        <v>353</v>
      </c>
      <c r="BM190" s="22" t="s">
        <v>354</v>
      </c>
      <c r="BN190" s="22" t="s">
        <v>351</v>
      </c>
      <c r="BO190" s="22" t="s">
        <v>356</v>
      </c>
      <c r="BP190" s="22" t="s">
        <v>357</v>
      </c>
      <c r="BQ190" s="22" t="s">
        <v>358</v>
      </c>
      <c r="BR190" s="22" t="s">
        <v>408</v>
      </c>
      <c r="BS190" s="22" t="s">
        <v>354</v>
      </c>
      <c r="BT190" s="22" t="s">
        <v>352</v>
      </c>
      <c r="BU190" s="22" t="s">
        <v>356</v>
      </c>
      <c r="BV190" s="22" t="s">
        <v>355</v>
      </c>
      <c r="BW190" s="22" t="s">
        <v>357</v>
      </c>
      <c r="BX190" s="22" t="s">
        <v>351</v>
      </c>
      <c r="BY190" s="22" t="s">
        <v>357</v>
      </c>
      <c r="BZ190" s="22" t="s">
        <v>356</v>
      </c>
      <c r="CA190" s="22" t="s">
        <v>357</v>
      </c>
      <c r="CB190" s="22" t="s">
        <v>353</v>
      </c>
      <c r="CC190" s="22" t="s">
        <v>352</v>
      </c>
      <c r="CD190" s="22" t="s">
        <v>355</v>
      </c>
      <c r="CE190" s="22" t="s">
        <v>354</v>
      </c>
      <c r="CF190" s="22" t="s">
        <v>351</v>
      </c>
      <c r="CG190" s="22" t="s">
        <v>392</v>
      </c>
      <c r="CH190" s="22" t="s">
        <v>360</v>
      </c>
      <c r="CI190" s="22" t="s">
        <v>392</v>
      </c>
      <c r="CJ190" s="22" t="s">
        <v>360</v>
      </c>
      <c r="CK190" s="22" t="s">
        <v>1162</v>
      </c>
      <c r="CL190" s="22" t="s">
        <v>344</v>
      </c>
      <c r="CM190" s="22" t="s">
        <v>344</v>
      </c>
      <c r="CN190" s="22" t="s">
        <v>344</v>
      </c>
      <c r="CO190" s="22" t="s">
        <v>344</v>
      </c>
      <c r="CP190" s="22" t="s">
        <v>345</v>
      </c>
      <c r="CQ190" s="22" t="s">
        <v>344</v>
      </c>
      <c r="CR190" s="22" t="s">
        <v>667</v>
      </c>
      <c r="CS190" s="22">
        <v>26</v>
      </c>
      <c r="CT190" s="22">
        <v>90</v>
      </c>
      <c r="CU190" s="22">
        <v>31</v>
      </c>
      <c r="CV190" s="22">
        <v>1</v>
      </c>
      <c r="CW190" s="22" t="s">
        <v>363</v>
      </c>
      <c r="CX190" s="22" t="s">
        <v>396</v>
      </c>
      <c r="CY190" s="22" t="s">
        <v>396</v>
      </c>
      <c r="CZ190" s="22" t="s">
        <v>397</v>
      </c>
      <c r="DA190" s="22" t="s">
        <v>397</v>
      </c>
      <c r="DB190" s="22" t="s">
        <v>397</v>
      </c>
      <c r="DC190" s="22" t="s">
        <v>397</v>
      </c>
      <c r="DD190" s="22" t="s">
        <v>397</v>
      </c>
      <c r="DE190" s="22" t="s">
        <v>397</v>
      </c>
      <c r="DF190" s="22" t="s">
        <v>397</v>
      </c>
      <c r="DG190" s="22" t="s">
        <v>397</v>
      </c>
      <c r="DH190" s="22" t="s">
        <v>397</v>
      </c>
      <c r="DI190" s="22" t="s">
        <v>397</v>
      </c>
      <c r="DJ190" s="22"/>
      <c r="DK190" s="22" t="s">
        <v>367</v>
      </c>
      <c r="DL190" s="22" t="s">
        <v>368</v>
      </c>
      <c r="DM190" s="22" t="s">
        <v>368</v>
      </c>
      <c r="DN190" s="22" t="s">
        <v>368</v>
      </c>
      <c r="DO190" s="22" t="s">
        <v>368</v>
      </c>
      <c r="DP190" s="22" t="s">
        <v>368</v>
      </c>
      <c r="DQ190" s="22" t="s">
        <v>368</v>
      </c>
      <c r="DR190" s="22" t="s">
        <v>368</v>
      </c>
      <c r="DS190" s="22" t="s">
        <v>345</v>
      </c>
      <c r="DT190" s="22" t="s">
        <v>345</v>
      </c>
      <c r="DU190" s="22" t="s">
        <v>345</v>
      </c>
      <c r="DV190" s="22" t="s">
        <v>345</v>
      </c>
      <c r="DW190" s="22" t="s">
        <v>344</v>
      </c>
      <c r="DX190" s="22" t="s">
        <v>371</v>
      </c>
      <c r="DY190" s="22" t="s">
        <v>369</v>
      </c>
      <c r="DZ190" s="22" t="s">
        <v>369</v>
      </c>
      <c r="EA190" s="22" t="s">
        <v>369</v>
      </c>
      <c r="EB190" s="22" t="s">
        <v>369</v>
      </c>
      <c r="EC190" s="22" t="s">
        <v>369</v>
      </c>
      <c r="ED190" s="22" t="s">
        <v>399</v>
      </c>
      <c r="EE190" s="22" t="s">
        <v>370</v>
      </c>
      <c r="EF190" s="22" t="s">
        <v>370</v>
      </c>
      <c r="EG190" s="22" t="s">
        <v>370</v>
      </c>
      <c r="EH190" s="22" t="s">
        <v>370</v>
      </c>
      <c r="EI190" s="22" t="s">
        <v>370</v>
      </c>
      <c r="EJ190" s="22" t="s">
        <v>370</v>
      </c>
      <c r="EK190" s="22" t="s">
        <v>370</v>
      </c>
      <c r="EL190" s="22" t="s">
        <v>440</v>
      </c>
      <c r="EM190" s="22" t="s">
        <v>374</v>
      </c>
      <c r="EN190" s="22" t="s">
        <v>373</v>
      </c>
      <c r="EO190" s="22"/>
      <c r="EP190" s="22"/>
      <c r="EQ190" s="22" t="s">
        <v>378</v>
      </c>
      <c r="ER190" s="22" t="s">
        <v>375</v>
      </c>
      <c r="ES190" s="22" t="s">
        <v>375</v>
      </c>
      <c r="ET190" s="22" t="s">
        <v>378</v>
      </c>
      <c r="EU190" s="22" t="s">
        <v>377</v>
      </c>
      <c r="EV190" s="22" t="s">
        <v>400</v>
      </c>
      <c r="EW190" s="22"/>
      <c r="EX190" s="22" t="s">
        <v>368</v>
      </c>
      <c r="EY190" s="22" t="s">
        <v>368</v>
      </c>
      <c r="EZ190" s="22" t="s">
        <v>368</v>
      </c>
      <c r="FA190" s="22" t="s">
        <v>345</v>
      </c>
      <c r="FB190" s="22" t="s">
        <v>401</v>
      </c>
      <c r="FC190" s="22"/>
      <c r="FD190" s="22" t="s">
        <v>401</v>
      </c>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t="s">
        <v>368</v>
      </c>
      <c r="GB190" s="22" t="s">
        <v>368</v>
      </c>
      <c r="GC190" s="22" t="s">
        <v>368</v>
      </c>
      <c r="GD190" s="22" t="s">
        <v>368</v>
      </c>
      <c r="GE190" s="22" t="s">
        <v>368</v>
      </c>
      <c r="GF190" s="22" t="s">
        <v>368</v>
      </c>
      <c r="GG190" s="22"/>
      <c r="GH190" s="22"/>
      <c r="GI190" s="22"/>
      <c r="GJ190" s="22"/>
      <c r="GK190" s="22"/>
      <c r="GL190" s="22" t="s">
        <v>344</v>
      </c>
      <c r="GM190" s="22" t="s">
        <v>344</v>
      </c>
      <c r="GN190" s="22" t="s">
        <v>345</v>
      </c>
      <c r="GO190" s="22" t="s">
        <v>345</v>
      </c>
      <c r="GP190" s="22" t="s">
        <v>344</v>
      </c>
      <c r="GQ190" s="22" t="s">
        <v>344</v>
      </c>
      <c r="GR190" s="22" t="s">
        <v>344</v>
      </c>
      <c r="GS190" s="22" t="s">
        <v>344</v>
      </c>
      <c r="GT190" s="22" t="s">
        <v>344</v>
      </c>
      <c r="GU190" s="22" t="s">
        <v>344</v>
      </c>
      <c r="GV190" s="22" t="s">
        <v>345</v>
      </c>
      <c r="GW190" s="22" t="s">
        <v>345</v>
      </c>
      <c r="GX190" s="22" t="s">
        <v>344</v>
      </c>
      <c r="GY190" s="22" t="s">
        <v>345</v>
      </c>
      <c r="GZ190" s="22" t="s">
        <v>344</v>
      </c>
      <c r="HA190" s="22"/>
      <c r="HB190" s="22" t="s">
        <v>344</v>
      </c>
      <c r="HC190" s="22"/>
      <c r="HD190" s="22" t="s">
        <v>344</v>
      </c>
      <c r="HE190" s="22"/>
      <c r="HF190" s="22" t="s">
        <v>344</v>
      </c>
      <c r="HG190" s="22"/>
      <c r="HH190" s="22" t="s">
        <v>344</v>
      </c>
      <c r="HI190" s="22"/>
      <c r="HJ190" s="22" t="s">
        <v>345</v>
      </c>
      <c r="HK190" s="22" t="s">
        <v>344</v>
      </c>
      <c r="HL190" s="22" t="s">
        <v>344</v>
      </c>
      <c r="HM190" s="22" t="s">
        <v>344</v>
      </c>
      <c r="HN190" s="22" t="s">
        <v>344</v>
      </c>
      <c r="HO190" s="22" t="s">
        <v>344</v>
      </c>
      <c r="HP190" s="22" t="s">
        <v>344</v>
      </c>
      <c r="HQ190" s="22" t="s">
        <v>344</v>
      </c>
      <c r="HR190" s="22" t="s">
        <v>345</v>
      </c>
      <c r="HS190" s="22" t="s">
        <v>344</v>
      </c>
      <c r="HT190" s="22" t="s">
        <v>344</v>
      </c>
      <c r="HU190" s="22" t="s">
        <v>345</v>
      </c>
      <c r="HV190" s="22" t="s">
        <v>345</v>
      </c>
      <c r="HW190" s="22" t="s">
        <v>344</v>
      </c>
      <c r="HX190" s="22" t="s">
        <v>344</v>
      </c>
      <c r="HY190" s="22"/>
      <c r="HZ190" s="22" t="s">
        <v>344</v>
      </c>
      <c r="IA190" s="22"/>
      <c r="IB190" s="22" t="s">
        <v>344</v>
      </c>
      <c r="IC190" s="22"/>
      <c r="ID190" s="22" t="s">
        <v>344</v>
      </c>
      <c r="IE190" s="22"/>
      <c r="IF190" s="22" t="s">
        <v>344</v>
      </c>
      <c r="IG190" s="22"/>
      <c r="IH190" s="22" t="s">
        <v>345</v>
      </c>
      <c r="II190" s="22" t="s">
        <v>345</v>
      </c>
      <c r="IJ190" s="22" t="s">
        <v>344</v>
      </c>
      <c r="IK190" s="22" t="s">
        <v>344</v>
      </c>
      <c r="IL190" s="22" t="s">
        <v>345</v>
      </c>
      <c r="IM190" s="22" t="s">
        <v>345</v>
      </c>
      <c r="IN190" s="22" t="s">
        <v>344</v>
      </c>
      <c r="IO190" s="22" t="s">
        <v>345</v>
      </c>
      <c r="IP190" s="22" t="s">
        <v>344</v>
      </c>
      <c r="IQ190" s="22" t="s">
        <v>344</v>
      </c>
      <c r="IR190" s="22" t="s">
        <v>344</v>
      </c>
      <c r="IS190" s="22" t="s">
        <v>344</v>
      </c>
      <c r="IT190" s="22"/>
      <c r="IU190" s="22" t="s">
        <v>1163</v>
      </c>
      <c r="IV190" s="22"/>
      <c r="IW190" s="22"/>
      <c r="IX190" s="22"/>
      <c r="IY190" s="22"/>
      <c r="IZ190" s="22"/>
      <c r="JA190" s="22"/>
      <c r="JB190" s="22"/>
      <c r="JC190" s="22"/>
      <c r="JD190" s="22"/>
      <c r="JE190" s="22"/>
      <c r="JF190" s="22"/>
      <c r="JG190" s="22"/>
      <c r="JH190" s="22"/>
    </row>
    <row r="191" spans="1:268" x14ac:dyDescent="0.3">
      <c r="A191" s="22" t="s">
        <v>813</v>
      </c>
      <c r="B191" s="24">
        <v>302</v>
      </c>
      <c r="C191" s="24" t="s">
        <v>1164</v>
      </c>
      <c r="D191" s="24">
        <v>14</v>
      </c>
      <c r="E191" s="24" t="s">
        <v>340</v>
      </c>
      <c r="F191" s="24">
        <v>1494324607</v>
      </c>
      <c r="G191" s="24" t="s">
        <v>1165</v>
      </c>
      <c r="H191" s="24" t="s">
        <v>1164</v>
      </c>
      <c r="I191" s="24" t="s">
        <v>1062</v>
      </c>
      <c r="J191" s="24">
        <v>17</v>
      </c>
      <c r="K191" s="24" t="s">
        <v>406</v>
      </c>
      <c r="L191" s="24"/>
      <c r="M191" s="24" t="s">
        <v>344</v>
      </c>
      <c r="N191" s="24" t="s">
        <v>345</v>
      </c>
      <c r="O191" s="24" t="s">
        <v>344</v>
      </c>
      <c r="P191" s="24" t="s">
        <v>344</v>
      </c>
      <c r="Q191" s="24" t="s">
        <v>344</v>
      </c>
      <c r="R191" s="24"/>
      <c r="S191" s="24" t="s">
        <v>522</v>
      </c>
      <c r="T191" s="24"/>
      <c r="U191" s="24" t="s">
        <v>347</v>
      </c>
      <c r="V191" s="24"/>
      <c r="W191" s="24" t="s">
        <v>344</v>
      </c>
      <c r="X191" s="24" t="s">
        <v>344</v>
      </c>
      <c r="Y191" s="24" t="s">
        <v>345</v>
      </c>
      <c r="Z191" s="24" t="s">
        <v>344</v>
      </c>
      <c r="AA191" s="24" t="s">
        <v>344</v>
      </c>
      <c r="AB191" s="24" t="s">
        <v>344</v>
      </c>
      <c r="AC191" s="24" t="s">
        <v>344</v>
      </c>
      <c r="AD191" s="24" t="s">
        <v>345</v>
      </c>
      <c r="AE191" s="24" t="s">
        <v>344</v>
      </c>
      <c r="AF191" s="24" t="s">
        <v>344</v>
      </c>
      <c r="AG191" s="24" t="s">
        <v>344</v>
      </c>
      <c r="AH191" s="24" t="s">
        <v>345</v>
      </c>
      <c r="AI191" s="24" t="s">
        <v>344</v>
      </c>
      <c r="AJ191" s="24" t="s">
        <v>344</v>
      </c>
      <c r="AK191" s="24" t="s">
        <v>344</v>
      </c>
      <c r="AL191" s="24" t="s">
        <v>344</v>
      </c>
      <c r="AM191" s="24" t="s">
        <v>344</v>
      </c>
      <c r="AN191" s="24" t="s">
        <v>345</v>
      </c>
      <c r="AO191" s="24" t="s">
        <v>344</v>
      </c>
      <c r="AP191" s="24" t="s">
        <v>345</v>
      </c>
      <c r="AQ191" s="24" t="s">
        <v>344</v>
      </c>
      <c r="AR191" s="24" t="s">
        <v>345</v>
      </c>
      <c r="AS191" s="24" t="s">
        <v>344</v>
      </c>
      <c r="AT191" s="24" t="s">
        <v>344</v>
      </c>
      <c r="AU191" s="24" t="s">
        <v>344</v>
      </c>
      <c r="AV191" s="24" t="s">
        <v>345</v>
      </c>
      <c r="AW191" s="24" t="s">
        <v>345</v>
      </c>
      <c r="AX191" s="24" t="s">
        <v>344</v>
      </c>
      <c r="AY191" s="24" t="s">
        <v>732</v>
      </c>
      <c r="AZ191" s="24" t="s">
        <v>732</v>
      </c>
      <c r="BA191" s="24" t="s">
        <v>732</v>
      </c>
      <c r="BB191" s="24" t="s">
        <v>733</v>
      </c>
      <c r="BC191" s="24" t="s">
        <v>737</v>
      </c>
      <c r="BD191" s="24" t="s">
        <v>733</v>
      </c>
      <c r="BE191" s="24" t="s">
        <v>349</v>
      </c>
      <c r="BF191" s="24" t="s">
        <v>348</v>
      </c>
      <c r="BG191" s="24" t="s">
        <v>349</v>
      </c>
      <c r="BH191" s="24" t="s">
        <v>349</v>
      </c>
      <c r="BI191" s="24" t="s">
        <v>348</v>
      </c>
      <c r="BJ191" s="24" t="s">
        <v>391</v>
      </c>
      <c r="BK191" s="24" t="s">
        <v>391</v>
      </c>
      <c r="BL191" s="24" t="s">
        <v>391</v>
      </c>
      <c r="BM191" s="24" t="s">
        <v>391</v>
      </c>
      <c r="BN191" s="24" t="s">
        <v>391</v>
      </c>
      <c r="BO191" s="24" t="s">
        <v>356</v>
      </c>
      <c r="BP191" s="24" t="s">
        <v>391</v>
      </c>
      <c r="BQ191" s="24" t="s">
        <v>455</v>
      </c>
      <c r="BR191" s="24" t="s">
        <v>429</v>
      </c>
      <c r="BS191" s="24" t="s">
        <v>357</v>
      </c>
      <c r="BT191" s="24" t="s">
        <v>391</v>
      </c>
      <c r="BU191" s="24" t="s">
        <v>391</v>
      </c>
      <c r="BV191" s="24" t="s">
        <v>391</v>
      </c>
      <c r="BW191" s="24" t="s">
        <v>391</v>
      </c>
      <c r="BX191" s="24" t="s">
        <v>391</v>
      </c>
      <c r="BY191" s="24" t="s">
        <v>391</v>
      </c>
      <c r="BZ191" s="24" t="s">
        <v>391</v>
      </c>
      <c r="CA191" s="24" t="s">
        <v>391</v>
      </c>
      <c r="CB191" s="24" t="s">
        <v>391</v>
      </c>
      <c r="CC191" s="24" t="s">
        <v>391</v>
      </c>
      <c r="CD191" s="24" t="s">
        <v>391</v>
      </c>
      <c r="CE191" s="24" t="s">
        <v>391</v>
      </c>
      <c r="CF191" s="24" t="s">
        <v>391</v>
      </c>
      <c r="CG191" s="24" t="s">
        <v>393</v>
      </c>
      <c r="CH191" s="24" t="s">
        <v>420</v>
      </c>
      <c r="CI191" s="24" t="s">
        <v>420</v>
      </c>
      <c r="CJ191" s="24" t="s">
        <v>392</v>
      </c>
      <c r="CK191" s="24" t="s">
        <v>1166</v>
      </c>
      <c r="CL191" s="24" t="s">
        <v>344</v>
      </c>
      <c r="CM191" s="24" t="s">
        <v>345</v>
      </c>
      <c r="CN191" s="24" t="s">
        <v>344</v>
      </c>
      <c r="CO191" s="24" t="s">
        <v>344</v>
      </c>
      <c r="CP191" s="24" t="s">
        <v>345</v>
      </c>
      <c r="CQ191" s="24" t="s">
        <v>344</v>
      </c>
      <c r="CR191" s="24" t="s">
        <v>655</v>
      </c>
      <c r="CS191" s="24">
        <v>96</v>
      </c>
      <c r="CT191" s="24">
        <v>9</v>
      </c>
      <c r="CU191" s="24">
        <v>90</v>
      </c>
      <c r="CV191" s="24">
        <v>62</v>
      </c>
      <c r="CW191" s="24" t="s">
        <v>364</v>
      </c>
      <c r="CX191" s="24" t="s">
        <v>363</v>
      </c>
      <c r="CY191" s="24" t="s">
        <v>395</v>
      </c>
      <c r="CZ191" s="24" t="s">
        <v>397</v>
      </c>
      <c r="DA191" s="24" t="s">
        <v>397</v>
      </c>
      <c r="DB191" s="24" t="s">
        <v>397</v>
      </c>
      <c r="DC191" s="24" t="s">
        <v>397</v>
      </c>
      <c r="DD191" s="24" t="s">
        <v>397</v>
      </c>
      <c r="DE191" s="24" t="s">
        <v>423</v>
      </c>
      <c r="DF191" s="24" t="s">
        <v>423</v>
      </c>
      <c r="DG191" s="24" t="s">
        <v>366</v>
      </c>
      <c r="DH191" s="24" t="s">
        <v>366</v>
      </c>
      <c r="DI191" s="24" t="s">
        <v>397</v>
      </c>
      <c r="DJ191" s="24" t="s">
        <v>1167</v>
      </c>
      <c r="DK191" s="24" t="s">
        <v>367</v>
      </c>
      <c r="DL191" s="24" t="s">
        <v>368</v>
      </c>
      <c r="DM191" s="24" t="s">
        <v>368</v>
      </c>
      <c r="DN191" s="24" t="s">
        <v>368</v>
      </c>
      <c r="DO191" s="24" t="s">
        <v>368</v>
      </c>
      <c r="DP191" s="24" t="s">
        <v>345</v>
      </c>
      <c r="DQ191" s="24" t="s">
        <v>344</v>
      </c>
      <c r="DR191" s="24" t="s">
        <v>345</v>
      </c>
      <c r="DS191" s="24" t="s">
        <v>344</v>
      </c>
      <c r="DT191" s="24" t="s">
        <v>345</v>
      </c>
      <c r="DU191" s="24" t="s">
        <v>345</v>
      </c>
      <c r="DV191" s="24" t="s">
        <v>345</v>
      </c>
      <c r="DW191" s="24" t="s">
        <v>344</v>
      </c>
      <c r="DX191" s="24" t="s">
        <v>369</v>
      </c>
      <c r="DY191" s="24" t="s">
        <v>398</v>
      </c>
      <c r="DZ191" s="24" t="s">
        <v>370</v>
      </c>
      <c r="EA191" s="24" t="s">
        <v>398</v>
      </c>
      <c r="EB191" s="24" t="s">
        <v>399</v>
      </c>
      <c r="EC191" s="24" t="s">
        <v>399</v>
      </c>
      <c r="ED191" s="24" t="s">
        <v>399</v>
      </c>
      <c r="EE191" s="24" t="s">
        <v>370</v>
      </c>
      <c r="EF191" s="24" t="s">
        <v>370</v>
      </c>
      <c r="EG191" s="24" t="s">
        <v>370</v>
      </c>
      <c r="EH191" s="24" t="s">
        <v>370</v>
      </c>
      <c r="EI191" s="24" t="s">
        <v>370</v>
      </c>
      <c r="EJ191" s="24" t="s">
        <v>370</v>
      </c>
      <c r="EK191" s="24" t="s">
        <v>370</v>
      </c>
      <c r="EL191" s="24" t="s">
        <v>440</v>
      </c>
      <c r="EM191" s="24" t="s">
        <v>373</v>
      </c>
      <c r="EN191" s="24" t="s">
        <v>372</v>
      </c>
      <c r="EO191" s="24"/>
      <c r="EP191" s="24"/>
      <c r="EQ191" s="24" t="s">
        <v>378</v>
      </c>
      <c r="ER191" s="24" t="s">
        <v>378</v>
      </c>
      <c r="ES191" s="24" t="s">
        <v>375</v>
      </c>
      <c r="ET191" s="24" t="s">
        <v>375</v>
      </c>
      <c r="EU191" s="24" t="s">
        <v>375</v>
      </c>
      <c r="EV191" s="24" t="s">
        <v>400</v>
      </c>
      <c r="EW191" s="24"/>
      <c r="EX191" s="168" t="s">
        <v>344</v>
      </c>
      <c r="EY191" s="168" t="s">
        <v>345</v>
      </c>
      <c r="EZ191" s="168" t="s">
        <v>344</v>
      </c>
      <c r="FA191" s="24" t="s">
        <v>344</v>
      </c>
      <c r="FB191" s="24" t="s">
        <v>401</v>
      </c>
      <c r="FC191" s="24"/>
      <c r="FD191" s="24" t="s">
        <v>401</v>
      </c>
      <c r="FE191" s="24"/>
      <c r="FF191" s="24" t="s">
        <v>412</v>
      </c>
      <c r="FG191" s="24" t="s">
        <v>413</v>
      </c>
      <c r="FH191" s="24" t="s">
        <v>451</v>
      </c>
      <c r="FI191" s="24" t="s">
        <v>385</v>
      </c>
      <c r="FJ191" s="24"/>
      <c r="FK191" s="24"/>
      <c r="FL191" s="24"/>
      <c r="FM191" s="24"/>
      <c r="FN191" s="24"/>
      <c r="FO191" s="24"/>
      <c r="FP191" s="24"/>
      <c r="FQ191" s="24"/>
      <c r="FR191" s="24"/>
      <c r="FS191" s="24"/>
      <c r="FT191" s="24"/>
      <c r="FU191" s="24"/>
      <c r="FV191" s="24"/>
      <c r="FW191" s="24"/>
      <c r="FX191" s="24"/>
      <c r="FY191" s="24"/>
      <c r="FZ191" s="24"/>
      <c r="GA191" s="24" t="s">
        <v>368</v>
      </c>
      <c r="GB191" s="24" t="s">
        <v>368</v>
      </c>
      <c r="GC191" s="24" t="s">
        <v>368</v>
      </c>
      <c r="GD191" s="24" t="s">
        <v>368</v>
      </c>
      <c r="GE191" s="24" t="s">
        <v>368</v>
      </c>
      <c r="GF191" s="24" t="s">
        <v>368</v>
      </c>
      <c r="GG191" s="24"/>
      <c r="GH191" s="24"/>
      <c r="GI191" s="24"/>
      <c r="GJ191" s="24"/>
      <c r="GK191" s="24"/>
      <c r="GL191" s="24" t="s">
        <v>344</v>
      </c>
      <c r="GM191" s="24" t="s">
        <v>344</v>
      </c>
      <c r="GN191" s="24" t="s">
        <v>344</v>
      </c>
      <c r="GO191" s="24" t="s">
        <v>344</v>
      </c>
      <c r="GP191" s="24" t="s">
        <v>344</v>
      </c>
      <c r="GQ191" s="24" t="s">
        <v>344</v>
      </c>
      <c r="GR191" s="24" t="s">
        <v>345</v>
      </c>
      <c r="GS191" s="24" t="s">
        <v>344</v>
      </c>
      <c r="GT191" s="24" t="s">
        <v>344</v>
      </c>
      <c r="GU191" s="24" t="s">
        <v>345</v>
      </c>
      <c r="GV191" s="24" t="s">
        <v>344</v>
      </c>
      <c r="GW191" s="24" t="s">
        <v>344</v>
      </c>
      <c r="GX191" s="24" t="s">
        <v>344</v>
      </c>
      <c r="GY191" s="24" t="s">
        <v>344</v>
      </c>
      <c r="GZ191" s="24" t="s">
        <v>344</v>
      </c>
      <c r="HA191" s="24"/>
      <c r="HB191" s="24" t="s">
        <v>344</v>
      </c>
      <c r="HC191" s="24"/>
      <c r="HD191" s="24" t="s">
        <v>344</v>
      </c>
      <c r="HE191" s="24"/>
      <c r="HF191" s="24" t="s">
        <v>344</v>
      </c>
      <c r="HG191" s="24"/>
      <c r="HH191" s="24" t="s">
        <v>344</v>
      </c>
      <c r="HI191" s="24"/>
      <c r="HJ191" s="24" t="s">
        <v>344</v>
      </c>
      <c r="HK191" s="24" t="s">
        <v>344</v>
      </c>
      <c r="HL191" s="24" t="s">
        <v>344</v>
      </c>
      <c r="HM191" s="24" t="s">
        <v>344</v>
      </c>
      <c r="HN191" s="24" t="s">
        <v>344</v>
      </c>
      <c r="HO191" s="24" t="s">
        <v>344</v>
      </c>
      <c r="HP191" s="24" t="s">
        <v>344</v>
      </c>
      <c r="HQ191" s="24" t="s">
        <v>344</v>
      </c>
      <c r="HR191" s="24" t="s">
        <v>344</v>
      </c>
      <c r="HS191" s="24" t="s">
        <v>344</v>
      </c>
      <c r="HT191" s="24" t="s">
        <v>344</v>
      </c>
      <c r="HU191" s="24" t="s">
        <v>344</v>
      </c>
      <c r="HV191" s="24" t="s">
        <v>345</v>
      </c>
      <c r="HW191" s="24" t="s">
        <v>344</v>
      </c>
      <c r="HX191" s="24" t="s">
        <v>344</v>
      </c>
      <c r="HY191" s="24"/>
      <c r="HZ191" s="24" t="s">
        <v>344</v>
      </c>
      <c r="IA191" s="24"/>
      <c r="IB191" s="24" t="s">
        <v>344</v>
      </c>
      <c r="IC191" s="24"/>
      <c r="ID191" s="24" t="s">
        <v>344</v>
      </c>
      <c r="IE191" s="24"/>
      <c r="IF191" s="24" t="s">
        <v>344</v>
      </c>
      <c r="IG191" s="24"/>
      <c r="IH191" s="24" t="s">
        <v>345</v>
      </c>
      <c r="II191" s="24" t="s">
        <v>345</v>
      </c>
      <c r="IJ191" s="24" t="s">
        <v>344</v>
      </c>
      <c r="IK191" s="24" t="s">
        <v>345</v>
      </c>
      <c r="IL191" s="24" t="s">
        <v>345</v>
      </c>
      <c r="IM191" s="24" t="s">
        <v>345</v>
      </c>
      <c r="IN191" s="24" t="s">
        <v>344</v>
      </c>
      <c r="IO191" s="24" t="s">
        <v>345</v>
      </c>
      <c r="IP191" s="24" t="s">
        <v>345</v>
      </c>
      <c r="IQ191" s="24" t="s">
        <v>344</v>
      </c>
      <c r="IR191" s="24" t="s">
        <v>345</v>
      </c>
      <c r="IS191" s="24" t="s">
        <v>344</v>
      </c>
      <c r="IT191" s="24"/>
      <c r="IU191" s="24" t="s">
        <v>1168</v>
      </c>
      <c r="IV191" s="24"/>
      <c r="IW191" s="24"/>
      <c r="IX191" s="24"/>
      <c r="IY191" s="24"/>
      <c r="IZ191" s="24"/>
      <c r="JA191" s="24"/>
      <c r="JB191" s="24"/>
      <c r="JC191" s="24"/>
      <c r="JD191" s="24"/>
      <c r="JE191" s="24"/>
      <c r="JF191" s="24"/>
      <c r="JG191" s="24"/>
      <c r="JH191" s="24"/>
    </row>
    <row r="192" spans="1:268" x14ac:dyDescent="0.3">
      <c r="A192" s="22" t="s">
        <v>813</v>
      </c>
      <c r="B192" s="22">
        <v>304</v>
      </c>
      <c r="C192" s="22" t="s">
        <v>1169</v>
      </c>
      <c r="D192" s="22">
        <v>14</v>
      </c>
      <c r="E192" s="22" t="s">
        <v>340</v>
      </c>
      <c r="F192" s="22">
        <v>934684579</v>
      </c>
      <c r="G192" s="22" t="s">
        <v>1170</v>
      </c>
      <c r="H192" s="22" t="s">
        <v>1169</v>
      </c>
      <c r="I192" s="22" t="s">
        <v>1035</v>
      </c>
      <c r="J192" s="22">
        <v>17</v>
      </c>
      <c r="K192" s="22" t="s">
        <v>406</v>
      </c>
      <c r="L192" s="22"/>
      <c r="M192" s="22" t="s">
        <v>344</v>
      </c>
      <c r="N192" s="22" t="s">
        <v>345</v>
      </c>
      <c r="O192" s="22" t="s">
        <v>344</v>
      </c>
      <c r="P192" s="22" t="s">
        <v>344</v>
      </c>
      <c r="Q192" s="22" t="s">
        <v>344</v>
      </c>
      <c r="R192" s="22"/>
      <c r="S192" s="22" t="s">
        <v>346</v>
      </c>
      <c r="T192" s="22"/>
      <c r="U192" s="22" t="s">
        <v>418</v>
      </c>
      <c r="V192" s="22"/>
      <c r="W192" s="22" t="s">
        <v>344</v>
      </c>
      <c r="X192" s="22" t="s">
        <v>344</v>
      </c>
      <c r="Y192" s="22" t="s">
        <v>344</v>
      </c>
      <c r="Z192" s="22" t="s">
        <v>344</v>
      </c>
      <c r="AA192" s="22" t="s">
        <v>344</v>
      </c>
      <c r="AB192" s="22" t="s">
        <v>345</v>
      </c>
      <c r="AC192" s="22" t="s">
        <v>344</v>
      </c>
      <c r="AD192" s="22" t="s">
        <v>344</v>
      </c>
      <c r="AE192" s="22" t="s">
        <v>345</v>
      </c>
      <c r="AF192" s="22" t="s">
        <v>345</v>
      </c>
      <c r="AG192" s="22" t="s">
        <v>344</v>
      </c>
      <c r="AH192" s="22" t="s">
        <v>345</v>
      </c>
      <c r="AI192" s="22" t="s">
        <v>344</v>
      </c>
      <c r="AJ192" s="22" t="s">
        <v>344</v>
      </c>
      <c r="AK192" s="22" t="s">
        <v>345</v>
      </c>
      <c r="AL192" s="22" t="s">
        <v>344</v>
      </c>
      <c r="AM192" s="22" t="s">
        <v>344</v>
      </c>
      <c r="AN192" s="22" t="s">
        <v>344</v>
      </c>
      <c r="AO192" s="22" t="s">
        <v>344</v>
      </c>
      <c r="AP192" s="22" t="s">
        <v>344</v>
      </c>
      <c r="AQ192" s="22" t="s">
        <v>344</v>
      </c>
      <c r="AR192" s="22" t="s">
        <v>345</v>
      </c>
      <c r="AS192" s="22" t="s">
        <v>345</v>
      </c>
      <c r="AT192" s="22" t="s">
        <v>344</v>
      </c>
      <c r="AU192" s="22" t="s">
        <v>345</v>
      </c>
      <c r="AV192" s="22" t="s">
        <v>344</v>
      </c>
      <c r="AW192" s="22" t="s">
        <v>344</v>
      </c>
      <c r="AX192" s="22" t="s">
        <v>344</v>
      </c>
      <c r="AY192" s="22" t="s">
        <v>732</v>
      </c>
      <c r="AZ192" s="22" t="s">
        <v>731</v>
      </c>
      <c r="BA192" s="22" t="s">
        <v>732</v>
      </c>
      <c r="BB192" s="22" t="s">
        <v>731</v>
      </c>
      <c r="BC192" s="22" t="s">
        <v>733</v>
      </c>
      <c r="BD192" s="22" t="s">
        <v>733</v>
      </c>
      <c r="BE192" s="22" t="s">
        <v>390</v>
      </c>
      <c r="BF192" s="22" t="s">
        <v>349</v>
      </c>
      <c r="BG192" s="22" t="s">
        <v>349</v>
      </c>
      <c r="BH192" s="22" t="s">
        <v>348</v>
      </c>
      <c r="BI192" s="22" t="s">
        <v>348</v>
      </c>
      <c r="BJ192" s="22" t="s">
        <v>351</v>
      </c>
      <c r="BK192" s="22" t="s">
        <v>357</v>
      </c>
      <c r="BL192" s="22" t="s">
        <v>355</v>
      </c>
      <c r="BM192" s="22" t="s">
        <v>353</v>
      </c>
      <c r="BN192" s="22" t="s">
        <v>352</v>
      </c>
      <c r="BO192" s="22" t="s">
        <v>351</v>
      </c>
      <c r="BP192" s="22" t="s">
        <v>353</v>
      </c>
      <c r="BQ192" s="22" t="s">
        <v>358</v>
      </c>
      <c r="BR192" s="22" t="s">
        <v>408</v>
      </c>
      <c r="BS192" s="22" t="s">
        <v>354</v>
      </c>
      <c r="BT192" s="22" t="s">
        <v>353</v>
      </c>
      <c r="BU192" s="22" t="s">
        <v>351</v>
      </c>
      <c r="BV192" s="22" t="s">
        <v>355</v>
      </c>
      <c r="BW192" s="22" t="s">
        <v>391</v>
      </c>
      <c r="BX192" s="22" t="s">
        <v>356</v>
      </c>
      <c r="BY192" s="22" t="s">
        <v>357</v>
      </c>
      <c r="BZ192" s="22" t="s">
        <v>353</v>
      </c>
      <c r="CA192" s="22" t="s">
        <v>351</v>
      </c>
      <c r="CB192" s="22" t="s">
        <v>356</v>
      </c>
      <c r="CC192" s="22" t="s">
        <v>352</v>
      </c>
      <c r="CD192" s="22" t="s">
        <v>357</v>
      </c>
      <c r="CE192" s="22" t="s">
        <v>356</v>
      </c>
      <c r="CF192" s="22" t="s">
        <v>354</v>
      </c>
      <c r="CG192" s="22" t="s">
        <v>392</v>
      </c>
      <c r="CH192" s="22" t="s">
        <v>421</v>
      </c>
      <c r="CI192" s="22" t="s">
        <v>393</v>
      </c>
      <c r="CJ192" s="22" t="s">
        <v>420</v>
      </c>
      <c r="CK192" s="22" t="s">
        <v>391</v>
      </c>
      <c r="CL192" s="22" t="s">
        <v>344</v>
      </c>
      <c r="CM192" s="22" t="s">
        <v>344</v>
      </c>
      <c r="CN192" s="22" t="s">
        <v>344</v>
      </c>
      <c r="CO192" s="22" t="s">
        <v>345</v>
      </c>
      <c r="CP192" s="22" t="s">
        <v>345</v>
      </c>
      <c r="CQ192" s="22" t="s">
        <v>344</v>
      </c>
      <c r="CR192" s="22" t="s">
        <v>655</v>
      </c>
      <c r="CS192" s="22">
        <v>77</v>
      </c>
      <c r="CT192" s="22">
        <v>1</v>
      </c>
      <c r="CU192" s="22">
        <v>1</v>
      </c>
      <c r="CV192" s="22">
        <v>100</v>
      </c>
      <c r="CW192" s="22" t="s">
        <v>364</v>
      </c>
      <c r="CX192" s="22" t="s">
        <v>396</v>
      </c>
      <c r="CY192" s="22" t="s">
        <v>395</v>
      </c>
      <c r="CZ192" s="22" t="s">
        <v>397</v>
      </c>
      <c r="DA192" s="22" t="s">
        <v>397</v>
      </c>
      <c r="DB192" s="22" t="s">
        <v>397</v>
      </c>
      <c r="DC192" s="22" t="s">
        <v>397</v>
      </c>
      <c r="DD192" s="22" t="s">
        <v>397</v>
      </c>
      <c r="DE192" s="22" t="s">
        <v>366</v>
      </c>
      <c r="DF192" s="22" t="s">
        <v>397</v>
      </c>
      <c r="DG192" s="22" t="s">
        <v>397</v>
      </c>
      <c r="DH192" s="22" t="s">
        <v>366</v>
      </c>
      <c r="DI192" s="22" t="s">
        <v>365</v>
      </c>
      <c r="DJ192" s="22" t="s">
        <v>1171</v>
      </c>
      <c r="DK192" s="22" t="s">
        <v>449</v>
      </c>
      <c r="DL192" s="22" t="s">
        <v>368</v>
      </c>
      <c r="DM192" s="22" t="s">
        <v>368</v>
      </c>
      <c r="DN192" s="22" t="s">
        <v>368</v>
      </c>
      <c r="DO192" s="22" t="s">
        <v>345</v>
      </c>
      <c r="DP192" s="22" t="s">
        <v>345</v>
      </c>
      <c r="DQ192" s="22" t="s">
        <v>344</v>
      </c>
      <c r="DR192" s="22" t="s">
        <v>344</v>
      </c>
      <c r="DS192" s="22" t="s">
        <v>344</v>
      </c>
      <c r="DT192" s="22" t="s">
        <v>345</v>
      </c>
      <c r="DU192" s="22" t="s">
        <v>344</v>
      </c>
      <c r="DV192" s="22" t="s">
        <v>345</v>
      </c>
      <c r="DW192" s="22" t="s">
        <v>344</v>
      </c>
      <c r="DX192" s="22" t="s">
        <v>399</v>
      </c>
      <c r="DY192" s="22" t="s">
        <v>370</v>
      </c>
      <c r="DZ192" s="22" t="s">
        <v>398</v>
      </c>
      <c r="EA192" s="22" t="s">
        <v>398</v>
      </c>
      <c r="EB192" s="22" t="s">
        <v>369</v>
      </c>
      <c r="EC192" s="22" t="s">
        <v>399</v>
      </c>
      <c r="ED192" s="22" t="s">
        <v>371</v>
      </c>
      <c r="EE192" s="22" t="s">
        <v>370</v>
      </c>
      <c r="EF192" s="22" t="s">
        <v>370</v>
      </c>
      <c r="EG192" s="22" t="s">
        <v>370</v>
      </c>
      <c r="EH192" s="22" t="s">
        <v>370</v>
      </c>
      <c r="EI192" s="22" t="s">
        <v>370</v>
      </c>
      <c r="EJ192" s="22" t="s">
        <v>370</v>
      </c>
      <c r="EK192" s="22" t="s">
        <v>370</v>
      </c>
      <c r="EL192" s="22" t="s">
        <v>372</v>
      </c>
      <c r="EM192" s="22" t="s">
        <v>374</v>
      </c>
      <c r="EN192" s="22" t="s">
        <v>373</v>
      </c>
      <c r="EO192" s="22"/>
      <c r="EP192" s="22"/>
      <c r="EQ192" s="22" t="s">
        <v>375</v>
      </c>
      <c r="ER192" s="22" t="s">
        <v>375</v>
      </c>
      <c r="ES192" s="22" t="s">
        <v>375</v>
      </c>
      <c r="ET192" s="22" t="s">
        <v>375</v>
      </c>
      <c r="EU192" s="22" t="s">
        <v>375</v>
      </c>
      <c r="EV192" s="22" t="s">
        <v>400</v>
      </c>
      <c r="EW192" s="22"/>
      <c r="EX192" s="167" t="s">
        <v>345</v>
      </c>
      <c r="EY192" s="167" t="s">
        <v>344</v>
      </c>
      <c r="EZ192" s="167" t="s">
        <v>344</v>
      </c>
      <c r="FA192" s="22" t="s">
        <v>344</v>
      </c>
      <c r="FB192" s="22" t="s">
        <v>380</v>
      </c>
      <c r="FC192" s="22"/>
      <c r="FD192" s="22" t="s">
        <v>401</v>
      </c>
      <c r="FE192" s="22"/>
      <c r="FF192" s="22" t="s">
        <v>382</v>
      </c>
      <c r="FG192" s="22" t="s">
        <v>383</v>
      </c>
      <c r="FH192" s="22" t="s">
        <v>451</v>
      </c>
      <c r="FI192" s="22" t="s">
        <v>403</v>
      </c>
      <c r="FJ192" s="22"/>
      <c r="FK192" s="22"/>
      <c r="FL192" s="22"/>
      <c r="FM192" s="22"/>
      <c r="FN192" s="22"/>
      <c r="FO192" s="22"/>
      <c r="FP192" s="22"/>
      <c r="FQ192" s="22"/>
      <c r="FR192" s="22"/>
      <c r="FS192" s="22"/>
      <c r="FT192" s="22"/>
      <c r="FU192" s="22"/>
      <c r="FV192" s="22"/>
      <c r="FW192" s="22"/>
      <c r="FX192" s="22"/>
      <c r="FY192" s="22"/>
      <c r="FZ192" s="22"/>
      <c r="GA192" s="22" t="s">
        <v>368</v>
      </c>
      <c r="GB192" s="22" t="s">
        <v>368</v>
      </c>
      <c r="GC192" s="22" t="s">
        <v>368</v>
      </c>
      <c r="GD192" s="22" t="s">
        <v>368</v>
      </c>
      <c r="GE192" s="22" t="s">
        <v>368</v>
      </c>
      <c r="GF192" s="22" t="s">
        <v>368</v>
      </c>
      <c r="GG192" s="22"/>
      <c r="GH192" s="22"/>
      <c r="GI192" s="22"/>
      <c r="GJ192" s="22"/>
      <c r="GK192" s="22"/>
      <c r="GL192" s="22" t="s">
        <v>344</v>
      </c>
      <c r="GM192" s="22" t="s">
        <v>344</v>
      </c>
      <c r="GN192" s="22" t="s">
        <v>344</v>
      </c>
      <c r="GO192" s="22" t="s">
        <v>344</v>
      </c>
      <c r="GP192" s="22" t="s">
        <v>344</v>
      </c>
      <c r="GQ192" s="22" t="s">
        <v>344</v>
      </c>
      <c r="GR192" s="22" t="s">
        <v>344</v>
      </c>
      <c r="GS192" s="22" t="s">
        <v>344</v>
      </c>
      <c r="GT192" s="22" t="s">
        <v>344</v>
      </c>
      <c r="GU192" s="22" t="s">
        <v>345</v>
      </c>
      <c r="GV192" s="22" t="s">
        <v>344</v>
      </c>
      <c r="GW192" s="22" t="s">
        <v>344</v>
      </c>
      <c r="GX192" s="22" t="s">
        <v>345</v>
      </c>
      <c r="GY192" s="22" t="s">
        <v>344</v>
      </c>
      <c r="GZ192" s="22" t="s">
        <v>344</v>
      </c>
      <c r="HA192" s="22"/>
      <c r="HB192" s="22" t="s">
        <v>344</v>
      </c>
      <c r="HC192" s="22"/>
      <c r="HD192" s="22" t="s">
        <v>344</v>
      </c>
      <c r="HE192" s="22"/>
      <c r="HF192" s="22" t="s">
        <v>345</v>
      </c>
      <c r="HG192" s="22"/>
      <c r="HH192" s="22" t="s">
        <v>344</v>
      </c>
      <c r="HI192" s="22"/>
      <c r="HJ192" s="22" t="s">
        <v>344</v>
      </c>
      <c r="HK192" s="22" t="s">
        <v>344</v>
      </c>
      <c r="HL192" s="22" t="s">
        <v>344</v>
      </c>
      <c r="HM192" s="22" t="s">
        <v>344</v>
      </c>
      <c r="HN192" s="22" t="s">
        <v>344</v>
      </c>
      <c r="HO192" s="22" t="s">
        <v>344</v>
      </c>
      <c r="HP192" s="22" t="s">
        <v>344</v>
      </c>
      <c r="HQ192" s="22" t="s">
        <v>344</v>
      </c>
      <c r="HR192" s="22" t="s">
        <v>344</v>
      </c>
      <c r="HS192" s="22" t="s">
        <v>344</v>
      </c>
      <c r="HT192" s="22" t="s">
        <v>344</v>
      </c>
      <c r="HU192" s="22" t="s">
        <v>344</v>
      </c>
      <c r="HV192" s="22" t="s">
        <v>345</v>
      </c>
      <c r="HW192" s="22" t="s">
        <v>344</v>
      </c>
      <c r="HX192" s="22" t="s">
        <v>344</v>
      </c>
      <c r="HY192" s="22"/>
      <c r="HZ192" s="22" t="s">
        <v>344</v>
      </c>
      <c r="IA192" s="22"/>
      <c r="IB192" s="22" t="s">
        <v>344</v>
      </c>
      <c r="IC192" s="22"/>
      <c r="ID192" s="22" t="s">
        <v>344</v>
      </c>
      <c r="IE192" s="22"/>
      <c r="IF192" s="22" t="s">
        <v>344</v>
      </c>
      <c r="IG192" s="22"/>
      <c r="IH192" s="22" t="s">
        <v>345</v>
      </c>
      <c r="II192" s="22" t="s">
        <v>345</v>
      </c>
      <c r="IJ192" s="22" t="s">
        <v>344</v>
      </c>
      <c r="IK192" s="22" t="s">
        <v>344</v>
      </c>
      <c r="IL192" s="22" t="s">
        <v>345</v>
      </c>
      <c r="IM192" s="22" t="s">
        <v>345</v>
      </c>
      <c r="IN192" s="22" t="s">
        <v>344</v>
      </c>
      <c r="IO192" s="22" t="s">
        <v>345</v>
      </c>
      <c r="IP192" s="22" t="s">
        <v>344</v>
      </c>
      <c r="IQ192" s="22" t="s">
        <v>344</v>
      </c>
      <c r="IR192" s="22" t="s">
        <v>344</v>
      </c>
      <c r="IS192" s="22" t="s">
        <v>344</v>
      </c>
      <c r="IT192" s="22"/>
      <c r="IU192" s="22"/>
      <c r="IV192" s="22"/>
      <c r="IW192" s="22"/>
      <c r="IX192" s="22"/>
      <c r="IY192" s="22"/>
      <c r="IZ192" s="22"/>
      <c r="JA192" s="22"/>
      <c r="JB192" s="22"/>
      <c r="JC192" s="22"/>
      <c r="JD192" s="22"/>
      <c r="JE192" s="22"/>
      <c r="JF192" s="22"/>
      <c r="JG192" s="22"/>
      <c r="JH192" s="22"/>
    </row>
    <row r="193" spans="1:268" x14ac:dyDescent="0.3">
      <c r="A193" s="22" t="s">
        <v>813</v>
      </c>
      <c r="B193" s="22">
        <v>305</v>
      </c>
      <c r="C193" s="22" t="s">
        <v>1172</v>
      </c>
      <c r="D193" s="22">
        <v>14</v>
      </c>
      <c r="E193" s="22" t="s">
        <v>340</v>
      </c>
      <c r="F193" s="22">
        <v>1391565894</v>
      </c>
      <c r="G193" s="22" t="s">
        <v>1173</v>
      </c>
      <c r="H193" s="22" t="s">
        <v>1172</v>
      </c>
      <c r="I193" s="22" t="s">
        <v>1062</v>
      </c>
      <c r="J193" s="22">
        <v>17</v>
      </c>
      <c r="K193" s="22" t="s">
        <v>389</v>
      </c>
      <c r="L193" s="22"/>
      <c r="M193" s="22" t="s">
        <v>344</v>
      </c>
      <c r="N193" s="22" t="s">
        <v>345</v>
      </c>
      <c r="O193" s="22" t="s">
        <v>344</v>
      </c>
      <c r="P193" s="22" t="s">
        <v>344</v>
      </c>
      <c r="Q193" s="22" t="s">
        <v>344</v>
      </c>
      <c r="R193" s="22"/>
      <c r="S193" s="22" t="s">
        <v>522</v>
      </c>
      <c r="T193" s="22"/>
      <c r="U193" s="22" t="s">
        <v>418</v>
      </c>
      <c r="V193" s="22"/>
      <c r="W193" s="22" t="s">
        <v>345</v>
      </c>
      <c r="X193" s="22" t="s">
        <v>345</v>
      </c>
      <c r="Y193" s="22" t="s">
        <v>345</v>
      </c>
      <c r="Z193" s="22" t="s">
        <v>345</v>
      </c>
      <c r="AA193" s="22" t="s">
        <v>345</v>
      </c>
      <c r="AB193" s="22" t="s">
        <v>345</v>
      </c>
      <c r="AC193" s="22" t="s">
        <v>344</v>
      </c>
      <c r="AD193" s="22" t="s">
        <v>345</v>
      </c>
      <c r="AE193" s="22" t="s">
        <v>345</v>
      </c>
      <c r="AF193" s="22" t="s">
        <v>345</v>
      </c>
      <c r="AG193" s="22" t="s">
        <v>345</v>
      </c>
      <c r="AH193" s="22" t="s">
        <v>345</v>
      </c>
      <c r="AI193" s="22" t="s">
        <v>345</v>
      </c>
      <c r="AJ193" s="22" t="s">
        <v>344</v>
      </c>
      <c r="AK193" s="22" t="s">
        <v>345</v>
      </c>
      <c r="AL193" s="22" t="s">
        <v>345</v>
      </c>
      <c r="AM193" s="22" t="s">
        <v>345</v>
      </c>
      <c r="AN193" s="22" t="s">
        <v>345</v>
      </c>
      <c r="AO193" s="22" t="s">
        <v>345</v>
      </c>
      <c r="AP193" s="22" t="s">
        <v>345</v>
      </c>
      <c r="AQ193" s="22" t="s">
        <v>344</v>
      </c>
      <c r="AR193" s="22" t="s">
        <v>345</v>
      </c>
      <c r="AS193" s="22" t="s">
        <v>345</v>
      </c>
      <c r="AT193" s="22" t="s">
        <v>345</v>
      </c>
      <c r="AU193" s="22" t="s">
        <v>345</v>
      </c>
      <c r="AV193" s="22" t="s">
        <v>345</v>
      </c>
      <c r="AW193" s="22" t="s">
        <v>345</v>
      </c>
      <c r="AX193" s="22" t="s">
        <v>344</v>
      </c>
      <c r="AY193" s="22" t="s">
        <v>731</v>
      </c>
      <c r="AZ193" s="22" t="s">
        <v>731</v>
      </c>
      <c r="BA193" s="22" t="s">
        <v>731</v>
      </c>
      <c r="BB193" s="22" t="s">
        <v>731</v>
      </c>
      <c r="BC193" s="22" t="s">
        <v>731</v>
      </c>
      <c r="BD193" s="22" t="s">
        <v>731</v>
      </c>
      <c r="BE193" s="22" t="s">
        <v>349</v>
      </c>
      <c r="BF193" s="22" t="s">
        <v>348</v>
      </c>
      <c r="BG193" s="22" t="s">
        <v>390</v>
      </c>
      <c r="BH193" s="22" t="s">
        <v>348</v>
      </c>
      <c r="BI193" s="22" t="s">
        <v>349</v>
      </c>
      <c r="BJ193" s="22" t="s">
        <v>391</v>
      </c>
      <c r="BK193" s="22" t="s">
        <v>391</v>
      </c>
      <c r="BL193" s="22" t="s">
        <v>391</v>
      </c>
      <c r="BM193" s="22" t="s">
        <v>391</v>
      </c>
      <c r="BN193" s="22" t="s">
        <v>391</v>
      </c>
      <c r="BO193" s="22" t="s">
        <v>391</v>
      </c>
      <c r="BP193" s="22" t="s">
        <v>391</v>
      </c>
      <c r="BQ193" s="22" t="s">
        <v>407</v>
      </c>
      <c r="BR193" s="22" t="s">
        <v>408</v>
      </c>
      <c r="BS193" s="22" t="s">
        <v>391</v>
      </c>
      <c r="BT193" s="22" t="s">
        <v>391</v>
      </c>
      <c r="BU193" s="22" t="s">
        <v>391</v>
      </c>
      <c r="BV193" s="22" t="s">
        <v>391</v>
      </c>
      <c r="BW193" s="22" t="s">
        <v>391</v>
      </c>
      <c r="BX193" s="22" t="s">
        <v>391</v>
      </c>
      <c r="BY193" s="22" t="s">
        <v>391</v>
      </c>
      <c r="BZ193" s="22" t="s">
        <v>391</v>
      </c>
      <c r="CA193" s="22" t="s">
        <v>391</v>
      </c>
      <c r="CB193" s="22" t="s">
        <v>391</v>
      </c>
      <c r="CC193" s="22" t="s">
        <v>391</v>
      </c>
      <c r="CD193" s="22" t="s">
        <v>391</v>
      </c>
      <c r="CE193" s="22" t="s">
        <v>391</v>
      </c>
      <c r="CF193" s="22" t="s">
        <v>391</v>
      </c>
      <c r="CG193" s="22" t="s">
        <v>420</v>
      </c>
      <c r="CH193" s="22" t="s">
        <v>420</v>
      </c>
      <c r="CI193" s="22" t="s">
        <v>420</v>
      </c>
      <c r="CJ193" s="22" t="s">
        <v>420</v>
      </c>
      <c r="CK193" s="22" t="s">
        <v>835</v>
      </c>
      <c r="CL193" s="22" t="s">
        <v>344</v>
      </c>
      <c r="CM193" s="22" t="s">
        <v>344</v>
      </c>
      <c r="CN193" s="22" t="s">
        <v>345</v>
      </c>
      <c r="CO193" s="22" t="s">
        <v>345</v>
      </c>
      <c r="CP193" s="22" t="s">
        <v>344</v>
      </c>
      <c r="CQ193" s="22" t="s">
        <v>344</v>
      </c>
      <c r="CR193" s="22" t="s">
        <v>1174</v>
      </c>
      <c r="CS193" s="22">
        <v>40</v>
      </c>
      <c r="CT193" s="22">
        <v>50</v>
      </c>
      <c r="CU193" s="22">
        <v>80</v>
      </c>
      <c r="CV193" s="22">
        <v>1</v>
      </c>
      <c r="CW193" s="22" t="s">
        <v>364</v>
      </c>
      <c r="CX193" s="22" t="s">
        <v>396</v>
      </c>
      <c r="CY193" s="22" t="s">
        <v>395</v>
      </c>
      <c r="CZ193" s="22" t="s">
        <v>366</v>
      </c>
      <c r="DA193" s="22" t="s">
        <v>366</v>
      </c>
      <c r="DB193" s="22" t="s">
        <v>366</v>
      </c>
      <c r="DC193" s="22" t="s">
        <v>366</v>
      </c>
      <c r="DD193" s="22" t="s">
        <v>366</v>
      </c>
      <c r="DE193" s="22" t="s">
        <v>366</v>
      </c>
      <c r="DF193" s="22" t="s">
        <v>366</v>
      </c>
      <c r="DG193" s="22" t="s">
        <v>366</v>
      </c>
      <c r="DH193" s="22" t="s">
        <v>366</v>
      </c>
      <c r="DI193" s="22" t="s">
        <v>366</v>
      </c>
      <c r="DJ193" s="22" t="s">
        <v>835</v>
      </c>
      <c r="DK193" s="22" t="s">
        <v>367</v>
      </c>
      <c r="DL193" s="22" t="s">
        <v>368</v>
      </c>
      <c r="DM193" s="22" t="s">
        <v>368</v>
      </c>
      <c r="DN193" s="22" t="s">
        <v>368</v>
      </c>
      <c r="DO193" s="22" t="s">
        <v>368</v>
      </c>
      <c r="DP193" s="22" t="s">
        <v>368</v>
      </c>
      <c r="DQ193" s="22" t="s">
        <v>368</v>
      </c>
      <c r="DR193" s="22" t="s">
        <v>368</v>
      </c>
      <c r="DS193" s="22" t="s">
        <v>345</v>
      </c>
      <c r="DT193" s="22" t="s">
        <v>368</v>
      </c>
      <c r="DU193" s="22" t="s">
        <v>368</v>
      </c>
      <c r="DV193" s="22" t="s">
        <v>368</v>
      </c>
      <c r="DW193" s="22" t="s">
        <v>345</v>
      </c>
      <c r="DX193" s="22" t="s">
        <v>371</v>
      </c>
      <c r="DY193" s="22" t="s">
        <v>370</v>
      </c>
      <c r="DZ193" s="22" t="s">
        <v>370</v>
      </c>
      <c r="EA193" s="22" t="s">
        <v>370</v>
      </c>
      <c r="EB193" s="22" t="s">
        <v>371</v>
      </c>
      <c r="EC193" s="22" t="s">
        <v>399</v>
      </c>
      <c r="ED193" s="22" t="s">
        <v>371</v>
      </c>
      <c r="EE193" s="22" t="s">
        <v>370</v>
      </c>
      <c r="EF193" s="22" t="s">
        <v>370</v>
      </c>
      <c r="EG193" s="22" t="s">
        <v>370</v>
      </c>
      <c r="EH193" s="22" t="s">
        <v>370</v>
      </c>
      <c r="EI193" s="22" t="s">
        <v>370</v>
      </c>
      <c r="EJ193" s="22" t="s">
        <v>370</v>
      </c>
      <c r="EK193" s="22" t="s">
        <v>370</v>
      </c>
      <c r="EL193" s="22" t="s">
        <v>373</v>
      </c>
      <c r="EM193" s="22" t="s">
        <v>440</v>
      </c>
      <c r="EN193" s="22" t="s">
        <v>424</v>
      </c>
      <c r="EO193" s="22"/>
      <c r="EP193" s="22"/>
      <c r="EQ193" s="22" t="s">
        <v>378</v>
      </c>
      <c r="ER193" s="22" t="s">
        <v>378</v>
      </c>
      <c r="ES193" s="22" t="s">
        <v>378</v>
      </c>
      <c r="ET193" s="22" t="s">
        <v>378</v>
      </c>
      <c r="EU193" s="22" t="s">
        <v>378</v>
      </c>
      <c r="EV193" s="22" t="s">
        <v>400</v>
      </c>
      <c r="EW193" s="22"/>
      <c r="EX193" s="167" t="s">
        <v>344</v>
      </c>
      <c r="EY193" s="167" t="s">
        <v>345</v>
      </c>
      <c r="EZ193" s="167" t="s">
        <v>344</v>
      </c>
      <c r="FA193" s="22" t="s">
        <v>344</v>
      </c>
      <c r="FB193" s="22" t="s">
        <v>401</v>
      </c>
      <c r="FC193" s="22"/>
      <c r="FD193" s="22" t="s">
        <v>380</v>
      </c>
      <c r="FE193" s="22"/>
      <c r="FF193" s="22" t="s">
        <v>412</v>
      </c>
      <c r="FG193" s="22" t="s">
        <v>413</v>
      </c>
      <c r="FH193" s="22" t="s">
        <v>451</v>
      </c>
      <c r="FI193" s="22" t="s">
        <v>385</v>
      </c>
      <c r="FJ193" s="22"/>
      <c r="FK193" s="22"/>
      <c r="FL193" s="22"/>
      <c r="FM193" s="22"/>
      <c r="FN193" s="22"/>
      <c r="FO193" s="22"/>
      <c r="FP193" s="22"/>
      <c r="FQ193" s="22"/>
      <c r="FR193" s="22"/>
      <c r="FS193" s="22"/>
      <c r="FT193" s="22"/>
      <c r="FU193" s="22"/>
      <c r="FV193" s="22"/>
      <c r="FW193" s="22"/>
      <c r="FX193" s="22"/>
      <c r="FY193" s="22"/>
      <c r="FZ193" s="22"/>
      <c r="GA193" s="22" t="s">
        <v>368</v>
      </c>
      <c r="GB193" s="22" t="s">
        <v>368</v>
      </c>
      <c r="GC193" s="22" t="s">
        <v>368</v>
      </c>
      <c r="GD193" s="22" t="s">
        <v>368</v>
      </c>
      <c r="GE193" s="22" t="s">
        <v>368</v>
      </c>
      <c r="GF193" s="22" t="s">
        <v>368</v>
      </c>
      <c r="GG193" s="22"/>
      <c r="GH193" s="22"/>
      <c r="GI193" s="22"/>
      <c r="GJ193" s="22"/>
      <c r="GK193" s="22"/>
      <c r="GL193" s="22" t="s">
        <v>345</v>
      </c>
      <c r="GM193" s="22" t="s">
        <v>345</v>
      </c>
      <c r="GN193" s="22" t="s">
        <v>345</v>
      </c>
      <c r="GO193" s="22" t="s">
        <v>345</v>
      </c>
      <c r="GP193" s="22" t="s">
        <v>345</v>
      </c>
      <c r="GQ193" s="22" t="s">
        <v>345</v>
      </c>
      <c r="GR193" s="22" t="s">
        <v>345</v>
      </c>
      <c r="GS193" s="22" t="s">
        <v>345</v>
      </c>
      <c r="GT193" s="22" t="s">
        <v>345</v>
      </c>
      <c r="GU193" s="22" t="s">
        <v>345</v>
      </c>
      <c r="GV193" s="22" t="s">
        <v>345</v>
      </c>
      <c r="GW193" s="22" t="s">
        <v>345</v>
      </c>
      <c r="GX193" s="22" t="s">
        <v>345</v>
      </c>
      <c r="GY193" s="22" t="s">
        <v>345</v>
      </c>
      <c r="GZ193" s="22" t="s">
        <v>345</v>
      </c>
      <c r="HA193" s="22"/>
      <c r="HB193" s="22" t="s">
        <v>344</v>
      </c>
      <c r="HC193" s="22"/>
      <c r="HD193" s="22" t="s">
        <v>344</v>
      </c>
      <c r="HE193" s="22"/>
      <c r="HF193" s="22" t="s">
        <v>344</v>
      </c>
      <c r="HG193" s="22"/>
      <c r="HH193" s="22" t="s">
        <v>344</v>
      </c>
      <c r="HI193" s="22"/>
      <c r="HJ193" s="22" t="s">
        <v>345</v>
      </c>
      <c r="HK193" s="22" t="s">
        <v>345</v>
      </c>
      <c r="HL193" s="22" t="s">
        <v>345</v>
      </c>
      <c r="HM193" s="22" t="s">
        <v>345</v>
      </c>
      <c r="HN193" s="22" t="s">
        <v>345</v>
      </c>
      <c r="HO193" s="22" t="s">
        <v>345</v>
      </c>
      <c r="HP193" s="22" t="s">
        <v>345</v>
      </c>
      <c r="HQ193" s="22" t="s">
        <v>344</v>
      </c>
      <c r="HR193" s="22" t="s">
        <v>344</v>
      </c>
      <c r="HS193" s="22" t="s">
        <v>344</v>
      </c>
      <c r="HT193" s="22" t="s">
        <v>344</v>
      </c>
      <c r="HU193" s="22" t="s">
        <v>344</v>
      </c>
      <c r="HV193" s="22" t="s">
        <v>344</v>
      </c>
      <c r="HW193" s="22" t="s">
        <v>344</v>
      </c>
      <c r="HX193" s="22" t="s">
        <v>344</v>
      </c>
      <c r="HY193" s="22"/>
      <c r="HZ193" s="22" t="s">
        <v>345</v>
      </c>
      <c r="IA193" s="22" t="s">
        <v>719</v>
      </c>
      <c r="IB193" s="22" t="s">
        <v>345</v>
      </c>
      <c r="IC193" s="22" t="s">
        <v>719</v>
      </c>
      <c r="ID193" s="22" t="s">
        <v>345</v>
      </c>
      <c r="IE193" s="22" t="s">
        <v>719</v>
      </c>
      <c r="IF193" s="22" t="s">
        <v>345</v>
      </c>
      <c r="IG193" s="22" t="s">
        <v>719</v>
      </c>
      <c r="IH193" s="22" t="s">
        <v>345</v>
      </c>
      <c r="II193" s="22" t="s">
        <v>345</v>
      </c>
      <c r="IJ193" s="22" t="s">
        <v>345</v>
      </c>
      <c r="IK193" s="22" t="s">
        <v>345</v>
      </c>
      <c r="IL193" s="22" t="s">
        <v>345</v>
      </c>
      <c r="IM193" s="22" t="s">
        <v>345</v>
      </c>
      <c r="IN193" s="22" t="s">
        <v>345</v>
      </c>
      <c r="IO193" s="22" t="s">
        <v>345</v>
      </c>
      <c r="IP193" s="22" t="s">
        <v>345</v>
      </c>
      <c r="IQ193" s="22" t="s">
        <v>345</v>
      </c>
      <c r="IR193" s="22" t="s">
        <v>345</v>
      </c>
      <c r="IS193" s="22" t="s">
        <v>344</v>
      </c>
      <c r="IT193" s="22"/>
      <c r="IU193" s="22" t="s">
        <v>719</v>
      </c>
      <c r="IV193" s="22"/>
      <c r="IW193" s="22"/>
      <c r="IX193" s="22"/>
      <c r="IY193" s="22"/>
      <c r="IZ193" s="22"/>
      <c r="JA193" s="22"/>
      <c r="JB193" s="22"/>
      <c r="JC193" s="22"/>
      <c r="JD193" s="22"/>
      <c r="JE193" s="22"/>
      <c r="JF193" s="22"/>
      <c r="JG193" s="22"/>
      <c r="JH193" s="22"/>
    </row>
    <row r="194" spans="1:268" x14ac:dyDescent="0.3">
      <c r="A194" s="22" t="s">
        <v>813</v>
      </c>
      <c r="B194" s="22">
        <v>307</v>
      </c>
      <c r="C194" s="22" t="s">
        <v>1175</v>
      </c>
      <c r="D194" s="22">
        <v>14</v>
      </c>
      <c r="E194" s="22" t="s">
        <v>387</v>
      </c>
      <c r="F194" s="22">
        <v>490222492</v>
      </c>
      <c r="G194" s="22" t="s">
        <v>1176</v>
      </c>
      <c r="H194" s="22" t="s">
        <v>1175</v>
      </c>
      <c r="I194" s="22" t="s">
        <v>1035</v>
      </c>
      <c r="J194" s="22">
        <v>17</v>
      </c>
      <c r="K194" s="22" t="s">
        <v>406</v>
      </c>
      <c r="L194" s="22"/>
      <c r="M194" s="22" t="s">
        <v>344</v>
      </c>
      <c r="N194" s="22" t="s">
        <v>345</v>
      </c>
      <c r="O194" s="22" t="s">
        <v>344</v>
      </c>
      <c r="P194" s="22" t="s">
        <v>344</v>
      </c>
      <c r="Q194" s="22" t="s">
        <v>344</v>
      </c>
      <c r="R194" s="22"/>
      <c r="S194" s="22" t="s">
        <v>522</v>
      </c>
      <c r="T194" s="22"/>
      <c r="U194" s="22" t="s">
        <v>523</v>
      </c>
      <c r="V194" s="22"/>
      <c r="W194" s="22" t="s">
        <v>344</v>
      </c>
      <c r="X194" s="22" t="s">
        <v>345</v>
      </c>
      <c r="Y194" s="22" t="s">
        <v>344</v>
      </c>
      <c r="Z194" s="22" t="s">
        <v>344</v>
      </c>
      <c r="AA194" s="22" t="s">
        <v>344</v>
      </c>
      <c r="AB194" s="22" t="s">
        <v>344</v>
      </c>
      <c r="AC194" s="22" t="s">
        <v>344</v>
      </c>
      <c r="AD194" s="22" t="s">
        <v>368</v>
      </c>
      <c r="AE194" s="22" t="s">
        <v>368</v>
      </c>
      <c r="AF194" s="22" t="s">
        <v>368</v>
      </c>
      <c r="AG194" s="22" t="s">
        <v>368</v>
      </c>
      <c r="AH194" s="22" t="s">
        <v>368</v>
      </c>
      <c r="AI194" s="22" t="s">
        <v>368</v>
      </c>
      <c r="AJ194" s="22" t="s">
        <v>345</v>
      </c>
      <c r="AK194" s="22" t="s">
        <v>368</v>
      </c>
      <c r="AL194" s="22" t="s">
        <v>368</v>
      </c>
      <c r="AM194" s="22" t="s">
        <v>368</v>
      </c>
      <c r="AN194" s="22" t="s">
        <v>368</v>
      </c>
      <c r="AO194" s="22" t="s">
        <v>368</v>
      </c>
      <c r="AP194" s="22" t="s">
        <v>368</v>
      </c>
      <c r="AQ194" s="22" t="s">
        <v>345</v>
      </c>
      <c r="AR194" s="22" t="s">
        <v>368</v>
      </c>
      <c r="AS194" s="22" t="s">
        <v>368</v>
      </c>
      <c r="AT194" s="22" t="s">
        <v>368</v>
      </c>
      <c r="AU194" s="22" t="s">
        <v>368</v>
      </c>
      <c r="AV194" s="22" t="s">
        <v>368</v>
      </c>
      <c r="AW194" s="22" t="s">
        <v>368</v>
      </c>
      <c r="AX194" s="22" t="s">
        <v>345</v>
      </c>
      <c r="AY194" s="22" t="s">
        <v>391</v>
      </c>
      <c r="AZ194" s="22" t="s">
        <v>731</v>
      </c>
      <c r="BA194" s="22" t="s">
        <v>391</v>
      </c>
      <c r="BB194" s="22" t="s">
        <v>391</v>
      </c>
      <c r="BC194" s="22" t="s">
        <v>391</v>
      </c>
      <c r="BD194" s="22" t="s">
        <v>391</v>
      </c>
      <c r="BE194" s="22" t="s">
        <v>390</v>
      </c>
      <c r="BF194" s="22" t="s">
        <v>349</v>
      </c>
      <c r="BG194" s="22" t="s">
        <v>390</v>
      </c>
      <c r="BH194" s="22" t="s">
        <v>390</v>
      </c>
      <c r="BI194" s="22" t="s">
        <v>390</v>
      </c>
      <c r="BJ194" s="22" t="s">
        <v>391</v>
      </c>
      <c r="BK194" s="22" t="s">
        <v>391</v>
      </c>
      <c r="BL194" s="22" t="s">
        <v>391</v>
      </c>
      <c r="BM194" s="22" t="s">
        <v>391</v>
      </c>
      <c r="BN194" s="22" t="s">
        <v>391</v>
      </c>
      <c r="BO194" s="22" t="s">
        <v>391</v>
      </c>
      <c r="BP194" s="22" t="s">
        <v>391</v>
      </c>
      <c r="BQ194" s="22" t="s">
        <v>419</v>
      </c>
      <c r="BR194" s="22" t="s">
        <v>429</v>
      </c>
      <c r="BS194" s="22" t="s">
        <v>391</v>
      </c>
      <c r="BT194" s="22" t="s">
        <v>391</v>
      </c>
      <c r="BU194" s="22" t="s">
        <v>391</v>
      </c>
      <c r="BV194" s="22" t="s">
        <v>391</v>
      </c>
      <c r="BW194" s="22" t="s">
        <v>391</v>
      </c>
      <c r="BX194" s="22" t="s">
        <v>391</v>
      </c>
      <c r="BY194" s="22" t="s">
        <v>391</v>
      </c>
      <c r="BZ194" s="22" t="s">
        <v>391</v>
      </c>
      <c r="CA194" s="22" t="s">
        <v>391</v>
      </c>
      <c r="CB194" s="22" t="s">
        <v>391</v>
      </c>
      <c r="CC194" s="22" t="s">
        <v>391</v>
      </c>
      <c r="CD194" s="22" t="s">
        <v>391</v>
      </c>
      <c r="CE194" s="22" t="s">
        <v>391</v>
      </c>
      <c r="CF194" s="22" t="s">
        <v>391</v>
      </c>
      <c r="CG194" s="22" t="s">
        <v>420</v>
      </c>
      <c r="CH194" s="22" t="s">
        <v>421</v>
      </c>
      <c r="CI194" s="22" t="s">
        <v>420</v>
      </c>
      <c r="CJ194" s="22" t="s">
        <v>420</v>
      </c>
      <c r="CK194" s="22" t="s">
        <v>717</v>
      </c>
      <c r="CL194" s="22" t="s">
        <v>344</v>
      </c>
      <c r="CM194" s="22" t="s">
        <v>344</v>
      </c>
      <c r="CN194" s="22" t="s">
        <v>345</v>
      </c>
      <c r="CO194" s="22" t="s">
        <v>344</v>
      </c>
      <c r="CP194" s="22" t="s">
        <v>344</v>
      </c>
      <c r="CQ194" s="22" t="s">
        <v>344</v>
      </c>
      <c r="CR194" s="22" t="s">
        <v>829</v>
      </c>
      <c r="CS194" s="22">
        <v>58</v>
      </c>
      <c r="CT194" s="22">
        <v>61</v>
      </c>
      <c r="CU194" s="22">
        <v>91</v>
      </c>
      <c r="CV194" s="22">
        <v>43</v>
      </c>
      <c r="CW194" s="22" t="s">
        <v>395</v>
      </c>
      <c r="CX194" s="22" t="s">
        <v>396</v>
      </c>
      <c r="CY194" s="22" t="s">
        <v>396</v>
      </c>
      <c r="CZ194" s="22" t="s">
        <v>397</v>
      </c>
      <c r="DA194" s="22" t="s">
        <v>397</v>
      </c>
      <c r="DB194" s="22" t="s">
        <v>397</v>
      </c>
      <c r="DC194" s="22" t="s">
        <v>397</v>
      </c>
      <c r="DD194" s="22" t="s">
        <v>397</v>
      </c>
      <c r="DE194" s="22" t="s">
        <v>397</v>
      </c>
      <c r="DF194" s="22" t="s">
        <v>397</v>
      </c>
      <c r="DG194" s="22" t="s">
        <v>397</v>
      </c>
      <c r="DH194" s="22" t="s">
        <v>397</v>
      </c>
      <c r="DI194" s="22" t="s">
        <v>397</v>
      </c>
      <c r="DJ194" s="22"/>
      <c r="DK194" s="22" t="s">
        <v>367</v>
      </c>
      <c r="DL194" s="22" t="s">
        <v>368</v>
      </c>
      <c r="DM194" s="22" t="s">
        <v>368</v>
      </c>
      <c r="DN194" s="22" t="s">
        <v>368</v>
      </c>
      <c r="DO194" s="22" t="s">
        <v>368</v>
      </c>
      <c r="DP194" s="22" t="s">
        <v>345</v>
      </c>
      <c r="DQ194" s="22" t="s">
        <v>345</v>
      </c>
      <c r="DR194" s="22" t="s">
        <v>345</v>
      </c>
      <c r="DS194" s="22" t="s">
        <v>344</v>
      </c>
      <c r="DT194" s="22" t="s">
        <v>368</v>
      </c>
      <c r="DU194" s="22" t="s">
        <v>368</v>
      </c>
      <c r="DV194" s="22" t="s">
        <v>368</v>
      </c>
      <c r="DW194" s="22" t="s">
        <v>345</v>
      </c>
      <c r="DX194" s="22" t="s">
        <v>399</v>
      </c>
      <c r="DY194" s="22" t="s">
        <v>399</v>
      </c>
      <c r="DZ194" s="22" t="s">
        <v>369</v>
      </c>
      <c r="EA194" s="22" t="s">
        <v>369</v>
      </c>
      <c r="EB194" s="22" t="s">
        <v>369</v>
      </c>
      <c r="EC194" s="22" t="s">
        <v>369</v>
      </c>
      <c r="ED194" s="22" t="s">
        <v>399</v>
      </c>
      <c r="EE194" s="22" t="s">
        <v>370</v>
      </c>
      <c r="EF194" s="22" t="s">
        <v>370</v>
      </c>
      <c r="EG194" s="22" t="s">
        <v>370</v>
      </c>
      <c r="EH194" s="22" t="s">
        <v>370</v>
      </c>
      <c r="EI194" s="22" t="s">
        <v>370</v>
      </c>
      <c r="EJ194" s="22" t="s">
        <v>370</v>
      </c>
      <c r="EK194" s="22" t="s">
        <v>370</v>
      </c>
      <c r="EL194" s="22" t="s">
        <v>373</v>
      </c>
      <c r="EM194" s="22" t="s">
        <v>374</v>
      </c>
      <c r="EN194" s="22" t="s">
        <v>440</v>
      </c>
      <c r="EO194" s="22"/>
      <c r="EP194" s="22"/>
      <c r="EQ194" s="22" t="s">
        <v>375</v>
      </c>
      <c r="ER194" s="22" t="s">
        <v>378</v>
      </c>
      <c r="ES194" s="22" t="s">
        <v>376</v>
      </c>
      <c r="ET194" s="22" t="s">
        <v>376</v>
      </c>
      <c r="EU194" s="22" t="s">
        <v>375</v>
      </c>
      <c r="EV194" s="22" t="s">
        <v>400</v>
      </c>
      <c r="EW194" s="22"/>
      <c r="EX194" s="22" t="s">
        <v>368</v>
      </c>
      <c r="EY194" s="22" t="s">
        <v>368</v>
      </c>
      <c r="EZ194" s="22" t="s">
        <v>368</v>
      </c>
      <c r="FA194" s="22" t="s">
        <v>345</v>
      </c>
      <c r="FB194" s="22" t="s">
        <v>401</v>
      </c>
      <c r="FC194" s="22"/>
      <c r="FD194" s="22" t="s">
        <v>401</v>
      </c>
      <c r="FE194" s="22"/>
      <c r="FF194" s="22" t="s">
        <v>412</v>
      </c>
      <c r="FG194" s="22" t="s">
        <v>413</v>
      </c>
      <c r="FH194" s="22" t="s">
        <v>384</v>
      </c>
      <c r="FI194" s="22" t="s">
        <v>385</v>
      </c>
      <c r="FJ194" s="22"/>
      <c r="FK194" s="22"/>
      <c r="FL194" s="22"/>
      <c r="FM194" s="22"/>
      <c r="FN194" s="22"/>
      <c r="FO194" s="22"/>
      <c r="FP194" s="22"/>
      <c r="FQ194" s="22"/>
      <c r="FR194" s="22"/>
      <c r="FS194" s="22"/>
      <c r="FT194" s="22"/>
      <c r="FU194" s="22"/>
      <c r="FV194" s="22"/>
      <c r="FW194" s="22"/>
      <c r="FX194" s="22"/>
      <c r="FY194" s="22"/>
      <c r="FZ194" s="22"/>
      <c r="GA194" s="22" t="s">
        <v>368</v>
      </c>
      <c r="GB194" s="22" t="s">
        <v>368</v>
      </c>
      <c r="GC194" s="22" t="s">
        <v>368</v>
      </c>
      <c r="GD194" s="22" t="s">
        <v>368</v>
      </c>
      <c r="GE194" s="22" t="s">
        <v>368</v>
      </c>
      <c r="GF194" s="22" t="s">
        <v>368</v>
      </c>
      <c r="GG194" s="22"/>
      <c r="GH194" s="22"/>
      <c r="GI194" s="22"/>
      <c r="GJ194" s="22"/>
      <c r="GK194" s="22"/>
      <c r="GL194" s="22" t="s">
        <v>344</v>
      </c>
      <c r="GM194" s="22" t="s">
        <v>344</v>
      </c>
      <c r="GN194" s="22" t="s">
        <v>344</v>
      </c>
      <c r="GO194" s="22" t="s">
        <v>344</v>
      </c>
      <c r="GP194" s="22" t="s">
        <v>344</v>
      </c>
      <c r="GQ194" s="22" t="s">
        <v>344</v>
      </c>
      <c r="GR194" s="22" t="s">
        <v>344</v>
      </c>
      <c r="GS194" s="22" t="s">
        <v>344</v>
      </c>
      <c r="GT194" s="22" t="s">
        <v>344</v>
      </c>
      <c r="GU194" s="22" t="s">
        <v>344</v>
      </c>
      <c r="GV194" s="22" t="s">
        <v>344</v>
      </c>
      <c r="GW194" s="22" t="s">
        <v>344</v>
      </c>
      <c r="GX194" s="22" t="s">
        <v>344</v>
      </c>
      <c r="GY194" s="22" t="s">
        <v>344</v>
      </c>
      <c r="GZ194" s="22" t="s">
        <v>345</v>
      </c>
      <c r="HA194" s="22"/>
      <c r="HB194" s="22" t="s">
        <v>344</v>
      </c>
      <c r="HC194" s="22"/>
      <c r="HD194" s="22" t="s">
        <v>344</v>
      </c>
      <c r="HE194" s="22"/>
      <c r="HF194" s="22" t="s">
        <v>344</v>
      </c>
      <c r="HG194" s="22"/>
      <c r="HH194" s="22" t="s">
        <v>344</v>
      </c>
      <c r="HI194" s="22"/>
      <c r="HJ194" s="22" t="s">
        <v>344</v>
      </c>
      <c r="HK194" s="22" t="s">
        <v>344</v>
      </c>
      <c r="HL194" s="22" t="s">
        <v>344</v>
      </c>
      <c r="HM194" s="22" t="s">
        <v>345</v>
      </c>
      <c r="HN194" s="22" t="s">
        <v>344</v>
      </c>
      <c r="HO194" s="22" t="s">
        <v>344</v>
      </c>
      <c r="HP194" s="22" t="s">
        <v>344</v>
      </c>
      <c r="HQ194" s="22" t="s">
        <v>344</v>
      </c>
      <c r="HR194" s="22" t="s">
        <v>344</v>
      </c>
      <c r="HS194" s="22" t="s">
        <v>345</v>
      </c>
      <c r="HT194" s="22" t="s">
        <v>344</v>
      </c>
      <c r="HU194" s="22" t="s">
        <v>344</v>
      </c>
      <c r="HV194" s="22" t="s">
        <v>345</v>
      </c>
      <c r="HW194" s="22" t="s">
        <v>344</v>
      </c>
      <c r="HX194" s="22" t="s">
        <v>344</v>
      </c>
      <c r="HY194" s="22"/>
      <c r="HZ194" s="22" t="s">
        <v>344</v>
      </c>
      <c r="IA194" s="22"/>
      <c r="IB194" s="22" t="s">
        <v>344</v>
      </c>
      <c r="IC194" s="22"/>
      <c r="ID194" s="22" t="s">
        <v>344</v>
      </c>
      <c r="IE194" s="22"/>
      <c r="IF194" s="22" t="s">
        <v>344</v>
      </c>
      <c r="IG194" s="22"/>
      <c r="IH194" s="22" t="s">
        <v>345</v>
      </c>
      <c r="II194" s="22" t="s">
        <v>345</v>
      </c>
      <c r="IJ194" s="22" t="s">
        <v>345</v>
      </c>
      <c r="IK194" s="22" t="s">
        <v>344</v>
      </c>
      <c r="IL194" s="22" t="s">
        <v>344</v>
      </c>
      <c r="IM194" s="22" t="s">
        <v>345</v>
      </c>
      <c r="IN194" s="22" t="s">
        <v>344</v>
      </c>
      <c r="IO194" s="22" t="s">
        <v>345</v>
      </c>
      <c r="IP194" s="22" t="s">
        <v>344</v>
      </c>
      <c r="IQ194" s="22" t="s">
        <v>344</v>
      </c>
      <c r="IR194" s="22" t="s">
        <v>344</v>
      </c>
      <c r="IS194" s="22" t="s">
        <v>344</v>
      </c>
      <c r="IT194" s="22"/>
      <c r="IU194" s="22" t="s">
        <v>843</v>
      </c>
      <c r="IV194" s="22"/>
      <c r="IW194" s="22"/>
      <c r="IX194" s="22"/>
      <c r="IY194" s="22"/>
      <c r="IZ194" s="22"/>
      <c r="JA194" s="22"/>
      <c r="JB194" s="22"/>
      <c r="JC194" s="22"/>
      <c r="JD194" s="22"/>
      <c r="JE194" s="22"/>
      <c r="JF194" s="22"/>
      <c r="JG194" s="22"/>
      <c r="JH194" s="22"/>
    </row>
    <row r="195" spans="1:268" x14ac:dyDescent="0.3">
      <c r="A195" s="25" t="s">
        <v>338</v>
      </c>
      <c r="B195" s="25">
        <v>309</v>
      </c>
      <c r="C195" s="25" t="s">
        <v>1177</v>
      </c>
      <c r="D195" s="25">
        <v>14</v>
      </c>
      <c r="E195" s="25" t="s">
        <v>340</v>
      </c>
      <c r="F195" s="25">
        <v>83791120</v>
      </c>
      <c r="G195" s="25" t="s">
        <v>1178</v>
      </c>
      <c r="H195" s="25" t="s">
        <v>1177</v>
      </c>
      <c r="I195" s="25" t="s">
        <v>1179</v>
      </c>
      <c r="J195" s="25">
        <v>18</v>
      </c>
      <c r="K195" s="25" t="s">
        <v>406</v>
      </c>
      <c r="L195" s="25"/>
      <c r="M195" s="25" t="s">
        <v>344</v>
      </c>
      <c r="N195" s="25" t="s">
        <v>345</v>
      </c>
      <c r="O195" s="25" t="s">
        <v>344</v>
      </c>
      <c r="P195" s="25" t="s">
        <v>344</v>
      </c>
      <c r="Q195" s="25" t="s">
        <v>344</v>
      </c>
      <c r="R195" s="25"/>
      <c r="S195" s="25" t="s">
        <v>346</v>
      </c>
      <c r="T195" s="25"/>
      <c r="U195" s="25" t="s">
        <v>418</v>
      </c>
      <c r="V195" s="25"/>
      <c r="W195" s="25" t="s">
        <v>368</v>
      </c>
      <c r="X195" s="25" t="s">
        <v>368</v>
      </c>
      <c r="Y195" s="25" t="s">
        <v>368</v>
      </c>
      <c r="Z195" s="25" t="s">
        <v>368</v>
      </c>
      <c r="AA195" s="25" t="s">
        <v>368</v>
      </c>
      <c r="AB195" s="25" t="s">
        <v>368</v>
      </c>
      <c r="AC195" s="25" t="s">
        <v>345</v>
      </c>
      <c r="AD195" s="25" t="s">
        <v>345</v>
      </c>
      <c r="AE195" s="25" t="s">
        <v>345</v>
      </c>
      <c r="AF195" s="25" t="s">
        <v>344</v>
      </c>
      <c r="AG195" s="25" t="s">
        <v>344</v>
      </c>
      <c r="AH195" s="25" t="s">
        <v>344</v>
      </c>
      <c r="AI195" s="25" t="s">
        <v>344</v>
      </c>
      <c r="AJ195" s="25" t="s">
        <v>344</v>
      </c>
      <c r="AK195" s="25" t="s">
        <v>368</v>
      </c>
      <c r="AL195" s="25" t="s">
        <v>368</v>
      </c>
      <c r="AM195" s="25" t="s">
        <v>368</v>
      </c>
      <c r="AN195" s="25" t="s">
        <v>368</v>
      </c>
      <c r="AO195" s="25" t="s">
        <v>368</v>
      </c>
      <c r="AP195" s="25" t="s">
        <v>368</v>
      </c>
      <c r="AQ195" s="25" t="s">
        <v>345</v>
      </c>
      <c r="AR195" s="25" t="s">
        <v>368</v>
      </c>
      <c r="AS195" s="25" t="s">
        <v>368</v>
      </c>
      <c r="AT195" s="25" t="s">
        <v>368</v>
      </c>
      <c r="AU195" s="25" t="s">
        <v>368</v>
      </c>
      <c r="AV195" s="25" t="s">
        <v>368</v>
      </c>
      <c r="AW195" s="25" t="s">
        <v>368</v>
      </c>
      <c r="AX195" s="25" t="s">
        <v>345</v>
      </c>
      <c r="AY195" s="25" t="s">
        <v>391</v>
      </c>
      <c r="AZ195" s="25" t="s">
        <v>391</v>
      </c>
      <c r="BA195" s="25" t="s">
        <v>391</v>
      </c>
      <c r="BB195" s="25" t="s">
        <v>391</v>
      </c>
      <c r="BC195" s="25" t="s">
        <v>391</v>
      </c>
      <c r="BD195" s="25" t="s">
        <v>391</v>
      </c>
      <c r="BE195" s="25" t="s">
        <v>390</v>
      </c>
      <c r="BF195" s="25" t="s">
        <v>349</v>
      </c>
      <c r="BG195" s="25" t="s">
        <v>390</v>
      </c>
      <c r="BH195" s="25" t="s">
        <v>349</v>
      </c>
      <c r="BI195" s="25" t="s">
        <v>348</v>
      </c>
      <c r="BJ195" s="25" t="s">
        <v>354</v>
      </c>
      <c r="BK195" s="25" t="s">
        <v>354</v>
      </c>
      <c r="BL195" s="25" t="s">
        <v>354</v>
      </c>
      <c r="BM195" s="25" t="s">
        <v>354</v>
      </c>
      <c r="BN195" s="25" t="s">
        <v>354</v>
      </c>
      <c r="BO195" s="25" t="s">
        <v>391</v>
      </c>
      <c r="BP195" s="25" t="s">
        <v>354</v>
      </c>
      <c r="BQ195" s="25" t="s">
        <v>689</v>
      </c>
      <c r="BR195" s="25" t="s">
        <v>408</v>
      </c>
      <c r="BS195" s="25" t="s">
        <v>391</v>
      </c>
      <c r="BT195" s="25" t="s">
        <v>391</v>
      </c>
      <c r="BU195" s="25" t="s">
        <v>391</v>
      </c>
      <c r="BV195" s="25" t="s">
        <v>391</v>
      </c>
      <c r="BW195" s="25" t="s">
        <v>391</v>
      </c>
      <c r="BX195" s="25" t="s">
        <v>391</v>
      </c>
      <c r="BY195" s="25" t="s">
        <v>391</v>
      </c>
      <c r="BZ195" s="25" t="s">
        <v>354</v>
      </c>
      <c r="CA195" s="25" t="s">
        <v>391</v>
      </c>
      <c r="CB195" s="25" t="s">
        <v>391</v>
      </c>
      <c r="CC195" s="25" t="s">
        <v>391</v>
      </c>
      <c r="CD195" s="25" t="s">
        <v>391</v>
      </c>
      <c r="CE195" s="25" t="s">
        <v>391</v>
      </c>
      <c r="CF195" s="25" t="s">
        <v>391</v>
      </c>
      <c r="CG195" s="25" t="s">
        <v>420</v>
      </c>
      <c r="CH195" s="25" t="s">
        <v>420</v>
      </c>
      <c r="CI195" s="25" t="s">
        <v>360</v>
      </c>
      <c r="CJ195" s="25" t="s">
        <v>392</v>
      </c>
      <c r="CK195" s="25"/>
      <c r="CL195" s="25" t="s">
        <v>344</v>
      </c>
      <c r="CM195" s="25" t="s">
        <v>344</v>
      </c>
      <c r="CN195" s="25" t="s">
        <v>344</v>
      </c>
      <c r="CO195" s="25" t="s">
        <v>345</v>
      </c>
      <c r="CP195" s="25" t="s">
        <v>345</v>
      </c>
      <c r="CQ195" s="25" t="s">
        <v>344</v>
      </c>
      <c r="CR195" s="25" t="s">
        <v>655</v>
      </c>
      <c r="CS195" s="25">
        <v>60</v>
      </c>
      <c r="CT195" s="25">
        <v>60</v>
      </c>
      <c r="CU195" s="25">
        <v>100</v>
      </c>
      <c r="CV195" s="25">
        <v>75</v>
      </c>
      <c r="CW195" s="25" t="s">
        <v>363</v>
      </c>
      <c r="CX195" s="25" t="s">
        <v>396</v>
      </c>
      <c r="CY195" s="25" t="s">
        <v>395</v>
      </c>
      <c r="CZ195" s="25" t="s">
        <v>397</v>
      </c>
      <c r="DA195" s="25" t="s">
        <v>397</v>
      </c>
      <c r="DB195" s="25" t="s">
        <v>397</v>
      </c>
      <c r="DC195" s="25" t="s">
        <v>397</v>
      </c>
      <c r="DD195" s="25" t="s">
        <v>397</v>
      </c>
      <c r="DE195" s="25" t="s">
        <v>397</v>
      </c>
      <c r="DF195" s="25" t="s">
        <v>366</v>
      </c>
      <c r="DG195" s="25" t="s">
        <v>397</v>
      </c>
      <c r="DH195" s="25" t="s">
        <v>397</v>
      </c>
      <c r="DI195" s="25" t="s">
        <v>365</v>
      </c>
      <c r="DJ195" s="25"/>
      <c r="DK195" s="25" t="s">
        <v>367</v>
      </c>
      <c r="DL195" s="25" t="s">
        <v>368</v>
      </c>
      <c r="DM195" s="25" t="s">
        <v>368</v>
      </c>
      <c r="DN195" s="25" t="s">
        <v>368</v>
      </c>
      <c r="DO195" s="25" t="s">
        <v>368</v>
      </c>
      <c r="DP195" s="25" t="s">
        <v>368</v>
      </c>
      <c r="DQ195" s="25" t="s">
        <v>368</v>
      </c>
      <c r="DR195" s="25" t="s">
        <v>368</v>
      </c>
      <c r="DS195" s="25" t="s">
        <v>345</v>
      </c>
      <c r="DT195" s="25" t="s">
        <v>345</v>
      </c>
      <c r="DU195" s="25" t="s">
        <v>345</v>
      </c>
      <c r="DV195" s="25" t="s">
        <v>345</v>
      </c>
      <c r="DW195" s="25" t="s">
        <v>344</v>
      </c>
      <c r="DX195" s="25" t="s">
        <v>369</v>
      </c>
      <c r="DY195" s="25" t="s">
        <v>371</v>
      </c>
      <c r="DZ195" s="25" t="s">
        <v>371</v>
      </c>
      <c r="EA195" s="25" t="s">
        <v>399</v>
      </c>
      <c r="EB195" s="25" t="s">
        <v>369</v>
      </c>
      <c r="EC195" s="25" t="s">
        <v>369</v>
      </c>
      <c r="ED195" s="25" t="s">
        <v>371</v>
      </c>
      <c r="EE195" s="25" t="s">
        <v>370</v>
      </c>
      <c r="EF195" s="25" t="s">
        <v>370</v>
      </c>
      <c r="EG195" s="25" t="s">
        <v>370</v>
      </c>
      <c r="EH195" s="25" t="s">
        <v>370</v>
      </c>
      <c r="EI195" s="25" t="s">
        <v>370</v>
      </c>
      <c r="EJ195" s="25" t="s">
        <v>370</v>
      </c>
      <c r="EK195" s="25" t="s">
        <v>370</v>
      </c>
      <c r="EL195" s="25" t="s">
        <v>372</v>
      </c>
      <c r="EM195" s="25" t="s">
        <v>373</v>
      </c>
      <c r="EN195" s="25" t="s">
        <v>440</v>
      </c>
      <c r="EO195" s="25"/>
      <c r="EP195" s="25"/>
      <c r="EQ195" s="25" t="s">
        <v>375</v>
      </c>
      <c r="ER195" s="25" t="s">
        <v>377</v>
      </c>
      <c r="ES195" s="25" t="s">
        <v>375</v>
      </c>
      <c r="ET195" s="25" t="s">
        <v>391</v>
      </c>
      <c r="EU195" s="25" t="s">
        <v>375</v>
      </c>
      <c r="EV195" s="25" t="s">
        <v>400</v>
      </c>
      <c r="EW195" s="25"/>
      <c r="EX195" s="25" t="s">
        <v>368</v>
      </c>
      <c r="EY195" s="25" t="s">
        <v>368</v>
      </c>
      <c r="EZ195" s="25" t="s">
        <v>368</v>
      </c>
      <c r="FA195" s="25" t="s">
        <v>345</v>
      </c>
      <c r="FB195" s="25" t="s">
        <v>380</v>
      </c>
      <c r="FC195" s="25"/>
      <c r="FD195" s="25" t="s">
        <v>381</v>
      </c>
      <c r="FE195" s="25"/>
      <c r="FF195" s="25" t="s">
        <v>382</v>
      </c>
      <c r="FG195" s="25" t="s">
        <v>402</v>
      </c>
      <c r="FH195" s="25" t="s">
        <v>451</v>
      </c>
      <c r="FI195" s="25" t="s">
        <v>385</v>
      </c>
      <c r="FJ195" s="25"/>
      <c r="FK195" s="25"/>
      <c r="FL195" s="25"/>
      <c r="FM195" s="25"/>
      <c r="FN195" s="25"/>
      <c r="FO195" s="25"/>
      <c r="FP195" s="25"/>
      <c r="FQ195" s="25"/>
      <c r="FR195" s="25"/>
      <c r="FS195" s="25"/>
      <c r="FT195" s="25"/>
      <c r="FU195" s="25"/>
      <c r="FV195" s="25"/>
      <c r="FW195" s="25"/>
      <c r="FX195" s="25"/>
      <c r="FY195" s="25"/>
      <c r="FZ195" s="25"/>
      <c r="GA195" s="25" t="s">
        <v>368</v>
      </c>
      <c r="GB195" s="25" t="s">
        <v>368</v>
      </c>
      <c r="GC195" s="25" t="s">
        <v>368</v>
      </c>
      <c r="GD195" s="25" t="s">
        <v>368</v>
      </c>
      <c r="GE195" s="25" t="s">
        <v>368</v>
      </c>
      <c r="GF195" s="25" t="s">
        <v>368</v>
      </c>
      <c r="GG195" s="25"/>
      <c r="GH195" s="25"/>
      <c r="GI195" s="25"/>
      <c r="GJ195" s="25"/>
      <c r="GK195" s="25"/>
      <c r="GL195" s="25" t="s">
        <v>344</v>
      </c>
      <c r="GM195" s="25" t="s">
        <v>344</v>
      </c>
      <c r="GN195" s="25" t="s">
        <v>345</v>
      </c>
      <c r="GO195" s="25" t="s">
        <v>345</v>
      </c>
      <c r="GP195" s="25" t="s">
        <v>344</v>
      </c>
      <c r="GQ195" s="25" t="s">
        <v>345</v>
      </c>
      <c r="GR195" s="25" t="s">
        <v>344</v>
      </c>
      <c r="GS195" s="25" t="s">
        <v>344</v>
      </c>
      <c r="GT195" s="25" t="s">
        <v>344</v>
      </c>
      <c r="GU195" s="25" t="s">
        <v>344</v>
      </c>
      <c r="GV195" s="25" t="s">
        <v>344</v>
      </c>
      <c r="GW195" s="25" t="s">
        <v>345</v>
      </c>
      <c r="GX195" s="25" t="s">
        <v>344</v>
      </c>
      <c r="GY195" s="25" t="s">
        <v>344</v>
      </c>
      <c r="GZ195" s="25" t="s">
        <v>344</v>
      </c>
      <c r="HA195" s="25"/>
      <c r="HB195" s="25" t="s">
        <v>344</v>
      </c>
      <c r="HC195" s="25"/>
      <c r="HD195" s="25" t="s">
        <v>344</v>
      </c>
      <c r="HE195" s="25"/>
      <c r="HF195" s="25" t="s">
        <v>344</v>
      </c>
      <c r="HG195" s="25"/>
      <c r="HH195" s="25" t="s">
        <v>344</v>
      </c>
      <c r="HI195" s="25"/>
      <c r="HJ195" s="25" t="s">
        <v>344</v>
      </c>
      <c r="HK195" s="25" t="s">
        <v>344</v>
      </c>
      <c r="HL195" s="25" t="s">
        <v>344</v>
      </c>
      <c r="HM195" s="25" t="s">
        <v>345</v>
      </c>
      <c r="HN195" s="25" t="s">
        <v>344</v>
      </c>
      <c r="HO195" s="25" t="s">
        <v>344</v>
      </c>
      <c r="HP195" s="25" t="s">
        <v>344</v>
      </c>
      <c r="HQ195" s="25" t="s">
        <v>344</v>
      </c>
      <c r="HR195" s="25" t="s">
        <v>344</v>
      </c>
      <c r="HS195" s="25" t="s">
        <v>344</v>
      </c>
      <c r="HT195" s="25" t="s">
        <v>344</v>
      </c>
      <c r="HU195" s="25" t="s">
        <v>344</v>
      </c>
      <c r="HV195" s="25" t="s">
        <v>345</v>
      </c>
      <c r="HW195" s="25" t="s">
        <v>344</v>
      </c>
      <c r="HX195" s="25" t="s">
        <v>344</v>
      </c>
      <c r="HY195" s="25"/>
      <c r="HZ195" s="25" t="s">
        <v>344</v>
      </c>
      <c r="IA195" s="25"/>
      <c r="IB195" s="25" t="s">
        <v>344</v>
      </c>
      <c r="IC195" s="25"/>
      <c r="ID195" s="25" t="s">
        <v>344</v>
      </c>
      <c r="IE195" s="25"/>
      <c r="IF195" s="25" t="s">
        <v>344</v>
      </c>
      <c r="IG195" s="25"/>
      <c r="IH195" s="25" t="s">
        <v>345</v>
      </c>
      <c r="II195" s="25" t="s">
        <v>345</v>
      </c>
      <c r="IJ195" s="25" t="s">
        <v>344</v>
      </c>
      <c r="IK195" s="25" t="s">
        <v>344</v>
      </c>
      <c r="IL195" s="25" t="s">
        <v>344</v>
      </c>
      <c r="IM195" s="25" t="s">
        <v>345</v>
      </c>
      <c r="IN195" s="25" t="s">
        <v>344</v>
      </c>
      <c r="IO195" s="25" t="s">
        <v>344</v>
      </c>
      <c r="IP195" s="25" t="s">
        <v>344</v>
      </c>
      <c r="IQ195" s="25" t="s">
        <v>344</v>
      </c>
      <c r="IR195" s="25" t="s">
        <v>344</v>
      </c>
      <c r="IS195" s="25" t="s">
        <v>344</v>
      </c>
      <c r="IT195" s="25"/>
      <c r="IU195" s="25"/>
      <c r="IV195" s="25"/>
      <c r="IW195" s="25"/>
      <c r="IX195" s="25"/>
      <c r="IY195" s="25"/>
      <c r="IZ195" s="25"/>
      <c r="JA195" s="25"/>
      <c r="JB195" s="25"/>
      <c r="JC195" s="25"/>
      <c r="JD195" s="25"/>
      <c r="JE195" s="25"/>
      <c r="JF195" s="25"/>
      <c r="JG195" s="25"/>
      <c r="JH195" s="25"/>
    </row>
    <row r="196" spans="1:268" x14ac:dyDescent="0.3">
      <c r="A196" s="25" t="s">
        <v>338</v>
      </c>
      <c r="B196" s="25">
        <v>310</v>
      </c>
      <c r="C196" s="25" t="s">
        <v>1180</v>
      </c>
      <c r="D196" s="25">
        <v>14</v>
      </c>
      <c r="E196" s="25" t="s">
        <v>340</v>
      </c>
      <c r="F196" s="25">
        <v>1487942151</v>
      </c>
      <c r="G196" s="25" t="s">
        <v>1181</v>
      </c>
      <c r="H196" s="25" t="s">
        <v>1180</v>
      </c>
      <c r="I196" s="25" t="s">
        <v>1179</v>
      </c>
      <c r="J196" s="25">
        <v>17</v>
      </c>
      <c r="K196" s="25" t="s">
        <v>406</v>
      </c>
      <c r="L196" s="25"/>
      <c r="M196" s="25" t="s">
        <v>344</v>
      </c>
      <c r="N196" s="25" t="s">
        <v>345</v>
      </c>
      <c r="O196" s="25" t="s">
        <v>344</v>
      </c>
      <c r="P196" s="25" t="s">
        <v>344</v>
      </c>
      <c r="Q196" s="25" t="s">
        <v>344</v>
      </c>
      <c r="R196" s="25"/>
      <c r="S196" s="25" t="s">
        <v>438</v>
      </c>
      <c r="T196" s="25"/>
      <c r="U196" s="25" t="s">
        <v>418</v>
      </c>
      <c r="V196" s="25"/>
      <c r="W196" s="25" t="s">
        <v>345</v>
      </c>
      <c r="X196" s="25" t="s">
        <v>344</v>
      </c>
      <c r="Y196" s="25" t="s">
        <v>344</v>
      </c>
      <c r="Z196" s="25" t="s">
        <v>344</v>
      </c>
      <c r="AA196" s="25" t="s">
        <v>344</v>
      </c>
      <c r="AB196" s="25" t="s">
        <v>344</v>
      </c>
      <c r="AC196" s="25" t="s">
        <v>344</v>
      </c>
      <c r="AD196" s="25" t="s">
        <v>368</v>
      </c>
      <c r="AE196" s="25" t="s">
        <v>368</v>
      </c>
      <c r="AF196" s="25" t="s">
        <v>368</v>
      </c>
      <c r="AG196" s="25" t="s">
        <v>368</v>
      </c>
      <c r="AH196" s="25" t="s">
        <v>368</v>
      </c>
      <c r="AI196" s="25" t="s">
        <v>368</v>
      </c>
      <c r="AJ196" s="25" t="s">
        <v>345</v>
      </c>
      <c r="AK196" s="25" t="s">
        <v>368</v>
      </c>
      <c r="AL196" s="25" t="s">
        <v>368</v>
      </c>
      <c r="AM196" s="25" t="s">
        <v>368</v>
      </c>
      <c r="AN196" s="25" t="s">
        <v>368</v>
      </c>
      <c r="AO196" s="25" t="s">
        <v>368</v>
      </c>
      <c r="AP196" s="25" t="s">
        <v>368</v>
      </c>
      <c r="AQ196" s="25" t="s">
        <v>345</v>
      </c>
      <c r="AR196" s="25" t="s">
        <v>345</v>
      </c>
      <c r="AS196" s="25" t="s">
        <v>345</v>
      </c>
      <c r="AT196" s="25" t="s">
        <v>345</v>
      </c>
      <c r="AU196" s="25" t="s">
        <v>344</v>
      </c>
      <c r="AV196" s="25" t="s">
        <v>344</v>
      </c>
      <c r="AW196" s="25" t="s">
        <v>344</v>
      </c>
      <c r="AX196" s="25" t="s">
        <v>344</v>
      </c>
      <c r="AY196" s="25" t="s">
        <v>391</v>
      </c>
      <c r="AZ196" s="25" t="s">
        <v>391</v>
      </c>
      <c r="BA196" s="25" t="s">
        <v>391</v>
      </c>
      <c r="BB196" s="25" t="s">
        <v>391</v>
      </c>
      <c r="BC196" s="25" t="s">
        <v>391</v>
      </c>
      <c r="BD196" s="25" t="s">
        <v>391</v>
      </c>
      <c r="BE196" s="25" t="s">
        <v>348</v>
      </c>
      <c r="BF196" s="25" t="s">
        <v>349</v>
      </c>
      <c r="BG196" s="25" t="s">
        <v>349</v>
      </c>
      <c r="BH196" s="25" t="s">
        <v>349</v>
      </c>
      <c r="BI196" s="25" t="s">
        <v>349</v>
      </c>
      <c r="BJ196" s="25" t="s">
        <v>391</v>
      </c>
      <c r="BK196" s="25" t="s">
        <v>391</v>
      </c>
      <c r="BL196" s="25" t="s">
        <v>391</v>
      </c>
      <c r="BM196" s="25" t="s">
        <v>391</v>
      </c>
      <c r="BN196" s="25" t="s">
        <v>391</v>
      </c>
      <c r="BO196" s="25" t="s">
        <v>391</v>
      </c>
      <c r="BP196" s="25" t="s">
        <v>391</v>
      </c>
      <c r="BQ196" s="25" t="s">
        <v>419</v>
      </c>
      <c r="BR196" s="25" t="s">
        <v>408</v>
      </c>
      <c r="BS196" s="25" t="s">
        <v>391</v>
      </c>
      <c r="BT196" s="25" t="s">
        <v>391</v>
      </c>
      <c r="BU196" s="25" t="s">
        <v>391</v>
      </c>
      <c r="BV196" s="25" t="s">
        <v>391</v>
      </c>
      <c r="BW196" s="25" t="s">
        <v>391</v>
      </c>
      <c r="BX196" s="25" t="s">
        <v>391</v>
      </c>
      <c r="BY196" s="25" t="s">
        <v>391</v>
      </c>
      <c r="BZ196" s="25" t="s">
        <v>391</v>
      </c>
      <c r="CA196" s="25" t="s">
        <v>391</v>
      </c>
      <c r="CB196" s="25" t="s">
        <v>391</v>
      </c>
      <c r="CC196" s="25" t="s">
        <v>391</v>
      </c>
      <c r="CD196" s="25" t="s">
        <v>391</v>
      </c>
      <c r="CE196" s="25" t="s">
        <v>391</v>
      </c>
      <c r="CF196" s="25" t="s">
        <v>391</v>
      </c>
      <c r="CG196" s="25" t="s">
        <v>392</v>
      </c>
      <c r="CH196" s="25" t="s">
        <v>393</v>
      </c>
      <c r="CI196" s="25" t="s">
        <v>420</v>
      </c>
      <c r="CJ196" s="25" t="s">
        <v>392</v>
      </c>
      <c r="CK196" s="25"/>
      <c r="CL196" s="25" t="s">
        <v>344</v>
      </c>
      <c r="CM196" s="25" t="s">
        <v>344</v>
      </c>
      <c r="CN196" s="25" t="s">
        <v>344</v>
      </c>
      <c r="CO196" s="25" t="s">
        <v>345</v>
      </c>
      <c r="CP196" s="25" t="s">
        <v>345</v>
      </c>
      <c r="CQ196" s="25" t="s">
        <v>344</v>
      </c>
      <c r="CR196" s="25" t="s">
        <v>667</v>
      </c>
      <c r="CS196" s="25">
        <v>69</v>
      </c>
      <c r="CT196" s="25">
        <v>28</v>
      </c>
      <c r="CU196" s="25">
        <v>78</v>
      </c>
      <c r="CV196" s="25">
        <v>21</v>
      </c>
      <c r="CW196" s="25" t="s">
        <v>364</v>
      </c>
      <c r="CX196" s="25" t="s">
        <v>396</v>
      </c>
      <c r="CY196" s="25" t="s">
        <v>396</v>
      </c>
      <c r="CZ196" s="25" t="s">
        <v>397</v>
      </c>
      <c r="DA196" s="25" t="s">
        <v>397</v>
      </c>
      <c r="DB196" s="25" t="s">
        <v>397</v>
      </c>
      <c r="DC196" s="25" t="s">
        <v>397</v>
      </c>
      <c r="DD196" s="25" t="s">
        <v>397</v>
      </c>
      <c r="DE196" s="25" t="s">
        <v>366</v>
      </c>
      <c r="DF196" s="25" t="s">
        <v>365</v>
      </c>
      <c r="DG196" s="25" t="s">
        <v>365</v>
      </c>
      <c r="DH196" s="25" t="s">
        <v>366</v>
      </c>
      <c r="DI196" s="25" t="s">
        <v>397</v>
      </c>
      <c r="DJ196" s="25"/>
      <c r="DK196" s="25" t="s">
        <v>367</v>
      </c>
      <c r="DL196" s="25" t="s">
        <v>368</v>
      </c>
      <c r="DM196" s="25" t="s">
        <v>368</v>
      </c>
      <c r="DN196" s="25" t="s">
        <v>368</v>
      </c>
      <c r="DO196" s="25" t="s">
        <v>368</v>
      </c>
      <c r="DP196" s="25" t="s">
        <v>345</v>
      </c>
      <c r="DQ196" s="25" t="s">
        <v>345</v>
      </c>
      <c r="DR196" s="25" t="s">
        <v>345</v>
      </c>
      <c r="DS196" s="25" t="s">
        <v>344</v>
      </c>
      <c r="DT196" s="25" t="s">
        <v>368</v>
      </c>
      <c r="DU196" s="25" t="s">
        <v>368</v>
      </c>
      <c r="DV196" s="25" t="s">
        <v>368</v>
      </c>
      <c r="DW196" s="25" t="s">
        <v>345</v>
      </c>
      <c r="DX196" s="25" t="s">
        <v>398</v>
      </c>
      <c r="DY196" s="25" t="s">
        <v>370</v>
      </c>
      <c r="DZ196" s="25" t="s">
        <v>370</v>
      </c>
      <c r="EA196" s="25" t="s">
        <v>371</v>
      </c>
      <c r="EB196" s="25" t="s">
        <v>370</v>
      </c>
      <c r="EC196" s="25" t="s">
        <v>370</v>
      </c>
      <c r="ED196" s="25" t="s">
        <v>370</v>
      </c>
      <c r="EE196" s="25" t="s">
        <v>370</v>
      </c>
      <c r="EF196" s="25" t="s">
        <v>370</v>
      </c>
      <c r="EG196" s="25" t="s">
        <v>371</v>
      </c>
      <c r="EH196" s="25" t="s">
        <v>370</v>
      </c>
      <c r="EI196" s="25" t="s">
        <v>371</v>
      </c>
      <c r="EJ196" s="25" t="s">
        <v>371</v>
      </c>
      <c r="EK196" s="25" t="s">
        <v>370</v>
      </c>
      <c r="EL196" s="25" t="s">
        <v>373</v>
      </c>
      <c r="EM196" s="25" t="s">
        <v>440</v>
      </c>
      <c r="EN196" s="25" t="s">
        <v>374</v>
      </c>
      <c r="EO196" s="25"/>
      <c r="EP196" s="25"/>
      <c r="EQ196" s="25" t="s">
        <v>391</v>
      </c>
      <c r="ER196" s="25" t="s">
        <v>391</v>
      </c>
      <c r="ES196" s="25" t="s">
        <v>391</v>
      </c>
      <c r="ET196" s="25" t="s">
        <v>391</v>
      </c>
      <c r="EU196" s="25" t="s">
        <v>391</v>
      </c>
      <c r="EV196" s="25" t="s">
        <v>400</v>
      </c>
      <c r="EW196" s="25"/>
      <c r="EX196" s="25" t="s">
        <v>368</v>
      </c>
      <c r="EY196" s="25" t="s">
        <v>368</v>
      </c>
      <c r="EZ196" s="25" t="s">
        <v>368</v>
      </c>
      <c r="FA196" s="25" t="s">
        <v>345</v>
      </c>
      <c r="FB196" s="25" t="s">
        <v>381</v>
      </c>
      <c r="FC196" s="25"/>
      <c r="FD196" s="25" t="s">
        <v>401</v>
      </c>
      <c r="FE196" s="25"/>
      <c r="FF196" s="25" t="s">
        <v>412</v>
      </c>
      <c r="FG196" s="25" t="s">
        <v>413</v>
      </c>
      <c r="FH196" s="25" t="s">
        <v>384</v>
      </c>
      <c r="FI196" s="25" t="s">
        <v>385</v>
      </c>
      <c r="FJ196" s="25"/>
      <c r="FK196" s="25"/>
      <c r="FL196" s="25"/>
      <c r="FM196" s="25"/>
      <c r="FN196" s="25"/>
      <c r="FO196" s="25"/>
      <c r="FP196" s="25"/>
      <c r="FQ196" s="25"/>
      <c r="FR196" s="25"/>
      <c r="FS196" s="25"/>
      <c r="FT196" s="25"/>
      <c r="FU196" s="25"/>
      <c r="FV196" s="25"/>
      <c r="FW196" s="25"/>
      <c r="FX196" s="25"/>
      <c r="FY196" s="25"/>
      <c r="FZ196" s="25"/>
      <c r="GA196" s="25" t="s">
        <v>368</v>
      </c>
      <c r="GB196" s="25" t="s">
        <v>368</v>
      </c>
      <c r="GC196" s="25" t="s">
        <v>368</v>
      </c>
      <c r="GD196" s="25" t="s">
        <v>368</v>
      </c>
      <c r="GE196" s="25" t="s">
        <v>368</v>
      </c>
      <c r="GF196" s="25" t="s">
        <v>368</v>
      </c>
      <c r="GG196" s="25"/>
      <c r="GH196" s="25"/>
      <c r="GI196" s="25"/>
      <c r="GJ196" s="25"/>
      <c r="GK196" s="25"/>
      <c r="GL196" s="25" t="s">
        <v>344</v>
      </c>
      <c r="GM196" s="25" t="s">
        <v>344</v>
      </c>
      <c r="GN196" s="25" t="s">
        <v>344</v>
      </c>
      <c r="GO196" s="25" t="s">
        <v>345</v>
      </c>
      <c r="GP196" s="25" t="s">
        <v>344</v>
      </c>
      <c r="GQ196" s="25" t="s">
        <v>344</v>
      </c>
      <c r="GR196" s="25" t="s">
        <v>344</v>
      </c>
      <c r="GS196" s="25" t="s">
        <v>344</v>
      </c>
      <c r="GT196" s="25" t="s">
        <v>344</v>
      </c>
      <c r="GU196" s="25" t="s">
        <v>344</v>
      </c>
      <c r="GV196" s="25" t="s">
        <v>344</v>
      </c>
      <c r="GW196" s="25" t="s">
        <v>344</v>
      </c>
      <c r="GX196" s="25" t="s">
        <v>344</v>
      </c>
      <c r="GY196" s="25" t="s">
        <v>344</v>
      </c>
      <c r="GZ196" s="25" t="s">
        <v>344</v>
      </c>
      <c r="HA196" s="25"/>
      <c r="HB196" s="25" t="s">
        <v>344</v>
      </c>
      <c r="HC196" s="25"/>
      <c r="HD196" s="25" t="s">
        <v>344</v>
      </c>
      <c r="HE196" s="25"/>
      <c r="HF196" s="25" t="s">
        <v>344</v>
      </c>
      <c r="HG196" s="25"/>
      <c r="HH196" s="25" t="s">
        <v>344</v>
      </c>
      <c r="HI196" s="25"/>
      <c r="HJ196" s="25" t="s">
        <v>344</v>
      </c>
      <c r="HK196" s="25" t="s">
        <v>344</v>
      </c>
      <c r="HL196" s="25" t="s">
        <v>344</v>
      </c>
      <c r="HM196" s="25" t="s">
        <v>344</v>
      </c>
      <c r="HN196" s="25" t="s">
        <v>344</v>
      </c>
      <c r="HO196" s="25" t="s">
        <v>344</v>
      </c>
      <c r="HP196" s="25" t="s">
        <v>344</v>
      </c>
      <c r="HQ196" s="25" t="s">
        <v>344</v>
      </c>
      <c r="HR196" s="25" t="s">
        <v>344</v>
      </c>
      <c r="HS196" s="25" t="s">
        <v>344</v>
      </c>
      <c r="HT196" s="25" t="s">
        <v>344</v>
      </c>
      <c r="HU196" s="25" t="s">
        <v>344</v>
      </c>
      <c r="HV196" s="25" t="s">
        <v>344</v>
      </c>
      <c r="HW196" s="25" t="s">
        <v>344</v>
      </c>
      <c r="HX196" s="25" t="s">
        <v>345</v>
      </c>
      <c r="HY196" s="25"/>
      <c r="HZ196" s="25" t="s">
        <v>344</v>
      </c>
      <c r="IA196" s="25"/>
      <c r="IB196" s="25" t="s">
        <v>344</v>
      </c>
      <c r="IC196" s="25"/>
      <c r="ID196" s="25" t="s">
        <v>344</v>
      </c>
      <c r="IE196" s="25"/>
      <c r="IF196" s="25" t="s">
        <v>344</v>
      </c>
      <c r="IG196" s="25"/>
      <c r="IH196" s="25" t="s">
        <v>345</v>
      </c>
      <c r="II196" s="25" t="s">
        <v>345</v>
      </c>
      <c r="IJ196" s="25" t="s">
        <v>344</v>
      </c>
      <c r="IK196" s="25" t="s">
        <v>344</v>
      </c>
      <c r="IL196" s="25" t="s">
        <v>345</v>
      </c>
      <c r="IM196" s="25" t="s">
        <v>345</v>
      </c>
      <c r="IN196" s="25" t="s">
        <v>344</v>
      </c>
      <c r="IO196" s="25" t="s">
        <v>345</v>
      </c>
      <c r="IP196" s="25" t="s">
        <v>344</v>
      </c>
      <c r="IQ196" s="25" t="s">
        <v>344</v>
      </c>
      <c r="IR196" s="25" t="s">
        <v>344</v>
      </c>
      <c r="IS196" s="25" t="s">
        <v>344</v>
      </c>
      <c r="IT196" s="25"/>
      <c r="IU196" s="25"/>
      <c r="IV196" s="25"/>
      <c r="IW196" s="25"/>
      <c r="IX196" s="25"/>
      <c r="IY196" s="25"/>
      <c r="IZ196" s="25"/>
      <c r="JA196" s="25"/>
      <c r="JB196" s="25"/>
      <c r="JC196" s="25"/>
      <c r="JD196" s="25"/>
      <c r="JE196" s="25"/>
      <c r="JF196" s="25"/>
      <c r="JG196" s="25"/>
      <c r="JH196" s="25"/>
    </row>
    <row r="197" spans="1:268" x14ac:dyDescent="0.3">
      <c r="A197" s="25" t="s">
        <v>338</v>
      </c>
      <c r="B197" s="25">
        <v>312</v>
      </c>
      <c r="C197" s="25" t="s">
        <v>1182</v>
      </c>
      <c r="D197" s="25">
        <v>14</v>
      </c>
      <c r="E197" s="25" t="s">
        <v>340</v>
      </c>
      <c r="F197" s="25">
        <v>244156759</v>
      </c>
      <c r="G197" s="25" t="s">
        <v>1183</v>
      </c>
      <c r="H197" s="25" t="s">
        <v>1182</v>
      </c>
      <c r="I197" s="25" t="s">
        <v>1179</v>
      </c>
      <c r="J197" s="25">
        <v>17</v>
      </c>
      <c r="K197" s="25" t="s">
        <v>389</v>
      </c>
      <c r="L197" s="25"/>
      <c r="M197" s="25" t="s">
        <v>344</v>
      </c>
      <c r="N197" s="25" t="s">
        <v>345</v>
      </c>
      <c r="O197" s="25" t="s">
        <v>344</v>
      </c>
      <c r="P197" s="25" t="s">
        <v>344</v>
      </c>
      <c r="Q197" s="25" t="s">
        <v>344</v>
      </c>
      <c r="R197" s="25"/>
      <c r="S197" s="25" t="s">
        <v>346</v>
      </c>
      <c r="T197" s="25"/>
      <c r="U197" s="25" t="s">
        <v>343</v>
      </c>
      <c r="V197" s="25" t="s">
        <v>1101</v>
      </c>
      <c r="W197" s="25" t="s">
        <v>344</v>
      </c>
      <c r="X197" s="25" t="s">
        <v>345</v>
      </c>
      <c r="Y197" s="25" t="s">
        <v>344</v>
      </c>
      <c r="Z197" s="25" t="s">
        <v>344</v>
      </c>
      <c r="AA197" s="25" t="s">
        <v>344</v>
      </c>
      <c r="AB197" s="25" t="s">
        <v>344</v>
      </c>
      <c r="AC197" s="25" t="s">
        <v>344</v>
      </c>
      <c r="AD197" s="25" t="s">
        <v>345</v>
      </c>
      <c r="AE197" s="25" t="s">
        <v>344</v>
      </c>
      <c r="AF197" s="25" t="s">
        <v>345</v>
      </c>
      <c r="AG197" s="25" t="s">
        <v>344</v>
      </c>
      <c r="AH197" s="25" t="s">
        <v>345</v>
      </c>
      <c r="AI197" s="25" t="s">
        <v>344</v>
      </c>
      <c r="AJ197" s="25" t="s">
        <v>344</v>
      </c>
      <c r="AK197" s="25" t="s">
        <v>344</v>
      </c>
      <c r="AL197" s="25" t="s">
        <v>344</v>
      </c>
      <c r="AM197" s="25" t="s">
        <v>344</v>
      </c>
      <c r="AN197" s="25" t="s">
        <v>344</v>
      </c>
      <c r="AO197" s="25" t="s">
        <v>344</v>
      </c>
      <c r="AP197" s="25" t="s">
        <v>345</v>
      </c>
      <c r="AQ197" s="25" t="s">
        <v>344</v>
      </c>
      <c r="AR197" s="25" t="s">
        <v>344</v>
      </c>
      <c r="AS197" s="25" t="s">
        <v>345</v>
      </c>
      <c r="AT197" s="25" t="s">
        <v>344</v>
      </c>
      <c r="AU197" s="25" t="s">
        <v>344</v>
      </c>
      <c r="AV197" s="25" t="s">
        <v>344</v>
      </c>
      <c r="AW197" s="25" t="s">
        <v>344</v>
      </c>
      <c r="AX197" s="25" t="s">
        <v>344</v>
      </c>
      <c r="AY197" s="25" t="s">
        <v>737</v>
      </c>
      <c r="AZ197" s="25" t="s">
        <v>733</v>
      </c>
      <c r="BA197" s="25" t="s">
        <v>737</v>
      </c>
      <c r="BB197" s="25" t="s">
        <v>737</v>
      </c>
      <c r="BC197" s="25" t="s">
        <v>737</v>
      </c>
      <c r="BD197" s="25" t="s">
        <v>737</v>
      </c>
      <c r="BE197" s="25" t="s">
        <v>349</v>
      </c>
      <c r="BF197" s="25" t="s">
        <v>349</v>
      </c>
      <c r="BG197" s="25" t="s">
        <v>390</v>
      </c>
      <c r="BH197" s="25" t="s">
        <v>349</v>
      </c>
      <c r="BI197" s="25" t="s">
        <v>348</v>
      </c>
      <c r="BJ197" s="25" t="s">
        <v>353</v>
      </c>
      <c r="BK197" s="25" t="s">
        <v>391</v>
      </c>
      <c r="BL197" s="25" t="s">
        <v>391</v>
      </c>
      <c r="BM197" s="25" t="s">
        <v>353</v>
      </c>
      <c r="BN197" s="25" t="s">
        <v>391</v>
      </c>
      <c r="BO197" s="25" t="s">
        <v>391</v>
      </c>
      <c r="BP197" s="25" t="s">
        <v>391</v>
      </c>
      <c r="BQ197" s="25" t="s">
        <v>419</v>
      </c>
      <c r="BR197" s="25" t="s">
        <v>408</v>
      </c>
      <c r="BS197" s="25" t="s">
        <v>391</v>
      </c>
      <c r="BT197" s="25" t="s">
        <v>391</v>
      </c>
      <c r="BU197" s="25" t="s">
        <v>391</v>
      </c>
      <c r="BV197" s="25" t="s">
        <v>391</v>
      </c>
      <c r="BW197" s="25" t="s">
        <v>391</v>
      </c>
      <c r="BX197" s="25" t="s">
        <v>391</v>
      </c>
      <c r="BY197" s="25" t="s">
        <v>391</v>
      </c>
      <c r="BZ197" s="25" t="s">
        <v>391</v>
      </c>
      <c r="CA197" s="25" t="s">
        <v>391</v>
      </c>
      <c r="CB197" s="25" t="s">
        <v>391</v>
      </c>
      <c r="CC197" s="25" t="s">
        <v>391</v>
      </c>
      <c r="CD197" s="25" t="s">
        <v>391</v>
      </c>
      <c r="CE197" s="25" t="s">
        <v>391</v>
      </c>
      <c r="CF197" s="25" t="s">
        <v>391</v>
      </c>
      <c r="CG197" s="25" t="s">
        <v>420</v>
      </c>
      <c r="CH197" s="25" t="s">
        <v>420</v>
      </c>
      <c r="CI197" s="25" t="s">
        <v>392</v>
      </c>
      <c r="CJ197" s="25" t="s">
        <v>420</v>
      </c>
      <c r="CK197" s="25" t="s">
        <v>1184</v>
      </c>
      <c r="CL197" s="25" t="s">
        <v>344</v>
      </c>
      <c r="CM197" s="25" t="s">
        <v>344</v>
      </c>
      <c r="CN197" s="25" t="s">
        <v>344</v>
      </c>
      <c r="CO197" s="25" t="s">
        <v>345</v>
      </c>
      <c r="CP197" s="25" t="s">
        <v>345</v>
      </c>
      <c r="CQ197" s="25" t="s">
        <v>344</v>
      </c>
      <c r="CR197" s="25" t="s">
        <v>672</v>
      </c>
      <c r="CS197" s="25">
        <v>70</v>
      </c>
      <c r="CT197" s="25">
        <v>19</v>
      </c>
      <c r="CU197" s="25">
        <v>93</v>
      </c>
      <c r="CV197" s="25">
        <v>73</v>
      </c>
      <c r="CW197" s="25" t="s">
        <v>395</v>
      </c>
      <c r="CX197" s="25" t="s">
        <v>395</v>
      </c>
      <c r="CY197" s="25" t="s">
        <v>396</v>
      </c>
      <c r="CZ197" s="25" t="s">
        <v>397</v>
      </c>
      <c r="DA197" s="25" t="s">
        <v>397</v>
      </c>
      <c r="DB197" s="25" t="s">
        <v>397</v>
      </c>
      <c r="DC197" s="25" t="s">
        <v>397</v>
      </c>
      <c r="DD197" s="25" t="s">
        <v>397</v>
      </c>
      <c r="DE197" s="25" t="s">
        <v>366</v>
      </c>
      <c r="DF197" s="25" t="s">
        <v>366</v>
      </c>
      <c r="DG197" s="25" t="s">
        <v>366</v>
      </c>
      <c r="DH197" s="25" t="s">
        <v>397</v>
      </c>
      <c r="DI197" s="25" t="s">
        <v>365</v>
      </c>
      <c r="DJ197" s="25" t="s">
        <v>1185</v>
      </c>
      <c r="DK197" s="25" t="s">
        <v>492</v>
      </c>
      <c r="DL197" s="25" t="s">
        <v>344</v>
      </c>
      <c r="DM197" s="25" t="s">
        <v>344</v>
      </c>
      <c r="DN197" s="25" t="s">
        <v>345</v>
      </c>
      <c r="DO197" s="25" t="s">
        <v>344</v>
      </c>
      <c r="DP197" s="25" t="s">
        <v>344</v>
      </c>
      <c r="DQ197" s="25" t="s">
        <v>344</v>
      </c>
      <c r="DR197" s="25" t="s">
        <v>345</v>
      </c>
      <c r="DS197" s="25" t="s">
        <v>344</v>
      </c>
      <c r="DT197" s="25" t="s">
        <v>344</v>
      </c>
      <c r="DU197" s="25" t="s">
        <v>345</v>
      </c>
      <c r="DV197" s="25" t="s">
        <v>345</v>
      </c>
      <c r="DW197" s="25" t="s">
        <v>344</v>
      </c>
      <c r="DX197" s="25" t="s">
        <v>369</v>
      </c>
      <c r="DY197" s="25" t="s">
        <v>371</v>
      </c>
      <c r="DZ197" s="25" t="s">
        <v>370</v>
      </c>
      <c r="EA197" s="25" t="s">
        <v>371</v>
      </c>
      <c r="EB197" s="25" t="s">
        <v>399</v>
      </c>
      <c r="EC197" s="25" t="s">
        <v>371</v>
      </c>
      <c r="ED197" s="25" t="s">
        <v>370</v>
      </c>
      <c r="EE197" s="25" t="s">
        <v>370</v>
      </c>
      <c r="EF197" s="25" t="s">
        <v>370</v>
      </c>
      <c r="EG197" s="25" t="s">
        <v>370</v>
      </c>
      <c r="EH197" s="25" t="s">
        <v>370</v>
      </c>
      <c r="EI197" s="25" t="s">
        <v>370</v>
      </c>
      <c r="EJ197" s="25" t="s">
        <v>370</v>
      </c>
      <c r="EK197" s="25" t="s">
        <v>370</v>
      </c>
      <c r="EL197" s="25" t="s">
        <v>373</v>
      </c>
      <c r="EM197" s="25" t="s">
        <v>424</v>
      </c>
      <c r="EN197" s="25" t="s">
        <v>440</v>
      </c>
      <c r="EO197" s="25"/>
      <c r="EP197" s="25"/>
      <c r="EQ197" s="25" t="s">
        <v>378</v>
      </c>
      <c r="ER197" s="25" t="s">
        <v>375</v>
      </c>
      <c r="ES197" s="25" t="s">
        <v>375</v>
      </c>
      <c r="ET197" s="25" t="s">
        <v>378</v>
      </c>
      <c r="EU197" s="25" t="s">
        <v>378</v>
      </c>
      <c r="EV197" s="25" t="s">
        <v>400</v>
      </c>
      <c r="EW197" s="25"/>
      <c r="EX197" s="25" t="s">
        <v>368</v>
      </c>
      <c r="EY197" s="25" t="s">
        <v>368</v>
      </c>
      <c r="EZ197" s="25" t="s">
        <v>368</v>
      </c>
      <c r="FA197" s="25" t="s">
        <v>345</v>
      </c>
      <c r="FB197" s="25" t="s">
        <v>381</v>
      </c>
      <c r="FC197" s="25"/>
      <c r="FD197" s="25" t="s">
        <v>401</v>
      </c>
      <c r="FE197" s="25"/>
      <c r="FF197" s="25" t="s">
        <v>412</v>
      </c>
      <c r="FG197" s="25" t="s">
        <v>413</v>
      </c>
      <c r="FH197" s="25" t="s">
        <v>384</v>
      </c>
      <c r="FI197" s="25" t="s">
        <v>385</v>
      </c>
      <c r="FJ197" s="25"/>
      <c r="FK197" s="25"/>
      <c r="FL197" s="25"/>
      <c r="FM197" s="25"/>
      <c r="FN197" s="25"/>
      <c r="FO197" s="25"/>
      <c r="FP197" s="25"/>
      <c r="FQ197" s="25"/>
      <c r="FR197" s="25"/>
      <c r="FS197" s="25"/>
      <c r="FT197" s="25"/>
      <c r="FU197" s="25"/>
      <c r="FV197" s="25"/>
      <c r="FW197" s="25"/>
      <c r="FX197" s="25"/>
      <c r="FY197" s="25"/>
      <c r="FZ197" s="25"/>
      <c r="GA197" s="25" t="s">
        <v>368</v>
      </c>
      <c r="GB197" s="25" t="s">
        <v>368</v>
      </c>
      <c r="GC197" s="25" t="s">
        <v>368</v>
      </c>
      <c r="GD197" s="25" t="s">
        <v>368</v>
      </c>
      <c r="GE197" s="25" t="s">
        <v>368</v>
      </c>
      <c r="GF197" s="25" t="s">
        <v>368</v>
      </c>
      <c r="GG197" s="25"/>
      <c r="GH197" s="25"/>
      <c r="GI197" s="25"/>
      <c r="GJ197" s="25"/>
      <c r="GK197" s="25"/>
      <c r="GL197" s="25" t="s">
        <v>344</v>
      </c>
      <c r="GM197" s="25" t="s">
        <v>344</v>
      </c>
      <c r="GN197" s="25" t="s">
        <v>344</v>
      </c>
      <c r="GO197" s="25" t="s">
        <v>344</v>
      </c>
      <c r="GP197" s="25" t="s">
        <v>344</v>
      </c>
      <c r="GQ197" s="25" t="s">
        <v>344</v>
      </c>
      <c r="GR197" s="25" t="s">
        <v>344</v>
      </c>
      <c r="GS197" s="25" t="s">
        <v>344</v>
      </c>
      <c r="GT197" s="25" t="s">
        <v>344</v>
      </c>
      <c r="GU197" s="25" t="s">
        <v>344</v>
      </c>
      <c r="GV197" s="25" t="s">
        <v>344</v>
      </c>
      <c r="GW197" s="25" t="s">
        <v>344</v>
      </c>
      <c r="GX197" s="25" t="s">
        <v>344</v>
      </c>
      <c r="GY197" s="25" t="s">
        <v>344</v>
      </c>
      <c r="GZ197" s="25" t="s">
        <v>345</v>
      </c>
      <c r="HA197" s="25" t="s">
        <v>1186</v>
      </c>
      <c r="HB197" s="25" t="s">
        <v>344</v>
      </c>
      <c r="HC197" s="25"/>
      <c r="HD197" s="25" t="s">
        <v>344</v>
      </c>
      <c r="HE197" s="25"/>
      <c r="HF197" s="25" t="s">
        <v>344</v>
      </c>
      <c r="HG197" s="25"/>
      <c r="HH197" s="25" t="s">
        <v>344</v>
      </c>
      <c r="HI197" s="25"/>
      <c r="HJ197" s="25" t="s">
        <v>344</v>
      </c>
      <c r="HK197" s="25" t="s">
        <v>344</v>
      </c>
      <c r="HL197" s="25" t="s">
        <v>344</v>
      </c>
      <c r="HM197" s="25" t="s">
        <v>344</v>
      </c>
      <c r="HN197" s="25" t="s">
        <v>344</v>
      </c>
      <c r="HO197" s="25" t="s">
        <v>344</v>
      </c>
      <c r="HP197" s="25" t="s">
        <v>344</v>
      </c>
      <c r="HQ197" s="25" t="s">
        <v>344</v>
      </c>
      <c r="HR197" s="25" t="s">
        <v>344</v>
      </c>
      <c r="HS197" s="25" t="s">
        <v>344</v>
      </c>
      <c r="HT197" s="25" t="s">
        <v>344</v>
      </c>
      <c r="HU197" s="25" t="s">
        <v>344</v>
      </c>
      <c r="HV197" s="25" t="s">
        <v>344</v>
      </c>
      <c r="HW197" s="25" t="s">
        <v>344</v>
      </c>
      <c r="HX197" s="25" t="s">
        <v>344</v>
      </c>
      <c r="HY197" s="25" t="s">
        <v>843</v>
      </c>
      <c r="HZ197" s="25" t="s">
        <v>344</v>
      </c>
      <c r="IA197" s="25"/>
      <c r="IB197" s="25" t="s">
        <v>344</v>
      </c>
      <c r="IC197" s="25"/>
      <c r="ID197" s="25" t="s">
        <v>344</v>
      </c>
      <c r="IE197" s="25"/>
      <c r="IF197" s="25" t="s">
        <v>344</v>
      </c>
      <c r="IG197" s="25"/>
      <c r="IH197" s="25" t="s">
        <v>345</v>
      </c>
      <c r="II197" s="25" t="s">
        <v>345</v>
      </c>
      <c r="IJ197" s="25" t="s">
        <v>344</v>
      </c>
      <c r="IK197" s="25" t="s">
        <v>345</v>
      </c>
      <c r="IL197" s="25" t="s">
        <v>345</v>
      </c>
      <c r="IM197" s="25" t="s">
        <v>345</v>
      </c>
      <c r="IN197" s="25" t="s">
        <v>344</v>
      </c>
      <c r="IO197" s="25" t="s">
        <v>345</v>
      </c>
      <c r="IP197" s="25" t="s">
        <v>344</v>
      </c>
      <c r="IQ197" s="25" t="s">
        <v>344</v>
      </c>
      <c r="IR197" s="25" t="s">
        <v>345</v>
      </c>
      <c r="IS197" s="25" t="s">
        <v>344</v>
      </c>
      <c r="IT197" s="25"/>
      <c r="IU197" s="25"/>
      <c r="IV197" s="25"/>
      <c r="IW197" s="25"/>
      <c r="IX197" s="25"/>
      <c r="IY197" s="25"/>
      <c r="IZ197" s="25"/>
      <c r="JA197" s="25"/>
      <c r="JB197" s="25"/>
      <c r="JC197" s="25"/>
      <c r="JD197" s="25"/>
      <c r="JE197" s="25"/>
      <c r="JF197" s="25"/>
      <c r="JG197" s="25"/>
      <c r="JH197" s="25"/>
    </row>
    <row r="198" spans="1:268" x14ac:dyDescent="0.3">
      <c r="A198" s="25" t="s">
        <v>338</v>
      </c>
      <c r="B198" s="25">
        <v>314</v>
      </c>
      <c r="C198" s="25" t="s">
        <v>1187</v>
      </c>
      <c r="D198" s="25">
        <v>14</v>
      </c>
      <c r="E198" s="25" t="s">
        <v>340</v>
      </c>
      <c r="F198" s="25">
        <v>122272773</v>
      </c>
      <c r="G198" s="25" t="s">
        <v>1188</v>
      </c>
      <c r="H198" s="25" t="s">
        <v>1187</v>
      </c>
      <c r="I198" s="25" t="s">
        <v>1189</v>
      </c>
      <c r="J198" s="25">
        <v>17</v>
      </c>
      <c r="K198" s="25" t="s">
        <v>406</v>
      </c>
      <c r="L198" s="25"/>
      <c r="M198" s="25" t="s">
        <v>344</v>
      </c>
      <c r="N198" s="25" t="s">
        <v>345</v>
      </c>
      <c r="O198" s="25" t="s">
        <v>344</v>
      </c>
      <c r="P198" s="25" t="s">
        <v>344</v>
      </c>
      <c r="Q198" s="25" t="s">
        <v>344</v>
      </c>
      <c r="R198" s="25"/>
      <c r="S198" s="25" t="s">
        <v>346</v>
      </c>
      <c r="T198" s="25"/>
      <c r="U198" s="25" t="s">
        <v>418</v>
      </c>
      <c r="V198" s="25"/>
      <c r="W198" s="25" t="s">
        <v>344</v>
      </c>
      <c r="X198" s="25" t="s">
        <v>344</v>
      </c>
      <c r="Y198" s="25" t="s">
        <v>345</v>
      </c>
      <c r="Z198" s="25" t="s">
        <v>344</v>
      </c>
      <c r="AA198" s="25" t="s">
        <v>344</v>
      </c>
      <c r="AB198" s="25" t="s">
        <v>344</v>
      </c>
      <c r="AC198" s="25" t="s">
        <v>344</v>
      </c>
      <c r="AD198" s="25" t="s">
        <v>344</v>
      </c>
      <c r="AE198" s="25" t="s">
        <v>345</v>
      </c>
      <c r="AF198" s="25" t="s">
        <v>344</v>
      </c>
      <c r="AG198" s="25" t="s">
        <v>344</v>
      </c>
      <c r="AH198" s="25" t="s">
        <v>344</v>
      </c>
      <c r="AI198" s="25" t="s">
        <v>345</v>
      </c>
      <c r="AJ198" s="25" t="s">
        <v>344</v>
      </c>
      <c r="AK198" s="25" t="s">
        <v>345</v>
      </c>
      <c r="AL198" s="25" t="s">
        <v>344</v>
      </c>
      <c r="AM198" s="25" t="s">
        <v>344</v>
      </c>
      <c r="AN198" s="25" t="s">
        <v>344</v>
      </c>
      <c r="AO198" s="25" t="s">
        <v>345</v>
      </c>
      <c r="AP198" s="25" t="s">
        <v>344</v>
      </c>
      <c r="AQ198" s="25" t="s">
        <v>344</v>
      </c>
      <c r="AR198" s="25" t="s">
        <v>344</v>
      </c>
      <c r="AS198" s="25" t="s">
        <v>344</v>
      </c>
      <c r="AT198" s="25" t="s">
        <v>345</v>
      </c>
      <c r="AU198" s="25" t="s">
        <v>345</v>
      </c>
      <c r="AV198" s="25" t="s">
        <v>344</v>
      </c>
      <c r="AW198" s="25" t="s">
        <v>344</v>
      </c>
      <c r="AX198" s="25" t="s">
        <v>344</v>
      </c>
      <c r="AY198" s="25" t="s">
        <v>731</v>
      </c>
      <c r="AZ198" s="25" t="s">
        <v>733</v>
      </c>
      <c r="BA198" s="25" t="s">
        <v>731</v>
      </c>
      <c r="BB198" s="25" t="s">
        <v>733</v>
      </c>
      <c r="BC198" s="25" t="s">
        <v>731</v>
      </c>
      <c r="BD198" s="25" t="s">
        <v>731</v>
      </c>
      <c r="BE198" s="25" t="s">
        <v>349</v>
      </c>
      <c r="BF198" s="25" t="s">
        <v>348</v>
      </c>
      <c r="BG198" s="25" t="s">
        <v>349</v>
      </c>
      <c r="BH198" s="25" t="s">
        <v>348</v>
      </c>
      <c r="BI198" s="25" t="s">
        <v>348</v>
      </c>
      <c r="BJ198" s="25" t="s">
        <v>353</v>
      </c>
      <c r="BK198" s="25" t="s">
        <v>352</v>
      </c>
      <c r="BL198" s="25" t="s">
        <v>357</v>
      </c>
      <c r="BM198" s="25" t="s">
        <v>357</v>
      </c>
      <c r="BN198" s="25" t="s">
        <v>351</v>
      </c>
      <c r="BO198" s="25" t="s">
        <v>356</v>
      </c>
      <c r="BP198" s="25" t="s">
        <v>357</v>
      </c>
      <c r="BQ198" s="25" t="s">
        <v>358</v>
      </c>
      <c r="BR198" s="25" t="s">
        <v>429</v>
      </c>
      <c r="BS198" s="25" t="s">
        <v>354</v>
      </c>
      <c r="BT198" s="25" t="s">
        <v>356</v>
      </c>
      <c r="BU198" s="25" t="s">
        <v>356</v>
      </c>
      <c r="BV198" s="25" t="s">
        <v>352</v>
      </c>
      <c r="BW198" s="25" t="s">
        <v>357</v>
      </c>
      <c r="BX198" s="25" t="s">
        <v>351</v>
      </c>
      <c r="BY198" s="25" t="s">
        <v>353</v>
      </c>
      <c r="BZ198" s="25" t="s">
        <v>352</v>
      </c>
      <c r="CA198" s="25" t="s">
        <v>356</v>
      </c>
      <c r="CB198" s="25" t="s">
        <v>357</v>
      </c>
      <c r="CC198" s="25" t="s">
        <v>356</v>
      </c>
      <c r="CD198" s="25" t="s">
        <v>354</v>
      </c>
      <c r="CE198" s="25" t="s">
        <v>353</v>
      </c>
      <c r="CF198" s="25" t="s">
        <v>352</v>
      </c>
      <c r="CG198" s="25" t="s">
        <v>420</v>
      </c>
      <c r="CH198" s="25" t="s">
        <v>420</v>
      </c>
      <c r="CI198" s="25" t="s">
        <v>393</v>
      </c>
      <c r="CJ198" s="25" t="s">
        <v>420</v>
      </c>
      <c r="CK198" s="25"/>
      <c r="CL198" s="25" t="s">
        <v>345</v>
      </c>
      <c r="CM198" s="25" t="s">
        <v>344</v>
      </c>
      <c r="CN198" s="25" t="s">
        <v>344</v>
      </c>
      <c r="CO198" s="25" t="s">
        <v>344</v>
      </c>
      <c r="CP198" s="25" t="s">
        <v>345</v>
      </c>
      <c r="CQ198" s="25" t="s">
        <v>344</v>
      </c>
      <c r="CR198" s="25" t="s">
        <v>655</v>
      </c>
      <c r="CS198" s="25">
        <v>56</v>
      </c>
      <c r="CT198" s="25">
        <v>35</v>
      </c>
      <c r="CU198" s="25">
        <v>71</v>
      </c>
      <c r="CV198" s="25">
        <v>11</v>
      </c>
      <c r="CW198" s="25" t="s">
        <v>363</v>
      </c>
      <c r="CX198" s="25" t="s">
        <v>395</v>
      </c>
      <c r="CY198" s="25" t="s">
        <v>395</v>
      </c>
      <c r="CZ198" s="25" t="s">
        <v>366</v>
      </c>
      <c r="DA198" s="25" t="s">
        <v>397</v>
      </c>
      <c r="DB198" s="25" t="s">
        <v>366</v>
      </c>
      <c r="DC198" s="25" t="s">
        <v>397</v>
      </c>
      <c r="DD198" s="25" t="s">
        <v>397</v>
      </c>
      <c r="DE198" s="25" t="s">
        <v>365</v>
      </c>
      <c r="DF198" s="25" t="s">
        <v>423</v>
      </c>
      <c r="DG198" s="25" t="s">
        <v>366</v>
      </c>
      <c r="DH198" s="25" t="s">
        <v>397</v>
      </c>
      <c r="DI198" s="25" t="s">
        <v>366</v>
      </c>
      <c r="DJ198" s="25"/>
      <c r="DK198" s="25" t="s">
        <v>492</v>
      </c>
      <c r="DL198" s="25" t="s">
        <v>368</v>
      </c>
      <c r="DM198" s="25" t="s">
        <v>368</v>
      </c>
      <c r="DN198" s="25" t="s">
        <v>368</v>
      </c>
      <c r="DO198" s="25" t="s">
        <v>345</v>
      </c>
      <c r="DP198" s="25" t="s">
        <v>368</v>
      </c>
      <c r="DQ198" s="25" t="s">
        <v>368</v>
      </c>
      <c r="DR198" s="25" t="s">
        <v>368</v>
      </c>
      <c r="DS198" s="25" t="s">
        <v>345</v>
      </c>
      <c r="DT198" s="25" t="s">
        <v>345</v>
      </c>
      <c r="DU198" s="25" t="s">
        <v>344</v>
      </c>
      <c r="DV198" s="25" t="s">
        <v>344</v>
      </c>
      <c r="DW198" s="25" t="s">
        <v>344</v>
      </c>
      <c r="DX198" s="25" t="s">
        <v>369</v>
      </c>
      <c r="DY198" s="25" t="s">
        <v>370</v>
      </c>
      <c r="DZ198" s="25" t="s">
        <v>371</v>
      </c>
      <c r="EA198" s="25" t="s">
        <v>398</v>
      </c>
      <c r="EB198" s="25" t="s">
        <v>371</v>
      </c>
      <c r="EC198" s="25" t="s">
        <v>371</v>
      </c>
      <c r="ED198" s="25" t="s">
        <v>370</v>
      </c>
      <c r="EE198" s="25" t="s">
        <v>370</v>
      </c>
      <c r="EF198" s="25" t="s">
        <v>370</v>
      </c>
      <c r="EG198" s="25" t="s">
        <v>370</v>
      </c>
      <c r="EH198" s="25" t="s">
        <v>370</v>
      </c>
      <c r="EI198" s="25" t="s">
        <v>370</v>
      </c>
      <c r="EJ198" s="25" t="s">
        <v>370</v>
      </c>
      <c r="EK198" s="25" t="s">
        <v>371</v>
      </c>
      <c r="EL198" s="25" t="s">
        <v>373</v>
      </c>
      <c r="EM198" s="25" t="s">
        <v>424</v>
      </c>
      <c r="EN198" s="25" t="s">
        <v>372</v>
      </c>
      <c r="EO198" s="25"/>
      <c r="EP198" s="25"/>
      <c r="EQ198" s="25" t="s">
        <v>378</v>
      </c>
      <c r="ER198" s="25" t="s">
        <v>375</v>
      </c>
      <c r="ES198" s="25" t="s">
        <v>376</v>
      </c>
      <c r="ET198" s="25" t="s">
        <v>375</v>
      </c>
      <c r="EU198" s="25" t="s">
        <v>375</v>
      </c>
      <c r="EV198" s="25" t="s">
        <v>400</v>
      </c>
      <c r="EW198" s="25"/>
      <c r="EX198" s="25" t="s">
        <v>368</v>
      </c>
      <c r="EY198" s="25" t="s">
        <v>368</v>
      </c>
      <c r="EZ198" s="25" t="s">
        <v>368</v>
      </c>
      <c r="FA198" s="25" t="s">
        <v>345</v>
      </c>
      <c r="FB198" s="25" t="s">
        <v>380</v>
      </c>
      <c r="FC198" s="25"/>
      <c r="FD198" s="25" t="s">
        <v>401</v>
      </c>
      <c r="FE198" s="25"/>
      <c r="FF198" s="25" t="s">
        <v>412</v>
      </c>
      <c r="FG198" s="25" t="s">
        <v>402</v>
      </c>
      <c r="FH198" s="25" t="s">
        <v>384</v>
      </c>
      <c r="FI198" s="25" t="s">
        <v>403</v>
      </c>
      <c r="FJ198" s="25"/>
      <c r="FK198" s="25"/>
      <c r="FL198" s="25"/>
      <c r="FM198" s="25"/>
      <c r="FN198" s="25"/>
      <c r="FO198" s="25"/>
      <c r="FP198" s="25"/>
      <c r="FQ198" s="25"/>
      <c r="FR198" s="25"/>
      <c r="FS198" s="25"/>
      <c r="FT198" s="25"/>
      <c r="FU198" s="25"/>
      <c r="FV198" s="25"/>
      <c r="FW198" s="25"/>
      <c r="FX198" s="25"/>
      <c r="FY198" s="25"/>
      <c r="FZ198" s="25"/>
      <c r="GA198" s="25" t="s">
        <v>368</v>
      </c>
      <c r="GB198" s="25" t="s">
        <v>368</v>
      </c>
      <c r="GC198" s="25" t="s">
        <v>368</v>
      </c>
      <c r="GD198" s="25" t="s">
        <v>368</v>
      </c>
      <c r="GE198" s="25" t="s">
        <v>368</v>
      </c>
      <c r="GF198" s="25" t="s">
        <v>368</v>
      </c>
      <c r="GG198" s="25"/>
      <c r="GH198" s="25"/>
      <c r="GI198" s="25"/>
      <c r="GJ198" s="25"/>
      <c r="GK198" s="25"/>
      <c r="GL198" s="25" t="s">
        <v>344</v>
      </c>
      <c r="GM198" s="25" t="s">
        <v>344</v>
      </c>
      <c r="GN198" s="25" t="s">
        <v>344</v>
      </c>
      <c r="GO198" s="25" t="s">
        <v>344</v>
      </c>
      <c r="GP198" s="25" t="s">
        <v>344</v>
      </c>
      <c r="GQ198" s="25" t="s">
        <v>344</v>
      </c>
      <c r="GR198" s="25" t="s">
        <v>344</v>
      </c>
      <c r="GS198" s="25" t="s">
        <v>344</v>
      </c>
      <c r="GT198" s="25" t="s">
        <v>344</v>
      </c>
      <c r="GU198" s="25" t="s">
        <v>344</v>
      </c>
      <c r="GV198" s="25" t="s">
        <v>345</v>
      </c>
      <c r="GW198" s="25" t="s">
        <v>344</v>
      </c>
      <c r="GX198" s="25" t="s">
        <v>344</v>
      </c>
      <c r="GY198" s="25" t="s">
        <v>344</v>
      </c>
      <c r="GZ198" s="25" t="s">
        <v>344</v>
      </c>
      <c r="HA198" s="25"/>
      <c r="HB198" s="25" t="s">
        <v>344</v>
      </c>
      <c r="HC198" s="25"/>
      <c r="HD198" s="25" t="s">
        <v>344</v>
      </c>
      <c r="HE198" s="25"/>
      <c r="HF198" s="25" t="s">
        <v>344</v>
      </c>
      <c r="HG198" s="25"/>
      <c r="HH198" s="25" t="s">
        <v>344</v>
      </c>
      <c r="HI198" s="25"/>
      <c r="HJ198" s="25" t="s">
        <v>344</v>
      </c>
      <c r="HK198" s="25" t="s">
        <v>344</v>
      </c>
      <c r="HL198" s="25" t="s">
        <v>344</v>
      </c>
      <c r="HM198" s="25" t="s">
        <v>344</v>
      </c>
      <c r="HN198" s="25" t="s">
        <v>344</v>
      </c>
      <c r="HO198" s="25" t="s">
        <v>344</v>
      </c>
      <c r="HP198" s="25" t="s">
        <v>344</v>
      </c>
      <c r="HQ198" s="25" t="s">
        <v>344</v>
      </c>
      <c r="HR198" s="25" t="s">
        <v>344</v>
      </c>
      <c r="HS198" s="25" t="s">
        <v>344</v>
      </c>
      <c r="HT198" s="25" t="s">
        <v>344</v>
      </c>
      <c r="HU198" s="25" t="s">
        <v>344</v>
      </c>
      <c r="HV198" s="25" t="s">
        <v>344</v>
      </c>
      <c r="HW198" s="25" t="s">
        <v>344</v>
      </c>
      <c r="HX198" s="25" t="s">
        <v>345</v>
      </c>
      <c r="HY198" s="25"/>
      <c r="HZ198" s="25" t="s">
        <v>344</v>
      </c>
      <c r="IA198" s="25"/>
      <c r="IB198" s="25" t="s">
        <v>344</v>
      </c>
      <c r="IC198" s="25"/>
      <c r="ID198" s="25" t="s">
        <v>344</v>
      </c>
      <c r="IE198" s="25"/>
      <c r="IF198" s="25" t="s">
        <v>344</v>
      </c>
      <c r="IG198" s="25"/>
      <c r="IH198" s="25" t="s">
        <v>345</v>
      </c>
      <c r="II198" s="25" t="s">
        <v>345</v>
      </c>
      <c r="IJ198" s="25" t="s">
        <v>345</v>
      </c>
      <c r="IK198" s="25" t="s">
        <v>344</v>
      </c>
      <c r="IL198" s="25" t="s">
        <v>345</v>
      </c>
      <c r="IM198" s="25" t="s">
        <v>345</v>
      </c>
      <c r="IN198" s="25" t="s">
        <v>344</v>
      </c>
      <c r="IO198" s="25" t="s">
        <v>345</v>
      </c>
      <c r="IP198" s="25" t="s">
        <v>344</v>
      </c>
      <c r="IQ198" s="25" t="s">
        <v>344</v>
      </c>
      <c r="IR198" s="25" t="s">
        <v>344</v>
      </c>
      <c r="IS198" s="25" t="s">
        <v>344</v>
      </c>
      <c r="IT198" s="25"/>
      <c r="IU198" s="25"/>
      <c r="IV198" s="25"/>
      <c r="IW198" s="25"/>
      <c r="IX198" s="25"/>
      <c r="IY198" s="25"/>
      <c r="IZ198" s="25"/>
      <c r="JA198" s="25"/>
      <c r="JB198" s="25"/>
      <c r="JC198" s="25"/>
      <c r="JD198" s="25"/>
      <c r="JE198" s="25"/>
      <c r="JF198" s="25"/>
      <c r="JG198" s="25"/>
      <c r="JH198" s="25"/>
    </row>
    <row r="199" spans="1:268" x14ac:dyDescent="0.3">
      <c r="A199" s="25" t="s">
        <v>338</v>
      </c>
      <c r="B199" s="25">
        <v>315</v>
      </c>
      <c r="C199" s="25" t="s">
        <v>1190</v>
      </c>
      <c r="D199" s="25">
        <v>14</v>
      </c>
      <c r="E199" s="25" t="s">
        <v>340</v>
      </c>
      <c r="F199" s="25">
        <v>2009293055</v>
      </c>
      <c r="G199" s="25" t="s">
        <v>1191</v>
      </c>
      <c r="H199" s="25" t="s">
        <v>1190</v>
      </c>
      <c r="I199" s="25" t="s">
        <v>1189</v>
      </c>
      <c r="J199" s="25">
        <v>18</v>
      </c>
      <c r="K199" s="25" t="s">
        <v>406</v>
      </c>
      <c r="L199" s="25"/>
      <c r="M199" s="25" t="s">
        <v>344</v>
      </c>
      <c r="N199" s="25" t="s">
        <v>345</v>
      </c>
      <c r="O199" s="25" t="s">
        <v>344</v>
      </c>
      <c r="P199" s="25" t="s">
        <v>344</v>
      </c>
      <c r="Q199" s="25" t="s">
        <v>344</v>
      </c>
      <c r="R199" s="25"/>
      <c r="S199" s="25" t="s">
        <v>346</v>
      </c>
      <c r="T199" s="25"/>
      <c r="U199" s="25" t="s">
        <v>347</v>
      </c>
      <c r="V199" s="25"/>
      <c r="W199" s="25" t="s">
        <v>345</v>
      </c>
      <c r="X199" s="25" t="s">
        <v>345</v>
      </c>
      <c r="Y199" s="25" t="s">
        <v>344</v>
      </c>
      <c r="Z199" s="25" t="s">
        <v>345</v>
      </c>
      <c r="AA199" s="25" t="s">
        <v>344</v>
      </c>
      <c r="AB199" s="25" t="s">
        <v>344</v>
      </c>
      <c r="AC199" s="25" t="s">
        <v>344</v>
      </c>
      <c r="AD199" s="25" t="s">
        <v>344</v>
      </c>
      <c r="AE199" s="25" t="s">
        <v>345</v>
      </c>
      <c r="AF199" s="25" t="s">
        <v>345</v>
      </c>
      <c r="AG199" s="25" t="s">
        <v>345</v>
      </c>
      <c r="AH199" s="25" t="s">
        <v>344</v>
      </c>
      <c r="AI199" s="25" t="s">
        <v>345</v>
      </c>
      <c r="AJ199" s="25" t="s">
        <v>344</v>
      </c>
      <c r="AK199" s="25" t="s">
        <v>345</v>
      </c>
      <c r="AL199" s="25" t="s">
        <v>344</v>
      </c>
      <c r="AM199" s="25" t="s">
        <v>344</v>
      </c>
      <c r="AN199" s="25" t="s">
        <v>345</v>
      </c>
      <c r="AO199" s="25" t="s">
        <v>344</v>
      </c>
      <c r="AP199" s="25" t="s">
        <v>344</v>
      </c>
      <c r="AQ199" s="25" t="s">
        <v>344</v>
      </c>
      <c r="AR199" s="25" t="s">
        <v>345</v>
      </c>
      <c r="AS199" s="25" t="s">
        <v>344</v>
      </c>
      <c r="AT199" s="25" t="s">
        <v>344</v>
      </c>
      <c r="AU199" s="25" t="s">
        <v>344</v>
      </c>
      <c r="AV199" s="25" t="s">
        <v>344</v>
      </c>
      <c r="AW199" s="25" t="s">
        <v>344</v>
      </c>
      <c r="AX199" s="25" t="s">
        <v>344</v>
      </c>
      <c r="AY199" s="25" t="s">
        <v>737</v>
      </c>
      <c r="AZ199" s="25" t="s">
        <v>733</v>
      </c>
      <c r="BA199" s="25" t="s">
        <v>737</v>
      </c>
      <c r="BB199" s="25" t="s">
        <v>731</v>
      </c>
      <c r="BC199" s="25" t="s">
        <v>731</v>
      </c>
      <c r="BD199" s="25" t="s">
        <v>733</v>
      </c>
      <c r="BE199" s="25" t="s">
        <v>348</v>
      </c>
      <c r="BF199" s="25" t="s">
        <v>348</v>
      </c>
      <c r="BG199" s="25" t="s">
        <v>348</v>
      </c>
      <c r="BH199" s="25" t="s">
        <v>348</v>
      </c>
      <c r="BI199" s="25" t="s">
        <v>348</v>
      </c>
      <c r="BJ199" s="25" t="s">
        <v>356</v>
      </c>
      <c r="BK199" s="25" t="s">
        <v>356</v>
      </c>
      <c r="BL199" s="25" t="s">
        <v>353</v>
      </c>
      <c r="BM199" s="25" t="s">
        <v>353</v>
      </c>
      <c r="BN199" s="25" t="s">
        <v>353</v>
      </c>
      <c r="BO199" s="25" t="s">
        <v>356</v>
      </c>
      <c r="BP199" s="25" t="s">
        <v>353</v>
      </c>
      <c r="BQ199" s="25" t="s">
        <v>407</v>
      </c>
      <c r="BR199" s="25" t="s">
        <v>408</v>
      </c>
      <c r="BS199" s="25" t="s">
        <v>351</v>
      </c>
      <c r="BT199" s="25" t="s">
        <v>354</v>
      </c>
      <c r="BU199" s="25" t="s">
        <v>351</v>
      </c>
      <c r="BV199" s="25" t="s">
        <v>351</v>
      </c>
      <c r="BW199" s="25" t="s">
        <v>357</v>
      </c>
      <c r="BX199" s="25" t="s">
        <v>351</v>
      </c>
      <c r="BY199" s="25" t="s">
        <v>351</v>
      </c>
      <c r="BZ199" s="25" t="s">
        <v>357</v>
      </c>
      <c r="CA199" s="25" t="s">
        <v>356</v>
      </c>
      <c r="CB199" s="25" t="s">
        <v>351</v>
      </c>
      <c r="CC199" s="25" t="s">
        <v>355</v>
      </c>
      <c r="CD199" s="25" t="s">
        <v>356</v>
      </c>
      <c r="CE199" s="25" t="s">
        <v>354</v>
      </c>
      <c r="CF199" s="25" t="s">
        <v>352</v>
      </c>
      <c r="CG199" s="25" t="s">
        <v>420</v>
      </c>
      <c r="CH199" s="25" t="s">
        <v>360</v>
      </c>
      <c r="CI199" s="25" t="s">
        <v>360</v>
      </c>
      <c r="CJ199" s="25" t="s">
        <v>360</v>
      </c>
      <c r="CK199" s="25" t="s">
        <v>1192</v>
      </c>
      <c r="CL199" s="25" t="s">
        <v>344</v>
      </c>
      <c r="CM199" s="25" t="s">
        <v>344</v>
      </c>
      <c r="CN199" s="25" t="s">
        <v>344</v>
      </c>
      <c r="CO199" s="25" t="s">
        <v>345</v>
      </c>
      <c r="CP199" s="25" t="s">
        <v>345</v>
      </c>
      <c r="CQ199" s="25" t="s">
        <v>345</v>
      </c>
      <c r="CR199" s="25" t="s">
        <v>667</v>
      </c>
      <c r="CS199" s="25">
        <v>77</v>
      </c>
      <c r="CT199" s="25">
        <v>23</v>
      </c>
      <c r="CU199" s="25">
        <v>88</v>
      </c>
      <c r="CV199" s="25">
        <v>1</v>
      </c>
      <c r="CW199" s="25" t="s">
        <v>364</v>
      </c>
      <c r="CX199" s="25" t="s">
        <v>364</v>
      </c>
      <c r="CY199" s="25" t="s">
        <v>396</v>
      </c>
      <c r="CZ199" s="25" t="s">
        <v>366</v>
      </c>
      <c r="DA199" s="25" t="s">
        <v>397</v>
      </c>
      <c r="DB199" s="25" t="s">
        <v>397</v>
      </c>
      <c r="DC199" s="25" t="s">
        <v>397</v>
      </c>
      <c r="DD199" s="25" t="s">
        <v>397</v>
      </c>
      <c r="DE199" s="25" t="s">
        <v>365</v>
      </c>
      <c r="DF199" s="25" t="s">
        <v>365</v>
      </c>
      <c r="DG199" s="25" t="s">
        <v>366</v>
      </c>
      <c r="DH199" s="25" t="s">
        <v>365</v>
      </c>
      <c r="DI199" s="25" t="s">
        <v>423</v>
      </c>
      <c r="DJ199" s="25" t="s">
        <v>1193</v>
      </c>
      <c r="DK199" s="25" t="s">
        <v>367</v>
      </c>
      <c r="DL199" s="25" t="s">
        <v>368</v>
      </c>
      <c r="DM199" s="25" t="s">
        <v>368</v>
      </c>
      <c r="DN199" s="25" t="s">
        <v>368</v>
      </c>
      <c r="DO199" s="25" t="s">
        <v>368</v>
      </c>
      <c r="DP199" s="25" t="s">
        <v>345</v>
      </c>
      <c r="DQ199" s="25" t="s">
        <v>344</v>
      </c>
      <c r="DR199" s="25" t="s">
        <v>345</v>
      </c>
      <c r="DS199" s="25" t="s">
        <v>344</v>
      </c>
      <c r="DT199" s="25" t="s">
        <v>345</v>
      </c>
      <c r="DU199" s="25" t="s">
        <v>344</v>
      </c>
      <c r="DV199" s="25" t="s">
        <v>344</v>
      </c>
      <c r="DW199" s="25" t="s">
        <v>344</v>
      </c>
      <c r="DX199" s="25" t="s">
        <v>370</v>
      </c>
      <c r="DY199" s="25" t="s">
        <v>370</v>
      </c>
      <c r="DZ199" s="25" t="s">
        <v>371</v>
      </c>
      <c r="EA199" s="25" t="s">
        <v>371</v>
      </c>
      <c r="EB199" s="25" t="s">
        <v>369</v>
      </c>
      <c r="EC199" s="25" t="s">
        <v>398</v>
      </c>
      <c r="ED199" s="25" t="s">
        <v>370</v>
      </c>
      <c r="EE199" s="25" t="s">
        <v>370</v>
      </c>
      <c r="EF199" s="25" t="s">
        <v>370</v>
      </c>
      <c r="EG199" s="25" t="s">
        <v>370</v>
      </c>
      <c r="EH199" s="25" t="s">
        <v>370</v>
      </c>
      <c r="EI199" s="25" t="s">
        <v>369</v>
      </c>
      <c r="EJ199" s="25" t="s">
        <v>370</v>
      </c>
      <c r="EK199" s="25" t="s">
        <v>370</v>
      </c>
      <c r="EL199" s="25" t="s">
        <v>374</v>
      </c>
      <c r="EM199" s="25" t="s">
        <v>373</v>
      </c>
      <c r="EN199" s="25" t="s">
        <v>440</v>
      </c>
      <c r="EO199" s="25"/>
      <c r="EP199" s="25"/>
      <c r="EQ199" s="25" t="s">
        <v>377</v>
      </c>
      <c r="ER199" s="25" t="s">
        <v>378</v>
      </c>
      <c r="ES199" s="25" t="s">
        <v>378</v>
      </c>
      <c r="ET199" s="25" t="s">
        <v>378</v>
      </c>
      <c r="EU199" s="25" t="s">
        <v>377</v>
      </c>
      <c r="EV199" s="25" t="s">
        <v>400</v>
      </c>
      <c r="EW199" s="25"/>
      <c r="EX199" s="25" t="s">
        <v>368</v>
      </c>
      <c r="EY199" s="25" t="s">
        <v>368</v>
      </c>
      <c r="EZ199" s="25" t="s">
        <v>368</v>
      </c>
      <c r="FA199" s="25" t="s">
        <v>345</v>
      </c>
      <c r="FB199" s="25" t="s">
        <v>381</v>
      </c>
      <c r="FC199" s="25"/>
      <c r="FD199" s="25" t="s">
        <v>381</v>
      </c>
      <c r="FE199" s="25"/>
      <c r="FF199" s="25" t="s">
        <v>412</v>
      </c>
      <c r="FG199" s="25" t="s">
        <v>413</v>
      </c>
      <c r="FH199" s="25" t="s">
        <v>451</v>
      </c>
      <c r="FI199" s="25" t="s">
        <v>385</v>
      </c>
      <c r="FJ199" s="25"/>
      <c r="FK199" s="25"/>
      <c r="FL199" s="25"/>
      <c r="FM199" s="25"/>
      <c r="FN199" s="25"/>
      <c r="FO199" s="25"/>
      <c r="FP199" s="25"/>
      <c r="FQ199" s="25"/>
      <c r="FR199" s="25"/>
      <c r="FS199" s="25"/>
      <c r="FT199" s="25"/>
      <c r="FU199" s="25"/>
      <c r="FV199" s="25"/>
      <c r="FW199" s="25"/>
      <c r="FX199" s="25"/>
      <c r="FY199" s="25"/>
      <c r="FZ199" s="25"/>
      <c r="GA199" s="25" t="s">
        <v>368</v>
      </c>
      <c r="GB199" s="25" t="s">
        <v>368</v>
      </c>
      <c r="GC199" s="25" t="s">
        <v>368</v>
      </c>
      <c r="GD199" s="25" t="s">
        <v>368</v>
      </c>
      <c r="GE199" s="25" t="s">
        <v>368</v>
      </c>
      <c r="GF199" s="25" t="s">
        <v>368</v>
      </c>
      <c r="GG199" s="25"/>
      <c r="GH199" s="25"/>
      <c r="GI199" s="25"/>
      <c r="GJ199" s="25"/>
      <c r="GK199" s="25"/>
      <c r="GL199" s="25" t="s">
        <v>344</v>
      </c>
      <c r="GM199" s="25" t="s">
        <v>345</v>
      </c>
      <c r="GN199" s="25" t="s">
        <v>344</v>
      </c>
      <c r="GO199" s="25" t="s">
        <v>345</v>
      </c>
      <c r="GP199" s="25" t="s">
        <v>344</v>
      </c>
      <c r="GQ199" s="25" t="s">
        <v>344</v>
      </c>
      <c r="GR199" s="25" t="s">
        <v>344</v>
      </c>
      <c r="GS199" s="25" t="s">
        <v>344</v>
      </c>
      <c r="GT199" s="25" t="s">
        <v>344</v>
      </c>
      <c r="GU199" s="25" t="s">
        <v>344</v>
      </c>
      <c r="GV199" s="25" t="s">
        <v>344</v>
      </c>
      <c r="GW199" s="25" t="s">
        <v>344</v>
      </c>
      <c r="GX199" s="25" t="s">
        <v>344</v>
      </c>
      <c r="GY199" s="25" t="s">
        <v>344</v>
      </c>
      <c r="GZ199" s="25" t="s">
        <v>344</v>
      </c>
      <c r="HA199" s="25"/>
      <c r="HB199" s="25" t="s">
        <v>344</v>
      </c>
      <c r="HC199" s="25"/>
      <c r="HD199" s="25" t="s">
        <v>344</v>
      </c>
      <c r="HE199" s="25"/>
      <c r="HF199" s="25" t="s">
        <v>344</v>
      </c>
      <c r="HG199" s="25"/>
      <c r="HH199" s="25" t="s">
        <v>344</v>
      </c>
      <c r="HI199" s="25"/>
      <c r="HJ199" s="25" t="s">
        <v>344</v>
      </c>
      <c r="HK199" s="25" t="s">
        <v>344</v>
      </c>
      <c r="HL199" s="25" t="s">
        <v>344</v>
      </c>
      <c r="HM199" s="25" t="s">
        <v>344</v>
      </c>
      <c r="HN199" s="25" t="s">
        <v>344</v>
      </c>
      <c r="HO199" s="25" t="s">
        <v>344</v>
      </c>
      <c r="HP199" s="25" t="s">
        <v>344</v>
      </c>
      <c r="HQ199" s="25" t="s">
        <v>344</v>
      </c>
      <c r="HR199" s="25" t="s">
        <v>344</v>
      </c>
      <c r="HS199" s="25" t="s">
        <v>344</v>
      </c>
      <c r="HT199" s="25" t="s">
        <v>344</v>
      </c>
      <c r="HU199" s="25" t="s">
        <v>344</v>
      </c>
      <c r="HV199" s="25" t="s">
        <v>345</v>
      </c>
      <c r="HW199" s="25" t="s">
        <v>344</v>
      </c>
      <c r="HX199" s="25" t="s">
        <v>344</v>
      </c>
      <c r="HY199" s="25"/>
      <c r="HZ199" s="25" t="s">
        <v>344</v>
      </c>
      <c r="IA199" s="25"/>
      <c r="IB199" s="25" t="s">
        <v>344</v>
      </c>
      <c r="IC199" s="25"/>
      <c r="ID199" s="25" t="s">
        <v>344</v>
      </c>
      <c r="IE199" s="25"/>
      <c r="IF199" s="25" t="s">
        <v>344</v>
      </c>
      <c r="IG199" s="25"/>
      <c r="IH199" s="25" t="s">
        <v>345</v>
      </c>
      <c r="II199" s="25" t="s">
        <v>345</v>
      </c>
      <c r="IJ199" s="25" t="s">
        <v>344</v>
      </c>
      <c r="IK199" s="25" t="s">
        <v>344</v>
      </c>
      <c r="IL199" s="25" t="s">
        <v>345</v>
      </c>
      <c r="IM199" s="25" t="s">
        <v>345</v>
      </c>
      <c r="IN199" s="25" t="s">
        <v>344</v>
      </c>
      <c r="IO199" s="25" t="s">
        <v>344</v>
      </c>
      <c r="IP199" s="25" t="s">
        <v>344</v>
      </c>
      <c r="IQ199" s="25" t="s">
        <v>344</v>
      </c>
      <c r="IR199" s="25" t="s">
        <v>344</v>
      </c>
      <c r="IS199" s="25" t="s">
        <v>344</v>
      </c>
      <c r="IT199" s="25"/>
      <c r="IU199" s="25" t="s">
        <v>1194</v>
      </c>
      <c r="IV199" s="25"/>
      <c r="IW199" s="25"/>
      <c r="IX199" s="25"/>
      <c r="IY199" s="25"/>
      <c r="IZ199" s="25"/>
      <c r="JA199" s="25"/>
      <c r="JB199" s="25"/>
      <c r="JC199" s="25"/>
      <c r="JD199" s="25"/>
      <c r="JE199" s="25"/>
      <c r="JF199" s="25"/>
      <c r="JG199" s="25"/>
      <c r="JH199" s="25"/>
    </row>
    <row r="200" spans="1:268" x14ac:dyDescent="0.3">
      <c r="A200" s="25" t="s">
        <v>338</v>
      </c>
      <c r="B200" s="25">
        <v>318</v>
      </c>
      <c r="C200" s="25" t="s">
        <v>1195</v>
      </c>
      <c r="D200" s="25">
        <v>14</v>
      </c>
      <c r="E200" s="25" t="s">
        <v>387</v>
      </c>
      <c r="F200" s="25">
        <v>1820401016</v>
      </c>
      <c r="G200" s="25" t="s">
        <v>1196</v>
      </c>
      <c r="H200" s="25" t="s">
        <v>1195</v>
      </c>
      <c r="I200" s="25" t="s">
        <v>1179</v>
      </c>
      <c r="J200" s="25">
        <v>17</v>
      </c>
      <c r="K200" s="25" t="s">
        <v>389</v>
      </c>
      <c r="L200" s="25"/>
      <c r="M200" s="25" t="s">
        <v>345</v>
      </c>
      <c r="N200" s="25" t="s">
        <v>344</v>
      </c>
      <c r="O200" s="25" t="s">
        <v>344</v>
      </c>
      <c r="P200" s="25" t="s">
        <v>344</v>
      </c>
      <c r="Q200" s="25" t="s">
        <v>344</v>
      </c>
      <c r="R200" s="25"/>
      <c r="S200" s="25" t="s">
        <v>346</v>
      </c>
      <c r="T200" s="25"/>
      <c r="U200" s="25" t="s">
        <v>347</v>
      </c>
      <c r="V200" s="25"/>
      <c r="W200" s="25" t="s">
        <v>344</v>
      </c>
      <c r="X200" s="25" t="s">
        <v>345</v>
      </c>
      <c r="Y200" s="25" t="s">
        <v>344</v>
      </c>
      <c r="Z200" s="25" t="s">
        <v>344</v>
      </c>
      <c r="AA200" s="25" t="s">
        <v>344</v>
      </c>
      <c r="AB200" s="25" t="s">
        <v>344</v>
      </c>
      <c r="AC200" s="25" t="s">
        <v>344</v>
      </c>
      <c r="AD200" s="25" t="s">
        <v>344</v>
      </c>
      <c r="AE200" s="25" t="s">
        <v>344</v>
      </c>
      <c r="AF200" s="25" t="s">
        <v>344</v>
      </c>
      <c r="AG200" s="25" t="s">
        <v>344</v>
      </c>
      <c r="AH200" s="25" t="s">
        <v>344</v>
      </c>
      <c r="AI200" s="25" t="s">
        <v>345</v>
      </c>
      <c r="AJ200" s="25" t="s">
        <v>344</v>
      </c>
      <c r="AK200" s="25" t="s">
        <v>344</v>
      </c>
      <c r="AL200" s="25" t="s">
        <v>344</v>
      </c>
      <c r="AM200" s="25" t="s">
        <v>345</v>
      </c>
      <c r="AN200" s="25" t="s">
        <v>344</v>
      </c>
      <c r="AO200" s="25" t="s">
        <v>344</v>
      </c>
      <c r="AP200" s="25" t="s">
        <v>344</v>
      </c>
      <c r="AQ200" s="25" t="s">
        <v>344</v>
      </c>
      <c r="AR200" s="25" t="s">
        <v>344</v>
      </c>
      <c r="AS200" s="25" t="s">
        <v>344</v>
      </c>
      <c r="AT200" s="25" t="s">
        <v>344</v>
      </c>
      <c r="AU200" s="25" t="s">
        <v>344</v>
      </c>
      <c r="AV200" s="25" t="s">
        <v>345</v>
      </c>
      <c r="AW200" s="25" t="s">
        <v>344</v>
      </c>
      <c r="AX200" s="25" t="s">
        <v>344</v>
      </c>
      <c r="AY200" s="25" t="s">
        <v>733</v>
      </c>
      <c r="AZ200" s="25" t="s">
        <v>733</v>
      </c>
      <c r="BA200" s="25" t="s">
        <v>731</v>
      </c>
      <c r="BB200" s="25" t="s">
        <v>733</v>
      </c>
      <c r="BC200" s="25" t="s">
        <v>737</v>
      </c>
      <c r="BD200" s="25" t="s">
        <v>731</v>
      </c>
      <c r="BE200" s="25" t="s">
        <v>349</v>
      </c>
      <c r="BF200" s="25" t="s">
        <v>349</v>
      </c>
      <c r="BG200" s="25" t="s">
        <v>390</v>
      </c>
      <c r="BH200" s="25" t="s">
        <v>390</v>
      </c>
      <c r="BI200" s="25" t="s">
        <v>349</v>
      </c>
      <c r="BJ200" s="25" t="s">
        <v>354</v>
      </c>
      <c r="BK200" s="25" t="s">
        <v>356</v>
      </c>
      <c r="BL200" s="25" t="s">
        <v>357</v>
      </c>
      <c r="BM200" s="25" t="s">
        <v>356</v>
      </c>
      <c r="BN200" s="25" t="s">
        <v>351</v>
      </c>
      <c r="BO200" s="25" t="s">
        <v>356</v>
      </c>
      <c r="BP200" s="25" t="s">
        <v>357</v>
      </c>
      <c r="BQ200" s="25" t="s">
        <v>407</v>
      </c>
      <c r="BR200" s="25" t="s">
        <v>429</v>
      </c>
      <c r="BS200" s="25" t="s">
        <v>354</v>
      </c>
      <c r="BT200" s="25" t="s">
        <v>351</v>
      </c>
      <c r="BU200" s="25" t="s">
        <v>356</v>
      </c>
      <c r="BV200" s="25" t="s">
        <v>352</v>
      </c>
      <c r="BW200" s="25" t="s">
        <v>356</v>
      </c>
      <c r="BX200" s="25" t="s">
        <v>351</v>
      </c>
      <c r="BY200" s="25" t="s">
        <v>353</v>
      </c>
      <c r="BZ200" s="25" t="s">
        <v>357</v>
      </c>
      <c r="CA200" s="25" t="s">
        <v>356</v>
      </c>
      <c r="CB200" s="25" t="s">
        <v>353</v>
      </c>
      <c r="CC200" s="25" t="s">
        <v>353</v>
      </c>
      <c r="CD200" s="25" t="s">
        <v>356</v>
      </c>
      <c r="CE200" s="25" t="s">
        <v>354</v>
      </c>
      <c r="CF200" s="25" t="s">
        <v>356</v>
      </c>
      <c r="CG200" s="25" t="s">
        <v>420</v>
      </c>
      <c r="CH200" s="25" t="s">
        <v>421</v>
      </c>
      <c r="CI200" s="25" t="s">
        <v>392</v>
      </c>
      <c r="CJ200" s="25" t="s">
        <v>421</v>
      </c>
      <c r="CK200" s="25" t="s">
        <v>1197</v>
      </c>
      <c r="CL200" s="25" t="s">
        <v>344</v>
      </c>
      <c r="CM200" s="25" t="s">
        <v>344</v>
      </c>
      <c r="CN200" s="25" t="s">
        <v>344</v>
      </c>
      <c r="CO200" s="25" t="s">
        <v>345</v>
      </c>
      <c r="CP200" s="25" t="s">
        <v>344</v>
      </c>
      <c r="CQ200" s="25" t="s">
        <v>344</v>
      </c>
      <c r="CR200" s="25" t="s">
        <v>655</v>
      </c>
      <c r="CS200" s="25">
        <v>22</v>
      </c>
      <c r="CT200" s="25">
        <v>100</v>
      </c>
      <c r="CU200" s="25"/>
      <c r="CV200" s="25"/>
      <c r="CW200" s="25" t="s">
        <v>395</v>
      </c>
      <c r="CX200" s="25" t="s">
        <v>396</v>
      </c>
      <c r="CY200" s="25" t="s">
        <v>396</v>
      </c>
      <c r="CZ200" s="25" t="s">
        <v>397</v>
      </c>
      <c r="DA200" s="25" t="s">
        <v>397</v>
      </c>
      <c r="DB200" s="25" t="s">
        <v>397</v>
      </c>
      <c r="DC200" s="25" t="s">
        <v>397</v>
      </c>
      <c r="DD200" s="25" t="s">
        <v>366</v>
      </c>
      <c r="DE200" s="25"/>
      <c r="DF200" s="25"/>
      <c r="DG200" s="25"/>
      <c r="DH200" s="25"/>
      <c r="DI200" s="25"/>
      <c r="DJ200" s="25" t="s">
        <v>1198</v>
      </c>
      <c r="DK200" s="25" t="s">
        <v>492</v>
      </c>
      <c r="DL200" s="25" t="s">
        <v>368</v>
      </c>
      <c r="DM200" s="25" t="s">
        <v>368</v>
      </c>
      <c r="DN200" s="25" t="s">
        <v>368</v>
      </c>
      <c r="DO200" s="25" t="s">
        <v>345</v>
      </c>
      <c r="DP200" s="25" t="s">
        <v>344</v>
      </c>
      <c r="DQ200" s="25" t="s">
        <v>344</v>
      </c>
      <c r="DR200" s="25" t="s">
        <v>345</v>
      </c>
      <c r="DS200" s="25" t="s">
        <v>344</v>
      </c>
      <c r="DT200" s="25" t="s">
        <v>344</v>
      </c>
      <c r="DU200" s="25" t="s">
        <v>344</v>
      </c>
      <c r="DV200" s="25" t="s">
        <v>345</v>
      </c>
      <c r="DW200" s="25" t="s">
        <v>344</v>
      </c>
      <c r="DX200" s="25" t="s">
        <v>370</v>
      </c>
      <c r="DY200" s="25" t="s">
        <v>370</v>
      </c>
      <c r="DZ200" s="25" t="s">
        <v>370</v>
      </c>
      <c r="EA200" s="25" t="s">
        <v>371</v>
      </c>
      <c r="EB200" s="25" t="s">
        <v>371</v>
      </c>
      <c r="EC200" s="25" t="s">
        <v>371</v>
      </c>
      <c r="ED200" s="25" t="s">
        <v>370</v>
      </c>
      <c r="EE200" s="25" t="s">
        <v>370</v>
      </c>
      <c r="EF200" s="25" t="s">
        <v>370</v>
      </c>
      <c r="EG200" s="25" t="s">
        <v>370</v>
      </c>
      <c r="EH200" s="25" t="s">
        <v>370</v>
      </c>
      <c r="EI200" s="25" t="s">
        <v>371</v>
      </c>
      <c r="EJ200" s="25" t="s">
        <v>371</v>
      </c>
      <c r="EK200" s="25" t="s">
        <v>370</v>
      </c>
      <c r="EL200" s="25" t="s">
        <v>373</v>
      </c>
      <c r="EM200" s="25" t="s">
        <v>374</v>
      </c>
      <c r="EN200" s="25" t="s">
        <v>372</v>
      </c>
      <c r="EO200" s="25"/>
      <c r="EP200" s="25"/>
      <c r="EQ200" s="25" t="s">
        <v>376</v>
      </c>
      <c r="ER200" s="25" t="s">
        <v>376</v>
      </c>
      <c r="ES200" s="25" t="s">
        <v>411</v>
      </c>
      <c r="ET200" s="25" t="s">
        <v>376</v>
      </c>
      <c r="EU200" s="25" t="s">
        <v>411</v>
      </c>
      <c r="EV200" s="25" t="s">
        <v>400</v>
      </c>
      <c r="EW200" s="25"/>
      <c r="EX200" s="25" t="s">
        <v>368</v>
      </c>
      <c r="EY200" s="25" t="s">
        <v>368</v>
      </c>
      <c r="EZ200" s="25" t="s">
        <v>368</v>
      </c>
      <c r="FA200" s="25" t="s">
        <v>345</v>
      </c>
      <c r="FB200" s="25" t="s">
        <v>380</v>
      </c>
      <c r="FC200" s="25"/>
      <c r="FD200" s="25" t="s">
        <v>401</v>
      </c>
      <c r="FE200" s="25"/>
      <c r="FF200" s="25" t="s">
        <v>412</v>
      </c>
      <c r="FG200" s="25" t="s">
        <v>413</v>
      </c>
      <c r="FH200" s="25" t="s">
        <v>384</v>
      </c>
      <c r="FI200" s="25" t="s">
        <v>385</v>
      </c>
      <c r="FJ200" s="25"/>
      <c r="FK200" s="25"/>
      <c r="FL200" s="25"/>
      <c r="FM200" s="25"/>
      <c r="FN200" s="25"/>
      <c r="FO200" s="25"/>
      <c r="FP200" s="25"/>
      <c r="FQ200" s="25"/>
      <c r="FR200" s="25"/>
      <c r="FS200" s="25"/>
      <c r="FT200" s="25"/>
      <c r="FU200" s="25"/>
      <c r="FV200" s="25"/>
      <c r="FW200" s="25"/>
      <c r="FX200" s="25"/>
      <c r="FY200" s="25"/>
      <c r="FZ200" s="25"/>
      <c r="GA200" s="25" t="s">
        <v>368</v>
      </c>
      <c r="GB200" s="25" t="s">
        <v>368</v>
      </c>
      <c r="GC200" s="25" t="s">
        <v>368</v>
      </c>
      <c r="GD200" s="25" t="s">
        <v>368</v>
      </c>
      <c r="GE200" s="25" t="s">
        <v>368</v>
      </c>
      <c r="GF200" s="25" t="s">
        <v>368</v>
      </c>
      <c r="GG200" s="25"/>
      <c r="GH200" s="25"/>
      <c r="GI200" s="25"/>
      <c r="GJ200" s="25"/>
      <c r="GK200" s="25"/>
      <c r="GL200" s="25" t="s">
        <v>344</v>
      </c>
      <c r="GM200" s="25" t="s">
        <v>344</v>
      </c>
      <c r="GN200" s="25" t="s">
        <v>344</v>
      </c>
      <c r="GO200" s="25" t="s">
        <v>344</v>
      </c>
      <c r="GP200" s="25" t="s">
        <v>344</v>
      </c>
      <c r="GQ200" s="25" t="s">
        <v>344</v>
      </c>
      <c r="GR200" s="25" t="s">
        <v>344</v>
      </c>
      <c r="GS200" s="25" t="s">
        <v>344</v>
      </c>
      <c r="GT200" s="25" t="s">
        <v>344</v>
      </c>
      <c r="GU200" s="25" t="s">
        <v>344</v>
      </c>
      <c r="GV200" s="25" t="s">
        <v>344</v>
      </c>
      <c r="GW200" s="25" t="s">
        <v>344</v>
      </c>
      <c r="GX200" s="25" t="s">
        <v>344</v>
      </c>
      <c r="GY200" s="25" t="s">
        <v>344</v>
      </c>
      <c r="GZ200" s="25" t="s">
        <v>345</v>
      </c>
      <c r="HA200" s="25"/>
      <c r="HB200" s="25" t="s">
        <v>344</v>
      </c>
      <c r="HC200" s="25"/>
      <c r="HD200" s="25" t="s">
        <v>344</v>
      </c>
      <c r="HE200" s="25"/>
      <c r="HF200" s="25" t="s">
        <v>344</v>
      </c>
      <c r="HG200" s="25"/>
      <c r="HH200" s="25" t="s">
        <v>344</v>
      </c>
      <c r="HI200" s="25"/>
      <c r="HJ200" s="25" t="s">
        <v>345</v>
      </c>
      <c r="HK200" s="25" t="s">
        <v>344</v>
      </c>
      <c r="HL200" s="25" t="s">
        <v>344</v>
      </c>
      <c r="HM200" s="25" t="s">
        <v>344</v>
      </c>
      <c r="HN200" s="25" t="s">
        <v>344</v>
      </c>
      <c r="HO200" s="25" t="s">
        <v>344</v>
      </c>
      <c r="HP200" s="25" t="s">
        <v>344</v>
      </c>
      <c r="HQ200" s="25" t="s">
        <v>344</v>
      </c>
      <c r="HR200" s="25" t="s">
        <v>344</v>
      </c>
      <c r="HS200" s="25" t="s">
        <v>344</v>
      </c>
      <c r="HT200" s="25" t="s">
        <v>344</v>
      </c>
      <c r="HU200" s="25" t="s">
        <v>345</v>
      </c>
      <c r="HV200" s="25" t="s">
        <v>344</v>
      </c>
      <c r="HW200" s="25" t="s">
        <v>344</v>
      </c>
      <c r="HX200" s="25" t="s">
        <v>344</v>
      </c>
      <c r="HY200" s="25"/>
      <c r="HZ200" s="25" t="s">
        <v>344</v>
      </c>
      <c r="IA200" s="25"/>
      <c r="IB200" s="25" t="s">
        <v>344</v>
      </c>
      <c r="IC200" s="25"/>
      <c r="ID200" s="25" t="s">
        <v>344</v>
      </c>
      <c r="IE200" s="25"/>
      <c r="IF200" s="25" t="s">
        <v>344</v>
      </c>
      <c r="IG200" s="25"/>
      <c r="IH200" s="25" t="s">
        <v>345</v>
      </c>
      <c r="II200" s="25" t="s">
        <v>345</v>
      </c>
      <c r="IJ200" s="25" t="s">
        <v>344</v>
      </c>
      <c r="IK200" s="25" t="s">
        <v>344</v>
      </c>
      <c r="IL200" s="25" t="s">
        <v>345</v>
      </c>
      <c r="IM200" s="25" t="s">
        <v>345</v>
      </c>
      <c r="IN200" s="25" t="s">
        <v>344</v>
      </c>
      <c r="IO200" s="25" t="s">
        <v>345</v>
      </c>
      <c r="IP200" s="25" t="s">
        <v>344</v>
      </c>
      <c r="IQ200" s="25" t="s">
        <v>344</v>
      </c>
      <c r="IR200" s="25" t="s">
        <v>344</v>
      </c>
      <c r="IS200" s="25" t="s">
        <v>344</v>
      </c>
      <c r="IT200" s="25"/>
      <c r="IU200" s="25" t="s">
        <v>1199</v>
      </c>
      <c r="IV200" s="25"/>
      <c r="IW200" s="25"/>
      <c r="IX200" s="25"/>
      <c r="IY200" s="25"/>
      <c r="IZ200" s="25"/>
      <c r="JA200" s="25"/>
      <c r="JB200" s="25"/>
      <c r="JC200" s="25"/>
      <c r="JD200" s="25"/>
      <c r="JE200" s="25"/>
      <c r="JF200" s="25"/>
      <c r="JG200" s="25"/>
      <c r="JH200" s="25"/>
    </row>
    <row r="201" spans="1:268" x14ac:dyDescent="0.3">
      <c r="A201" s="25" t="s">
        <v>338</v>
      </c>
      <c r="B201" s="25">
        <v>319</v>
      </c>
      <c r="C201" s="25" t="s">
        <v>1200</v>
      </c>
      <c r="D201" s="25">
        <v>14</v>
      </c>
      <c r="E201" s="25" t="s">
        <v>340</v>
      </c>
      <c r="F201" s="25">
        <v>1288739457</v>
      </c>
      <c r="G201" s="25" t="s">
        <v>1201</v>
      </c>
      <c r="H201" s="25" t="s">
        <v>1200</v>
      </c>
      <c r="I201" s="25" t="s">
        <v>1202</v>
      </c>
      <c r="J201" s="25">
        <v>18</v>
      </c>
      <c r="K201" s="25" t="s">
        <v>389</v>
      </c>
      <c r="L201" s="25"/>
      <c r="M201" s="25" t="s">
        <v>344</v>
      </c>
      <c r="N201" s="25" t="s">
        <v>345</v>
      </c>
      <c r="O201" s="25" t="s">
        <v>344</v>
      </c>
      <c r="P201" s="25" t="s">
        <v>344</v>
      </c>
      <c r="Q201" s="25" t="s">
        <v>344</v>
      </c>
      <c r="R201" s="25"/>
      <c r="S201" s="25" t="s">
        <v>346</v>
      </c>
      <c r="T201" s="25"/>
      <c r="U201" s="25" t="s">
        <v>418</v>
      </c>
      <c r="V201" s="25"/>
      <c r="W201" s="25" t="s">
        <v>344</v>
      </c>
      <c r="X201" s="25" t="s">
        <v>345</v>
      </c>
      <c r="Y201" s="25" t="s">
        <v>344</v>
      </c>
      <c r="Z201" s="25" t="s">
        <v>344</v>
      </c>
      <c r="AA201" s="25" t="s">
        <v>344</v>
      </c>
      <c r="AB201" s="25" t="s">
        <v>344</v>
      </c>
      <c r="AC201" s="25" t="s">
        <v>344</v>
      </c>
      <c r="AD201" s="25" t="s">
        <v>345</v>
      </c>
      <c r="AE201" s="25" t="s">
        <v>345</v>
      </c>
      <c r="AF201" s="25" t="s">
        <v>344</v>
      </c>
      <c r="AG201" s="25" t="s">
        <v>344</v>
      </c>
      <c r="AH201" s="25" t="s">
        <v>344</v>
      </c>
      <c r="AI201" s="25" t="s">
        <v>344</v>
      </c>
      <c r="AJ201" s="25" t="s">
        <v>344</v>
      </c>
      <c r="AK201" s="25" t="s">
        <v>368</v>
      </c>
      <c r="AL201" s="25" t="s">
        <v>368</v>
      </c>
      <c r="AM201" s="25" t="s">
        <v>368</v>
      </c>
      <c r="AN201" s="25" t="s">
        <v>368</v>
      </c>
      <c r="AO201" s="25" t="s">
        <v>368</v>
      </c>
      <c r="AP201" s="25" t="s">
        <v>368</v>
      </c>
      <c r="AQ201" s="25" t="s">
        <v>345</v>
      </c>
      <c r="AR201" s="25" t="s">
        <v>345</v>
      </c>
      <c r="AS201" s="25" t="s">
        <v>344</v>
      </c>
      <c r="AT201" s="25" t="s">
        <v>344</v>
      </c>
      <c r="AU201" s="25" t="s">
        <v>344</v>
      </c>
      <c r="AV201" s="25" t="s">
        <v>344</v>
      </c>
      <c r="AW201" s="25" t="s">
        <v>344</v>
      </c>
      <c r="AX201" s="25" t="s">
        <v>344</v>
      </c>
      <c r="AY201" s="25" t="s">
        <v>391</v>
      </c>
      <c r="AZ201" s="25" t="s">
        <v>731</v>
      </c>
      <c r="BA201" s="25" t="s">
        <v>733</v>
      </c>
      <c r="BB201" s="25" t="s">
        <v>732</v>
      </c>
      <c r="BC201" s="25" t="s">
        <v>733</v>
      </c>
      <c r="BD201" s="25" t="s">
        <v>731</v>
      </c>
      <c r="BE201" s="25" t="s">
        <v>349</v>
      </c>
      <c r="BF201" s="25" t="s">
        <v>390</v>
      </c>
      <c r="BG201" s="25" t="s">
        <v>390</v>
      </c>
      <c r="BH201" s="25" t="s">
        <v>390</v>
      </c>
      <c r="BI201" s="25" t="s">
        <v>390</v>
      </c>
      <c r="BJ201" s="25" t="s">
        <v>357</v>
      </c>
      <c r="BK201" s="25" t="s">
        <v>354</v>
      </c>
      <c r="BL201" s="25" t="s">
        <v>352</v>
      </c>
      <c r="BM201" s="25" t="s">
        <v>352</v>
      </c>
      <c r="BN201" s="25" t="s">
        <v>353</v>
      </c>
      <c r="BO201" s="25" t="s">
        <v>354</v>
      </c>
      <c r="BP201" s="25" t="s">
        <v>357</v>
      </c>
      <c r="BQ201" s="25" t="s">
        <v>419</v>
      </c>
      <c r="BR201" s="25" t="s">
        <v>367</v>
      </c>
      <c r="BS201" s="25" t="s">
        <v>355</v>
      </c>
      <c r="BT201" s="25" t="s">
        <v>352</v>
      </c>
      <c r="BU201" s="25" t="s">
        <v>354</v>
      </c>
      <c r="BV201" s="25" t="s">
        <v>353</v>
      </c>
      <c r="BW201" s="25" t="s">
        <v>357</v>
      </c>
      <c r="BX201" s="25" t="s">
        <v>351</v>
      </c>
      <c r="BY201" s="25" t="s">
        <v>353</v>
      </c>
      <c r="BZ201" s="25" t="s">
        <v>356</v>
      </c>
      <c r="CA201" s="25" t="s">
        <v>354</v>
      </c>
      <c r="CB201" s="25" t="s">
        <v>357</v>
      </c>
      <c r="CC201" s="25" t="s">
        <v>354</v>
      </c>
      <c r="CD201" s="25" t="s">
        <v>352</v>
      </c>
      <c r="CE201" s="25" t="s">
        <v>356</v>
      </c>
      <c r="CF201" s="25" t="s">
        <v>354</v>
      </c>
      <c r="CG201" s="25" t="s">
        <v>421</v>
      </c>
      <c r="CH201" s="25" t="s">
        <v>421</v>
      </c>
      <c r="CI201" s="25" t="s">
        <v>360</v>
      </c>
      <c r="CJ201" s="25" t="s">
        <v>421</v>
      </c>
      <c r="CK201" s="25" t="s">
        <v>510</v>
      </c>
      <c r="CL201" s="25" t="s">
        <v>344</v>
      </c>
      <c r="CM201" s="25" t="s">
        <v>344</v>
      </c>
      <c r="CN201" s="25" t="s">
        <v>344</v>
      </c>
      <c r="CO201" s="25" t="s">
        <v>344</v>
      </c>
      <c r="CP201" s="25" t="s">
        <v>345</v>
      </c>
      <c r="CQ201" s="25" t="s">
        <v>344</v>
      </c>
      <c r="CR201" s="25" t="s">
        <v>667</v>
      </c>
      <c r="CS201" s="25">
        <v>35</v>
      </c>
      <c r="CT201" s="25">
        <v>50</v>
      </c>
      <c r="CU201" s="25">
        <v>50</v>
      </c>
      <c r="CV201" s="25">
        <v>20</v>
      </c>
      <c r="CW201" s="25" t="s">
        <v>395</v>
      </c>
      <c r="CX201" s="25" t="s">
        <v>395</v>
      </c>
      <c r="CY201" s="25" t="s">
        <v>396</v>
      </c>
      <c r="CZ201" s="25" t="s">
        <v>397</v>
      </c>
      <c r="DA201" s="25" t="s">
        <v>397</v>
      </c>
      <c r="DB201" s="25" t="s">
        <v>397</v>
      </c>
      <c r="DC201" s="25" t="s">
        <v>397</v>
      </c>
      <c r="DD201" s="25" t="s">
        <v>397</v>
      </c>
      <c r="DE201" s="25" t="s">
        <v>397</v>
      </c>
      <c r="DF201" s="25" t="s">
        <v>366</v>
      </c>
      <c r="DG201" s="25" t="s">
        <v>397</v>
      </c>
      <c r="DH201" s="25" t="s">
        <v>397</v>
      </c>
      <c r="DI201" s="25" t="s">
        <v>397</v>
      </c>
      <c r="DJ201" s="25" t="s">
        <v>843</v>
      </c>
      <c r="DK201" s="25" t="s">
        <v>367</v>
      </c>
      <c r="DL201" s="25" t="s">
        <v>368</v>
      </c>
      <c r="DM201" s="25" t="s">
        <v>368</v>
      </c>
      <c r="DN201" s="25" t="s">
        <v>368</v>
      </c>
      <c r="DO201" s="25" t="s">
        <v>368</v>
      </c>
      <c r="DP201" s="25" t="s">
        <v>344</v>
      </c>
      <c r="DQ201" s="25" t="s">
        <v>344</v>
      </c>
      <c r="DR201" s="25" t="s">
        <v>345</v>
      </c>
      <c r="DS201" s="25" t="s">
        <v>344</v>
      </c>
      <c r="DT201" s="25" t="s">
        <v>368</v>
      </c>
      <c r="DU201" s="25" t="s">
        <v>368</v>
      </c>
      <c r="DV201" s="25" t="s">
        <v>368</v>
      </c>
      <c r="DW201" s="25" t="s">
        <v>345</v>
      </c>
      <c r="DX201" s="25" t="s">
        <v>371</v>
      </c>
      <c r="DY201" s="25" t="s">
        <v>369</v>
      </c>
      <c r="DZ201" s="25" t="s">
        <v>369</v>
      </c>
      <c r="EA201" s="25" t="s">
        <v>369</v>
      </c>
      <c r="EB201" s="25" t="s">
        <v>371</v>
      </c>
      <c r="EC201" s="25" t="s">
        <v>371</v>
      </c>
      <c r="ED201" s="25" t="s">
        <v>370</v>
      </c>
      <c r="EE201" s="25" t="s">
        <v>370</v>
      </c>
      <c r="EF201" s="25" t="s">
        <v>370</v>
      </c>
      <c r="EG201" s="25" t="s">
        <v>370</v>
      </c>
      <c r="EH201" s="25" t="s">
        <v>370</v>
      </c>
      <c r="EI201" s="25" t="s">
        <v>370</v>
      </c>
      <c r="EJ201" s="25" t="s">
        <v>370</v>
      </c>
      <c r="EK201" s="25" t="s">
        <v>370</v>
      </c>
      <c r="EL201" s="25" t="s">
        <v>372</v>
      </c>
      <c r="EM201" s="25" t="s">
        <v>440</v>
      </c>
      <c r="EN201" s="25" t="s">
        <v>373</v>
      </c>
      <c r="EO201" s="25"/>
      <c r="EP201" s="25"/>
      <c r="EQ201" s="25" t="s">
        <v>378</v>
      </c>
      <c r="ER201" s="25" t="s">
        <v>378</v>
      </c>
      <c r="ES201" s="25" t="s">
        <v>376</v>
      </c>
      <c r="ET201" s="25" t="s">
        <v>375</v>
      </c>
      <c r="EU201" s="25" t="s">
        <v>375</v>
      </c>
      <c r="EV201" s="25" t="s">
        <v>400</v>
      </c>
      <c r="EW201" s="25"/>
      <c r="EX201" s="25" t="s">
        <v>368</v>
      </c>
      <c r="EY201" s="25" t="s">
        <v>368</v>
      </c>
      <c r="EZ201" s="25" t="s">
        <v>368</v>
      </c>
      <c r="FA201" s="25" t="s">
        <v>345</v>
      </c>
      <c r="FB201" s="25" t="s">
        <v>381</v>
      </c>
      <c r="FC201" s="25"/>
      <c r="FD201" s="25" t="s">
        <v>401</v>
      </c>
      <c r="FE201" s="25"/>
      <c r="FF201" s="25" t="s">
        <v>382</v>
      </c>
      <c r="FG201" s="25" t="s">
        <v>383</v>
      </c>
      <c r="FH201" s="25" t="s">
        <v>432</v>
      </c>
      <c r="FI201" s="25" t="s">
        <v>403</v>
      </c>
      <c r="FJ201" s="25"/>
      <c r="FK201" s="25"/>
      <c r="FL201" s="25"/>
      <c r="FM201" s="25"/>
      <c r="FN201" s="25"/>
      <c r="FO201" s="25"/>
      <c r="FP201" s="25"/>
      <c r="FQ201" s="25"/>
      <c r="FR201" s="25"/>
      <c r="FS201" s="25"/>
      <c r="FT201" s="25"/>
      <c r="FU201" s="25"/>
      <c r="FV201" s="25"/>
      <c r="FW201" s="25"/>
      <c r="FX201" s="25"/>
      <c r="FY201" s="25"/>
      <c r="FZ201" s="25"/>
      <c r="GA201" s="25" t="s">
        <v>368</v>
      </c>
      <c r="GB201" s="25" t="s">
        <v>368</v>
      </c>
      <c r="GC201" s="25" t="s">
        <v>368</v>
      </c>
      <c r="GD201" s="25" t="s">
        <v>368</v>
      </c>
      <c r="GE201" s="25" t="s">
        <v>368</v>
      </c>
      <c r="GF201" s="25" t="s">
        <v>368</v>
      </c>
      <c r="GG201" s="25"/>
      <c r="GH201" s="25"/>
      <c r="GI201" s="25"/>
      <c r="GJ201" s="25"/>
      <c r="GK201" s="25"/>
      <c r="GL201" s="25" t="s">
        <v>344</v>
      </c>
      <c r="GM201" s="25" t="s">
        <v>344</v>
      </c>
      <c r="GN201" s="25" t="s">
        <v>344</v>
      </c>
      <c r="GO201" s="25" t="s">
        <v>344</v>
      </c>
      <c r="GP201" s="25" t="s">
        <v>344</v>
      </c>
      <c r="GQ201" s="25" t="s">
        <v>344</v>
      </c>
      <c r="GR201" s="25" t="s">
        <v>344</v>
      </c>
      <c r="GS201" s="25" t="s">
        <v>344</v>
      </c>
      <c r="GT201" s="25" t="s">
        <v>344</v>
      </c>
      <c r="GU201" s="25" t="s">
        <v>344</v>
      </c>
      <c r="GV201" s="25" t="s">
        <v>345</v>
      </c>
      <c r="GW201" s="25" t="s">
        <v>344</v>
      </c>
      <c r="GX201" s="25" t="s">
        <v>344</v>
      </c>
      <c r="GY201" s="25" t="s">
        <v>344</v>
      </c>
      <c r="GZ201" s="25" t="s">
        <v>344</v>
      </c>
      <c r="HA201" s="25"/>
      <c r="HB201" s="25" t="s">
        <v>344</v>
      </c>
      <c r="HC201" s="25"/>
      <c r="HD201" s="25" t="s">
        <v>344</v>
      </c>
      <c r="HE201" s="25"/>
      <c r="HF201" s="25" t="s">
        <v>344</v>
      </c>
      <c r="HG201" s="25"/>
      <c r="HH201" s="25" t="s">
        <v>344</v>
      </c>
      <c r="HI201" s="25"/>
      <c r="HJ201" s="25" t="s">
        <v>344</v>
      </c>
      <c r="HK201" s="25" t="s">
        <v>344</v>
      </c>
      <c r="HL201" s="25" t="s">
        <v>344</v>
      </c>
      <c r="HM201" s="25" t="s">
        <v>344</v>
      </c>
      <c r="HN201" s="25" t="s">
        <v>344</v>
      </c>
      <c r="HO201" s="25" t="s">
        <v>344</v>
      </c>
      <c r="HP201" s="25" t="s">
        <v>344</v>
      </c>
      <c r="HQ201" s="25" t="s">
        <v>344</v>
      </c>
      <c r="HR201" s="25" t="s">
        <v>344</v>
      </c>
      <c r="HS201" s="25" t="s">
        <v>344</v>
      </c>
      <c r="HT201" s="25" t="s">
        <v>344</v>
      </c>
      <c r="HU201" s="25" t="s">
        <v>344</v>
      </c>
      <c r="HV201" s="25" t="s">
        <v>345</v>
      </c>
      <c r="HW201" s="25" t="s">
        <v>344</v>
      </c>
      <c r="HX201" s="25" t="s">
        <v>344</v>
      </c>
      <c r="HY201" s="25"/>
      <c r="HZ201" s="25" t="s">
        <v>344</v>
      </c>
      <c r="IA201" s="25"/>
      <c r="IB201" s="25" t="s">
        <v>344</v>
      </c>
      <c r="IC201" s="25"/>
      <c r="ID201" s="25" t="s">
        <v>344</v>
      </c>
      <c r="IE201" s="25"/>
      <c r="IF201" s="25" t="s">
        <v>344</v>
      </c>
      <c r="IG201" s="25"/>
      <c r="IH201" s="25" t="s">
        <v>345</v>
      </c>
      <c r="II201" s="25" t="s">
        <v>345</v>
      </c>
      <c r="IJ201" s="25" t="s">
        <v>344</v>
      </c>
      <c r="IK201" s="25" t="s">
        <v>344</v>
      </c>
      <c r="IL201" s="25" t="s">
        <v>345</v>
      </c>
      <c r="IM201" s="25" t="s">
        <v>345</v>
      </c>
      <c r="IN201" s="25" t="s">
        <v>344</v>
      </c>
      <c r="IO201" s="25" t="s">
        <v>345</v>
      </c>
      <c r="IP201" s="25" t="s">
        <v>344</v>
      </c>
      <c r="IQ201" s="25" t="s">
        <v>344</v>
      </c>
      <c r="IR201" s="25" t="s">
        <v>344</v>
      </c>
      <c r="IS201" s="25" t="s">
        <v>344</v>
      </c>
      <c r="IT201" s="25"/>
      <c r="IU201" s="25"/>
      <c r="IV201" s="25"/>
      <c r="IW201" s="25"/>
      <c r="IX201" s="25"/>
      <c r="IY201" s="25"/>
      <c r="IZ201" s="25"/>
      <c r="JA201" s="25"/>
      <c r="JB201" s="25"/>
      <c r="JC201" s="25"/>
      <c r="JD201" s="25"/>
      <c r="JE201" s="25"/>
      <c r="JF201" s="25"/>
      <c r="JG201" s="25"/>
      <c r="JH201" s="25"/>
    </row>
    <row r="202" spans="1:268" x14ac:dyDescent="0.3">
      <c r="A202" s="25" t="s">
        <v>338</v>
      </c>
      <c r="B202" s="25">
        <v>320</v>
      </c>
      <c r="C202" s="25" t="s">
        <v>1203</v>
      </c>
      <c r="D202" s="25">
        <v>14</v>
      </c>
      <c r="E202" s="25" t="s">
        <v>387</v>
      </c>
      <c r="F202" s="25">
        <v>281476597</v>
      </c>
      <c r="G202" s="25" t="s">
        <v>1204</v>
      </c>
      <c r="H202" s="25" t="s">
        <v>1203</v>
      </c>
      <c r="I202" s="25" t="s">
        <v>1202</v>
      </c>
      <c r="J202" s="25">
        <v>16</v>
      </c>
      <c r="K202" s="25" t="s">
        <v>406</v>
      </c>
      <c r="L202" s="25"/>
      <c r="M202" s="25" t="s">
        <v>344</v>
      </c>
      <c r="N202" s="25" t="s">
        <v>345</v>
      </c>
      <c r="O202" s="25" t="s">
        <v>344</v>
      </c>
      <c r="P202" s="25" t="s">
        <v>344</v>
      </c>
      <c r="Q202" s="25" t="s">
        <v>344</v>
      </c>
      <c r="R202" s="25"/>
      <c r="S202" s="25" t="s">
        <v>346</v>
      </c>
      <c r="T202" s="25"/>
      <c r="U202" s="25" t="s">
        <v>428</v>
      </c>
      <c r="V202" s="25"/>
      <c r="W202" s="25" t="s">
        <v>344</v>
      </c>
      <c r="X202" s="25" t="s">
        <v>345</v>
      </c>
      <c r="Y202" s="25" t="s">
        <v>344</v>
      </c>
      <c r="Z202" s="25" t="s">
        <v>344</v>
      </c>
      <c r="AA202" s="25" t="s">
        <v>344</v>
      </c>
      <c r="AB202" s="25" t="s">
        <v>344</v>
      </c>
      <c r="AC202" s="25" t="s">
        <v>344</v>
      </c>
      <c r="AD202" s="25" t="s">
        <v>344</v>
      </c>
      <c r="AE202" s="25" t="s">
        <v>345</v>
      </c>
      <c r="AF202" s="25" t="s">
        <v>344</v>
      </c>
      <c r="AG202" s="25" t="s">
        <v>344</v>
      </c>
      <c r="AH202" s="25" t="s">
        <v>345</v>
      </c>
      <c r="AI202" s="25" t="s">
        <v>344</v>
      </c>
      <c r="AJ202" s="25" t="s">
        <v>344</v>
      </c>
      <c r="AK202" s="25" t="s">
        <v>344</v>
      </c>
      <c r="AL202" s="25" t="s">
        <v>345</v>
      </c>
      <c r="AM202" s="25" t="s">
        <v>344</v>
      </c>
      <c r="AN202" s="25" t="s">
        <v>344</v>
      </c>
      <c r="AO202" s="25" t="s">
        <v>344</v>
      </c>
      <c r="AP202" s="25" t="s">
        <v>344</v>
      </c>
      <c r="AQ202" s="25" t="s">
        <v>344</v>
      </c>
      <c r="AR202" s="25" t="s">
        <v>344</v>
      </c>
      <c r="AS202" s="25" t="s">
        <v>344</v>
      </c>
      <c r="AT202" s="25" t="s">
        <v>345</v>
      </c>
      <c r="AU202" s="25" t="s">
        <v>344</v>
      </c>
      <c r="AV202" s="25" t="s">
        <v>345</v>
      </c>
      <c r="AW202" s="25" t="s">
        <v>345</v>
      </c>
      <c r="AX202" s="25" t="s">
        <v>344</v>
      </c>
      <c r="AY202" s="25" t="s">
        <v>737</v>
      </c>
      <c r="AZ202" s="25" t="s">
        <v>733</v>
      </c>
      <c r="BA202" s="25" t="s">
        <v>737</v>
      </c>
      <c r="BB202" s="25" t="s">
        <v>733</v>
      </c>
      <c r="BC202" s="25" t="s">
        <v>731</v>
      </c>
      <c r="BD202" s="25" t="s">
        <v>391</v>
      </c>
      <c r="BE202" s="25" t="s">
        <v>349</v>
      </c>
      <c r="BF202" s="25" t="s">
        <v>348</v>
      </c>
      <c r="BG202" s="25" t="s">
        <v>390</v>
      </c>
      <c r="BH202" s="25" t="s">
        <v>390</v>
      </c>
      <c r="BI202" s="25" t="s">
        <v>350</v>
      </c>
      <c r="BJ202" s="25" t="s">
        <v>352</v>
      </c>
      <c r="BK202" s="25" t="s">
        <v>357</v>
      </c>
      <c r="BL202" s="25" t="s">
        <v>352</v>
      </c>
      <c r="BM202" s="25" t="s">
        <v>353</v>
      </c>
      <c r="BN202" s="25" t="s">
        <v>357</v>
      </c>
      <c r="BO202" s="25" t="s">
        <v>354</v>
      </c>
      <c r="BP202" s="25" t="s">
        <v>353</v>
      </c>
      <c r="BQ202" s="25" t="s">
        <v>455</v>
      </c>
      <c r="BR202" s="25" t="s">
        <v>367</v>
      </c>
      <c r="BS202" s="25" t="s">
        <v>357</v>
      </c>
      <c r="BT202" s="25" t="s">
        <v>356</v>
      </c>
      <c r="BU202" s="25" t="s">
        <v>352</v>
      </c>
      <c r="BV202" s="25" t="s">
        <v>357</v>
      </c>
      <c r="BW202" s="25" t="s">
        <v>357</v>
      </c>
      <c r="BX202" s="25" t="s">
        <v>351</v>
      </c>
      <c r="BY202" s="25" t="s">
        <v>353</v>
      </c>
      <c r="BZ202" s="25" t="s">
        <v>354</v>
      </c>
      <c r="CA202" s="25" t="s">
        <v>352</v>
      </c>
      <c r="CB202" s="25" t="s">
        <v>357</v>
      </c>
      <c r="CC202" s="25" t="s">
        <v>353</v>
      </c>
      <c r="CD202" s="25" t="s">
        <v>355</v>
      </c>
      <c r="CE202" s="25" t="s">
        <v>354</v>
      </c>
      <c r="CF202" s="25" t="s">
        <v>352</v>
      </c>
      <c r="CG202" s="25" t="s">
        <v>392</v>
      </c>
      <c r="CH202" s="25" t="s">
        <v>393</v>
      </c>
      <c r="CI202" s="25" t="s">
        <v>420</v>
      </c>
      <c r="CJ202" s="25" t="s">
        <v>392</v>
      </c>
      <c r="CK202" s="25" t="s">
        <v>510</v>
      </c>
      <c r="CL202" s="25" t="s">
        <v>345</v>
      </c>
      <c r="CM202" s="25" t="s">
        <v>344</v>
      </c>
      <c r="CN202" s="25" t="s">
        <v>344</v>
      </c>
      <c r="CO202" s="25" t="s">
        <v>344</v>
      </c>
      <c r="CP202" s="25" t="s">
        <v>344</v>
      </c>
      <c r="CQ202" s="25" t="s">
        <v>344</v>
      </c>
      <c r="CR202" s="25" t="s">
        <v>667</v>
      </c>
      <c r="CS202" s="25">
        <v>73</v>
      </c>
      <c r="CT202" s="25">
        <v>8</v>
      </c>
      <c r="CU202" s="25">
        <v>80</v>
      </c>
      <c r="CV202" s="25">
        <v>25</v>
      </c>
      <c r="CW202" s="25" t="s">
        <v>363</v>
      </c>
      <c r="CX202" s="25" t="s">
        <v>396</v>
      </c>
      <c r="CY202" s="25" t="s">
        <v>396</v>
      </c>
      <c r="CZ202" s="25" t="s">
        <v>397</v>
      </c>
      <c r="DA202" s="25" t="s">
        <v>366</v>
      </c>
      <c r="DB202" s="25" t="s">
        <v>365</v>
      </c>
      <c r="DC202" s="25" t="s">
        <v>397</v>
      </c>
      <c r="DD202" s="25" t="s">
        <v>365</v>
      </c>
      <c r="DE202" s="25" t="s">
        <v>397</v>
      </c>
      <c r="DF202" s="25" t="s">
        <v>423</v>
      </c>
      <c r="DG202" s="25" t="s">
        <v>366</v>
      </c>
      <c r="DH202" s="25" t="s">
        <v>397</v>
      </c>
      <c r="DI202" s="25" t="s">
        <v>423</v>
      </c>
      <c r="DJ202" s="25" t="s">
        <v>1205</v>
      </c>
      <c r="DK202" s="25" t="s">
        <v>367</v>
      </c>
      <c r="DL202" s="25" t="s">
        <v>368</v>
      </c>
      <c r="DM202" s="25" t="s">
        <v>368</v>
      </c>
      <c r="DN202" s="25" t="s">
        <v>368</v>
      </c>
      <c r="DO202" s="25" t="s">
        <v>368</v>
      </c>
      <c r="DP202" s="25" t="s">
        <v>345</v>
      </c>
      <c r="DQ202" s="25" t="s">
        <v>344</v>
      </c>
      <c r="DR202" s="25" t="s">
        <v>345</v>
      </c>
      <c r="DS202" s="25" t="s">
        <v>344</v>
      </c>
      <c r="DT202" s="25" t="s">
        <v>368</v>
      </c>
      <c r="DU202" s="25" t="s">
        <v>368</v>
      </c>
      <c r="DV202" s="25" t="s">
        <v>368</v>
      </c>
      <c r="DW202" s="25" t="s">
        <v>345</v>
      </c>
      <c r="DX202" s="25" t="s">
        <v>369</v>
      </c>
      <c r="DY202" s="25" t="s">
        <v>370</v>
      </c>
      <c r="DZ202" s="25" t="s">
        <v>369</v>
      </c>
      <c r="EA202" s="25" t="s">
        <v>369</v>
      </c>
      <c r="EB202" s="25" t="s">
        <v>369</v>
      </c>
      <c r="EC202" s="25" t="s">
        <v>369</v>
      </c>
      <c r="ED202" s="25" t="s">
        <v>371</v>
      </c>
      <c r="EE202" s="25" t="s">
        <v>370</v>
      </c>
      <c r="EF202" s="25" t="s">
        <v>370</v>
      </c>
      <c r="EG202" s="25" t="s">
        <v>370</v>
      </c>
      <c r="EH202" s="25" t="s">
        <v>370</v>
      </c>
      <c r="EI202" s="25" t="s">
        <v>370</v>
      </c>
      <c r="EJ202" s="25" t="s">
        <v>370</v>
      </c>
      <c r="EK202" s="25" t="s">
        <v>371</v>
      </c>
      <c r="EL202" s="25" t="s">
        <v>373</v>
      </c>
      <c r="EM202" s="25" t="s">
        <v>372</v>
      </c>
      <c r="EN202" s="25" t="s">
        <v>374</v>
      </c>
      <c r="EO202" s="25"/>
      <c r="EP202" s="25"/>
      <c r="EQ202" s="25" t="s">
        <v>378</v>
      </c>
      <c r="ER202" s="25" t="s">
        <v>378</v>
      </c>
      <c r="ES202" s="25" t="s">
        <v>376</v>
      </c>
      <c r="ET202" s="25" t="s">
        <v>375</v>
      </c>
      <c r="EU202" s="25" t="s">
        <v>377</v>
      </c>
      <c r="EV202" s="25" t="s">
        <v>400</v>
      </c>
      <c r="EW202" s="25"/>
      <c r="EX202" s="25" t="s">
        <v>368</v>
      </c>
      <c r="EY202" s="25" t="s">
        <v>368</v>
      </c>
      <c r="EZ202" s="25" t="s">
        <v>368</v>
      </c>
      <c r="FA202" s="25" t="s">
        <v>345</v>
      </c>
      <c r="FB202" s="25" t="s">
        <v>381</v>
      </c>
      <c r="FC202" s="25"/>
      <c r="FD202" s="25" t="s">
        <v>401</v>
      </c>
      <c r="FE202" s="25"/>
      <c r="FF202" s="25" t="s">
        <v>382</v>
      </c>
      <c r="FG202" s="25" t="s">
        <v>383</v>
      </c>
      <c r="FH202" s="25" t="s">
        <v>384</v>
      </c>
      <c r="FI202" s="25" t="s">
        <v>403</v>
      </c>
      <c r="FJ202" s="25"/>
      <c r="FK202" s="25"/>
      <c r="FL202" s="25"/>
      <c r="FM202" s="25"/>
      <c r="FN202" s="25"/>
      <c r="FO202" s="25"/>
      <c r="FP202" s="25"/>
      <c r="FQ202" s="25"/>
      <c r="FR202" s="25"/>
      <c r="FS202" s="25"/>
      <c r="FT202" s="25"/>
      <c r="FU202" s="25"/>
      <c r="FV202" s="25"/>
      <c r="FW202" s="25"/>
      <c r="FX202" s="25"/>
      <c r="FY202" s="25"/>
      <c r="FZ202" s="25"/>
      <c r="GA202" s="25" t="s">
        <v>368</v>
      </c>
      <c r="GB202" s="25" t="s">
        <v>368</v>
      </c>
      <c r="GC202" s="25" t="s">
        <v>368</v>
      </c>
      <c r="GD202" s="25" t="s">
        <v>368</v>
      </c>
      <c r="GE202" s="25" t="s">
        <v>368</v>
      </c>
      <c r="GF202" s="25" t="s">
        <v>368</v>
      </c>
      <c r="GG202" s="25"/>
      <c r="GH202" s="25"/>
      <c r="GI202" s="25"/>
      <c r="GJ202" s="25"/>
      <c r="GK202" s="25"/>
      <c r="GL202" s="25" t="s">
        <v>344</v>
      </c>
      <c r="GM202" s="25" t="s">
        <v>344</v>
      </c>
      <c r="GN202" s="25" t="s">
        <v>344</v>
      </c>
      <c r="GO202" s="25" t="s">
        <v>345</v>
      </c>
      <c r="GP202" s="25" t="s">
        <v>344</v>
      </c>
      <c r="GQ202" s="25" t="s">
        <v>344</v>
      </c>
      <c r="GR202" s="25" t="s">
        <v>344</v>
      </c>
      <c r="GS202" s="25" t="s">
        <v>344</v>
      </c>
      <c r="GT202" s="25" t="s">
        <v>344</v>
      </c>
      <c r="GU202" s="25" t="s">
        <v>344</v>
      </c>
      <c r="GV202" s="25" t="s">
        <v>344</v>
      </c>
      <c r="GW202" s="25" t="s">
        <v>344</v>
      </c>
      <c r="GX202" s="25" t="s">
        <v>344</v>
      </c>
      <c r="GY202" s="25" t="s">
        <v>344</v>
      </c>
      <c r="GZ202" s="25" t="s">
        <v>344</v>
      </c>
      <c r="HA202" s="25"/>
      <c r="HB202" s="25" t="s">
        <v>344</v>
      </c>
      <c r="HC202" s="25"/>
      <c r="HD202" s="25" t="s">
        <v>344</v>
      </c>
      <c r="HE202" s="25"/>
      <c r="HF202" s="25" t="s">
        <v>344</v>
      </c>
      <c r="HG202" s="25"/>
      <c r="HH202" s="25" t="s">
        <v>344</v>
      </c>
      <c r="HI202" s="25"/>
      <c r="HJ202" s="25" t="s">
        <v>344</v>
      </c>
      <c r="HK202" s="25" t="s">
        <v>344</v>
      </c>
      <c r="HL202" s="25" t="s">
        <v>344</v>
      </c>
      <c r="HM202" s="25" t="s">
        <v>344</v>
      </c>
      <c r="HN202" s="25" t="s">
        <v>344</v>
      </c>
      <c r="HO202" s="25" t="s">
        <v>344</v>
      </c>
      <c r="HP202" s="25" t="s">
        <v>344</v>
      </c>
      <c r="HQ202" s="25" t="s">
        <v>344</v>
      </c>
      <c r="HR202" s="25" t="s">
        <v>344</v>
      </c>
      <c r="HS202" s="25" t="s">
        <v>344</v>
      </c>
      <c r="HT202" s="25" t="s">
        <v>344</v>
      </c>
      <c r="HU202" s="25" t="s">
        <v>344</v>
      </c>
      <c r="HV202" s="25" t="s">
        <v>344</v>
      </c>
      <c r="HW202" s="25" t="s">
        <v>344</v>
      </c>
      <c r="HX202" s="25" t="s">
        <v>345</v>
      </c>
      <c r="HY202" s="25"/>
      <c r="HZ202" s="25" t="s">
        <v>344</v>
      </c>
      <c r="IA202" s="25"/>
      <c r="IB202" s="25" t="s">
        <v>344</v>
      </c>
      <c r="IC202" s="25"/>
      <c r="ID202" s="25" t="s">
        <v>344</v>
      </c>
      <c r="IE202" s="25"/>
      <c r="IF202" s="25" t="s">
        <v>344</v>
      </c>
      <c r="IG202" s="25"/>
      <c r="IH202" s="25" t="s">
        <v>345</v>
      </c>
      <c r="II202" s="25" t="s">
        <v>345</v>
      </c>
      <c r="IJ202" s="25" t="s">
        <v>345</v>
      </c>
      <c r="IK202" s="25" t="s">
        <v>344</v>
      </c>
      <c r="IL202" s="25" t="s">
        <v>345</v>
      </c>
      <c r="IM202" s="25" t="s">
        <v>345</v>
      </c>
      <c r="IN202" s="25" t="s">
        <v>344</v>
      </c>
      <c r="IO202" s="25" t="s">
        <v>345</v>
      </c>
      <c r="IP202" s="25" t="s">
        <v>344</v>
      </c>
      <c r="IQ202" s="25" t="s">
        <v>344</v>
      </c>
      <c r="IR202" s="25" t="s">
        <v>344</v>
      </c>
      <c r="IS202" s="25" t="s">
        <v>344</v>
      </c>
      <c r="IT202" s="25"/>
      <c r="IU202" s="25"/>
      <c r="IV202" s="25"/>
      <c r="IW202" s="25"/>
      <c r="IX202" s="25"/>
      <c r="IY202" s="25"/>
      <c r="IZ202" s="25"/>
      <c r="JA202" s="25"/>
      <c r="JB202" s="25"/>
      <c r="JC202" s="25"/>
      <c r="JD202" s="25"/>
      <c r="JE202" s="25"/>
      <c r="JF202" s="25"/>
      <c r="JG202" s="25"/>
      <c r="JH202" s="25"/>
    </row>
    <row r="203" spans="1:268" x14ac:dyDescent="0.3">
      <c r="A203" s="25" t="s">
        <v>338</v>
      </c>
      <c r="B203" s="25">
        <v>321</v>
      </c>
      <c r="C203" s="25" t="s">
        <v>1206</v>
      </c>
      <c r="D203" s="25">
        <v>14</v>
      </c>
      <c r="E203" s="25" t="s">
        <v>340</v>
      </c>
      <c r="F203" s="25">
        <v>1979374456</v>
      </c>
      <c r="G203" s="25" t="s">
        <v>1207</v>
      </c>
      <c r="H203" s="25" t="s">
        <v>1206</v>
      </c>
      <c r="I203" s="25" t="s">
        <v>1202</v>
      </c>
      <c r="J203" s="25">
        <v>17</v>
      </c>
      <c r="K203" s="25" t="s">
        <v>389</v>
      </c>
      <c r="L203" s="25"/>
      <c r="M203" s="25" t="s">
        <v>344</v>
      </c>
      <c r="N203" s="25" t="s">
        <v>345</v>
      </c>
      <c r="O203" s="25" t="s">
        <v>344</v>
      </c>
      <c r="P203" s="25" t="s">
        <v>344</v>
      </c>
      <c r="Q203" s="25" t="s">
        <v>344</v>
      </c>
      <c r="R203" s="25"/>
      <c r="S203" s="25" t="s">
        <v>346</v>
      </c>
      <c r="T203" s="25"/>
      <c r="U203" s="25" t="s">
        <v>418</v>
      </c>
      <c r="V203" s="25"/>
      <c r="W203" s="25" t="s">
        <v>345</v>
      </c>
      <c r="X203" s="25" t="s">
        <v>345</v>
      </c>
      <c r="Y203" s="25" t="s">
        <v>344</v>
      </c>
      <c r="Z203" s="25" t="s">
        <v>344</v>
      </c>
      <c r="AA203" s="25" t="s">
        <v>344</v>
      </c>
      <c r="AB203" s="25" t="s">
        <v>344</v>
      </c>
      <c r="AC203" s="25" t="s">
        <v>344</v>
      </c>
      <c r="AD203" s="25" t="s">
        <v>344</v>
      </c>
      <c r="AE203" s="25" t="s">
        <v>344</v>
      </c>
      <c r="AF203" s="25" t="s">
        <v>344</v>
      </c>
      <c r="AG203" s="25" t="s">
        <v>344</v>
      </c>
      <c r="AH203" s="25" t="s">
        <v>345</v>
      </c>
      <c r="AI203" s="25" t="s">
        <v>345</v>
      </c>
      <c r="AJ203" s="25" t="s">
        <v>344</v>
      </c>
      <c r="AK203" s="25" t="s">
        <v>368</v>
      </c>
      <c r="AL203" s="25" t="s">
        <v>368</v>
      </c>
      <c r="AM203" s="25" t="s">
        <v>368</v>
      </c>
      <c r="AN203" s="25" t="s">
        <v>368</v>
      </c>
      <c r="AO203" s="25" t="s">
        <v>368</v>
      </c>
      <c r="AP203" s="25" t="s">
        <v>368</v>
      </c>
      <c r="AQ203" s="25" t="s">
        <v>345</v>
      </c>
      <c r="AR203" s="25" t="s">
        <v>345</v>
      </c>
      <c r="AS203" s="25" t="s">
        <v>345</v>
      </c>
      <c r="AT203" s="25" t="s">
        <v>344</v>
      </c>
      <c r="AU203" s="25" t="s">
        <v>345</v>
      </c>
      <c r="AV203" s="25" t="s">
        <v>344</v>
      </c>
      <c r="AW203" s="25" t="s">
        <v>344</v>
      </c>
      <c r="AX203" s="25" t="s">
        <v>344</v>
      </c>
      <c r="AY203" s="25" t="s">
        <v>391</v>
      </c>
      <c r="AZ203" s="25" t="s">
        <v>731</v>
      </c>
      <c r="BA203" s="25" t="s">
        <v>731</v>
      </c>
      <c r="BB203" s="25" t="s">
        <v>732</v>
      </c>
      <c r="BC203" s="25" t="s">
        <v>733</v>
      </c>
      <c r="BD203" s="25" t="s">
        <v>732</v>
      </c>
      <c r="BE203" s="25" t="s">
        <v>349</v>
      </c>
      <c r="BF203" s="25" t="s">
        <v>348</v>
      </c>
      <c r="BG203" s="25" t="s">
        <v>390</v>
      </c>
      <c r="BH203" s="25" t="s">
        <v>390</v>
      </c>
      <c r="BI203" s="25" t="s">
        <v>348</v>
      </c>
      <c r="BJ203" s="25" t="s">
        <v>354</v>
      </c>
      <c r="BK203" s="25" t="s">
        <v>357</v>
      </c>
      <c r="BL203" s="25" t="s">
        <v>354</v>
      </c>
      <c r="BM203" s="25" t="s">
        <v>391</v>
      </c>
      <c r="BN203" s="25" t="s">
        <v>352</v>
      </c>
      <c r="BO203" s="25" t="s">
        <v>353</v>
      </c>
      <c r="BP203" s="25" t="s">
        <v>355</v>
      </c>
      <c r="BQ203" s="25" t="s">
        <v>407</v>
      </c>
      <c r="BR203" s="25" t="s">
        <v>408</v>
      </c>
      <c r="BS203" s="25" t="s">
        <v>351</v>
      </c>
      <c r="BT203" s="25" t="s">
        <v>351</v>
      </c>
      <c r="BU203" s="25" t="s">
        <v>353</v>
      </c>
      <c r="BV203" s="25" t="s">
        <v>352</v>
      </c>
      <c r="BW203" s="25" t="s">
        <v>353</v>
      </c>
      <c r="BX203" s="25" t="s">
        <v>351</v>
      </c>
      <c r="BY203" s="25" t="s">
        <v>355</v>
      </c>
      <c r="BZ203" s="25" t="s">
        <v>354</v>
      </c>
      <c r="CA203" s="25" t="s">
        <v>391</v>
      </c>
      <c r="CB203" s="25" t="s">
        <v>351</v>
      </c>
      <c r="CC203" s="25" t="s">
        <v>391</v>
      </c>
      <c r="CD203" s="25" t="s">
        <v>357</v>
      </c>
      <c r="CE203" s="25" t="s">
        <v>357</v>
      </c>
      <c r="CF203" s="25" t="s">
        <v>353</v>
      </c>
      <c r="CG203" s="25" t="s">
        <v>393</v>
      </c>
      <c r="CH203" s="25" t="s">
        <v>421</v>
      </c>
      <c r="CI203" s="25" t="s">
        <v>393</v>
      </c>
      <c r="CJ203" s="25" t="s">
        <v>421</v>
      </c>
      <c r="CK203" s="25" t="s">
        <v>835</v>
      </c>
      <c r="CL203" s="25" t="s">
        <v>344</v>
      </c>
      <c r="CM203" s="25" t="s">
        <v>345</v>
      </c>
      <c r="CN203" s="25" t="s">
        <v>344</v>
      </c>
      <c r="CO203" s="25" t="s">
        <v>344</v>
      </c>
      <c r="CP203" s="25" t="s">
        <v>344</v>
      </c>
      <c r="CQ203" s="25" t="s">
        <v>344</v>
      </c>
      <c r="CR203" s="25" t="s">
        <v>655</v>
      </c>
      <c r="CS203" s="25">
        <v>17</v>
      </c>
      <c r="CT203" s="25">
        <v>77</v>
      </c>
      <c r="CU203" s="25">
        <v>82</v>
      </c>
      <c r="CV203" s="25">
        <v>12</v>
      </c>
      <c r="CW203" s="25" t="s">
        <v>395</v>
      </c>
      <c r="CX203" s="25" t="s">
        <v>396</v>
      </c>
      <c r="CY203" s="25" t="s">
        <v>396</v>
      </c>
      <c r="CZ203" s="25" t="s">
        <v>366</v>
      </c>
      <c r="DA203" s="25" t="s">
        <v>366</v>
      </c>
      <c r="DB203" s="25" t="s">
        <v>397</v>
      </c>
      <c r="DC203" s="25" t="s">
        <v>397</v>
      </c>
      <c r="DD203" s="25" t="s">
        <v>366</v>
      </c>
      <c r="DE203" s="25" t="s">
        <v>365</v>
      </c>
      <c r="DF203" s="25" t="s">
        <v>366</v>
      </c>
      <c r="DG203" s="25" t="s">
        <v>397</v>
      </c>
      <c r="DH203" s="25" t="s">
        <v>397</v>
      </c>
      <c r="DI203" s="25" t="s">
        <v>365</v>
      </c>
      <c r="DJ203" s="25" t="s">
        <v>1208</v>
      </c>
      <c r="DK203" s="25" t="s">
        <v>367</v>
      </c>
      <c r="DL203" s="25" t="s">
        <v>368</v>
      </c>
      <c r="DM203" s="25" t="s">
        <v>368</v>
      </c>
      <c r="DN203" s="25" t="s">
        <v>368</v>
      </c>
      <c r="DO203" s="25" t="s">
        <v>368</v>
      </c>
      <c r="DP203" s="25" t="s">
        <v>368</v>
      </c>
      <c r="DQ203" s="25" t="s">
        <v>368</v>
      </c>
      <c r="DR203" s="25" t="s">
        <v>368</v>
      </c>
      <c r="DS203" s="25" t="s">
        <v>345</v>
      </c>
      <c r="DT203" s="25" t="s">
        <v>368</v>
      </c>
      <c r="DU203" s="25" t="s">
        <v>368</v>
      </c>
      <c r="DV203" s="25" t="s">
        <v>368</v>
      </c>
      <c r="DW203" s="25" t="s">
        <v>345</v>
      </c>
      <c r="DX203" s="25" t="s">
        <v>399</v>
      </c>
      <c r="DY203" s="25" t="s">
        <v>371</v>
      </c>
      <c r="DZ203" s="25" t="s">
        <v>369</v>
      </c>
      <c r="EA203" s="25" t="s">
        <v>370</v>
      </c>
      <c r="EB203" s="25" t="s">
        <v>370</v>
      </c>
      <c r="EC203" s="25" t="s">
        <v>370</v>
      </c>
      <c r="ED203" s="25" t="s">
        <v>398</v>
      </c>
      <c r="EE203" s="25" t="s">
        <v>370</v>
      </c>
      <c r="EF203" s="25" t="s">
        <v>370</v>
      </c>
      <c r="EG203" s="25" t="s">
        <v>369</v>
      </c>
      <c r="EH203" s="25" t="s">
        <v>370</v>
      </c>
      <c r="EI203" s="25" t="s">
        <v>371</v>
      </c>
      <c r="EJ203" s="25" t="s">
        <v>370</v>
      </c>
      <c r="EK203" s="25" t="s">
        <v>371</v>
      </c>
      <c r="EL203" s="25" t="s">
        <v>374</v>
      </c>
      <c r="EM203" s="25" t="s">
        <v>373</v>
      </c>
      <c r="EN203" s="25" t="s">
        <v>424</v>
      </c>
      <c r="EO203" s="25"/>
      <c r="EP203" s="25"/>
      <c r="EQ203" s="25" t="s">
        <v>376</v>
      </c>
      <c r="ER203" s="25" t="s">
        <v>376</v>
      </c>
      <c r="ES203" s="25" t="s">
        <v>376</v>
      </c>
      <c r="ET203" s="25" t="s">
        <v>376</v>
      </c>
      <c r="EU203" s="25" t="s">
        <v>376</v>
      </c>
      <c r="EV203" s="25" t="s">
        <v>400</v>
      </c>
      <c r="EW203" s="25"/>
      <c r="EX203" s="169" t="s">
        <v>344</v>
      </c>
      <c r="EY203" s="169" t="s">
        <v>345</v>
      </c>
      <c r="EZ203" s="169" t="s">
        <v>344</v>
      </c>
      <c r="FA203" s="25" t="s">
        <v>344</v>
      </c>
      <c r="FB203" s="25" t="s">
        <v>401</v>
      </c>
      <c r="FC203" s="25"/>
      <c r="FD203" s="25" t="s">
        <v>401</v>
      </c>
      <c r="FE203" s="25"/>
      <c r="FF203" s="25" t="s">
        <v>412</v>
      </c>
      <c r="FG203" s="25" t="s">
        <v>383</v>
      </c>
      <c r="FH203" s="25" t="s">
        <v>451</v>
      </c>
      <c r="FI203" s="25" t="s">
        <v>403</v>
      </c>
      <c r="FJ203" s="25"/>
      <c r="FK203" s="25"/>
      <c r="FL203" s="25"/>
      <c r="FM203" s="25"/>
      <c r="FN203" s="25"/>
      <c r="FO203" s="25"/>
      <c r="FP203" s="25"/>
      <c r="FQ203" s="25"/>
      <c r="FR203" s="25"/>
      <c r="FS203" s="25"/>
      <c r="FT203" s="25"/>
      <c r="FU203" s="25"/>
      <c r="FV203" s="25"/>
      <c r="FW203" s="25"/>
      <c r="FX203" s="25"/>
      <c r="FY203" s="25"/>
      <c r="FZ203" s="25"/>
      <c r="GA203" s="25" t="s">
        <v>368</v>
      </c>
      <c r="GB203" s="25" t="s">
        <v>368</v>
      </c>
      <c r="GC203" s="25" t="s">
        <v>368</v>
      </c>
      <c r="GD203" s="25" t="s">
        <v>368</v>
      </c>
      <c r="GE203" s="25" t="s">
        <v>368</v>
      </c>
      <c r="GF203" s="25" t="s">
        <v>368</v>
      </c>
      <c r="GG203" s="25"/>
      <c r="GH203" s="25"/>
      <c r="GI203" s="25"/>
      <c r="GJ203" s="25"/>
      <c r="GK203" s="25"/>
      <c r="GL203" s="25" t="s">
        <v>344</v>
      </c>
      <c r="GM203" s="25" t="s">
        <v>344</v>
      </c>
      <c r="GN203" s="25" t="s">
        <v>345</v>
      </c>
      <c r="GO203" s="25" t="s">
        <v>344</v>
      </c>
      <c r="GP203" s="25" t="s">
        <v>344</v>
      </c>
      <c r="GQ203" s="25" t="s">
        <v>344</v>
      </c>
      <c r="GR203" s="25" t="s">
        <v>344</v>
      </c>
      <c r="GS203" s="25" t="s">
        <v>344</v>
      </c>
      <c r="GT203" s="25" t="s">
        <v>344</v>
      </c>
      <c r="GU203" s="25" t="s">
        <v>344</v>
      </c>
      <c r="GV203" s="25" t="s">
        <v>344</v>
      </c>
      <c r="GW203" s="25" t="s">
        <v>345</v>
      </c>
      <c r="GX203" s="25" t="s">
        <v>344</v>
      </c>
      <c r="GY203" s="25" t="s">
        <v>344</v>
      </c>
      <c r="GZ203" s="25" t="s">
        <v>344</v>
      </c>
      <c r="HA203" s="25"/>
      <c r="HB203" s="25" t="s">
        <v>344</v>
      </c>
      <c r="HC203" s="25"/>
      <c r="HD203" s="25" t="s">
        <v>344</v>
      </c>
      <c r="HE203" s="25"/>
      <c r="HF203" s="25" t="s">
        <v>344</v>
      </c>
      <c r="HG203" s="25"/>
      <c r="HH203" s="25" t="s">
        <v>344</v>
      </c>
      <c r="HI203" s="25"/>
      <c r="HJ203" s="25" t="s">
        <v>345</v>
      </c>
      <c r="HK203" s="25" t="s">
        <v>344</v>
      </c>
      <c r="HL203" s="25" t="s">
        <v>345</v>
      </c>
      <c r="HM203" s="25" t="s">
        <v>344</v>
      </c>
      <c r="HN203" s="25" t="s">
        <v>344</v>
      </c>
      <c r="HO203" s="25" t="s">
        <v>344</v>
      </c>
      <c r="HP203" s="25" t="s">
        <v>344</v>
      </c>
      <c r="HQ203" s="25" t="s">
        <v>344</v>
      </c>
      <c r="HR203" s="25" t="s">
        <v>344</v>
      </c>
      <c r="HS203" s="25" t="s">
        <v>344</v>
      </c>
      <c r="HT203" s="25" t="s">
        <v>344</v>
      </c>
      <c r="HU203" s="25" t="s">
        <v>345</v>
      </c>
      <c r="HV203" s="25" t="s">
        <v>345</v>
      </c>
      <c r="HW203" s="25" t="s">
        <v>344</v>
      </c>
      <c r="HX203" s="25" t="s">
        <v>344</v>
      </c>
      <c r="HY203" s="25"/>
      <c r="HZ203" s="25" t="s">
        <v>344</v>
      </c>
      <c r="IA203" s="25"/>
      <c r="IB203" s="25" t="s">
        <v>344</v>
      </c>
      <c r="IC203" s="25"/>
      <c r="ID203" s="25" t="s">
        <v>344</v>
      </c>
      <c r="IE203" s="25"/>
      <c r="IF203" s="25" t="s">
        <v>344</v>
      </c>
      <c r="IG203" s="25"/>
      <c r="IH203" s="25" t="s">
        <v>345</v>
      </c>
      <c r="II203" s="25" t="s">
        <v>345</v>
      </c>
      <c r="IJ203" s="25" t="s">
        <v>344</v>
      </c>
      <c r="IK203" s="25" t="s">
        <v>344</v>
      </c>
      <c r="IL203" s="25" t="s">
        <v>345</v>
      </c>
      <c r="IM203" s="25" t="s">
        <v>345</v>
      </c>
      <c r="IN203" s="25" t="s">
        <v>344</v>
      </c>
      <c r="IO203" s="25" t="s">
        <v>345</v>
      </c>
      <c r="IP203" s="25" t="s">
        <v>344</v>
      </c>
      <c r="IQ203" s="25" t="s">
        <v>344</v>
      </c>
      <c r="IR203" s="25" t="s">
        <v>344</v>
      </c>
      <c r="IS203" s="25" t="s">
        <v>344</v>
      </c>
      <c r="IT203" s="25"/>
      <c r="IU203" s="25"/>
      <c r="IV203" s="25"/>
      <c r="IW203" s="25"/>
      <c r="IX203" s="25"/>
      <c r="IY203" s="25"/>
      <c r="IZ203" s="25"/>
      <c r="JA203" s="25"/>
      <c r="JB203" s="25"/>
      <c r="JC203" s="25"/>
      <c r="JD203" s="25"/>
      <c r="JE203" s="25"/>
      <c r="JF203" s="25"/>
      <c r="JG203" s="25"/>
      <c r="JH203" s="25"/>
    </row>
    <row r="204" spans="1:268" x14ac:dyDescent="0.3">
      <c r="A204" s="25" t="s">
        <v>338</v>
      </c>
      <c r="B204" s="25">
        <v>322</v>
      </c>
      <c r="C204" s="25" t="s">
        <v>1209</v>
      </c>
      <c r="D204" s="25">
        <v>14</v>
      </c>
      <c r="E204" s="25" t="s">
        <v>340</v>
      </c>
      <c r="F204" s="25">
        <v>1294923964</v>
      </c>
      <c r="G204" s="25" t="s">
        <v>1210</v>
      </c>
      <c r="H204" s="25" t="s">
        <v>1209</v>
      </c>
      <c r="I204" s="25" t="s">
        <v>1179</v>
      </c>
      <c r="J204" s="25">
        <v>18</v>
      </c>
      <c r="K204" s="25" t="s">
        <v>406</v>
      </c>
      <c r="L204" s="25"/>
      <c r="M204" s="25" t="s">
        <v>344</v>
      </c>
      <c r="N204" s="25" t="s">
        <v>345</v>
      </c>
      <c r="O204" s="25" t="s">
        <v>344</v>
      </c>
      <c r="P204" s="25" t="s">
        <v>344</v>
      </c>
      <c r="Q204" s="25" t="s">
        <v>344</v>
      </c>
      <c r="R204" s="25"/>
      <c r="S204" s="25" t="s">
        <v>346</v>
      </c>
      <c r="T204" s="25"/>
      <c r="U204" s="25" t="s">
        <v>418</v>
      </c>
      <c r="V204" s="25"/>
      <c r="W204" s="25" t="s">
        <v>345</v>
      </c>
      <c r="X204" s="25" t="s">
        <v>345</v>
      </c>
      <c r="Y204" s="25" t="s">
        <v>344</v>
      </c>
      <c r="Z204" s="25" t="s">
        <v>344</v>
      </c>
      <c r="AA204" s="25" t="s">
        <v>344</v>
      </c>
      <c r="AB204" s="25" t="s">
        <v>344</v>
      </c>
      <c r="AC204" s="25" t="s">
        <v>344</v>
      </c>
      <c r="AD204" s="25" t="s">
        <v>344</v>
      </c>
      <c r="AE204" s="25" t="s">
        <v>345</v>
      </c>
      <c r="AF204" s="25" t="s">
        <v>345</v>
      </c>
      <c r="AG204" s="25" t="s">
        <v>344</v>
      </c>
      <c r="AH204" s="25" t="s">
        <v>344</v>
      </c>
      <c r="AI204" s="25" t="s">
        <v>345</v>
      </c>
      <c r="AJ204" s="25" t="s">
        <v>344</v>
      </c>
      <c r="AK204" s="25" t="s">
        <v>345</v>
      </c>
      <c r="AL204" s="25" t="s">
        <v>344</v>
      </c>
      <c r="AM204" s="25" t="s">
        <v>344</v>
      </c>
      <c r="AN204" s="25" t="s">
        <v>345</v>
      </c>
      <c r="AO204" s="25" t="s">
        <v>344</v>
      </c>
      <c r="AP204" s="25" t="s">
        <v>344</v>
      </c>
      <c r="AQ204" s="25" t="s">
        <v>344</v>
      </c>
      <c r="AR204" s="25" t="s">
        <v>344</v>
      </c>
      <c r="AS204" s="25" t="s">
        <v>345</v>
      </c>
      <c r="AT204" s="25" t="s">
        <v>345</v>
      </c>
      <c r="AU204" s="25" t="s">
        <v>345</v>
      </c>
      <c r="AV204" s="25" t="s">
        <v>345</v>
      </c>
      <c r="AW204" s="25" t="s">
        <v>345</v>
      </c>
      <c r="AX204" s="25" t="s">
        <v>344</v>
      </c>
      <c r="AY204" s="25" t="s">
        <v>731</v>
      </c>
      <c r="AZ204" s="25" t="s">
        <v>732</v>
      </c>
      <c r="BA204" s="25" t="s">
        <v>732</v>
      </c>
      <c r="BB204" s="25" t="s">
        <v>732</v>
      </c>
      <c r="BC204" s="25" t="s">
        <v>733</v>
      </c>
      <c r="BD204" s="25" t="s">
        <v>732</v>
      </c>
      <c r="BE204" s="25" t="s">
        <v>349</v>
      </c>
      <c r="BF204" s="25" t="s">
        <v>349</v>
      </c>
      <c r="BG204" s="25" t="s">
        <v>390</v>
      </c>
      <c r="BH204" s="25" t="s">
        <v>390</v>
      </c>
      <c r="BI204" s="25" t="s">
        <v>349</v>
      </c>
      <c r="BJ204" s="25" t="s">
        <v>391</v>
      </c>
      <c r="BK204" s="25" t="s">
        <v>391</v>
      </c>
      <c r="BL204" s="25" t="s">
        <v>391</v>
      </c>
      <c r="BM204" s="25" t="s">
        <v>391</v>
      </c>
      <c r="BN204" s="25" t="s">
        <v>391</v>
      </c>
      <c r="BO204" s="25" t="s">
        <v>391</v>
      </c>
      <c r="BP204" s="25" t="s">
        <v>391</v>
      </c>
      <c r="BQ204" s="25" t="s">
        <v>358</v>
      </c>
      <c r="BR204" s="25" t="s">
        <v>429</v>
      </c>
      <c r="BS204" s="25" t="s">
        <v>391</v>
      </c>
      <c r="BT204" s="25" t="s">
        <v>391</v>
      </c>
      <c r="BU204" s="25" t="s">
        <v>391</v>
      </c>
      <c r="BV204" s="25" t="s">
        <v>391</v>
      </c>
      <c r="BW204" s="25" t="s">
        <v>391</v>
      </c>
      <c r="BX204" s="25" t="s">
        <v>391</v>
      </c>
      <c r="BY204" s="25" t="s">
        <v>391</v>
      </c>
      <c r="BZ204" s="25" t="s">
        <v>391</v>
      </c>
      <c r="CA204" s="25" t="s">
        <v>391</v>
      </c>
      <c r="CB204" s="25" t="s">
        <v>391</v>
      </c>
      <c r="CC204" s="25" t="s">
        <v>391</v>
      </c>
      <c r="CD204" s="25" t="s">
        <v>391</v>
      </c>
      <c r="CE204" s="25" t="s">
        <v>391</v>
      </c>
      <c r="CF204" s="25" t="s">
        <v>391</v>
      </c>
      <c r="CG204" s="25" t="s">
        <v>392</v>
      </c>
      <c r="CH204" s="25" t="s">
        <v>421</v>
      </c>
      <c r="CI204" s="25" t="s">
        <v>360</v>
      </c>
      <c r="CJ204" s="25" t="s">
        <v>420</v>
      </c>
      <c r="CK204" s="25" t="s">
        <v>1211</v>
      </c>
      <c r="CL204" s="25" t="s">
        <v>345</v>
      </c>
      <c r="CM204" s="25" t="s">
        <v>344</v>
      </c>
      <c r="CN204" s="25" t="s">
        <v>344</v>
      </c>
      <c r="CO204" s="25" t="s">
        <v>345</v>
      </c>
      <c r="CP204" s="25" t="s">
        <v>345</v>
      </c>
      <c r="CQ204" s="25" t="s">
        <v>344</v>
      </c>
      <c r="CR204" s="25" t="s">
        <v>672</v>
      </c>
      <c r="CS204" s="25">
        <v>85</v>
      </c>
      <c r="CT204" s="25">
        <v>20</v>
      </c>
      <c r="CU204" s="25">
        <v>80</v>
      </c>
      <c r="CV204" s="25">
        <v>1</v>
      </c>
      <c r="CW204" s="25" t="s">
        <v>364</v>
      </c>
      <c r="CX204" s="25" t="s">
        <v>364</v>
      </c>
      <c r="CY204" s="25" t="s">
        <v>363</v>
      </c>
      <c r="CZ204" s="25" t="s">
        <v>423</v>
      </c>
      <c r="DA204" s="25" t="s">
        <v>366</v>
      </c>
      <c r="DB204" s="25" t="s">
        <v>365</v>
      </c>
      <c r="DC204" s="25" t="s">
        <v>365</v>
      </c>
      <c r="DD204" s="25" t="s">
        <v>365</v>
      </c>
      <c r="DE204" s="25" t="s">
        <v>423</v>
      </c>
      <c r="DF204" s="25" t="s">
        <v>365</v>
      </c>
      <c r="DG204" s="25" t="s">
        <v>365</v>
      </c>
      <c r="DH204" s="25" t="s">
        <v>365</v>
      </c>
      <c r="DI204" s="25" t="s">
        <v>365</v>
      </c>
      <c r="DJ204" s="25"/>
      <c r="DK204" s="25" t="s">
        <v>367</v>
      </c>
      <c r="DL204" s="25" t="s">
        <v>368</v>
      </c>
      <c r="DM204" s="25" t="s">
        <v>368</v>
      </c>
      <c r="DN204" s="25" t="s">
        <v>368</v>
      </c>
      <c r="DO204" s="25" t="s">
        <v>368</v>
      </c>
      <c r="DP204" s="25" t="s">
        <v>368</v>
      </c>
      <c r="DQ204" s="25" t="s">
        <v>368</v>
      </c>
      <c r="DR204" s="25" t="s">
        <v>368</v>
      </c>
      <c r="DS204" s="25" t="s">
        <v>345</v>
      </c>
      <c r="DT204" s="25" t="s">
        <v>368</v>
      </c>
      <c r="DU204" s="25" t="s">
        <v>368</v>
      </c>
      <c r="DV204" s="25" t="s">
        <v>368</v>
      </c>
      <c r="DW204" s="25" t="s">
        <v>345</v>
      </c>
      <c r="DX204" s="25" t="s">
        <v>369</v>
      </c>
      <c r="DY204" s="25" t="s">
        <v>370</v>
      </c>
      <c r="DZ204" s="25" t="s">
        <v>370</v>
      </c>
      <c r="EA204" s="25" t="s">
        <v>371</v>
      </c>
      <c r="EB204" s="25" t="s">
        <v>369</v>
      </c>
      <c r="EC204" s="25" t="s">
        <v>369</v>
      </c>
      <c r="ED204" s="25" t="s">
        <v>370</v>
      </c>
      <c r="EE204" s="25" t="s">
        <v>370</v>
      </c>
      <c r="EF204" s="25" t="s">
        <v>370</v>
      </c>
      <c r="EG204" s="25" t="s">
        <v>370</v>
      </c>
      <c r="EH204" s="25" t="s">
        <v>370</v>
      </c>
      <c r="EI204" s="25" t="s">
        <v>370</v>
      </c>
      <c r="EJ204" s="25" t="s">
        <v>370</v>
      </c>
      <c r="EK204" s="25" t="s">
        <v>370</v>
      </c>
      <c r="EL204" s="25" t="s">
        <v>372</v>
      </c>
      <c r="EM204" s="25" t="s">
        <v>373</v>
      </c>
      <c r="EN204" s="25" t="s">
        <v>440</v>
      </c>
      <c r="EO204" s="25"/>
      <c r="EP204" s="25"/>
      <c r="EQ204" s="25" t="s">
        <v>378</v>
      </c>
      <c r="ER204" s="25" t="s">
        <v>378</v>
      </c>
      <c r="ES204" s="25" t="s">
        <v>376</v>
      </c>
      <c r="ET204" s="25" t="s">
        <v>378</v>
      </c>
      <c r="EU204" s="25" t="s">
        <v>377</v>
      </c>
      <c r="EV204" s="25" t="s">
        <v>400</v>
      </c>
      <c r="EW204" s="25"/>
      <c r="EX204" s="169" t="s">
        <v>344</v>
      </c>
      <c r="EY204" s="169" t="s">
        <v>345</v>
      </c>
      <c r="EZ204" s="169" t="s">
        <v>344</v>
      </c>
      <c r="FA204" s="25" t="s">
        <v>344</v>
      </c>
      <c r="FB204" s="25" t="s">
        <v>401</v>
      </c>
      <c r="FC204" s="25"/>
      <c r="FD204" s="25" t="s">
        <v>401</v>
      </c>
      <c r="FE204" s="25"/>
      <c r="FF204" s="25" t="s">
        <v>412</v>
      </c>
      <c r="FG204" s="25" t="s">
        <v>413</v>
      </c>
      <c r="FH204" s="25" t="s">
        <v>384</v>
      </c>
      <c r="FI204" s="25" t="s">
        <v>385</v>
      </c>
      <c r="FJ204" s="25"/>
      <c r="FK204" s="25"/>
      <c r="FL204" s="25"/>
      <c r="FM204" s="25"/>
      <c r="FN204" s="25"/>
      <c r="FO204" s="25"/>
      <c r="FP204" s="25"/>
      <c r="FQ204" s="25"/>
      <c r="FR204" s="25"/>
      <c r="FS204" s="25"/>
      <c r="FT204" s="25"/>
      <c r="FU204" s="25"/>
      <c r="FV204" s="25"/>
      <c r="FW204" s="25"/>
      <c r="FX204" s="25"/>
      <c r="FY204" s="25"/>
      <c r="FZ204" s="25"/>
      <c r="GA204" s="25" t="s">
        <v>368</v>
      </c>
      <c r="GB204" s="25" t="s">
        <v>368</v>
      </c>
      <c r="GC204" s="25" t="s">
        <v>368</v>
      </c>
      <c r="GD204" s="25" t="s">
        <v>368</v>
      </c>
      <c r="GE204" s="25" t="s">
        <v>368</v>
      </c>
      <c r="GF204" s="25" t="s">
        <v>368</v>
      </c>
      <c r="GG204" s="25"/>
      <c r="GH204" s="25"/>
      <c r="GI204" s="25"/>
      <c r="GJ204" s="25"/>
      <c r="GK204" s="25"/>
      <c r="GL204" s="25" t="s">
        <v>344</v>
      </c>
      <c r="GM204" s="25" t="s">
        <v>344</v>
      </c>
      <c r="GN204" s="25" t="s">
        <v>344</v>
      </c>
      <c r="GO204" s="25" t="s">
        <v>344</v>
      </c>
      <c r="GP204" s="25" t="s">
        <v>344</v>
      </c>
      <c r="GQ204" s="25" t="s">
        <v>344</v>
      </c>
      <c r="GR204" s="25" t="s">
        <v>344</v>
      </c>
      <c r="GS204" s="25" t="s">
        <v>344</v>
      </c>
      <c r="GT204" s="25" t="s">
        <v>344</v>
      </c>
      <c r="GU204" s="25" t="s">
        <v>344</v>
      </c>
      <c r="GV204" s="25" t="s">
        <v>344</v>
      </c>
      <c r="GW204" s="25" t="s">
        <v>344</v>
      </c>
      <c r="GX204" s="25" t="s">
        <v>344</v>
      </c>
      <c r="GY204" s="25" t="s">
        <v>344</v>
      </c>
      <c r="GZ204" s="25" t="s">
        <v>345</v>
      </c>
      <c r="HA204" s="25"/>
      <c r="HB204" s="25" t="s">
        <v>344</v>
      </c>
      <c r="HC204" s="25"/>
      <c r="HD204" s="25" t="s">
        <v>344</v>
      </c>
      <c r="HE204" s="25"/>
      <c r="HF204" s="25" t="s">
        <v>344</v>
      </c>
      <c r="HG204" s="25"/>
      <c r="HH204" s="25" t="s">
        <v>344</v>
      </c>
      <c r="HI204" s="25"/>
      <c r="HJ204" s="25" t="s">
        <v>344</v>
      </c>
      <c r="HK204" s="25" t="s">
        <v>344</v>
      </c>
      <c r="HL204" s="25" t="s">
        <v>344</v>
      </c>
      <c r="HM204" s="25" t="s">
        <v>344</v>
      </c>
      <c r="HN204" s="25" t="s">
        <v>344</v>
      </c>
      <c r="HO204" s="25" t="s">
        <v>344</v>
      </c>
      <c r="HP204" s="25" t="s">
        <v>344</v>
      </c>
      <c r="HQ204" s="25" t="s">
        <v>344</v>
      </c>
      <c r="HR204" s="25" t="s">
        <v>344</v>
      </c>
      <c r="HS204" s="25" t="s">
        <v>344</v>
      </c>
      <c r="HT204" s="25" t="s">
        <v>344</v>
      </c>
      <c r="HU204" s="25" t="s">
        <v>344</v>
      </c>
      <c r="HV204" s="25" t="s">
        <v>344</v>
      </c>
      <c r="HW204" s="25" t="s">
        <v>344</v>
      </c>
      <c r="HX204" s="25" t="s">
        <v>345</v>
      </c>
      <c r="HY204" s="25"/>
      <c r="HZ204" s="25" t="s">
        <v>344</v>
      </c>
      <c r="IA204" s="25"/>
      <c r="IB204" s="25" t="s">
        <v>344</v>
      </c>
      <c r="IC204" s="25"/>
      <c r="ID204" s="25" t="s">
        <v>344</v>
      </c>
      <c r="IE204" s="25"/>
      <c r="IF204" s="25" t="s">
        <v>344</v>
      </c>
      <c r="IG204" s="25"/>
      <c r="IH204" s="25" t="s">
        <v>345</v>
      </c>
      <c r="II204" s="25" t="s">
        <v>345</v>
      </c>
      <c r="IJ204" s="25" t="s">
        <v>344</v>
      </c>
      <c r="IK204" s="25" t="s">
        <v>344</v>
      </c>
      <c r="IL204" s="25" t="s">
        <v>345</v>
      </c>
      <c r="IM204" s="25" t="s">
        <v>345</v>
      </c>
      <c r="IN204" s="25" t="s">
        <v>344</v>
      </c>
      <c r="IO204" s="25" t="s">
        <v>345</v>
      </c>
      <c r="IP204" s="25" t="s">
        <v>344</v>
      </c>
      <c r="IQ204" s="25" t="s">
        <v>344</v>
      </c>
      <c r="IR204" s="25" t="s">
        <v>344</v>
      </c>
      <c r="IS204" s="25" t="s">
        <v>344</v>
      </c>
      <c r="IT204" s="25"/>
      <c r="IU204" s="25"/>
      <c r="IV204" s="25"/>
      <c r="IW204" s="25"/>
      <c r="IX204" s="25"/>
      <c r="IY204" s="25"/>
      <c r="IZ204" s="25"/>
      <c r="JA204" s="25"/>
      <c r="JB204" s="25"/>
      <c r="JC204" s="25"/>
      <c r="JD204" s="25"/>
      <c r="JE204" s="25"/>
      <c r="JF204" s="25"/>
      <c r="JG204" s="25"/>
      <c r="JH204" s="25"/>
    </row>
    <row r="205" spans="1:268" x14ac:dyDescent="0.3">
      <c r="A205" s="25" t="s">
        <v>338</v>
      </c>
      <c r="B205" s="25">
        <v>323</v>
      </c>
      <c r="C205" s="25" t="s">
        <v>1212</v>
      </c>
      <c r="D205" s="25">
        <v>14</v>
      </c>
      <c r="E205" s="25" t="s">
        <v>340</v>
      </c>
      <c r="F205" s="25">
        <v>1088125311</v>
      </c>
      <c r="G205" s="25" t="s">
        <v>1213</v>
      </c>
      <c r="H205" s="25" t="s">
        <v>1212</v>
      </c>
      <c r="I205" s="25" t="s">
        <v>1202</v>
      </c>
      <c r="J205" s="25">
        <v>18</v>
      </c>
      <c r="K205" s="25" t="s">
        <v>389</v>
      </c>
      <c r="L205" s="25"/>
      <c r="M205" s="25" t="s">
        <v>344</v>
      </c>
      <c r="N205" s="25" t="s">
        <v>345</v>
      </c>
      <c r="O205" s="25" t="s">
        <v>344</v>
      </c>
      <c r="P205" s="25" t="s">
        <v>344</v>
      </c>
      <c r="Q205" s="25" t="s">
        <v>344</v>
      </c>
      <c r="R205" s="25"/>
      <c r="S205" s="25" t="s">
        <v>343</v>
      </c>
      <c r="T205" s="25" t="s">
        <v>835</v>
      </c>
      <c r="U205" s="25" t="s">
        <v>347</v>
      </c>
      <c r="V205" s="25"/>
      <c r="W205" s="25" t="s">
        <v>344</v>
      </c>
      <c r="X205" s="25" t="s">
        <v>345</v>
      </c>
      <c r="Y205" s="25" t="s">
        <v>344</v>
      </c>
      <c r="Z205" s="25" t="s">
        <v>344</v>
      </c>
      <c r="AA205" s="25" t="s">
        <v>344</v>
      </c>
      <c r="AB205" s="25" t="s">
        <v>344</v>
      </c>
      <c r="AC205" s="25" t="s">
        <v>344</v>
      </c>
      <c r="AD205" s="25" t="s">
        <v>344</v>
      </c>
      <c r="AE205" s="25" t="s">
        <v>344</v>
      </c>
      <c r="AF205" s="25" t="s">
        <v>344</v>
      </c>
      <c r="AG205" s="25" t="s">
        <v>344</v>
      </c>
      <c r="AH205" s="25" t="s">
        <v>344</v>
      </c>
      <c r="AI205" s="25" t="s">
        <v>345</v>
      </c>
      <c r="AJ205" s="25" t="s">
        <v>344</v>
      </c>
      <c r="AK205" s="25" t="s">
        <v>344</v>
      </c>
      <c r="AL205" s="25" t="s">
        <v>344</v>
      </c>
      <c r="AM205" s="25" t="s">
        <v>344</v>
      </c>
      <c r="AN205" s="25" t="s">
        <v>345</v>
      </c>
      <c r="AO205" s="25" t="s">
        <v>344</v>
      </c>
      <c r="AP205" s="25" t="s">
        <v>344</v>
      </c>
      <c r="AQ205" s="25" t="s">
        <v>344</v>
      </c>
      <c r="AR205" s="25" t="s">
        <v>345</v>
      </c>
      <c r="AS205" s="25" t="s">
        <v>345</v>
      </c>
      <c r="AT205" s="25" t="s">
        <v>344</v>
      </c>
      <c r="AU205" s="25" t="s">
        <v>345</v>
      </c>
      <c r="AV205" s="25" t="s">
        <v>344</v>
      </c>
      <c r="AW205" s="25" t="s">
        <v>344</v>
      </c>
      <c r="AX205" s="25" t="s">
        <v>344</v>
      </c>
      <c r="AY205" s="25" t="s">
        <v>733</v>
      </c>
      <c r="AZ205" s="25" t="s">
        <v>391</v>
      </c>
      <c r="BA205" s="25" t="s">
        <v>391</v>
      </c>
      <c r="BB205" s="25" t="s">
        <v>391</v>
      </c>
      <c r="BC205" s="25" t="s">
        <v>391</v>
      </c>
      <c r="BD205" s="25" t="s">
        <v>391</v>
      </c>
      <c r="BE205" s="25" t="s">
        <v>349</v>
      </c>
      <c r="BF205" s="25" t="s">
        <v>349</v>
      </c>
      <c r="BG205" s="25" t="s">
        <v>390</v>
      </c>
      <c r="BH205" s="25" t="s">
        <v>390</v>
      </c>
      <c r="BI205" s="25" t="s">
        <v>390</v>
      </c>
      <c r="BJ205" s="25" t="s">
        <v>355</v>
      </c>
      <c r="BK205" s="25" t="s">
        <v>356</v>
      </c>
      <c r="BL205" s="25" t="s">
        <v>354</v>
      </c>
      <c r="BM205" s="25" t="s">
        <v>354</v>
      </c>
      <c r="BN205" s="25" t="s">
        <v>391</v>
      </c>
      <c r="BO205" s="25" t="s">
        <v>391</v>
      </c>
      <c r="BP205" s="25" t="s">
        <v>391</v>
      </c>
      <c r="BQ205" s="25" t="s">
        <v>455</v>
      </c>
      <c r="BR205" s="25" t="s">
        <v>408</v>
      </c>
      <c r="BS205" s="25" t="s">
        <v>351</v>
      </c>
      <c r="BT205" s="25" t="s">
        <v>351</v>
      </c>
      <c r="BU205" s="25" t="s">
        <v>351</v>
      </c>
      <c r="BV205" s="25" t="s">
        <v>351</v>
      </c>
      <c r="BW205" s="25" t="s">
        <v>354</v>
      </c>
      <c r="BX205" s="25" t="s">
        <v>351</v>
      </c>
      <c r="BY205" s="25" t="s">
        <v>357</v>
      </c>
      <c r="BZ205" s="25" t="s">
        <v>354</v>
      </c>
      <c r="CA205" s="25" t="s">
        <v>354</v>
      </c>
      <c r="CB205" s="25" t="s">
        <v>352</v>
      </c>
      <c r="CC205" s="25" t="s">
        <v>357</v>
      </c>
      <c r="CD205" s="25" t="s">
        <v>391</v>
      </c>
      <c r="CE205" s="25" t="s">
        <v>391</v>
      </c>
      <c r="CF205" s="25" t="s">
        <v>391</v>
      </c>
      <c r="CG205" s="25" t="s">
        <v>420</v>
      </c>
      <c r="CH205" s="25" t="s">
        <v>421</v>
      </c>
      <c r="CI205" s="25" t="s">
        <v>420</v>
      </c>
      <c r="CJ205" s="25" t="s">
        <v>420</v>
      </c>
      <c r="CK205" s="25" t="s">
        <v>835</v>
      </c>
      <c r="CL205" s="25" t="s">
        <v>344</v>
      </c>
      <c r="CM205" s="25" t="s">
        <v>344</v>
      </c>
      <c r="CN205" s="25" t="s">
        <v>344</v>
      </c>
      <c r="CO205" s="25" t="s">
        <v>344</v>
      </c>
      <c r="CP205" s="25" t="s">
        <v>345</v>
      </c>
      <c r="CQ205" s="25" t="s">
        <v>344</v>
      </c>
      <c r="CR205" s="25" t="s">
        <v>655</v>
      </c>
      <c r="CS205" s="25">
        <v>85</v>
      </c>
      <c r="CT205" s="25">
        <v>39</v>
      </c>
      <c r="CU205" s="25">
        <v>80</v>
      </c>
      <c r="CV205" s="25">
        <v>50</v>
      </c>
      <c r="CW205" s="25" t="s">
        <v>395</v>
      </c>
      <c r="CX205" s="25" t="s">
        <v>395</v>
      </c>
      <c r="CY205" s="25" t="s">
        <v>396</v>
      </c>
      <c r="CZ205" s="25" t="s">
        <v>366</v>
      </c>
      <c r="DA205" s="25" t="s">
        <v>397</v>
      </c>
      <c r="DB205" s="25" t="s">
        <v>397</v>
      </c>
      <c r="DC205" s="25" t="s">
        <v>397</v>
      </c>
      <c r="DD205" s="25" t="s">
        <v>365</v>
      </c>
      <c r="DE205" s="25" t="s">
        <v>397</v>
      </c>
      <c r="DF205" s="25" t="s">
        <v>397</v>
      </c>
      <c r="DG205" s="25" t="s">
        <v>397</v>
      </c>
      <c r="DH205" s="25" t="s">
        <v>397</v>
      </c>
      <c r="DI205" s="25" t="s">
        <v>365</v>
      </c>
      <c r="DJ205" s="25"/>
      <c r="DK205" s="25" t="s">
        <v>367</v>
      </c>
      <c r="DL205" s="25" t="s">
        <v>368</v>
      </c>
      <c r="DM205" s="25" t="s">
        <v>368</v>
      </c>
      <c r="DN205" s="25" t="s">
        <v>368</v>
      </c>
      <c r="DO205" s="25" t="s">
        <v>368</v>
      </c>
      <c r="DP205" s="25" t="s">
        <v>368</v>
      </c>
      <c r="DQ205" s="25" t="s">
        <v>368</v>
      </c>
      <c r="DR205" s="25" t="s">
        <v>368</v>
      </c>
      <c r="DS205" s="25" t="s">
        <v>345</v>
      </c>
      <c r="DT205" s="25" t="s">
        <v>368</v>
      </c>
      <c r="DU205" s="25" t="s">
        <v>368</v>
      </c>
      <c r="DV205" s="25" t="s">
        <v>368</v>
      </c>
      <c r="DW205" s="25" t="s">
        <v>345</v>
      </c>
      <c r="DX205" s="25" t="s">
        <v>369</v>
      </c>
      <c r="DY205" s="25" t="s">
        <v>369</v>
      </c>
      <c r="DZ205" s="25" t="s">
        <v>369</v>
      </c>
      <c r="EA205" s="25" t="s">
        <v>369</v>
      </c>
      <c r="EB205" s="25" t="s">
        <v>369</v>
      </c>
      <c r="EC205" s="25" t="s">
        <v>369</v>
      </c>
      <c r="ED205" s="25" t="s">
        <v>370</v>
      </c>
      <c r="EE205" s="25" t="s">
        <v>369</v>
      </c>
      <c r="EF205" s="25" t="s">
        <v>369</v>
      </c>
      <c r="EG205" s="25" t="s">
        <v>369</v>
      </c>
      <c r="EH205" s="25" t="s">
        <v>369</v>
      </c>
      <c r="EI205" s="25" t="s">
        <v>369</v>
      </c>
      <c r="EJ205" s="25" t="s">
        <v>369</v>
      </c>
      <c r="EK205" s="25" t="s">
        <v>371</v>
      </c>
      <c r="EL205" s="25" t="s">
        <v>372</v>
      </c>
      <c r="EM205" s="25" t="s">
        <v>374</v>
      </c>
      <c r="EN205" s="25" t="s">
        <v>424</v>
      </c>
      <c r="EO205" s="25"/>
      <c r="EP205" s="25"/>
      <c r="EQ205" s="25" t="s">
        <v>375</v>
      </c>
      <c r="ER205" s="25" t="s">
        <v>378</v>
      </c>
      <c r="ES205" s="25" t="s">
        <v>376</v>
      </c>
      <c r="ET205" s="25" t="s">
        <v>376</v>
      </c>
      <c r="EU205" s="25" t="s">
        <v>375</v>
      </c>
      <c r="EV205" s="25" t="s">
        <v>400</v>
      </c>
      <c r="EW205" s="25"/>
      <c r="EX205" s="25" t="s">
        <v>368</v>
      </c>
      <c r="EY205" s="25" t="s">
        <v>368</v>
      </c>
      <c r="EZ205" s="25" t="s">
        <v>368</v>
      </c>
      <c r="FA205" s="25" t="s">
        <v>345</v>
      </c>
      <c r="FB205" s="25" t="s">
        <v>381</v>
      </c>
      <c r="FC205" s="25"/>
      <c r="FD205" s="25" t="s">
        <v>401</v>
      </c>
      <c r="FE205" s="25"/>
      <c r="FF205" s="25" t="s">
        <v>412</v>
      </c>
      <c r="FG205" s="25" t="s">
        <v>383</v>
      </c>
      <c r="FH205" s="25" t="s">
        <v>451</v>
      </c>
      <c r="FI205" s="25" t="s">
        <v>403</v>
      </c>
      <c r="FJ205" s="25"/>
      <c r="FK205" s="25"/>
      <c r="FL205" s="25"/>
      <c r="FM205" s="25"/>
      <c r="FN205" s="25"/>
      <c r="FO205" s="25"/>
      <c r="FP205" s="25"/>
      <c r="FQ205" s="25"/>
      <c r="FR205" s="25"/>
      <c r="FS205" s="25"/>
      <c r="FT205" s="25"/>
      <c r="FU205" s="25"/>
      <c r="FV205" s="25"/>
      <c r="FW205" s="25"/>
      <c r="FX205" s="25"/>
      <c r="FY205" s="25"/>
      <c r="FZ205" s="25"/>
      <c r="GA205" s="25" t="s">
        <v>368</v>
      </c>
      <c r="GB205" s="25" t="s">
        <v>368</v>
      </c>
      <c r="GC205" s="25" t="s">
        <v>368</v>
      </c>
      <c r="GD205" s="25" t="s">
        <v>368</v>
      </c>
      <c r="GE205" s="25" t="s">
        <v>368</v>
      </c>
      <c r="GF205" s="25" t="s">
        <v>368</v>
      </c>
      <c r="GG205" s="25"/>
      <c r="GH205" s="25"/>
      <c r="GI205" s="25"/>
      <c r="GJ205" s="25"/>
      <c r="GK205" s="25"/>
      <c r="GL205" s="25" t="s">
        <v>344</v>
      </c>
      <c r="GM205" s="25" t="s">
        <v>344</v>
      </c>
      <c r="GN205" s="25" t="s">
        <v>344</v>
      </c>
      <c r="GO205" s="25" t="s">
        <v>344</v>
      </c>
      <c r="GP205" s="25" t="s">
        <v>344</v>
      </c>
      <c r="GQ205" s="25" t="s">
        <v>344</v>
      </c>
      <c r="GR205" s="25" t="s">
        <v>344</v>
      </c>
      <c r="GS205" s="25" t="s">
        <v>344</v>
      </c>
      <c r="GT205" s="25" t="s">
        <v>344</v>
      </c>
      <c r="GU205" s="25" t="s">
        <v>344</v>
      </c>
      <c r="GV205" s="25" t="s">
        <v>344</v>
      </c>
      <c r="GW205" s="25" t="s">
        <v>344</v>
      </c>
      <c r="GX205" s="25" t="s">
        <v>344</v>
      </c>
      <c r="GY205" s="25" t="s">
        <v>344</v>
      </c>
      <c r="GZ205" s="25" t="s">
        <v>345</v>
      </c>
      <c r="HA205" s="25"/>
      <c r="HB205" s="25" t="s">
        <v>344</v>
      </c>
      <c r="HC205" s="25"/>
      <c r="HD205" s="25" t="s">
        <v>344</v>
      </c>
      <c r="HE205" s="25"/>
      <c r="HF205" s="25" t="s">
        <v>344</v>
      </c>
      <c r="HG205" s="25"/>
      <c r="HH205" s="25" t="s">
        <v>344</v>
      </c>
      <c r="HI205" s="25"/>
      <c r="HJ205" s="25" t="s">
        <v>344</v>
      </c>
      <c r="HK205" s="25" t="s">
        <v>344</v>
      </c>
      <c r="HL205" s="25" t="s">
        <v>344</v>
      </c>
      <c r="HM205" s="25" t="s">
        <v>344</v>
      </c>
      <c r="HN205" s="25" t="s">
        <v>344</v>
      </c>
      <c r="HO205" s="25" t="s">
        <v>344</v>
      </c>
      <c r="HP205" s="25" t="s">
        <v>344</v>
      </c>
      <c r="HQ205" s="25" t="s">
        <v>344</v>
      </c>
      <c r="HR205" s="25" t="s">
        <v>344</v>
      </c>
      <c r="HS205" s="25" t="s">
        <v>344</v>
      </c>
      <c r="HT205" s="25" t="s">
        <v>344</v>
      </c>
      <c r="HU205" s="25" t="s">
        <v>344</v>
      </c>
      <c r="HV205" s="25" t="s">
        <v>344</v>
      </c>
      <c r="HW205" s="25" t="s">
        <v>344</v>
      </c>
      <c r="HX205" s="25" t="s">
        <v>345</v>
      </c>
      <c r="HY205" s="25"/>
      <c r="HZ205" s="25" t="s">
        <v>344</v>
      </c>
      <c r="IA205" s="25"/>
      <c r="IB205" s="25" t="s">
        <v>344</v>
      </c>
      <c r="IC205" s="25"/>
      <c r="ID205" s="25" t="s">
        <v>344</v>
      </c>
      <c r="IE205" s="25"/>
      <c r="IF205" s="25" t="s">
        <v>344</v>
      </c>
      <c r="IG205" s="25"/>
      <c r="IH205" s="25" t="s">
        <v>345</v>
      </c>
      <c r="II205" s="25" t="s">
        <v>345</v>
      </c>
      <c r="IJ205" s="25" t="s">
        <v>344</v>
      </c>
      <c r="IK205" s="25" t="s">
        <v>345</v>
      </c>
      <c r="IL205" s="25" t="s">
        <v>345</v>
      </c>
      <c r="IM205" s="25" t="s">
        <v>345</v>
      </c>
      <c r="IN205" s="25" t="s">
        <v>344</v>
      </c>
      <c r="IO205" s="25" t="s">
        <v>345</v>
      </c>
      <c r="IP205" s="25" t="s">
        <v>344</v>
      </c>
      <c r="IQ205" s="25" t="s">
        <v>344</v>
      </c>
      <c r="IR205" s="25" t="s">
        <v>345</v>
      </c>
      <c r="IS205" s="25" t="s">
        <v>344</v>
      </c>
      <c r="IT205" s="25"/>
      <c r="IU205" s="25"/>
      <c r="IV205" s="25"/>
      <c r="IW205" s="25"/>
      <c r="IX205" s="25"/>
      <c r="IY205" s="25"/>
      <c r="IZ205" s="25"/>
      <c r="JA205" s="25"/>
      <c r="JB205" s="25"/>
      <c r="JC205" s="25"/>
      <c r="JD205" s="25"/>
      <c r="JE205" s="25"/>
      <c r="JF205" s="25"/>
      <c r="JG205" s="25"/>
      <c r="JH205" s="25"/>
    </row>
    <row r="206" spans="1:268" x14ac:dyDescent="0.3">
      <c r="A206" s="25" t="s">
        <v>338</v>
      </c>
      <c r="B206" s="25">
        <v>324</v>
      </c>
      <c r="C206" s="25" t="s">
        <v>1214</v>
      </c>
      <c r="D206" s="25">
        <v>14</v>
      </c>
      <c r="E206" s="25" t="s">
        <v>340</v>
      </c>
      <c r="F206" s="25">
        <v>1687438203</v>
      </c>
      <c r="G206" s="25" t="s">
        <v>1215</v>
      </c>
      <c r="H206" s="25" t="s">
        <v>1214</v>
      </c>
      <c r="I206" s="25" t="s">
        <v>1179</v>
      </c>
      <c r="J206" s="25">
        <v>18</v>
      </c>
      <c r="K206" s="25" t="s">
        <v>389</v>
      </c>
      <c r="L206" s="25"/>
      <c r="M206" s="25" t="s">
        <v>344</v>
      </c>
      <c r="N206" s="25" t="s">
        <v>345</v>
      </c>
      <c r="O206" s="25" t="s">
        <v>344</v>
      </c>
      <c r="P206" s="25" t="s">
        <v>344</v>
      </c>
      <c r="Q206" s="25" t="s">
        <v>344</v>
      </c>
      <c r="R206" s="25"/>
      <c r="S206" s="25" t="s">
        <v>346</v>
      </c>
      <c r="T206" s="25"/>
      <c r="U206" s="25" t="s">
        <v>347</v>
      </c>
      <c r="V206" s="25"/>
      <c r="W206" s="25" t="s">
        <v>344</v>
      </c>
      <c r="X206" s="25" t="s">
        <v>345</v>
      </c>
      <c r="Y206" s="25" t="s">
        <v>344</v>
      </c>
      <c r="Z206" s="25" t="s">
        <v>344</v>
      </c>
      <c r="AA206" s="25" t="s">
        <v>344</v>
      </c>
      <c r="AB206" s="25" t="s">
        <v>344</v>
      </c>
      <c r="AC206" s="25" t="s">
        <v>344</v>
      </c>
      <c r="AD206" s="25" t="s">
        <v>345</v>
      </c>
      <c r="AE206" s="25" t="s">
        <v>344</v>
      </c>
      <c r="AF206" s="25" t="s">
        <v>344</v>
      </c>
      <c r="AG206" s="25" t="s">
        <v>344</v>
      </c>
      <c r="AH206" s="25" t="s">
        <v>344</v>
      </c>
      <c r="AI206" s="25" t="s">
        <v>344</v>
      </c>
      <c r="AJ206" s="25" t="s">
        <v>344</v>
      </c>
      <c r="AK206" s="25" t="s">
        <v>345</v>
      </c>
      <c r="AL206" s="25" t="s">
        <v>344</v>
      </c>
      <c r="AM206" s="25" t="s">
        <v>344</v>
      </c>
      <c r="AN206" s="25" t="s">
        <v>344</v>
      </c>
      <c r="AO206" s="25" t="s">
        <v>344</v>
      </c>
      <c r="AP206" s="25" t="s">
        <v>344</v>
      </c>
      <c r="AQ206" s="25" t="s">
        <v>344</v>
      </c>
      <c r="AR206" s="25" t="s">
        <v>345</v>
      </c>
      <c r="AS206" s="25" t="s">
        <v>344</v>
      </c>
      <c r="AT206" s="25" t="s">
        <v>344</v>
      </c>
      <c r="AU206" s="25" t="s">
        <v>344</v>
      </c>
      <c r="AV206" s="25" t="s">
        <v>344</v>
      </c>
      <c r="AW206" s="25" t="s">
        <v>344</v>
      </c>
      <c r="AX206" s="25" t="s">
        <v>344</v>
      </c>
      <c r="AY206" s="25" t="s">
        <v>391</v>
      </c>
      <c r="AZ206" s="25" t="s">
        <v>732</v>
      </c>
      <c r="BA206" s="25" t="s">
        <v>391</v>
      </c>
      <c r="BB206" s="25" t="s">
        <v>391</v>
      </c>
      <c r="BC206" s="25" t="s">
        <v>391</v>
      </c>
      <c r="BD206" s="25" t="s">
        <v>391</v>
      </c>
      <c r="BE206" s="25" t="s">
        <v>349</v>
      </c>
      <c r="BF206" s="25" t="s">
        <v>348</v>
      </c>
      <c r="BG206" s="25" t="s">
        <v>390</v>
      </c>
      <c r="BH206" s="25" t="s">
        <v>390</v>
      </c>
      <c r="BI206" s="25" t="s">
        <v>349</v>
      </c>
      <c r="BJ206" s="25" t="s">
        <v>357</v>
      </c>
      <c r="BK206" s="25" t="s">
        <v>391</v>
      </c>
      <c r="BL206" s="25" t="s">
        <v>357</v>
      </c>
      <c r="BM206" s="25" t="s">
        <v>357</v>
      </c>
      <c r="BN206" s="25" t="s">
        <v>357</v>
      </c>
      <c r="BO206" s="25" t="s">
        <v>357</v>
      </c>
      <c r="BP206" s="25" t="s">
        <v>357</v>
      </c>
      <c r="BQ206" s="25" t="s">
        <v>358</v>
      </c>
      <c r="BR206" s="25" t="s">
        <v>359</v>
      </c>
      <c r="BS206" s="25" t="s">
        <v>351</v>
      </c>
      <c r="BT206" s="25" t="s">
        <v>351</v>
      </c>
      <c r="BU206" s="25" t="s">
        <v>351</v>
      </c>
      <c r="BV206" s="25" t="s">
        <v>351</v>
      </c>
      <c r="BW206" s="25" t="s">
        <v>351</v>
      </c>
      <c r="BX206" s="25" t="s">
        <v>351</v>
      </c>
      <c r="BY206" s="25" t="s">
        <v>351</v>
      </c>
      <c r="BZ206" s="25" t="s">
        <v>351</v>
      </c>
      <c r="CA206" s="25" t="s">
        <v>351</v>
      </c>
      <c r="CB206" s="25" t="s">
        <v>351</v>
      </c>
      <c r="CC206" s="25" t="s">
        <v>351</v>
      </c>
      <c r="CD206" s="25" t="s">
        <v>351</v>
      </c>
      <c r="CE206" s="25" t="s">
        <v>351</v>
      </c>
      <c r="CF206" s="25" t="s">
        <v>351</v>
      </c>
      <c r="CG206" s="25" t="s">
        <v>420</v>
      </c>
      <c r="CH206" s="25" t="s">
        <v>421</v>
      </c>
      <c r="CI206" s="25" t="s">
        <v>420</v>
      </c>
      <c r="CJ206" s="25" t="s">
        <v>420</v>
      </c>
      <c r="CK206" s="25" t="s">
        <v>1216</v>
      </c>
      <c r="CL206" s="25" t="s">
        <v>344</v>
      </c>
      <c r="CM206" s="25" t="s">
        <v>345</v>
      </c>
      <c r="CN206" s="25" t="s">
        <v>344</v>
      </c>
      <c r="CO206" s="25" t="s">
        <v>344</v>
      </c>
      <c r="CP206" s="25" t="s">
        <v>344</v>
      </c>
      <c r="CQ206" s="25" t="s">
        <v>344</v>
      </c>
      <c r="CR206" s="25" t="s">
        <v>667</v>
      </c>
      <c r="CS206" s="25">
        <v>100</v>
      </c>
      <c r="CT206" s="25">
        <v>1</v>
      </c>
      <c r="CU206" s="25">
        <v>50</v>
      </c>
      <c r="CV206" s="25">
        <v>19</v>
      </c>
      <c r="CW206" s="25" t="s">
        <v>363</v>
      </c>
      <c r="CX206" s="25" t="s">
        <v>395</v>
      </c>
      <c r="CY206" s="25" t="s">
        <v>395</v>
      </c>
      <c r="CZ206" s="25" t="s">
        <v>423</v>
      </c>
      <c r="DA206" s="25" t="s">
        <v>365</v>
      </c>
      <c r="DB206" s="25" t="s">
        <v>423</v>
      </c>
      <c r="DC206" s="25" t="s">
        <v>423</v>
      </c>
      <c r="DD206" s="25" t="s">
        <v>423</v>
      </c>
      <c r="DE206" s="25" t="s">
        <v>423</v>
      </c>
      <c r="DF206" s="25" t="s">
        <v>423</v>
      </c>
      <c r="DG206" s="25" t="s">
        <v>423</v>
      </c>
      <c r="DH206" s="25" t="s">
        <v>423</v>
      </c>
      <c r="DI206" s="25" t="s">
        <v>423</v>
      </c>
      <c r="DJ206" s="25" t="s">
        <v>1217</v>
      </c>
      <c r="DK206" s="25" t="s">
        <v>367</v>
      </c>
      <c r="DL206" s="25" t="s">
        <v>368</v>
      </c>
      <c r="DM206" s="25" t="s">
        <v>368</v>
      </c>
      <c r="DN206" s="25" t="s">
        <v>368</v>
      </c>
      <c r="DO206" s="25" t="s">
        <v>368</v>
      </c>
      <c r="DP206" s="25" t="s">
        <v>345</v>
      </c>
      <c r="DQ206" s="25" t="s">
        <v>344</v>
      </c>
      <c r="DR206" s="25" t="s">
        <v>344</v>
      </c>
      <c r="DS206" s="25" t="s">
        <v>344</v>
      </c>
      <c r="DT206" s="25" t="s">
        <v>345</v>
      </c>
      <c r="DU206" s="25" t="s">
        <v>344</v>
      </c>
      <c r="DV206" s="25" t="s">
        <v>344</v>
      </c>
      <c r="DW206" s="25" t="s">
        <v>344</v>
      </c>
      <c r="DX206" s="25" t="s">
        <v>398</v>
      </c>
      <c r="DY206" s="25" t="s">
        <v>371</v>
      </c>
      <c r="DZ206" s="25" t="s">
        <v>369</v>
      </c>
      <c r="EA206" s="25" t="s">
        <v>369</v>
      </c>
      <c r="EB206" s="25" t="s">
        <v>369</v>
      </c>
      <c r="EC206" s="25" t="s">
        <v>369</v>
      </c>
      <c r="ED206" s="25" t="s">
        <v>398</v>
      </c>
      <c r="EE206" s="25" t="s">
        <v>370</v>
      </c>
      <c r="EF206" s="25" t="s">
        <v>370</v>
      </c>
      <c r="EG206" s="25" t="s">
        <v>370</v>
      </c>
      <c r="EH206" s="25" t="s">
        <v>370</v>
      </c>
      <c r="EI206" s="25" t="s">
        <v>370</v>
      </c>
      <c r="EJ206" s="25" t="s">
        <v>370</v>
      </c>
      <c r="EK206" s="25" t="s">
        <v>370</v>
      </c>
      <c r="EL206" s="25" t="s">
        <v>373</v>
      </c>
      <c r="EM206" s="25" t="s">
        <v>374</v>
      </c>
      <c r="EN206" s="25" t="s">
        <v>424</v>
      </c>
      <c r="EO206" s="25"/>
      <c r="EP206" s="25"/>
      <c r="EQ206" s="25" t="s">
        <v>375</v>
      </c>
      <c r="ER206" s="25" t="s">
        <v>375</v>
      </c>
      <c r="ES206" s="25" t="s">
        <v>375</v>
      </c>
      <c r="ET206" s="25" t="s">
        <v>375</v>
      </c>
      <c r="EU206" s="25" t="s">
        <v>378</v>
      </c>
      <c r="EV206" s="25" t="s">
        <v>400</v>
      </c>
      <c r="EW206" s="25"/>
      <c r="EX206" s="169" t="s">
        <v>344</v>
      </c>
      <c r="EY206" s="169" t="s">
        <v>345</v>
      </c>
      <c r="EZ206" s="169" t="s">
        <v>344</v>
      </c>
      <c r="FA206" s="25" t="s">
        <v>344</v>
      </c>
      <c r="FB206" s="25" t="s">
        <v>380</v>
      </c>
      <c r="FC206" s="25"/>
      <c r="FD206" s="25" t="s">
        <v>343</v>
      </c>
      <c r="FE206" s="169" t="s">
        <v>1218</v>
      </c>
      <c r="FF206" s="25" t="s">
        <v>477</v>
      </c>
      <c r="FG206" s="25" t="s">
        <v>402</v>
      </c>
      <c r="FH206" s="25" t="s">
        <v>432</v>
      </c>
      <c r="FI206" s="25" t="s">
        <v>403</v>
      </c>
      <c r="FJ206" s="25"/>
      <c r="FK206" s="25"/>
      <c r="FL206" s="25"/>
      <c r="FM206" s="25"/>
      <c r="FN206" s="25"/>
      <c r="FO206" s="25"/>
      <c r="FP206" s="25"/>
      <c r="FQ206" s="25"/>
      <c r="FR206" s="25"/>
      <c r="FS206" s="25"/>
      <c r="FT206" s="25"/>
      <c r="FU206" s="25"/>
      <c r="FV206" s="25"/>
      <c r="FW206" s="25"/>
      <c r="FX206" s="25"/>
      <c r="FY206" s="25"/>
      <c r="FZ206" s="25"/>
      <c r="GA206" s="25" t="s">
        <v>368</v>
      </c>
      <c r="GB206" s="25" t="s">
        <v>368</v>
      </c>
      <c r="GC206" s="25" t="s">
        <v>368</v>
      </c>
      <c r="GD206" s="25" t="s">
        <v>368</v>
      </c>
      <c r="GE206" s="25" t="s">
        <v>368</v>
      </c>
      <c r="GF206" s="25" t="s">
        <v>368</v>
      </c>
      <c r="GG206" s="25"/>
      <c r="GH206" s="25"/>
      <c r="GI206" s="25"/>
      <c r="GJ206" s="25"/>
      <c r="GK206" s="25"/>
      <c r="GL206" s="25" t="s">
        <v>344</v>
      </c>
      <c r="GM206" s="25" t="s">
        <v>344</v>
      </c>
      <c r="GN206" s="25" t="s">
        <v>344</v>
      </c>
      <c r="GO206" s="25" t="s">
        <v>344</v>
      </c>
      <c r="GP206" s="25" t="s">
        <v>344</v>
      </c>
      <c r="GQ206" s="25" t="s">
        <v>344</v>
      </c>
      <c r="GR206" s="25" t="s">
        <v>344</v>
      </c>
      <c r="GS206" s="25" t="s">
        <v>344</v>
      </c>
      <c r="GT206" s="25" t="s">
        <v>344</v>
      </c>
      <c r="GU206" s="25" t="s">
        <v>344</v>
      </c>
      <c r="GV206" s="25" t="s">
        <v>344</v>
      </c>
      <c r="GW206" s="25" t="s">
        <v>344</v>
      </c>
      <c r="GX206" s="25" t="s">
        <v>344</v>
      </c>
      <c r="GY206" s="25" t="s">
        <v>344</v>
      </c>
      <c r="GZ206" s="25" t="s">
        <v>345</v>
      </c>
      <c r="HA206" s="25"/>
      <c r="HB206" s="25" t="s">
        <v>344</v>
      </c>
      <c r="HC206" s="25"/>
      <c r="HD206" s="25" t="s">
        <v>344</v>
      </c>
      <c r="HE206" s="25"/>
      <c r="HF206" s="25" t="s">
        <v>344</v>
      </c>
      <c r="HG206" s="25"/>
      <c r="HH206" s="25" t="s">
        <v>344</v>
      </c>
      <c r="HI206" s="25"/>
      <c r="HJ206" s="25" t="s">
        <v>344</v>
      </c>
      <c r="HK206" s="25" t="s">
        <v>344</v>
      </c>
      <c r="HL206" s="25" t="s">
        <v>344</v>
      </c>
      <c r="HM206" s="25" t="s">
        <v>344</v>
      </c>
      <c r="HN206" s="25" t="s">
        <v>344</v>
      </c>
      <c r="HO206" s="25" t="s">
        <v>344</v>
      </c>
      <c r="HP206" s="25" t="s">
        <v>344</v>
      </c>
      <c r="HQ206" s="25" t="s">
        <v>344</v>
      </c>
      <c r="HR206" s="25" t="s">
        <v>344</v>
      </c>
      <c r="HS206" s="25" t="s">
        <v>344</v>
      </c>
      <c r="HT206" s="25" t="s">
        <v>344</v>
      </c>
      <c r="HU206" s="25" t="s">
        <v>344</v>
      </c>
      <c r="HV206" s="25" t="s">
        <v>344</v>
      </c>
      <c r="HW206" s="25" t="s">
        <v>344</v>
      </c>
      <c r="HX206" s="25" t="s">
        <v>345</v>
      </c>
      <c r="HY206" s="25"/>
      <c r="HZ206" s="25" t="s">
        <v>344</v>
      </c>
      <c r="IA206" s="25"/>
      <c r="IB206" s="25" t="s">
        <v>344</v>
      </c>
      <c r="IC206" s="25"/>
      <c r="ID206" s="25" t="s">
        <v>344</v>
      </c>
      <c r="IE206" s="25"/>
      <c r="IF206" s="25" t="s">
        <v>344</v>
      </c>
      <c r="IG206" s="25"/>
      <c r="IH206" s="25" t="s">
        <v>345</v>
      </c>
      <c r="II206" s="25" t="s">
        <v>345</v>
      </c>
      <c r="IJ206" s="25" t="s">
        <v>344</v>
      </c>
      <c r="IK206" s="25" t="s">
        <v>344</v>
      </c>
      <c r="IL206" s="25" t="s">
        <v>345</v>
      </c>
      <c r="IM206" s="25" t="s">
        <v>344</v>
      </c>
      <c r="IN206" s="25" t="s">
        <v>344</v>
      </c>
      <c r="IO206" s="25" t="s">
        <v>345</v>
      </c>
      <c r="IP206" s="25" t="s">
        <v>344</v>
      </c>
      <c r="IQ206" s="25" t="s">
        <v>344</v>
      </c>
      <c r="IR206" s="25" t="s">
        <v>344</v>
      </c>
      <c r="IS206" s="25" t="s">
        <v>344</v>
      </c>
      <c r="IT206" s="25"/>
      <c r="IU206" s="25" t="s">
        <v>1219</v>
      </c>
      <c r="IV206" s="25"/>
      <c r="IW206" s="25"/>
      <c r="IX206" s="25"/>
      <c r="IY206" s="25"/>
      <c r="IZ206" s="25"/>
      <c r="JA206" s="25"/>
      <c r="JB206" s="25"/>
      <c r="JC206" s="25"/>
      <c r="JD206" s="25"/>
      <c r="JE206" s="25"/>
      <c r="JF206" s="25"/>
      <c r="JG206" s="25"/>
      <c r="JH206" s="25"/>
    </row>
    <row r="207" spans="1:268" x14ac:dyDescent="0.3">
      <c r="A207" s="25" t="s">
        <v>338</v>
      </c>
      <c r="B207" s="25">
        <v>325</v>
      </c>
      <c r="C207" s="25" t="s">
        <v>1220</v>
      </c>
      <c r="D207" s="25">
        <v>14</v>
      </c>
      <c r="E207" s="25" t="s">
        <v>340</v>
      </c>
      <c r="F207" s="25">
        <v>510065400</v>
      </c>
      <c r="G207" s="25" t="s">
        <v>1221</v>
      </c>
      <c r="H207" s="25" t="s">
        <v>1220</v>
      </c>
      <c r="I207" s="25" t="s">
        <v>1179</v>
      </c>
      <c r="J207" s="25">
        <v>17</v>
      </c>
      <c r="K207" s="25" t="s">
        <v>406</v>
      </c>
      <c r="L207" s="25"/>
      <c r="M207" s="25" t="s">
        <v>344</v>
      </c>
      <c r="N207" s="25" t="s">
        <v>345</v>
      </c>
      <c r="O207" s="25" t="s">
        <v>344</v>
      </c>
      <c r="P207" s="25" t="s">
        <v>344</v>
      </c>
      <c r="Q207" s="25" t="s">
        <v>344</v>
      </c>
      <c r="R207" s="25"/>
      <c r="S207" s="25" t="s">
        <v>346</v>
      </c>
      <c r="T207" s="25"/>
      <c r="U207" s="25" t="s">
        <v>347</v>
      </c>
      <c r="V207" s="25"/>
      <c r="W207" s="25" t="s">
        <v>345</v>
      </c>
      <c r="X207" s="25" t="s">
        <v>344</v>
      </c>
      <c r="Y207" s="25" t="s">
        <v>344</v>
      </c>
      <c r="Z207" s="25" t="s">
        <v>345</v>
      </c>
      <c r="AA207" s="25" t="s">
        <v>344</v>
      </c>
      <c r="AB207" s="25" t="s">
        <v>344</v>
      </c>
      <c r="AC207" s="25" t="s">
        <v>344</v>
      </c>
      <c r="AD207" s="25" t="s">
        <v>344</v>
      </c>
      <c r="AE207" s="25" t="s">
        <v>345</v>
      </c>
      <c r="AF207" s="25" t="s">
        <v>345</v>
      </c>
      <c r="AG207" s="25" t="s">
        <v>344</v>
      </c>
      <c r="AH207" s="25" t="s">
        <v>344</v>
      </c>
      <c r="AI207" s="25" t="s">
        <v>344</v>
      </c>
      <c r="AJ207" s="25" t="s">
        <v>344</v>
      </c>
      <c r="AK207" s="25" t="s">
        <v>345</v>
      </c>
      <c r="AL207" s="25" t="s">
        <v>344</v>
      </c>
      <c r="AM207" s="25" t="s">
        <v>344</v>
      </c>
      <c r="AN207" s="25" t="s">
        <v>345</v>
      </c>
      <c r="AO207" s="25" t="s">
        <v>344</v>
      </c>
      <c r="AP207" s="25" t="s">
        <v>345</v>
      </c>
      <c r="AQ207" s="25" t="s">
        <v>344</v>
      </c>
      <c r="AR207" s="25" t="s">
        <v>345</v>
      </c>
      <c r="AS207" s="25" t="s">
        <v>344</v>
      </c>
      <c r="AT207" s="25" t="s">
        <v>344</v>
      </c>
      <c r="AU207" s="25" t="s">
        <v>345</v>
      </c>
      <c r="AV207" s="25" t="s">
        <v>344</v>
      </c>
      <c r="AW207" s="25" t="s">
        <v>345</v>
      </c>
      <c r="AX207" s="25" t="s">
        <v>344</v>
      </c>
      <c r="AY207" s="25" t="s">
        <v>737</v>
      </c>
      <c r="AZ207" s="25" t="s">
        <v>732</v>
      </c>
      <c r="BA207" s="25" t="s">
        <v>732</v>
      </c>
      <c r="BB207" s="25" t="s">
        <v>731</v>
      </c>
      <c r="BC207" s="25" t="s">
        <v>731</v>
      </c>
      <c r="BD207" s="25" t="s">
        <v>732</v>
      </c>
      <c r="BE207" s="25" t="s">
        <v>390</v>
      </c>
      <c r="BF207" s="25" t="s">
        <v>348</v>
      </c>
      <c r="BG207" s="25" t="s">
        <v>349</v>
      </c>
      <c r="BH207" s="25" t="s">
        <v>350</v>
      </c>
      <c r="BI207" s="25" t="s">
        <v>350</v>
      </c>
      <c r="BJ207" s="25" t="s">
        <v>356</v>
      </c>
      <c r="BK207" s="25" t="s">
        <v>357</v>
      </c>
      <c r="BL207" s="25" t="s">
        <v>353</v>
      </c>
      <c r="BM207" s="25" t="s">
        <v>352</v>
      </c>
      <c r="BN207" s="25" t="s">
        <v>357</v>
      </c>
      <c r="BO207" s="25" t="s">
        <v>356</v>
      </c>
      <c r="BP207" s="25" t="s">
        <v>354</v>
      </c>
      <c r="BQ207" s="25" t="s">
        <v>419</v>
      </c>
      <c r="BR207" s="25" t="s">
        <v>429</v>
      </c>
      <c r="BS207" s="25" t="s">
        <v>357</v>
      </c>
      <c r="BT207" s="25" t="s">
        <v>354</v>
      </c>
      <c r="BU207" s="25" t="s">
        <v>351</v>
      </c>
      <c r="BV207" s="25" t="s">
        <v>353</v>
      </c>
      <c r="BW207" s="25" t="s">
        <v>356</v>
      </c>
      <c r="BX207" s="25" t="s">
        <v>352</v>
      </c>
      <c r="BY207" s="25" t="s">
        <v>354</v>
      </c>
      <c r="BZ207" s="25" t="s">
        <v>354</v>
      </c>
      <c r="CA207" s="25" t="s">
        <v>357</v>
      </c>
      <c r="CB207" s="25" t="s">
        <v>353</v>
      </c>
      <c r="CC207" s="25" t="s">
        <v>356</v>
      </c>
      <c r="CD207" s="25" t="s">
        <v>356</v>
      </c>
      <c r="CE207" s="25" t="s">
        <v>352</v>
      </c>
      <c r="CF207" s="25" t="s">
        <v>357</v>
      </c>
      <c r="CG207" s="25" t="s">
        <v>420</v>
      </c>
      <c r="CH207" s="25" t="s">
        <v>421</v>
      </c>
      <c r="CI207" s="25" t="s">
        <v>420</v>
      </c>
      <c r="CJ207" s="25" t="s">
        <v>392</v>
      </c>
      <c r="CK207" s="25" t="s">
        <v>1222</v>
      </c>
      <c r="CL207" s="25" t="s">
        <v>344</v>
      </c>
      <c r="CM207" s="25" t="s">
        <v>344</v>
      </c>
      <c r="CN207" s="25" t="s">
        <v>344</v>
      </c>
      <c r="CO207" s="25" t="s">
        <v>344</v>
      </c>
      <c r="CP207" s="25" t="s">
        <v>345</v>
      </c>
      <c r="CQ207" s="25" t="s">
        <v>344</v>
      </c>
      <c r="CR207" s="25" t="s">
        <v>655</v>
      </c>
      <c r="CS207" s="25">
        <v>50</v>
      </c>
      <c r="CT207" s="25">
        <v>1</v>
      </c>
      <c r="CU207" s="25">
        <v>100</v>
      </c>
      <c r="CV207" s="25">
        <v>70</v>
      </c>
      <c r="CW207" s="25" t="s">
        <v>395</v>
      </c>
      <c r="CX207" s="25" t="s">
        <v>396</v>
      </c>
      <c r="CY207" s="25" t="s">
        <v>395</v>
      </c>
      <c r="CZ207" s="25" t="s">
        <v>397</v>
      </c>
      <c r="DA207" s="25" t="s">
        <v>397</v>
      </c>
      <c r="DB207" s="25" t="s">
        <v>397</v>
      </c>
      <c r="DC207" s="25" t="s">
        <v>397</v>
      </c>
      <c r="DD207" s="25" t="s">
        <v>397</v>
      </c>
      <c r="DE207" s="25" t="s">
        <v>423</v>
      </c>
      <c r="DF207" s="25" t="s">
        <v>365</v>
      </c>
      <c r="DG207" s="25" t="s">
        <v>365</v>
      </c>
      <c r="DH207" s="25" t="s">
        <v>365</v>
      </c>
      <c r="DI207" s="25" t="s">
        <v>365</v>
      </c>
      <c r="DJ207" s="25" t="s">
        <v>1223</v>
      </c>
      <c r="DK207" s="25" t="s">
        <v>367</v>
      </c>
      <c r="DL207" s="25" t="s">
        <v>368</v>
      </c>
      <c r="DM207" s="25" t="s">
        <v>368</v>
      </c>
      <c r="DN207" s="25" t="s">
        <v>368</v>
      </c>
      <c r="DO207" s="25" t="s">
        <v>368</v>
      </c>
      <c r="DP207" s="25" t="s">
        <v>345</v>
      </c>
      <c r="DQ207" s="25" t="s">
        <v>344</v>
      </c>
      <c r="DR207" s="25" t="s">
        <v>345</v>
      </c>
      <c r="DS207" s="25" t="s">
        <v>344</v>
      </c>
      <c r="DT207" s="25" t="s">
        <v>345</v>
      </c>
      <c r="DU207" s="25" t="s">
        <v>345</v>
      </c>
      <c r="DV207" s="25" t="s">
        <v>345</v>
      </c>
      <c r="DW207" s="25" t="s">
        <v>344</v>
      </c>
      <c r="DX207" s="25" t="s">
        <v>369</v>
      </c>
      <c r="DY207" s="25" t="s">
        <v>371</v>
      </c>
      <c r="DZ207" s="25" t="s">
        <v>370</v>
      </c>
      <c r="EA207" s="25" t="s">
        <v>399</v>
      </c>
      <c r="EB207" s="25" t="s">
        <v>369</v>
      </c>
      <c r="EC207" s="25" t="s">
        <v>369</v>
      </c>
      <c r="ED207" s="25" t="s">
        <v>370</v>
      </c>
      <c r="EE207" s="25" t="s">
        <v>370</v>
      </c>
      <c r="EF207" s="25" t="s">
        <v>370</v>
      </c>
      <c r="EG207" s="25" t="s">
        <v>370</v>
      </c>
      <c r="EH207" s="25" t="s">
        <v>370</v>
      </c>
      <c r="EI207" s="25" t="s">
        <v>370</v>
      </c>
      <c r="EJ207" s="25" t="s">
        <v>370</v>
      </c>
      <c r="EK207" s="25" t="s">
        <v>370</v>
      </c>
      <c r="EL207" s="25" t="s">
        <v>374</v>
      </c>
      <c r="EM207" s="25" t="s">
        <v>373</v>
      </c>
      <c r="EN207" s="25" t="s">
        <v>440</v>
      </c>
      <c r="EO207" s="25"/>
      <c r="EP207" s="25"/>
      <c r="EQ207" s="25" t="s">
        <v>375</v>
      </c>
      <c r="ER207" s="25" t="s">
        <v>375</v>
      </c>
      <c r="ES207" s="25" t="s">
        <v>375</v>
      </c>
      <c r="ET207" s="25" t="s">
        <v>375</v>
      </c>
      <c r="EU207" s="25" t="s">
        <v>376</v>
      </c>
      <c r="EV207" s="25" t="s">
        <v>400</v>
      </c>
      <c r="EW207" s="25"/>
      <c r="EX207" s="25" t="s">
        <v>368</v>
      </c>
      <c r="EY207" s="25" t="s">
        <v>368</v>
      </c>
      <c r="EZ207" s="25" t="s">
        <v>368</v>
      </c>
      <c r="FA207" s="25" t="s">
        <v>345</v>
      </c>
      <c r="FB207" s="25" t="s">
        <v>380</v>
      </c>
      <c r="FC207" s="25"/>
      <c r="FD207" s="25" t="s">
        <v>401</v>
      </c>
      <c r="FE207" s="25"/>
      <c r="FF207" s="25" t="s">
        <v>412</v>
      </c>
      <c r="FG207" s="25" t="s">
        <v>413</v>
      </c>
      <c r="FH207" s="25" t="s">
        <v>384</v>
      </c>
      <c r="FI207" s="25" t="s">
        <v>385</v>
      </c>
      <c r="FJ207" s="25"/>
      <c r="FK207" s="25"/>
      <c r="FL207" s="25"/>
      <c r="FM207" s="25"/>
      <c r="FN207" s="25"/>
      <c r="FO207" s="25"/>
      <c r="FP207" s="25"/>
      <c r="FQ207" s="25"/>
      <c r="FR207" s="25"/>
      <c r="FS207" s="25"/>
      <c r="FT207" s="25"/>
      <c r="FU207" s="25"/>
      <c r="FV207" s="25"/>
      <c r="FW207" s="25"/>
      <c r="FX207" s="25"/>
      <c r="FY207" s="25"/>
      <c r="FZ207" s="25"/>
      <c r="GA207" s="25" t="s">
        <v>368</v>
      </c>
      <c r="GB207" s="25" t="s">
        <v>368</v>
      </c>
      <c r="GC207" s="25" t="s">
        <v>368</v>
      </c>
      <c r="GD207" s="25" t="s">
        <v>368</v>
      </c>
      <c r="GE207" s="25" t="s">
        <v>368</v>
      </c>
      <c r="GF207" s="25" t="s">
        <v>368</v>
      </c>
      <c r="GG207" s="25"/>
      <c r="GH207" s="25"/>
      <c r="GI207" s="25"/>
      <c r="GJ207" s="25"/>
      <c r="GK207" s="25"/>
      <c r="GL207" s="25" t="s">
        <v>344</v>
      </c>
      <c r="GM207" s="25" t="s">
        <v>344</v>
      </c>
      <c r="GN207" s="25" t="s">
        <v>344</v>
      </c>
      <c r="GO207" s="25" t="s">
        <v>344</v>
      </c>
      <c r="GP207" s="25" t="s">
        <v>344</v>
      </c>
      <c r="GQ207" s="25" t="s">
        <v>344</v>
      </c>
      <c r="GR207" s="25" t="s">
        <v>344</v>
      </c>
      <c r="GS207" s="25" t="s">
        <v>344</v>
      </c>
      <c r="GT207" s="25" t="s">
        <v>344</v>
      </c>
      <c r="GU207" s="25" t="s">
        <v>344</v>
      </c>
      <c r="GV207" s="25" t="s">
        <v>344</v>
      </c>
      <c r="GW207" s="25" t="s">
        <v>344</v>
      </c>
      <c r="GX207" s="25" t="s">
        <v>344</v>
      </c>
      <c r="GY207" s="25" t="s">
        <v>344</v>
      </c>
      <c r="GZ207" s="25" t="s">
        <v>345</v>
      </c>
      <c r="HA207" s="25"/>
      <c r="HB207" s="25" t="s">
        <v>344</v>
      </c>
      <c r="HC207" s="25"/>
      <c r="HD207" s="25" t="s">
        <v>344</v>
      </c>
      <c r="HE207" s="25"/>
      <c r="HF207" s="25" t="s">
        <v>344</v>
      </c>
      <c r="HG207" s="25"/>
      <c r="HH207" s="25" t="s">
        <v>344</v>
      </c>
      <c r="HI207" s="25"/>
      <c r="HJ207" s="25" t="s">
        <v>344</v>
      </c>
      <c r="HK207" s="25" t="s">
        <v>344</v>
      </c>
      <c r="HL207" s="25" t="s">
        <v>344</v>
      </c>
      <c r="HM207" s="25" t="s">
        <v>344</v>
      </c>
      <c r="HN207" s="25" t="s">
        <v>344</v>
      </c>
      <c r="HO207" s="25" t="s">
        <v>344</v>
      </c>
      <c r="HP207" s="25" t="s">
        <v>344</v>
      </c>
      <c r="HQ207" s="25" t="s">
        <v>344</v>
      </c>
      <c r="HR207" s="25" t="s">
        <v>344</v>
      </c>
      <c r="HS207" s="25" t="s">
        <v>344</v>
      </c>
      <c r="HT207" s="25" t="s">
        <v>344</v>
      </c>
      <c r="HU207" s="25" t="s">
        <v>344</v>
      </c>
      <c r="HV207" s="25" t="s">
        <v>344</v>
      </c>
      <c r="HW207" s="25" t="s">
        <v>344</v>
      </c>
      <c r="HX207" s="25" t="s">
        <v>345</v>
      </c>
      <c r="HY207" s="25"/>
      <c r="HZ207" s="25" t="s">
        <v>344</v>
      </c>
      <c r="IA207" s="25"/>
      <c r="IB207" s="25" t="s">
        <v>344</v>
      </c>
      <c r="IC207" s="25"/>
      <c r="ID207" s="25" t="s">
        <v>344</v>
      </c>
      <c r="IE207" s="25"/>
      <c r="IF207" s="25" t="s">
        <v>344</v>
      </c>
      <c r="IG207" s="25"/>
      <c r="IH207" s="25" t="s">
        <v>345</v>
      </c>
      <c r="II207" s="25" t="s">
        <v>345</v>
      </c>
      <c r="IJ207" s="25" t="s">
        <v>344</v>
      </c>
      <c r="IK207" s="25" t="s">
        <v>344</v>
      </c>
      <c r="IL207" s="25" t="s">
        <v>345</v>
      </c>
      <c r="IM207" s="25" t="s">
        <v>345</v>
      </c>
      <c r="IN207" s="25" t="s">
        <v>344</v>
      </c>
      <c r="IO207" s="25" t="s">
        <v>345</v>
      </c>
      <c r="IP207" s="25" t="s">
        <v>344</v>
      </c>
      <c r="IQ207" s="25" t="s">
        <v>344</v>
      </c>
      <c r="IR207" s="25" t="s">
        <v>344</v>
      </c>
      <c r="IS207" s="25" t="s">
        <v>344</v>
      </c>
      <c r="IT207" s="25"/>
      <c r="IU207" s="25" t="s">
        <v>1224</v>
      </c>
      <c r="IV207" s="25"/>
      <c r="IW207" s="25"/>
      <c r="IX207" s="25"/>
      <c r="IY207" s="25"/>
      <c r="IZ207" s="25"/>
      <c r="JA207" s="25"/>
      <c r="JB207" s="25"/>
      <c r="JC207" s="25"/>
      <c r="JD207" s="25"/>
      <c r="JE207" s="25"/>
      <c r="JF207" s="25"/>
      <c r="JG207" s="25"/>
      <c r="JH207" s="25"/>
    </row>
    <row r="208" spans="1:268" x14ac:dyDescent="0.3">
      <c r="A208" s="25" t="s">
        <v>338</v>
      </c>
      <c r="B208" s="25">
        <v>327</v>
      </c>
      <c r="C208" s="25" t="s">
        <v>1225</v>
      </c>
      <c r="D208" s="25">
        <v>14</v>
      </c>
      <c r="E208" s="25" t="s">
        <v>340</v>
      </c>
      <c r="F208" s="25">
        <v>1195803165</v>
      </c>
      <c r="G208" s="25" t="s">
        <v>1221</v>
      </c>
      <c r="H208" s="25" t="s">
        <v>1225</v>
      </c>
      <c r="I208" s="25" t="s">
        <v>1202</v>
      </c>
      <c r="J208" s="25">
        <v>18</v>
      </c>
      <c r="K208" s="25" t="s">
        <v>406</v>
      </c>
      <c r="L208" s="25"/>
      <c r="M208" s="25" t="s">
        <v>344</v>
      </c>
      <c r="N208" s="25" t="s">
        <v>345</v>
      </c>
      <c r="O208" s="25" t="s">
        <v>344</v>
      </c>
      <c r="P208" s="25" t="s">
        <v>344</v>
      </c>
      <c r="Q208" s="25" t="s">
        <v>344</v>
      </c>
      <c r="R208" s="25"/>
      <c r="S208" s="25" t="s">
        <v>346</v>
      </c>
      <c r="T208" s="25"/>
      <c r="U208" s="25" t="s">
        <v>347</v>
      </c>
      <c r="V208" s="25"/>
      <c r="W208" s="25" t="s">
        <v>345</v>
      </c>
      <c r="X208" s="25" t="s">
        <v>344</v>
      </c>
      <c r="Y208" s="25" t="s">
        <v>344</v>
      </c>
      <c r="Z208" s="25" t="s">
        <v>345</v>
      </c>
      <c r="AA208" s="25" t="s">
        <v>344</v>
      </c>
      <c r="AB208" s="25" t="s">
        <v>345</v>
      </c>
      <c r="AC208" s="25" t="s">
        <v>344</v>
      </c>
      <c r="AD208" s="25" t="s">
        <v>344</v>
      </c>
      <c r="AE208" s="25" t="s">
        <v>345</v>
      </c>
      <c r="AF208" s="25" t="s">
        <v>344</v>
      </c>
      <c r="AG208" s="25" t="s">
        <v>345</v>
      </c>
      <c r="AH208" s="25" t="s">
        <v>344</v>
      </c>
      <c r="AI208" s="25" t="s">
        <v>345</v>
      </c>
      <c r="AJ208" s="25" t="s">
        <v>344</v>
      </c>
      <c r="AK208" s="25" t="s">
        <v>345</v>
      </c>
      <c r="AL208" s="25" t="s">
        <v>344</v>
      </c>
      <c r="AM208" s="25" t="s">
        <v>345</v>
      </c>
      <c r="AN208" s="25" t="s">
        <v>344</v>
      </c>
      <c r="AO208" s="25" t="s">
        <v>344</v>
      </c>
      <c r="AP208" s="25" t="s">
        <v>345</v>
      </c>
      <c r="AQ208" s="25" t="s">
        <v>344</v>
      </c>
      <c r="AR208" s="25" t="s">
        <v>345</v>
      </c>
      <c r="AS208" s="25" t="s">
        <v>344</v>
      </c>
      <c r="AT208" s="25" t="s">
        <v>345</v>
      </c>
      <c r="AU208" s="25" t="s">
        <v>344</v>
      </c>
      <c r="AV208" s="25" t="s">
        <v>345</v>
      </c>
      <c r="AW208" s="25" t="s">
        <v>344</v>
      </c>
      <c r="AX208" s="25" t="s">
        <v>344</v>
      </c>
      <c r="AY208" s="25" t="s">
        <v>733</v>
      </c>
      <c r="AZ208" s="25" t="s">
        <v>731</v>
      </c>
      <c r="BA208" s="25" t="s">
        <v>733</v>
      </c>
      <c r="BB208" s="25" t="s">
        <v>731</v>
      </c>
      <c r="BC208" s="25" t="s">
        <v>737</v>
      </c>
      <c r="BD208" s="25" t="s">
        <v>733</v>
      </c>
      <c r="BE208" s="25" t="s">
        <v>348</v>
      </c>
      <c r="BF208" s="25" t="s">
        <v>349</v>
      </c>
      <c r="BG208" s="25" t="s">
        <v>349</v>
      </c>
      <c r="BH208" s="25" t="s">
        <v>348</v>
      </c>
      <c r="BI208" s="25" t="s">
        <v>349</v>
      </c>
      <c r="BJ208" s="25" t="s">
        <v>357</v>
      </c>
      <c r="BK208" s="25" t="s">
        <v>356</v>
      </c>
      <c r="BL208" s="25" t="s">
        <v>354</v>
      </c>
      <c r="BM208" s="25" t="s">
        <v>353</v>
      </c>
      <c r="BN208" s="25" t="s">
        <v>352</v>
      </c>
      <c r="BO208" s="25" t="s">
        <v>356</v>
      </c>
      <c r="BP208" s="25" t="s">
        <v>352</v>
      </c>
      <c r="BQ208" s="25" t="s">
        <v>455</v>
      </c>
      <c r="BR208" s="25" t="s">
        <v>359</v>
      </c>
      <c r="BS208" s="25" t="s">
        <v>357</v>
      </c>
      <c r="BT208" s="25" t="s">
        <v>355</v>
      </c>
      <c r="BU208" s="25" t="s">
        <v>351</v>
      </c>
      <c r="BV208" s="25" t="s">
        <v>353</v>
      </c>
      <c r="BW208" s="25" t="s">
        <v>352</v>
      </c>
      <c r="BX208" s="25" t="s">
        <v>351</v>
      </c>
      <c r="BY208" s="25" t="s">
        <v>353</v>
      </c>
      <c r="BZ208" s="25" t="s">
        <v>352</v>
      </c>
      <c r="CA208" s="25" t="s">
        <v>357</v>
      </c>
      <c r="CB208" s="25" t="s">
        <v>353</v>
      </c>
      <c r="CC208" s="25" t="s">
        <v>355</v>
      </c>
      <c r="CD208" s="25" t="s">
        <v>356</v>
      </c>
      <c r="CE208" s="25" t="s">
        <v>354</v>
      </c>
      <c r="CF208" s="25" t="s">
        <v>352</v>
      </c>
      <c r="CG208" s="25" t="s">
        <v>420</v>
      </c>
      <c r="CH208" s="25" t="s">
        <v>393</v>
      </c>
      <c r="CI208" s="25" t="s">
        <v>392</v>
      </c>
      <c r="CJ208" s="25" t="s">
        <v>420</v>
      </c>
      <c r="CK208" s="25" t="s">
        <v>1226</v>
      </c>
      <c r="CL208" s="25" t="s">
        <v>344</v>
      </c>
      <c r="CM208" s="25" t="s">
        <v>344</v>
      </c>
      <c r="CN208" s="25" t="s">
        <v>344</v>
      </c>
      <c r="CO208" s="25" t="s">
        <v>345</v>
      </c>
      <c r="CP208" s="25" t="s">
        <v>345</v>
      </c>
      <c r="CQ208" s="25" t="s">
        <v>345</v>
      </c>
      <c r="CR208" s="25" t="s">
        <v>667</v>
      </c>
      <c r="CS208" s="25">
        <v>40</v>
      </c>
      <c r="CT208" s="25">
        <v>9</v>
      </c>
      <c r="CU208" s="25">
        <v>82</v>
      </c>
      <c r="CV208" s="25">
        <v>19</v>
      </c>
      <c r="CW208" s="25" t="s">
        <v>364</v>
      </c>
      <c r="CX208" s="25" t="s">
        <v>363</v>
      </c>
      <c r="CY208" s="25" t="s">
        <v>363</v>
      </c>
      <c r="CZ208" s="25" t="s">
        <v>397</v>
      </c>
      <c r="DA208" s="25" t="s">
        <v>397</v>
      </c>
      <c r="DB208" s="25" t="s">
        <v>397</v>
      </c>
      <c r="DC208" s="25" t="s">
        <v>397</v>
      </c>
      <c r="DD208" s="25" t="s">
        <v>397</v>
      </c>
      <c r="DE208" s="25" t="s">
        <v>366</v>
      </c>
      <c r="DF208" s="25" t="s">
        <v>423</v>
      </c>
      <c r="DG208" s="25" t="s">
        <v>397</v>
      </c>
      <c r="DH208" s="25" t="s">
        <v>397</v>
      </c>
      <c r="DI208" s="25" t="s">
        <v>365</v>
      </c>
      <c r="DJ208" s="25" t="s">
        <v>1227</v>
      </c>
      <c r="DK208" s="25" t="s">
        <v>367</v>
      </c>
      <c r="DL208" s="25" t="s">
        <v>368</v>
      </c>
      <c r="DM208" s="25" t="s">
        <v>368</v>
      </c>
      <c r="DN208" s="25" t="s">
        <v>368</v>
      </c>
      <c r="DO208" s="25" t="s">
        <v>368</v>
      </c>
      <c r="DP208" s="25" t="s">
        <v>345</v>
      </c>
      <c r="DQ208" s="25" t="s">
        <v>345</v>
      </c>
      <c r="DR208" s="25" t="s">
        <v>344</v>
      </c>
      <c r="DS208" s="25" t="s">
        <v>344</v>
      </c>
      <c r="DT208" s="25" t="s">
        <v>368</v>
      </c>
      <c r="DU208" s="25" t="s">
        <v>368</v>
      </c>
      <c r="DV208" s="25" t="s">
        <v>368</v>
      </c>
      <c r="DW208" s="25" t="s">
        <v>345</v>
      </c>
      <c r="DX208" s="25" t="s">
        <v>369</v>
      </c>
      <c r="DY208" s="25" t="s">
        <v>399</v>
      </c>
      <c r="DZ208" s="25" t="s">
        <v>369</v>
      </c>
      <c r="EA208" s="25" t="s">
        <v>369</v>
      </c>
      <c r="EB208" s="25" t="s">
        <v>369</v>
      </c>
      <c r="EC208" s="25" t="s">
        <v>369</v>
      </c>
      <c r="ED208" s="25" t="s">
        <v>371</v>
      </c>
      <c r="EE208" s="25" t="s">
        <v>370</v>
      </c>
      <c r="EF208" s="25" t="s">
        <v>370</v>
      </c>
      <c r="EG208" s="25" t="s">
        <v>369</v>
      </c>
      <c r="EH208" s="25" t="s">
        <v>370</v>
      </c>
      <c r="EI208" s="25" t="s">
        <v>370</v>
      </c>
      <c r="EJ208" s="25" t="s">
        <v>370</v>
      </c>
      <c r="EK208" s="25" t="s">
        <v>369</v>
      </c>
      <c r="EL208" s="25" t="s">
        <v>373</v>
      </c>
      <c r="EM208" s="25" t="s">
        <v>424</v>
      </c>
      <c r="EN208" s="25" t="s">
        <v>374</v>
      </c>
      <c r="EO208" s="25"/>
      <c r="EP208" s="25"/>
      <c r="EQ208" s="25" t="s">
        <v>377</v>
      </c>
      <c r="ER208" s="25" t="s">
        <v>377</v>
      </c>
      <c r="ES208" s="25" t="s">
        <v>375</v>
      </c>
      <c r="ET208" s="25" t="s">
        <v>378</v>
      </c>
      <c r="EU208" s="25" t="s">
        <v>377</v>
      </c>
      <c r="EV208" s="25" t="s">
        <v>400</v>
      </c>
      <c r="EW208" s="25"/>
      <c r="EX208" s="25" t="s">
        <v>368</v>
      </c>
      <c r="EY208" s="25" t="s">
        <v>368</v>
      </c>
      <c r="EZ208" s="25" t="s">
        <v>368</v>
      </c>
      <c r="FA208" s="25" t="s">
        <v>345</v>
      </c>
      <c r="FB208" s="25" t="s">
        <v>380</v>
      </c>
      <c r="FC208" s="25"/>
      <c r="FD208" s="25" t="s">
        <v>381</v>
      </c>
      <c r="FE208" s="25"/>
      <c r="FF208" s="25" t="s">
        <v>382</v>
      </c>
      <c r="FG208" s="25" t="s">
        <v>383</v>
      </c>
      <c r="FH208" s="25" t="s">
        <v>451</v>
      </c>
      <c r="FI208" s="25" t="s">
        <v>385</v>
      </c>
      <c r="FJ208" s="25"/>
      <c r="FK208" s="25"/>
      <c r="FL208" s="25"/>
      <c r="FM208" s="25"/>
      <c r="FN208" s="25"/>
      <c r="FO208" s="25"/>
      <c r="FP208" s="25"/>
      <c r="FQ208" s="25"/>
      <c r="FR208" s="25"/>
      <c r="FS208" s="25"/>
      <c r="FT208" s="25"/>
      <c r="FU208" s="25"/>
      <c r="FV208" s="25"/>
      <c r="FW208" s="25"/>
      <c r="FX208" s="25"/>
      <c r="FY208" s="25"/>
      <c r="FZ208" s="25"/>
      <c r="GA208" s="25" t="s">
        <v>368</v>
      </c>
      <c r="GB208" s="25" t="s">
        <v>368</v>
      </c>
      <c r="GC208" s="25" t="s">
        <v>368</v>
      </c>
      <c r="GD208" s="25" t="s">
        <v>368</v>
      </c>
      <c r="GE208" s="25" t="s">
        <v>368</v>
      </c>
      <c r="GF208" s="25" t="s">
        <v>368</v>
      </c>
      <c r="GG208" s="25"/>
      <c r="GH208" s="25"/>
      <c r="GI208" s="25"/>
      <c r="GJ208" s="25"/>
      <c r="GK208" s="25"/>
      <c r="GL208" s="25" t="s">
        <v>344</v>
      </c>
      <c r="GM208" s="25" t="s">
        <v>344</v>
      </c>
      <c r="GN208" s="25" t="s">
        <v>344</v>
      </c>
      <c r="GO208" s="25" t="s">
        <v>344</v>
      </c>
      <c r="GP208" s="25" t="s">
        <v>344</v>
      </c>
      <c r="GQ208" s="25" t="s">
        <v>344</v>
      </c>
      <c r="GR208" s="25" t="s">
        <v>344</v>
      </c>
      <c r="GS208" s="25" t="s">
        <v>344</v>
      </c>
      <c r="GT208" s="25" t="s">
        <v>344</v>
      </c>
      <c r="GU208" s="25" t="s">
        <v>344</v>
      </c>
      <c r="GV208" s="25" t="s">
        <v>344</v>
      </c>
      <c r="GW208" s="25" t="s">
        <v>344</v>
      </c>
      <c r="GX208" s="25" t="s">
        <v>344</v>
      </c>
      <c r="GY208" s="25" t="s">
        <v>344</v>
      </c>
      <c r="GZ208" s="25" t="s">
        <v>345</v>
      </c>
      <c r="HA208" s="25"/>
      <c r="HB208" s="25" t="s">
        <v>344</v>
      </c>
      <c r="HC208" s="25"/>
      <c r="HD208" s="25" t="s">
        <v>344</v>
      </c>
      <c r="HE208" s="25"/>
      <c r="HF208" s="25" t="s">
        <v>344</v>
      </c>
      <c r="HG208" s="25"/>
      <c r="HH208" s="25" t="s">
        <v>344</v>
      </c>
      <c r="HI208" s="25"/>
      <c r="HJ208" s="25" t="s">
        <v>345</v>
      </c>
      <c r="HK208" s="25" t="s">
        <v>344</v>
      </c>
      <c r="HL208" s="25" t="s">
        <v>344</v>
      </c>
      <c r="HM208" s="25" t="s">
        <v>344</v>
      </c>
      <c r="HN208" s="25" t="s">
        <v>344</v>
      </c>
      <c r="HO208" s="25" t="s">
        <v>344</v>
      </c>
      <c r="HP208" s="25" t="s">
        <v>344</v>
      </c>
      <c r="HQ208" s="25" t="s">
        <v>344</v>
      </c>
      <c r="HR208" s="25" t="s">
        <v>344</v>
      </c>
      <c r="HS208" s="25" t="s">
        <v>344</v>
      </c>
      <c r="HT208" s="25" t="s">
        <v>344</v>
      </c>
      <c r="HU208" s="25" t="s">
        <v>344</v>
      </c>
      <c r="HV208" s="25" t="s">
        <v>345</v>
      </c>
      <c r="HW208" s="25" t="s">
        <v>344</v>
      </c>
      <c r="HX208" s="25" t="s">
        <v>344</v>
      </c>
      <c r="HY208" s="25"/>
      <c r="HZ208" s="25" t="s">
        <v>344</v>
      </c>
      <c r="IA208" s="25"/>
      <c r="IB208" s="25" t="s">
        <v>344</v>
      </c>
      <c r="IC208" s="25"/>
      <c r="ID208" s="25" t="s">
        <v>344</v>
      </c>
      <c r="IE208" s="25"/>
      <c r="IF208" s="25" t="s">
        <v>344</v>
      </c>
      <c r="IG208" s="25"/>
      <c r="IH208" s="25" t="s">
        <v>344</v>
      </c>
      <c r="II208" s="25" t="s">
        <v>344</v>
      </c>
      <c r="IJ208" s="25" t="s">
        <v>344</v>
      </c>
      <c r="IK208" s="25" t="s">
        <v>344</v>
      </c>
      <c r="IL208" s="25" t="s">
        <v>345</v>
      </c>
      <c r="IM208" s="25" t="s">
        <v>344</v>
      </c>
      <c r="IN208" s="25" t="s">
        <v>344</v>
      </c>
      <c r="IO208" s="25" t="s">
        <v>345</v>
      </c>
      <c r="IP208" s="25" t="s">
        <v>345</v>
      </c>
      <c r="IQ208" s="25" t="s">
        <v>344</v>
      </c>
      <c r="IR208" s="25" t="s">
        <v>345</v>
      </c>
      <c r="IS208" s="25" t="s">
        <v>344</v>
      </c>
      <c r="IT208" s="25"/>
      <c r="IU208" s="25"/>
      <c r="IV208" s="25"/>
      <c r="IW208" s="25"/>
      <c r="IX208" s="25"/>
      <c r="IY208" s="25"/>
      <c r="IZ208" s="25"/>
      <c r="JA208" s="25"/>
      <c r="JB208" s="25"/>
      <c r="JC208" s="25"/>
      <c r="JD208" s="25"/>
      <c r="JE208" s="25"/>
      <c r="JF208" s="25"/>
      <c r="JG208" s="25"/>
      <c r="JH208" s="25"/>
    </row>
    <row r="209" spans="1:268" x14ac:dyDescent="0.3">
      <c r="A209" s="25" t="s">
        <v>338</v>
      </c>
      <c r="B209" s="25">
        <v>328</v>
      </c>
      <c r="C209" s="25" t="s">
        <v>1228</v>
      </c>
      <c r="D209" s="25">
        <v>14</v>
      </c>
      <c r="E209" s="25" t="s">
        <v>340</v>
      </c>
      <c r="F209" s="25">
        <v>1230713186</v>
      </c>
      <c r="G209" s="25" t="s">
        <v>1229</v>
      </c>
      <c r="H209" s="25" t="s">
        <v>1228</v>
      </c>
      <c r="I209" s="25" t="s">
        <v>1202</v>
      </c>
      <c r="J209" s="25">
        <v>18</v>
      </c>
      <c r="K209" s="25" t="s">
        <v>389</v>
      </c>
      <c r="L209" s="25"/>
      <c r="M209" s="25" t="s">
        <v>344</v>
      </c>
      <c r="N209" s="25" t="s">
        <v>345</v>
      </c>
      <c r="O209" s="25" t="s">
        <v>344</v>
      </c>
      <c r="P209" s="25" t="s">
        <v>344</v>
      </c>
      <c r="Q209" s="25" t="s">
        <v>344</v>
      </c>
      <c r="R209" s="25"/>
      <c r="S209" s="25" t="s">
        <v>346</v>
      </c>
      <c r="T209" s="25"/>
      <c r="U209" s="25" t="s">
        <v>347</v>
      </c>
      <c r="V209" s="25"/>
      <c r="W209" s="25" t="s">
        <v>345</v>
      </c>
      <c r="X209" s="25" t="s">
        <v>345</v>
      </c>
      <c r="Y209" s="25" t="s">
        <v>344</v>
      </c>
      <c r="Z209" s="25" t="s">
        <v>345</v>
      </c>
      <c r="AA209" s="25" t="s">
        <v>344</v>
      </c>
      <c r="AB209" s="25" t="s">
        <v>344</v>
      </c>
      <c r="AC209" s="25" t="s">
        <v>344</v>
      </c>
      <c r="AD209" s="25" t="s">
        <v>345</v>
      </c>
      <c r="AE209" s="25" t="s">
        <v>345</v>
      </c>
      <c r="AF209" s="25" t="s">
        <v>345</v>
      </c>
      <c r="AG209" s="25" t="s">
        <v>344</v>
      </c>
      <c r="AH209" s="25" t="s">
        <v>345</v>
      </c>
      <c r="AI209" s="25" t="s">
        <v>344</v>
      </c>
      <c r="AJ209" s="25" t="s">
        <v>344</v>
      </c>
      <c r="AK209" s="25" t="s">
        <v>345</v>
      </c>
      <c r="AL209" s="25" t="s">
        <v>345</v>
      </c>
      <c r="AM209" s="25" t="s">
        <v>344</v>
      </c>
      <c r="AN209" s="25" t="s">
        <v>344</v>
      </c>
      <c r="AO209" s="25" t="s">
        <v>344</v>
      </c>
      <c r="AP209" s="25" t="s">
        <v>344</v>
      </c>
      <c r="AQ209" s="25" t="s">
        <v>344</v>
      </c>
      <c r="AR209" s="25" t="s">
        <v>345</v>
      </c>
      <c r="AS209" s="25" t="s">
        <v>345</v>
      </c>
      <c r="AT209" s="25" t="s">
        <v>345</v>
      </c>
      <c r="AU209" s="25" t="s">
        <v>344</v>
      </c>
      <c r="AV209" s="25" t="s">
        <v>345</v>
      </c>
      <c r="AW209" s="25" t="s">
        <v>345</v>
      </c>
      <c r="AX209" s="25" t="s">
        <v>344</v>
      </c>
      <c r="AY209" s="25" t="s">
        <v>731</v>
      </c>
      <c r="AZ209" s="25" t="s">
        <v>391</v>
      </c>
      <c r="BA209" s="25" t="s">
        <v>732</v>
      </c>
      <c r="BB209" s="25" t="s">
        <v>732</v>
      </c>
      <c r="BC209" s="25" t="s">
        <v>732</v>
      </c>
      <c r="BD209" s="25" t="s">
        <v>731</v>
      </c>
      <c r="BE209" s="25" t="s">
        <v>390</v>
      </c>
      <c r="BF209" s="25" t="s">
        <v>390</v>
      </c>
      <c r="BG209" s="25" t="s">
        <v>390</v>
      </c>
      <c r="BH209" s="25" t="s">
        <v>390</v>
      </c>
      <c r="BI209" s="25" t="s">
        <v>390</v>
      </c>
      <c r="BJ209" s="25" t="s">
        <v>391</v>
      </c>
      <c r="BK209" s="25" t="s">
        <v>391</v>
      </c>
      <c r="BL209" s="25" t="s">
        <v>391</v>
      </c>
      <c r="BM209" s="25" t="s">
        <v>391</v>
      </c>
      <c r="BN209" s="25" t="s">
        <v>391</v>
      </c>
      <c r="BO209" s="25" t="s">
        <v>391</v>
      </c>
      <c r="BP209" s="25" t="s">
        <v>391</v>
      </c>
      <c r="BQ209" s="25" t="s">
        <v>358</v>
      </c>
      <c r="BR209" s="25" t="s">
        <v>408</v>
      </c>
      <c r="BS209" s="25" t="s">
        <v>391</v>
      </c>
      <c r="BT209" s="25" t="s">
        <v>391</v>
      </c>
      <c r="BU209" s="25" t="s">
        <v>391</v>
      </c>
      <c r="BV209" s="25" t="s">
        <v>391</v>
      </c>
      <c r="BW209" s="25" t="s">
        <v>391</v>
      </c>
      <c r="BX209" s="25" t="s">
        <v>391</v>
      </c>
      <c r="BY209" s="25" t="s">
        <v>391</v>
      </c>
      <c r="BZ209" s="25" t="s">
        <v>391</v>
      </c>
      <c r="CA209" s="25" t="s">
        <v>391</v>
      </c>
      <c r="CB209" s="25" t="s">
        <v>391</v>
      </c>
      <c r="CC209" s="25" t="s">
        <v>391</v>
      </c>
      <c r="CD209" s="25" t="s">
        <v>391</v>
      </c>
      <c r="CE209" s="25" t="s">
        <v>391</v>
      </c>
      <c r="CF209" s="25" t="s">
        <v>391</v>
      </c>
      <c r="CG209" s="25" t="s">
        <v>420</v>
      </c>
      <c r="CH209" s="25" t="s">
        <v>421</v>
      </c>
      <c r="CI209" s="25" t="s">
        <v>420</v>
      </c>
      <c r="CJ209" s="25" t="s">
        <v>420</v>
      </c>
      <c r="CK209" s="25" t="s">
        <v>510</v>
      </c>
      <c r="CL209" s="25" t="s">
        <v>344</v>
      </c>
      <c r="CM209" s="25" t="s">
        <v>344</v>
      </c>
      <c r="CN209" s="25" t="s">
        <v>345</v>
      </c>
      <c r="CO209" s="25" t="s">
        <v>344</v>
      </c>
      <c r="CP209" s="25" t="s">
        <v>345</v>
      </c>
      <c r="CQ209" s="25" t="s">
        <v>344</v>
      </c>
      <c r="CR209" s="25" t="s">
        <v>667</v>
      </c>
      <c r="CS209" s="25">
        <v>72</v>
      </c>
      <c r="CT209" s="25">
        <v>1</v>
      </c>
      <c r="CU209" s="25">
        <v>74</v>
      </c>
      <c r="CV209" s="25">
        <v>50</v>
      </c>
      <c r="CW209" s="25" t="s">
        <v>395</v>
      </c>
      <c r="CX209" s="25" t="s">
        <v>395</v>
      </c>
      <c r="CY209" s="25" t="s">
        <v>396</v>
      </c>
      <c r="CZ209" s="25" t="s">
        <v>397</v>
      </c>
      <c r="DA209" s="25" t="s">
        <v>397</v>
      </c>
      <c r="DB209" s="25" t="s">
        <v>397</v>
      </c>
      <c r="DC209" s="25" t="s">
        <v>397</v>
      </c>
      <c r="DD209" s="25" t="s">
        <v>397</v>
      </c>
      <c r="DE209" s="25" t="s">
        <v>397</v>
      </c>
      <c r="DF209" s="25" t="s">
        <v>366</v>
      </c>
      <c r="DG209" s="25" t="s">
        <v>397</v>
      </c>
      <c r="DH209" s="25" t="s">
        <v>397</v>
      </c>
      <c r="DI209" s="25" t="s">
        <v>366</v>
      </c>
      <c r="DJ209" s="25"/>
      <c r="DK209" s="25" t="s">
        <v>492</v>
      </c>
      <c r="DL209" s="25" t="s">
        <v>368</v>
      </c>
      <c r="DM209" s="25" t="s">
        <v>368</v>
      </c>
      <c r="DN209" s="25" t="s">
        <v>368</v>
      </c>
      <c r="DO209" s="25" t="s">
        <v>345</v>
      </c>
      <c r="DP209" s="25" t="s">
        <v>345</v>
      </c>
      <c r="DQ209" s="25" t="s">
        <v>344</v>
      </c>
      <c r="DR209" s="25" t="s">
        <v>345</v>
      </c>
      <c r="DS209" s="25" t="s">
        <v>344</v>
      </c>
      <c r="DT209" s="25" t="s">
        <v>345</v>
      </c>
      <c r="DU209" s="25" t="s">
        <v>344</v>
      </c>
      <c r="DV209" s="25" t="s">
        <v>345</v>
      </c>
      <c r="DW209" s="25" t="s">
        <v>344</v>
      </c>
      <c r="DX209" s="25" t="s">
        <v>369</v>
      </c>
      <c r="DY209" s="25" t="s">
        <v>371</v>
      </c>
      <c r="DZ209" s="25" t="s">
        <v>370</v>
      </c>
      <c r="EA209" s="25" t="s">
        <v>369</v>
      </c>
      <c r="EB209" s="25" t="s">
        <v>369</v>
      </c>
      <c r="EC209" s="25" t="s">
        <v>369</v>
      </c>
      <c r="ED209" s="25" t="s">
        <v>371</v>
      </c>
      <c r="EE209" s="25" t="s">
        <v>370</v>
      </c>
      <c r="EF209" s="25" t="s">
        <v>370</v>
      </c>
      <c r="EG209" s="25" t="s">
        <v>370</v>
      </c>
      <c r="EH209" s="25" t="s">
        <v>370</v>
      </c>
      <c r="EI209" s="25" t="s">
        <v>370</v>
      </c>
      <c r="EJ209" s="25" t="s">
        <v>370</v>
      </c>
      <c r="EK209" s="25" t="s">
        <v>370</v>
      </c>
      <c r="EL209" s="25" t="s">
        <v>440</v>
      </c>
      <c r="EM209" s="25" t="s">
        <v>372</v>
      </c>
      <c r="EN209" s="25" t="s">
        <v>374</v>
      </c>
      <c r="EO209" s="25"/>
      <c r="EP209" s="25"/>
      <c r="EQ209" s="25" t="s">
        <v>375</v>
      </c>
      <c r="ER209" s="25" t="s">
        <v>375</v>
      </c>
      <c r="ES209" s="25" t="s">
        <v>375</v>
      </c>
      <c r="ET209" s="25" t="s">
        <v>391</v>
      </c>
      <c r="EU209" s="25" t="s">
        <v>411</v>
      </c>
      <c r="EV209" s="25" t="s">
        <v>400</v>
      </c>
      <c r="EW209" s="25"/>
      <c r="EX209" s="25" t="s">
        <v>368</v>
      </c>
      <c r="EY209" s="25" t="s">
        <v>368</v>
      </c>
      <c r="EZ209" s="25" t="s">
        <v>368</v>
      </c>
      <c r="FA209" s="25" t="s">
        <v>345</v>
      </c>
      <c r="FB209" s="25" t="s">
        <v>380</v>
      </c>
      <c r="FC209" s="25"/>
      <c r="FD209" s="25" t="s">
        <v>401</v>
      </c>
      <c r="FE209" s="25"/>
      <c r="FF209" s="25" t="s">
        <v>477</v>
      </c>
      <c r="FG209" s="25" t="s">
        <v>402</v>
      </c>
      <c r="FH209" s="25" t="s">
        <v>432</v>
      </c>
      <c r="FI209" s="25" t="s">
        <v>403</v>
      </c>
      <c r="FJ209" s="25"/>
      <c r="FK209" s="25"/>
      <c r="FL209" s="25"/>
      <c r="FM209" s="25"/>
      <c r="FN209" s="25"/>
      <c r="FO209" s="25"/>
      <c r="FP209" s="25"/>
      <c r="FQ209" s="25"/>
      <c r="FR209" s="25"/>
      <c r="FS209" s="25"/>
      <c r="FT209" s="25"/>
      <c r="FU209" s="25"/>
      <c r="FV209" s="25"/>
      <c r="FW209" s="25"/>
      <c r="FX209" s="25"/>
      <c r="FY209" s="25"/>
      <c r="FZ209" s="25"/>
      <c r="GA209" s="25" t="s">
        <v>368</v>
      </c>
      <c r="GB209" s="25" t="s">
        <v>368</v>
      </c>
      <c r="GC209" s="25" t="s">
        <v>368</v>
      </c>
      <c r="GD209" s="25" t="s">
        <v>368</v>
      </c>
      <c r="GE209" s="25" t="s">
        <v>368</v>
      </c>
      <c r="GF209" s="25" t="s">
        <v>368</v>
      </c>
      <c r="GG209" s="25"/>
      <c r="GH209" s="25"/>
      <c r="GI209" s="25"/>
      <c r="GJ209" s="25"/>
      <c r="GK209" s="25"/>
      <c r="GL209" s="25" t="s">
        <v>344</v>
      </c>
      <c r="GM209" s="25" t="s">
        <v>344</v>
      </c>
      <c r="GN209" s="25" t="s">
        <v>344</v>
      </c>
      <c r="GO209" s="25" t="s">
        <v>344</v>
      </c>
      <c r="GP209" s="25" t="s">
        <v>344</v>
      </c>
      <c r="GQ209" s="25" t="s">
        <v>344</v>
      </c>
      <c r="GR209" s="25" t="s">
        <v>344</v>
      </c>
      <c r="GS209" s="25" t="s">
        <v>344</v>
      </c>
      <c r="GT209" s="25" t="s">
        <v>344</v>
      </c>
      <c r="GU209" s="25" t="s">
        <v>344</v>
      </c>
      <c r="GV209" s="25" t="s">
        <v>344</v>
      </c>
      <c r="GW209" s="25" t="s">
        <v>344</v>
      </c>
      <c r="GX209" s="25" t="s">
        <v>344</v>
      </c>
      <c r="GY209" s="25" t="s">
        <v>344</v>
      </c>
      <c r="GZ209" s="25" t="s">
        <v>345</v>
      </c>
      <c r="HA209" s="25"/>
      <c r="HB209" s="25" t="s">
        <v>344</v>
      </c>
      <c r="HC209" s="25"/>
      <c r="HD209" s="25" t="s">
        <v>344</v>
      </c>
      <c r="HE209" s="25"/>
      <c r="HF209" s="25" t="s">
        <v>344</v>
      </c>
      <c r="HG209" s="25"/>
      <c r="HH209" s="25" t="s">
        <v>344</v>
      </c>
      <c r="HI209" s="25"/>
      <c r="HJ209" s="25" t="s">
        <v>345</v>
      </c>
      <c r="HK209" s="25" t="s">
        <v>345</v>
      </c>
      <c r="HL209" s="25" t="s">
        <v>344</v>
      </c>
      <c r="HM209" s="25" t="s">
        <v>344</v>
      </c>
      <c r="HN209" s="25" t="s">
        <v>344</v>
      </c>
      <c r="HO209" s="25" t="s">
        <v>344</v>
      </c>
      <c r="HP209" s="25" t="s">
        <v>344</v>
      </c>
      <c r="HQ209" s="25" t="s">
        <v>344</v>
      </c>
      <c r="HR209" s="25" t="s">
        <v>344</v>
      </c>
      <c r="HS209" s="25" t="s">
        <v>344</v>
      </c>
      <c r="HT209" s="25" t="s">
        <v>344</v>
      </c>
      <c r="HU209" s="25" t="s">
        <v>344</v>
      </c>
      <c r="HV209" s="25" t="s">
        <v>344</v>
      </c>
      <c r="HW209" s="25" t="s">
        <v>344</v>
      </c>
      <c r="HX209" s="25" t="s">
        <v>344</v>
      </c>
      <c r="HY209" s="25"/>
      <c r="HZ209" s="25" t="s">
        <v>344</v>
      </c>
      <c r="IA209" s="25"/>
      <c r="IB209" s="25" t="s">
        <v>344</v>
      </c>
      <c r="IC209" s="25"/>
      <c r="ID209" s="25" t="s">
        <v>344</v>
      </c>
      <c r="IE209" s="25"/>
      <c r="IF209" s="25" t="s">
        <v>344</v>
      </c>
      <c r="IG209" s="25"/>
      <c r="IH209" s="25" t="s">
        <v>345</v>
      </c>
      <c r="II209" s="25" t="s">
        <v>344</v>
      </c>
      <c r="IJ209" s="25" t="s">
        <v>344</v>
      </c>
      <c r="IK209" s="25" t="s">
        <v>344</v>
      </c>
      <c r="IL209" s="25" t="s">
        <v>345</v>
      </c>
      <c r="IM209" s="25" t="s">
        <v>345</v>
      </c>
      <c r="IN209" s="25" t="s">
        <v>344</v>
      </c>
      <c r="IO209" s="25" t="s">
        <v>345</v>
      </c>
      <c r="IP209" s="25" t="s">
        <v>344</v>
      </c>
      <c r="IQ209" s="25" t="s">
        <v>344</v>
      </c>
      <c r="IR209" s="25" t="s">
        <v>345</v>
      </c>
      <c r="IS209" s="25" t="s">
        <v>344</v>
      </c>
      <c r="IT209" s="25"/>
      <c r="IU209" s="25"/>
      <c r="IV209" s="25"/>
      <c r="IW209" s="25"/>
      <c r="IX209" s="25"/>
      <c r="IY209" s="25"/>
      <c r="IZ209" s="25"/>
      <c r="JA209" s="25"/>
      <c r="JB209" s="25"/>
      <c r="JC209" s="25"/>
      <c r="JD209" s="25"/>
      <c r="JE209" s="25"/>
      <c r="JF209" s="25"/>
      <c r="JG209" s="25"/>
      <c r="JH209" s="25"/>
    </row>
    <row r="210" spans="1:268" x14ac:dyDescent="0.3">
      <c r="A210" s="25" t="s">
        <v>338</v>
      </c>
      <c r="B210" s="25">
        <v>329</v>
      </c>
      <c r="C210" s="25" t="s">
        <v>1230</v>
      </c>
      <c r="D210" s="25">
        <v>14</v>
      </c>
      <c r="E210" s="25" t="s">
        <v>340</v>
      </c>
      <c r="F210" s="25">
        <v>1037563278</v>
      </c>
      <c r="G210" s="25" t="s">
        <v>1231</v>
      </c>
      <c r="H210" s="25" t="s">
        <v>1230</v>
      </c>
      <c r="I210" s="25" t="s">
        <v>1202</v>
      </c>
      <c r="J210" s="25">
        <v>17</v>
      </c>
      <c r="K210" s="25" t="s">
        <v>406</v>
      </c>
      <c r="L210" s="25"/>
      <c r="M210" s="25" t="s">
        <v>344</v>
      </c>
      <c r="N210" s="25" t="s">
        <v>345</v>
      </c>
      <c r="O210" s="25" t="s">
        <v>344</v>
      </c>
      <c r="P210" s="25" t="s">
        <v>344</v>
      </c>
      <c r="Q210" s="25" t="s">
        <v>344</v>
      </c>
      <c r="R210" s="25"/>
      <c r="S210" s="25" t="s">
        <v>346</v>
      </c>
      <c r="T210" s="25"/>
      <c r="U210" s="25" t="s">
        <v>347</v>
      </c>
      <c r="V210" s="25"/>
      <c r="W210" s="25" t="s">
        <v>368</v>
      </c>
      <c r="X210" s="25" t="s">
        <v>368</v>
      </c>
      <c r="Y210" s="25" t="s">
        <v>368</v>
      </c>
      <c r="Z210" s="25" t="s">
        <v>368</v>
      </c>
      <c r="AA210" s="25" t="s">
        <v>368</v>
      </c>
      <c r="AB210" s="25" t="s">
        <v>368</v>
      </c>
      <c r="AC210" s="25" t="s">
        <v>345</v>
      </c>
      <c r="AD210" s="25" t="s">
        <v>345</v>
      </c>
      <c r="AE210" s="25" t="s">
        <v>345</v>
      </c>
      <c r="AF210" s="25" t="s">
        <v>345</v>
      </c>
      <c r="AG210" s="25" t="s">
        <v>344</v>
      </c>
      <c r="AH210" s="25" t="s">
        <v>345</v>
      </c>
      <c r="AI210" s="25" t="s">
        <v>344</v>
      </c>
      <c r="AJ210" s="25" t="s">
        <v>344</v>
      </c>
      <c r="AK210" s="25" t="s">
        <v>344</v>
      </c>
      <c r="AL210" s="25" t="s">
        <v>344</v>
      </c>
      <c r="AM210" s="25" t="s">
        <v>344</v>
      </c>
      <c r="AN210" s="25" t="s">
        <v>344</v>
      </c>
      <c r="AO210" s="25" t="s">
        <v>344</v>
      </c>
      <c r="AP210" s="25" t="s">
        <v>345</v>
      </c>
      <c r="AQ210" s="25" t="s">
        <v>344</v>
      </c>
      <c r="AR210" s="25" t="s">
        <v>368</v>
      </c>
      <c r="AS210" s="25" t="s">
        <v>368</v>
      </c>
      <c r="AT210" s="25" t="s">
        <v>368</v>
      </c>
      <c r="AU210" s="25" t="s">
        <v>368</v>
      </c>
      <c r="AV210" s="25" t="s">
        <v>368</v>
      </c>
      <c r="AW210" s="25" t="s">
        <v>368</v>
      </c>
      <c r="AX210" s="25" t="s">
        <v>345</v>
      </c>
      <c r="AY210" s="25" t="s">
        <v>391</v>
      </c>
      <c r="AZ210" s="25" t="s">
        <v>391</v>
      </c>
      <c r="BA210" s="25" t="s">
        <v>391</v>
      </c>
      <c r="BB210" s="25" t="s">
        <v>731</v>
      </c>
      <c r="BC210" s="25" t="s">
        <v>731</v>
      </c>
      <c r="BD210" s="25" t="s">
        <v>731</v>
      </c>
      <c r="BE210" s="25" t="s">
        <v>349</v>
      </c>
      <c r="BF210" s="25" t="s">
        <v>349</v>
      </c>
      <c r="BG210" s="25" t="s">
        <v>390</v>
      </c>
      <c r="BH210" s="25" t="s">
        <v>349</v>
      </c>
      <c r="BI210" s="25" t="s">
        <v>350</v>
      </c>
      <c r="BJ210" s="25" t="s">
        <v>354</v>
      </c>
      <c r="BK210" s="25" t="s">
        <v>357</v>
      </c>
      <c r="BL210" s="25" t="s">
        <v>391</v>
      </c>
      <c r="BM210" s="25" t="s">
        <v>352</v>
      </c>
      <c r="BN210" s="25" t="s">
        <v>351</v>
      </c>
      <c r="BO210" s="25" t="s">
        <v>354</v>
      </c>
      <c r="BP210" s="25" t="s">
        <v>353</v>
      </c>
      <c r="BQ210" s="25" t="s">
        <v>358</v>
      </c>
      <c r="BR210" s="25" t="s">
        <v>408</v>
      </c>
      <c r="BS210" s="25" t="s">
        <v>357</v>
      </c>
      <c r="BT210" s="25" t="s">
        <v>351</v>
      </c>
      <c r="BU210" s="25" t="s">
        <v>354</v>
      </c>
      <c r="BV210" s="25" t="s">
        <v>356</v>
      </c>
      <c r="BW210" s="25" t="s">
        <v>355</v>
      </c>
      <c r="BX210" s="25" t="s">
        <v>351</v>
      </c>
      <c r="BY210" s="25" t="s">
        <v>355</v>
      </c>
      <c r="BZ210" s="25" t="s">
        <v>352</v>
      </c>
      <c r="CA210" s="25" t="s">
        <v>355</v>
      </c>
      <c r="CB210" s="25" t="s">
        <v>355</v>
      </c>
      <c r="CC210" s="25" t="s">
        <v>354</v>
      </c>
      <c r="CD210" s="25" t="s">
        <v>354</v>
      </c>
      <c r="CE210" s="25" t="s">
        <v>354</v>
      </c>
      <c r="CF210" s="25" t="s">
        <v>352</v>
      </c>
      <c r="CG210" s="25" t="s">
        <v>393</v>
      </c>
      <c r="CH210" s="25" t="s">
        <v>360</v>
      </c>
      <c r="CI210" s="25" t="s">
        <v>360</v>
      </c>
      <c r="CJ210" s="25" t="s">
        <v>360</v>
      </c>
      <c r="CK210" s="25" t="s">
        <v>835</v>
      </c>
      <c r="CL210" s="25" t="s">
        <v>344</v>
      </c>
      <c r="CM210" s="25" t="s">
        <v>344</v>
      </c>
      <c r="CN210" s="25" t="s">
        <v>344</v>
      </c>
      <c r="CO210" s="25" t="s">
        <v>345</v>
      </c>
      <c r="CP210" s="25" t="s">
        <v>345</v>
      </c>
      <c r="CQ210" s="25" t="s">
        <v>344</v>
      </c>
      <c r="CR210" s="25" t="s">
        <v>655</v>
      </c>
      <c r="CS210" s="25">
        <v>100</v>
      </c>
      <c r="CT210" s="25">
        <v>1</v>
      </c>
      <c r="CU210" s="25">
        <v>100</v>
      </c>
      <c r="CV210" s="25">
        <v>22</v>
      </c>
      <c r="CW210" s="25" t="s">
        <v>363</v>
      </c>
      <c r="CX210" s="25" t="s">
        <v>395</v>
      </c>
      <c r="CY210" s="25" t="s">
        <v>396</v>
      </c>
      <c r="CZ210" s="25" t="s">
        <v>366</v>
      </c>
      <c r="DA210" s="25" t="s">
        <v>397</v>
      </c>
      <c r="DB210" s="25" t="s">
        <v>397</v>
      </c>
      <c r="DC210" s="25" t="s">
        <v>397</v>
      </c>
      <c r="DD210" s="25" t="s">
        <v>397</v>
      </c>
      <c r="DE210" s="25" t="s">
        <v>423</v>
      </c>
      <c r="DF210" s="25" t="s">
        <v>365</v>
      </c>
      <c r="DG210" s="25" t="s">
        <v>397</v>
      </c>
      <c r="DH210" s="25" t="s">
        <v>365</v>
      </c>
      <c r="DI210" s="25" t="s">
        <v>423</v>
      </c>
      <c r="DJ210" s="25" t="s">
        <v>1232</v>
      </c>
      <c r="DK210" s="25" t="s">
        <v>367</v>
      </c>
      <c r="DL210" s="25" t="s">
        <v>368</v>
      </c>
      <c r="DM210" s="25" t="s">
        <v>368</v>
      </c>
      <c r="DN210" s="25" t="s">
        <v>368</v>
      </c>
      <c r="DO210" s="25" t="s">
        <v>368</v>
      </c>
      <c r="DP210" s="25" t="s">
        <v>368</v>
      </c>
      <c r="DQ210" s="25" t="s">
        <v>368</v>
      </c>
      <c r="DR210" s="25" t="s">
        <v>368</v>
      </c>
      <c r="DS210" s="25" t="s">
        <v>345</v>
      </c>
      <c r="DT210" s="25" t="s">
        <v>368</v>
      </c>
      <c r="DU210" s="25" t="s">
        <v>368</v>
      </c>
      <c r="DV210" s="25" t="s">
        <v>368</v>
      </c>
      <c r="DW210" s="25" t="s">
        <v>345</v>
      </c>
      <c r="DX210" s="25" t="s">
        <v>369</v>
      </c>
      <c r="DY210" s="25" t="s">
        <v>371</v>
      </c>
      <c r="DZ210" s="25" t="s">
        <v>369</v>
      </c>
      <c r="EA210" s="25" t="s">
        <v>369</v>
      </c>
      <c r="EB210" s="25" t="s">
        <v>369</v>
      </c>
      <c r="EC210" s="25" t="s">
        <v>399</v>
      </c>
      <c r="ED210" s="25" t="s">
        <v>371</v>
      </c>
      <c r="EE210" s="25" t="s">
        <v>370</v>
      </c>
      <c r="EF210" s="25" t="s">
        <v>370</v>
      </c>
      <c r="EG210" s="25" t="s">
        <v>370</v>
      </c>
      <c r="EH210" s="25" t="s">
        <v>370</v>
      </c>
      <c r="EI210" s="25" t="s">
        <v>370</v>
      </c>
      <c r="EJ210" s="25" t="s">
        <v>370</v>
      </c>
      <c r="EK210" s="25" t="s">
        <v>399</v>
      </c>
      <c r="EL210" s="25" t="s">
        <v>373</v>
      </c>
      <c r="EM210" s="25" t="s">
        <v>372</v>
      </c>
      <c r="EN210" s="25" t="s">
        <v>440</v>
      </c>
      <c r="EO210" s="25"/>
      <c r="EP210" s="25"/>
      <c r="EQ210" s="25" t="s">
        <v>377</v>
      </c>
      <c r="ER210" s="25" t="s">
        <v>377</v>
      </c>
      <c r="ES210" s="25" t="s">
        <v>375</v>
      </c>
      <c r="ET210" s="25" t="s">
        <v>377</v>
      </c>
      <c r="EU210" s="25" t="s">
        <v>377</v>
      </c>
      <c r="EV210" s="25" t="s">
        <v>400</v>
      </c>
      <c r="EW210" s="25"/>
      <c r="EX210" s="25" t="s">
        <v>368</v>
      </c>
      <c r="EY210" s="25" t="s">
        <v>368</v>
      </c>
      <c r="EZ210" s="25" t="s">
        <v>368</v>
      </c>
      <c r="FA210" s="25" t="s">
        <v>345</v>
      </c>
      <c r="FB210" s="25" t="s">
        <v>380</v>
      </c>
      <c r="FC210" s="25"/>
      <c r="FD210" s="25" t="s">
        <v>381</v>
      </c>
      <c r="FE210" s="25"/>
      <c r="FF210" s="25" t="s">
        <v>382</v>
      </c>
      <c r="FG210" s="25" t="s">
        <v>402</v>
      </c>
      <c r="FH210" s="25" t="s">
        <v>432</v>
      </c>
      <c r="FI210" s="25" t="s">
        <v>403</v>
      </c>
      <c r="FJ210" s="25"/>
      <c r="FK210" s="25"/>
      <c r="FL210" s="25"/>
      <c r="FM210" s="25"/>
      <c r="FN210" s="25"/>
      <c r="FO210" s="25"/>
      <c r="FP210" s="25"/>
      <c r="FQ210" s="25"/>
      <c r="FR210" s="25"/>
      <c r="FS210" s="25"/>
      <c r="FT210" s="25"/>
      <c r="FU210" s="25"/>
      <c r="FV210" s="25"/>
      <c r="FW210" s="25"/>
      <c r="FX210" s="25"/>
      <c r="FY210" s="25"/>
      <c r="FZ210" s="25"/>
      <c r="GA210" s="25" t="s">
        <v>368</v>
      </c>
      <c r="GB210" s="25" t="s">
        <v>368</v>
      </c>
      <c r="GC210" s="25" t="s">
        <v>368</v>
      </c>
      <c r="GD210" s="25" t="s">
        <v>368</v>
      </c>
      <c r="GE210" s="25" t="s">
        <v>368</v>
      </c>
      <c r="GF210" s="25" t="s">
        <v>368</v>
      </c>
      <c r="GG210" s="25"/>
      <c r="GH210" s="25"/>
      <c r="GI210" s="25"/>
      <c r="GJ210" s="25"/>
      <c r="GK210" s="25"/>
      <c r="GL210" s="25" t="s">
        <v>344</v>
      </c>
      <c r="GM210" s="25" t="s">
        <v>344</v>
      </c>
      <c r="GN210" s="25" t="s">
        <v>344</v>
      </c>
      <c r="GO210" s="25" t="s">
        <v>344</v>
      </c>
      <c r="GP210" s="25" t="s">
        <v>344</v>
      </c>
      <c r="GQ210" s="25" t="s">
        <v>344</v>
      </c>
      <c r="GR210" s="25" t="s">
        <v>344</v>
      </c>
      <c r="GS210" s="25" t="s">
        <v>344</v>
      </c>
      <c r="GT210" s="25" t="s">
        <v>344</v>
      </c>
      <c r="GU210" s="25" t="s">
        <v>344</v>
      </c>
      <c r="GV210" s="25" t="s">
        <v>344</v>
      </c>
      <c r="GW210" s="25" t="s">
        <v>344</v>
      </c>
      <c r="GX210" s="25" t="s">
        <v>344</v>
      </c>
      <c r="GY210" s="25" t="s">
        <v>344</v>
      </c>
      <c r="GZ210" s="25" t="s">
        <v>345</v>
      </c>
      <c r="HA210" s="25"/>
      <c r="HB210" s="25" t="s">
        <v>344</v>
      </c>
      <c r="HC210" s="25"/>
      <c r="HD210" s="25" t="s">
        <v>344</v>
      </c>
      <c r="HE210" s="25"/>
      <c r="HF210" s="25" t="s">
        <v>344</v>
      </c>
      <c r="HG210" s="25"/>
      <c r="HH210" s="25" t="s">
        <v>344</v>
      </c>
      <c r="HI210" s="25"/>
      <c r="HJ210" s="25" t="s">
        <v>344</v>
      </c>
      <c r="HK210" s="25" t="s">
        <v>344</v>
      </c>
      <c r="HL210" s="25" t="s">
        <v>344</v>
      </c>
      <c r="HM210" s="25" t="s">
        <v>344</v>
      </c>
      <c r="HN210" s="25" t="s">
        <v>344</v>
      </c>
      <c r="HO210" s="25" t="s">
        <v>344</v>
      </c>
      <c r="HP210" s="25" t="s">
        <v>344</v>
      </c>
      <c r="HQ210" s="25" t="s">
        <v>344</v>
      </c>
      <c r="HR210" s="25" t="s">
        <v>344</v>
      </c>
      <c r="HS210" s="25" t="s">
        <v>344</v>
      </c>
      <c r="HT210" s="25" t="s">
        <v>344</v>
      </c>
      <c r="HU210" s="25" t="s">
        <v>344</v>
      </c>
      <c r="HV210" s="25" t="s">
        <v>345</v>
      </c>
      <c r="HW210" s="25" t="s">
        <v>344</v>
      </c>
      <c r="HX210" s="25" t="s">
        <v>344</v>
      </c>
      <c r="HY210" s="25"/>
      <c r="HZ210" s="25" t="s">
        <v>344</v>
      </c>
      <c r="IA210" s="25"/>
      <c r="IB210" s="25" t="s">
        <v>344</v>
      </c>
      <c r="IC210" s="25"/>
      <c r="ID210" s="25" t="s">
        <v>344</v>
      </c>
      <c r="IE210" s="25"/>
      <c r="IF210" s="25" t="s">
        <v>344</v>
      </c>
      <c r="IG210" s="25"/>
      <c r="IH210" s="25" t="s">
        <v>345</v>
      </c>
      <c r="II210" s="25" t="s">
        <v>345</v>
      </c>
      <c r="IJ210" s="25" t="s">
        <v>345</v>
      </c>
      <c r="IK210" s="25" t="s">
        <v>344</v>
      </c>
      <c r="IL210" s="25" t="s">
        <v>345</v>
      </c>
      <c r="IM210" s="25" t="s">
        <v>345</v>
      </c>
      <c r="IN210" s="25" t="s">
        <v>344</v>
      </c>
      <c r="IO210" s="25" t="s">
        <v>345</v>
      </c>
      <c r="IP210" s="25" t="s">
        <v>344</v>
      </c>
      <c r="IQ210" s="25" t="s">
        <v>344</v>
      </c>
      <c r="IR210" s="25" t="s">
        <v>344</v>
      </c>
      <c r="IS210" s="25" t="s">
        <v>344</v>
      </c>
      <c r="IT210" s="25"/>
      <c r="IU210" s="25"/>
      <c r="IV210" s="25"/>
      <c r="IW210" s="25"/>
      <c r="IX210" s="25"/>
      <c r="IY210" s="25"/>
      <c r="IZ210" s="25"/>
      <c r="JA210" s="25"/>
      <c r="JB210" s="25"/>
      <c r="JC210" s="25"/>
      <c r="JD210" s="25"/>
      <c r="JE210" s="25"/>
      <c r="JF210" s="25"/>
      <c r="JG210" s="25"/>
      <c r="JH210" s="25"/>
    </row>
    <row r="211" spans="1:268" x14ac:dyDescent="0.3">
      <c r="A211" s="25" t="s">
        <v>338</v>
      </c>
      <c r="B211" s="25">
        <v>331</v>
      </c>
      <c r="C211" s="25" t="s">
        <v>1233</v>
      </c>
      <c r="D211" s="25">
        <v>14</v>
      </c>
      <c r="E211" s="25" t="s">
        <v>340</v>
      </c>
      <c r="F211" s="25">
        <v>1298930416</v>
      </c>
      <c r="G211" s="25" t="s">
        <v>1234</v>
      </c>
      <c r="H211" s="25" t="s">
        <v>1233</v>
      </c>
      <c r="I211" s="25" t="s">
        <v>1202</v>
      </c>
      <c r="J211" s="25">
        <v>16</v>
      </c>
      <c r="K211" s="25" t="s">
        <v>406</v>
      </c>
      <c r="L211" s="25"/>
      <c r="M211" s="25" t="s">
        <v>344</v>
      </c>
      <c r="N211" s="25" t="s">
        <v>344</v>
      </c>
      <c r="O211" s="25" t="s">
        <v>345</v>
      </c>
      <c r="P211" s="25" t="s">
        <v>344</v>
      </c>
      <c r="Q211" s="25" t="s">
        <v>344</v>
      </c>
      <c r="R211" s="25"/>
      <c r="S211" s="25" t="s">
        <v>343</v>
      </c>
      <c r="T211" s="25" t="s">
        <v>1235</v>
      </c>
      <c r="U211" s="25" t="s">
        <v>418</v>
      </c>
      <c r="V211" s="25"/>
      <c r="W211" s="25" t="s">
        <v>345</v>
      </c>
      <c r="X211" s="25" t="s">
        <v>344</v>
      </c>
      <c r="Y211" s="25" t="s">
        <v>344</v>
      </c>
      <c r="Z211" s="25" t="s">
        <v>344</v>
      </c>
      <c r="AA211" s="25" t="s">
        <v>344</v>
      </c>
      <c r="AB211" s="25" t="s">
        <v>344</v>
      </c>
      <c r="AC211" s="25" t="s">
        <v>344</v>
      </c>
      <c r="AD211" s="25" t="s">
        <v>344</v>
      </c>
      <c r="AE211" s="25" t="s">
        <v>345</v>
      </c>
      <c r="AF211" s="25" t="s">
        <v>344</v>
      </c>
      <c r="AG211" s="25" t="s">
        <v>344</v>
      </c>
      <c r="AH211" s="25" t="s">
        <v>344</v>
      </c>
      <c r="AI211" s="25" t="s">
        <v>344</v>
      </c>
      <c r="AJ211" s="25" t="s">
        <v>344</v>
      </c>
      <c r="AK211" s="25" t="s">
        <v>344</v>
      </c>
      <c r="AL211" s="25" t="s">
        <v>345</v>
      </c>
      <c r="AM211" s="25" t="s">
        <v>344</v>
      </c>
      <c r="AN211" s="25" t="s">
        <v>345</v>
      </c>
      <c r="AO211" s="25" t="s">
        <v>344</v>
      </c>
      <c r="AP211" s="25" t="s">
        <v>345</v>
      </c>
      <c r="AQ211" s="25" t="s">
        <v>344</v>
      </c>
      <c r="AR211" s="25" t="s">
        <v>345</v>
      </c>
      <c r="AS211" s="25" t="s">
        <v>344</v>
      </c>
      <c r="AT211" s="25" t="s">
        <v>345</v>
      </c>
      <c r="AU211" s="25" t="s">
        <v>345</v>
      </c>
      <c r="AV211" s="25" t="s">
        <v>344</v>
      </c>
      <c r="AW211" s="25" t="s">
        <v>344</v>
      </c>
      <c r="AX211" s="25" t="s">
        <v>344</v>
      </c>
      <c r="AY211" s="25"/>
      <c r="AZ211" s="25"/>
      <c r="BA211" s="25"/>
      <c r="BB211" s="25"/>
      <c r="BC211" s="25"/>
      <c r="BD211" s="25"/>
      <c r="BE211" s="25" t="s">
        <v>349</v>
      </c>
      <c r="BF211" s="25" t="s">
        <v>390</v>
      </c>
      <c r="BG211" s="25" t="s">
        <v>390</v>
      </c>
      <c r="BH211" s="25" t="s">
        <v>348</v>
      </c>
      <c r="BI211" s="25" t="s">
        <v>390</v>
      </c>
      <c r="BJ211" s="25" t="s">
        <v>391</v>
      </c>
      <c r="BK211" s="25" t="s">
        <v>391</v>
      </c>
      <c r="BL211" s="25" t="s">
        <v>391</v>
      </c>
      <c r="BM211" s="25" t="s">
        <v>391</v>
      </c>
      <c r="BN211" s="25" t="s">
        <v>391</v>
      </c>
      <c r="BO211" s="25" t="s">
        <v>391</v>
      </c>
      <c r="BP211" s="25" t="s">
        <v>391</v>
      </c>
      <c r="BQ211" s="25" t="s">
        <v>358</v>
      </c>
      <c r="BR211" s="25" t="s">
        <v>408</v>
      </c>
      <c r="BS211" s="25" t="s">
        <v>391</v>
      </c>
      <c r="BT211" s="25" t="s">
        <v>391</v>
      </c>
      <c r="BU211" s="25" t="s">
        <v>391</v>
      </c>
      <c r="BV211" s="25" t="s">
        <v>391</v>
      </c>
      <c r="BW211" s="25" t="s">
        <v>391</v>
      </c>
      <c r="BX211" s="25" t="s">
        <v>391</v>
      </c>
      <c r="BY211" s="25" t="s">
        <v>391</v>
      </c>
      <c r="BZ211" s="25" t="s">
        <v>391</v>
      </c>
      <c r="CA211" s="25" t="s">
        <v>391</v>
      </c>
      <c r="CB211" s="25" t="s">
        <v>391</v>
      </c>
      <c r="CC211" s="25" t="s">
        <v>391</v>
      </c>
      <c r="CD211" s="25" t="s">
        <v>391</v>
      </c>
      <c r="CE211" s="25" t="s">
        <v>391</v>
      </c>
      <c r="CF211" s="25" t="s">
        <v>391</v>
      </c>
      <c r="CG211" s="25" t="s">
        <v>420</v>
      </c>
      <c r="CH211" s="25" t="s">
        <v>392</v>
      </c>
      <c r="CI211" s="25" t="s">
        <v>360</v>
      </c>
      <c r="CJ211" s="25" t="s">
        <v>392</v>
      </c>
      <c r="CK211" s="25" t="s">
        <v>835</v>
      </c>
      <c r="CL211" s="25" t="s">
        <v>368</v>
      </c>
      <c r="CM211" s="25" t="s">
        <v>368</v>
      </c>
      <c r="CN211" s="25" t="s">
        <v>368</v>
      </c>
      <c r="CO211" s="25" t="s">
        <v>368</v>
      </c>
      <c r="CP211" s="25" t="s">
        <v>368</v>
      </c>
      <c r="CQ211" s="25" t="s">
        <v>368</v>
      </c>
      <c r="CR211" s="25"/>
      <c r="CS211" s="25"/>
      <c r="CT211" s="25"/>
      <c r="CU211" s="25"/>
      <c r="CV211" s="25"/>
      <c r="CW211" s="25"/>
      <c r="CX211" s="25"/>
      <c r="CY211" s="25"/>
      <c r="CZ211" s="25"/>
      <c r="DA211" s="25"/>
      <c r="DB211" s="25"/>
      <c r="DC211" s="25"/>
      <c r="DD211" s="25"/>
      <c r="DE211" s="25"/>
      <c r="DF211" s="25"/>
      <c r="DG211" s="25"/>
      <c r="DH211" s="25"/>
      <c r="DI211" s="25"/>
      <c r="DJ211" s="25"/>
      <c r="DK211" s="25" t="s">
        <v>367</v>
      </c>
      <c r="DL211" s="25" t="s">
        <v>368</v>
      </c>
      <c r="DM211" s="25" t="s">
        <v>368</v>
      </c>
      <c r="DN211" s="25" t="s">
        <v>368</v>
      </c>
      <c r="DO211" s="25" t="s">
        <v>368</v>
      </c>
      <c r="DP211" s="25" t="s">
        <v>344</v>
      </c>
      <c r="DQ211" s="25" t="s">
        <v>345</v>
      </c>
      <c r="DR211" s="25" t="s">
        <v>345</v>
      </c>
      <c r="DS211" s="25" t="s">
        <v>344</v>
      </c>
      <c r="DT211" s="25" t="s">
        <v>368</v>
      </c>
      <c r="DU211" s="25" t="s">
        <v>368</v>
      </c>
      <c r="DV211" s="25" t="s">
        <v>368</v>
      </c>
      <c r="DW211" s="25" t="s">
        <v>345</v>
      </c>
      <c r="DX211" s="25"/>
      <c r="DY211" s="25"/>
      <c r="DZ211" s="25"/>
      <c r="EA211" s="25"/>
      <c r="EB211" s="25"/>
      <c r="EC211" s="25"/>
      <c r="ED211" s="25"/>
      <c r="EE211" s="25"/>
      <c r="EF211" s="25"/>
      <c r="EG211" s="25"/>
      <c r="EH211" s="25"/>
      <c r="EI211" s="25"/>
      <c r="EJ211" s="25"/>
      <c r="EK211" s="25"/>
      <c r="EL211" s="25" t="s">
        <v>373</v>
      </c>
      <c r="EM211" s="25" t="s">
        <v>374</v>
      </c>
      <c r="EN211" s="25" t="s">
        <v>424</v>
      </c>
      <c r="EO211" s="25"/>
      <c r="EP211" s="25"/>
      <c r="EQ211" s="25" t="s">
        <v>391</v>
      </c>
      <c r="ER211" s="25" t="s">
        <v>375</v>
      </c>
      <c r="ES211" s="25" t="s">
        <v>376</v>
      </c>
      <c r="ET211" s="25" t="s">
        <v>391</v>
      </c>
      <c r="EU211" s="25" t="s">
        <v>391</v>
      </c>
      <c r="EV211" s="25" t="s">
        <v>400</v>
      </c>
      <c r="EW211" s="25"/>
      <c r="EX211" s="169" t="s">
        <v>345</v>
      </c>
      <c r="EY211" s="169" t="s">
        <v>345</v>
      </c>
      <c r="EZ211" s="169" t="s">
        <v>344</v>
      </c>
      <c r="FA211" s="25" t="s">
        <v>344</v>
      </c>
      <c r="FB211" s="25" t="s">
        <v>343</v>
      </c>
      <c r="FC211" s="25" t="s">
        <v>1236</v>
      </c>
      <c r="FD211" s="25" t="s">
        <v>343</v>
      </c>
      <c r="FE211" s="169" t="s">
        <v>1236</v>
      </c>
      <c r="FF211" s="25"/>
      <c r="FG211" s="25"/>
      <c r="FH211" s="25"/>
      <c r="FI211" s="25"/>
      <c r="FJ211" s="25" t="s">
        <v>1237</v>
      </c>
      <c r="FK211" s="25" t="s">
        <v>1238</v>
      </c>
      <c r="FL211" s="25" t="s">
        <v>1239</v>
      </c>
      <c r="FM211" s="25" t="s">
        <v>1240</v>
      </c>
      <c r="FN211" s="25" t="s">
        <v>366</v>
      </c>
      <c r="FO211" s="25" t="s">
        <v>366</v>
      </c>
      <c r="FP211" s="25" t="s">
        <v>397</v>
      </c>
      <c r="FQ211" s="25" t="s">
        <v>397</v>
      </c>
      <c r="FR211" s="25" t="s">
        <v>397</v>
      </c>
      <c r="FS211" s="25" t="s">
        <v>423</v>
      </c>
      <c r="FT211" s="25" t="s">
        <v>423</v>
      </c>
      <c r="FU211" s="25" t="s">
        <v>423</v>
      </c>
      <c r="FV211" s="25" t="s">
        <v>423</v>
      </c>
      <c r="FW211" s="25" t="s">
        <v>365</v>
      </c>
      <c r="FX211" s="25" t="s">
        <v>1241</v>
      </c>
      <c r="FY211" s="25"/>
      <c r="FZ211" s="25" t="s">
        <v>1025</v>
      </c>
      <c r="GA211" s="25" t="s">
        <v>344</v>
      </c>
      <c r="GB211" s="25" t="s">
        <v>344</v>
      </c>
      <c r="GC211" s="25" t="s">
        <v>345</v>
      </c>
      <c r="GD211" s="25" t="s">
        <v>345</v>
      </c>
      <c r="GE211" s="25" t="s">
        <v>344</v>
      </c>
      <c r="GF211" s="25" t="s">
        <v>344</v>
      </c>
      <c r="GG211" s="25">
        <v>51</v>
      </c>
      <c r="GH211" s="25">
        <v>1</v>
      </c>
      <c r="GI211" s="25"/>
      <c r="GJ211" s="25"/>
      <c r="GK211" s="25" t="s">
        <v>603</v>
      </c>
      <c r="GL211" s="25" t="s">
        <v>344</v>
      </c>
      <c r="GM211" s="25" t="s">
        <v>344</v>
      </c>
      <c r="GN211" s="25" t="s">
        <v>344</v>
      </c>
      <c r="GO211" s="25" t="s">
        <v>344</v>
      </c>
      <c r="GP211" s="25" t="s">
        <v>344</v>
      </c>
      <c r="GQ211" s="25" t="s">
        <v>344</v>
      </c>
      <c r="GR211" s="25" t="s">
        <v>344</v>
      </c>
      <c r="GS211" s="25" t="s">
        <v>344</v>
      </c>
      <c r="GT211" s="25" t="s">
        <v>344</v>
      </c>
      <c r="GU211" s="25" t="s">
        <v>344</v>
      </c>
      <c r="GV211" s="25" t="s">
        <v>344</v>
      </c>
      <c r="GW211" s="25" t="s">
        <v>344</v>
      </c>
      <c r="GX211" s="25" t="s">
        <v>344</v>
      </c>
      <c r="GY211" s="25" t="s">
        <v>344</v>
      </c>
      <c r="GZ211" s="25" t="s">
        <v>344</v>
      </c>
      <c r="HA211" s="25" t="s">
        <v>1242</v>
      </c>
      <c r="HB211" s="25" t="s">
        <v>344</v>
      </c>
      <c r="HC211" s="25"/>
      <c r="HD211" s="25" t="s">
        <v>344</v>
      </c>
      <c r="HE211" s="25"/>
      <c r="HF211" s="25" t="s">
        <v>344</v>
      </c>
      <c r="HG211" s="25"/>
      <c r="HH211" s="25" t="s">
        <v>344</v>
      </c>
      <c r="HI211" s="25"/>
      <c r="HJ211" s="25" t="s">
        <v>344</v>
      </c>
      <c r="HK211" s="25" t="s">
        <v>344</v>
      </c>
      <c r="HL211" s="25" t="s">
        <v>344</v>
      </c>
      <c r="HM211" s="25" t="s">
        <v>344</v>
      </c>
      <c r="HN211" s="25" t="s">
        <v>344</v>
      </c>
      <c r="HO211" s="25" t="s">
        <v>344</v>
      </c>
      <c r="HP211" s="25" t="s">
        <v>344</v>
      </c>
      <c r="HQ211" s="25" t="s">
        <v>344</v>
      </c>
      <c r="HR211" s="25" t="s">
        <v>344</v>
      </c>
      <c r="HS211" s="25" t="s">
        <v>344</v>
      </c>
      <c r="HT211" s="25" t="s">
        <v>344</v>
      </c>
      <c r="HU211" s="25" t="s">
        <v>344</v>
      </c>
      <c r="HV211" s="25" t="s">
        <v>344</v>
      </c>
      <c r="HW211" s="25" t="s">
        <v>344</v>
      </c>
      <c r="HX211" s="25" t="s">
        <v>345</v>
      </c>
      <c r="HY211" s="25"/>
      <c r="HZ211" s="25" t="s">
        <v>344</v>
      </c>
      <c r="IA211" s="25"/>
      <c r="IB211" s="25" t="s">
        <v>344</v>
      </c>
      <c r="IC211" s="25"/>
      <c r="ID211" s="25" t="s">
        <v>344</v>
      </c>
      <c r="IE211" s="25"/>
      <c r="IF211" s="25" t="s">
        <v>344</v>
      </c>
      <c r="IG211" s="25"/>
      <c r="IH211" s="25" t="s">
        <v>345</v>
      </c>
      <c r="II211" s="25" t="s">
        <v>345</v>
      </c>
      <c r="IJ211" s="25" t="s">
        <v>344</v>
      </c>
      <c r="IK211" s="25" t="s">
        <v>344</v>
      </c>
      <c r="IL211" s="25" t="s">
        <v>345</v>
      </c>
      <c r="IM211" s="25" t="s">
        <v>345</v>
      </c>
      <c r="IN211" s="25" t="s">
        <v>344</v>
      </c>
      <c r="IO211" s="25" t="s">
        <v>345</v>
      </c>
      <c r="IP211" s="25" t="s">
        <v>344</v>
      </c>
      <c r="IQ211" s="25" t="s">
        <v>344</v>
      </c>
      <c r="IR211" s="25" t="s">
        <v>344</v>
      </c>
      <c r="IS211" s="25" t="s">
        <v>344</v>
      </c>
      <c r="IT211" s="25"/>
      <c r="IU211" s="25"/>
      <c r="IV211" s="25"/>
      <c r="IW211" s="25"/>
      <c r="IX211" s="25"/>
      <c r="IY211" s="25"/>
      <c r="IZ211" s="25"/>
      <c r="JA211" s="25"/>
      <c r="JB211" s="25"/>
      <c r="JC211" s="25"/>
      <c r="JD211" s="25"/>
      <c r="JE211" s="25"/>
      <c r="JF211" s="25"/>
      <c r="JG211" s="25"/>
      <c r="JH211" s="25"/>
    </row>
    <row r="212" spans="1:268" x14ac:dyDescent="0.3">
      <c r="A212" s="25" t="s">
        <v>338</v>
      </c>
      <c r="B212" s="25">
        <v>332</v>
      </c>
      <c r="C212" s="25" t="s">
        <v>1243</v>
      </c>
      <c r="D212" s="25">
        <v>14</v>
      </c>
      <c r="E212" s="25" t="s">
        <v>387</v>
      </c>
      <c r="F212" s="25">
        <v>1643774271</v>
      </c>
      <c r="G212" s="25" t="s">
        <v>1244</v>
      </c>
      <c r="H212" s="25" t="s">
        <v>1243</v>
      </c>
      <c r="I212" s="25" t="s">
        <v>1179</v>
      </c>
      <c r="J212" s="25">
        <v>18</v>
      </c>
      <c r="K212" s="25" t="s">
        <v>389</v>
      </c>
      <c r="L212" s="25"/>
      <c r="M212" s="25" t="s">
        <v>344</v>
      </c>
      <c r="N212" s="25" t="s">
        <v>345</v>
      </c>
      <c r="O212" s="25" t="s">
        <v>344</v>
      </c>
      <c r="P212" s="25" t="s">
        <v>344</v>
      </c>
      <c r="Q212" s="25" t="s">
        <v>344</v>
      </c>
      <c r="R212" s="25"/>
      <c r="S212" s="25" t="s">
        <v>346</v>
      </c>
      <c r="T212" s="25"/>
      <c r="U212" s="25" t="s">
        <v>347</v>
      </c>
      <c r="V212" s="25"/>
      <c r="W212" s="25" t="s">
        <v>345</v>
      </c>
      <c r="X212" s="25" t="s">
        <v>345</v>
      </c>
      <c r="Y212" s="25" t="s">
        <v>344</v>
      </c>
      <c r="Z212" s="25" t="s">
        <v>344</v>
      </c>
      <c r="AA212" s="25" t="s">
        <v>344</v>
      </c>
      <c r="AB212" s="25" t="s">
        <v>344</v>
      </c>
      <c r="AC212" s="25" t="s">
        <v>344</v>
      </c>
      <c r="AD212" s="25" t="s">
        <v>345</v>
      </c>
      <c r="AE212" s="25" t="s">
        <v>345</v>
      </c>
      <c r="AF212" s="25" t="s">
        <v>344</v>
      </c>
      <c r="AG212" s="25" t="s">
        <v>344</v>
      </c>
      <c r="AH212" s="25" t="s">
        <v>345</v>
      </c>
      <c r="AI212" s="25" t="s">
        <v>344</v>
      </c>
      <c r="AJ212" s="25" t="s">
        <v>344</v>
      </c>
      <c r="AK212" s="25" t="s">
        <v>345</v>
      </c>
      <c r="AL212" s="25" t="s">
        <v>345</v>
      </c>
      <c r="AM212" s="25" t="s">
        <v>344</v>
      </c>
      <c r="AN212" s="25" t="s">
        <v>345</v>
      </c>
      <c r="AO212" s="25" t="s">
        <v>344</v>
      </c>
      <c r="AP212" s="25" t="s">
        <v>344</v>
      </c>
      <c r="AQ212" s="25" t="s">
        <v>344</v>
      </c>
      <c r="AR212" s="25" t="s">
        <v>345</v>
      </c>
      <c r="AS212" s="25" t="s">
        <v>344</v>
      </c>
      <c r="AT212" s="25" t="s">
        <v>344</v>
      </c>
      <c r="AU212" s="25" t="s">
        <v>344</v>
      </c>
      <c r="AV212" s="25" t="s">
        <v>345</v>
      </c>
      <c r="AW212" s="25" t="s">
        <v>345</v>
      </c>
      <c r="AX212" s="25" t="s">
        <v>344</v>
      </c>
      <c r="AY212" s="25" t="s">
        <v>731</v>
      </c>
      <c r="AZ212" s="25" t="s">
        <v>733</v>
      </c>
      <c r="BA212" s="25" t="s">
        <v>737</v>
      </c>
      <c r="BB212" s="25" t="s">
        <v>733</v>
      </c>
      <c r="BC212" s="25" t="s">
        <v>737</v>
      </c>
      <c r="BD212" s="25" t="s">
        <v>733</v>
      </c>
      <c r="BE212" s="25" t="s">
        <v>390</v>
      </c>
      <c r="BF212" s="25" t="s">
        <v>350</v>
      </c>
      <c r="BG212" s="25" t="s">
        <v>390</v>
      </c>
      <c r="BH212" s="25" t="s">
        <v>390</v>
      </c>
      <c r="BI212" s="25" t="s">
        <v>390</v>
      </c>
      <c r="BJ212" s="25" t="s">
        <v>391</v>
      </c>
      <c r="BK212" s="25" t="s">
        <v>391</v>
      </c>
      <c r="BL212" s="25" t="s">
        <v>391</v>
      </c>
      <c r="BM212" s="25" t="s">
        <v>391</v>
      </c>
      <c r="BN212" s="25" t="s">
        <v>391</v>
      </c>
      <c r="BO212" s="25" t="s">
        <v>391</v>
      </c>
      <c r="BP212" s="25" t="s">
        <v>391</v>
      </c>
      <c r="BQ212" s="25" t="s">
        <v>407</v>
      </c>
      <c r="BR212" s="25" t="s">
        <v>367</v>
      </c>
      <c r="BS212" s="25" t="s">
        <v>391</v>
      </c>
      <c r="BT212" s="25" t="s">
        <v>391</v>
      </c>
      <c r="BU212" s="25" t="s">
        <v>391</v>
      </c>
      <c r="BV212" s="25" t="s">
        <v>391</v>
      </c>
      <c r="BW212" s="25" t="s">
        <v>391</v>
      </c>
      <c r="BX212" s="25" t="s">
        <v>391</v>
      </c>
      <c r="BY212" s="25" t="s">
        <v>391</v>
      </c>
      <c r="BZ212" s="25" t="s">
        <v>391</v>
      </c>
      <c r="CA212" s="25" t="s">
        <v>391</v>
      </c>
      <c r="CB212" s="25" t="s">
        <v>391</v>
      </c>
      <c r="CC212" s="25" t="s">
        <v>391</v>
      </c>
      <c r="CD212" s="25" t="s">
        <v>391</v>
      </c>
      <c r="CE212" s="25" t="s">
        <v>391</v>
      </c>
      <c r="CF212" s="25" t="s">
        <v>391</v>
      </c>
      <c r="CG212" s="25" t="s">
        <v>421</v>
      </c>
      <c r="CH212" s="25" t="s">
        <v>421</v>
      </c>
      <c r="CI212" s="25" t="s">
        <v>392</v>
      </c>
      <c r="CJ212" s="25" t="s">
        <v>421</v>
      </c>
      <c r="CK212" s="25" t="s">
        <v>1245</v>
      </c>
      <c r="CL212" s="25" t="s">
        <v>344</v>
      </c>
      <c r="CM212" s="25" t="s">
        <v>344</v>
      </c>
      <c r="CN212" s="25" t="s">
        <v>344</v>
      </c>
      <c r="CO212" s="25" t="s">
        <v>344</v>
      </c>
      <c r="CP212" s="25" t="s">
        <v>345</v>
      </c>
      <c r="CQ212" s="25" t="s">
        <v>344</v>
      </c>
      <c r="CR212" s="25" t="s">
        <v>655</v>
      </c>
      <c r="CS212" s="25">
        <v>28</v>
      </c>
      <c r="CT212" s="25">
        <v>64</v>
      </c>
      <c r="CU212" s="25">
        <v>63</v>
      </c>
      <c r="CV212" s="25">
        <v>81</v>
      </c>
      <c r="CW212" s="25" t="s">
        <v>471</v>
      </c>
      <c r="CX212" s="25" t="s">
        <v>396</v>
      </c>
      <c r="CY212" s="25" t="s">
        <v>396</v>
      </c>
      <c r="CZ212" s="25" t="s">
        <v>397</v>
      </c>
      <c r="DA212" s="25" t="s">
        <v>397</v>
      </c>
      <c r="DB212" s="25" t="s">
        <v>366</v>
      </c>
      <c r="DC212" s="25" t="s">
        <v>366</v>
      </c>
      <c r="DD212" s="25" t="s">
        <v>365</v>
      </c>
      <c r="DE212" s="25" t="s">
        <v>397</v>
      </c>
      <c r="DF212" s="25" t="s">
        <v>397</v>
      </c>
      <c r="DG212" s="25" t="s">
        <v>397</v>
      </c>
      <c r="DH212" s="25" t="s">
        <v>397</v>
      </c>
      <c r="DI212" s="25" t="s">
        <v>365</v>
      </c>
      <c r="DJ212" s="25" t="s">
        <v>1246</v>
      </c>
      <c r="DK212" s="25" t="s">
        <v>492</v>
      </c>
      <c r="DL212" s="25" t="s">
        <v>368</v>
      </c>
      <c r="DM212" s="25" t="s">
        <v>368</v>
      </c>
      <c r="DN212" s="25" t="s">
        <v>368</v>
      </c>
      <c r="DO212" s="25" t="s">
        <v>345</v>
      </c>
      <c r="DP212" s="25" t="s">
        <v>345</v>
      </c>
      <c r="DQ212" s="25" t="s">
        <v>344</v>
      </c>
      <c r="DR212" s="25" t="s">
        <v>345</v>
      </c>
      <c r="DS212" s="25" t="s">
        <v>344</v>
      </c>
      <c r="DT212" s="25" t="s">
        <v>345</v>
      </c>
      <c r="DU212" s="25" t="s">
        <v>344</v>
      </c>
      <c r="DV212" s="25" t="s">
        <v>345</v>
      </c>
      <c r="DW212" s="25" t="s">
        <v>344</v>
      </c>
      <c r="DX212" s="25" t="s">
        <v>369</v>
      </c>
      <c r="DY212" s="25" t="s">
        <v>370</v>
      </c>
      <c r="DZ212" s="25" t="s">
        <v>370</v>
      </c>
      <c r="EA212" s="25" t="s">
        <v>398</v>
      </c>
      <c r="EB212" s="25" t="s">
        <v>369</v>
      </c>
      <c r="EC212" s="25" t="s">
        <v>398</v>
      </c>
      <c r="ED212" s="25" t="s">
        <v>370</v>
      </c>
      <c r="EE212" s="25" t="s">
        <v>370</v>
      </c>
      <c r="EF212" s="25" t="s">
        <v>370</v>
      </c>
      <c r="EG212" s="25" t="s">
        <v>371</v>
      </c>
      <c r="EH212" s="25" t="s">
        <v>370</v>
      </c>
      <c r="EI212" s="25" t="s">
        <v>370</v>
      </c>
      <c r="EJ212" s="25" t="s">
        <v>370</v>
      </c>
      <c r="EK212" s="25" t="s">
        <v>370</v>
      </c>
      <c r="EL212" s="25" t="s">
        <v>372</v>
      </c>
      <c r="EM212" s="25" t="s">
        <v>373</v>
      </c>
      <c r="EN212" s="25" t="s">
        <v>374</v>
      </c>
      <c r="EO212" s="25"/>
      <c r="EP212" s="25"/>
      <c r="EQ212" s="25" t="s">
        <v>391</v>
      </c>
      <c r="ER212" s="25" t="s">
        <v>375</v>
      </c>
      <c r="ES212" s="25" t="s">
        <v>375</v>
      </c>
      <c r="ET212" s="25" t="s">
        <v>391</v>
      </c>
      <c r="EU212" s="25" t="s">
        <v>391</v>
      </c>
      <c r="EV212" s="25" t="s">
        <v>400</v>
      </c>
      <c r="EW212" s="25"/>
      <c r="EX212" s="25" t="s">
        <v>368</v>
      </c>
      <c r="EY212" s="25" t="s">
        <v>368</v>
      </c>
      <c r="EZ212" s="25" t="s">
        <v>368</v>
      </c>
      <c r="FA212" s="25" t="s">
        <v>345</v>
      </c>
      <c r="FB212" s="25" t="s">
        <v>401</v>
      </c>
      <c r="FC212" s="25"/>
      <c r="FD212" s="25" t="s">
        <v>401</v>
      </c>
      <c r="FE212" s="25"/>
      <c r="FF212" s="25" t="s">
        <v>412</v>
      </c>
      <c r="FG212" s="25" t="s">
        <v>383</v>
      </c>
      <c r="FH212" s="25" t="s">
        <v>384</v>
      </c>
      <c r="FI212" s="25" t="s">
        <v>385</v>
      </c>
      <c r="FJ212" s="25"/>
      <c r="FK212" s="25"/>
      <c r="FL212" s="25"/>
      <c r="FM212" s="25"/>
      <c r="FN212" s="25"/>
      <c r="FO212" s="25"/>
      <c r="FP212" s="25"/>
      <c r="FQ212" s="25"/>
      <c r="FR212" s="25"/>
      <c r="FS212" s="25"/>
      <c r="FT212" s="25"/>
      <c r="FU212" s="25"/>
      <c r="FV212" s="25"/>
      <c r="FW212" s="25"/>
      <c r="FX212" s="25"/>
      <c r="FY212" s="25"/>
      <c r="FZ212" s="25"/>
      <c r="GA212" s="25" t="s">
        <v>368</v>
      </c>
      <c r="GB212" s="25" t="s">
        <v>368</v>
      </c>
      <c r="GC212" s="25" t="s">
        <v>368</v>
      </c>
      <c r="GD212" s="25" t="s">
        <v>368</v>
      </c>
      <c r="GE212" s="25" t="s">
        <v>368</v>
      </c>
      <c r="GF212" s="25" t="s">
        <v>368</v>
      </c>
      <c r="GG212" s="25"/>
      <c r="GH212" s="25"/>
      <c r="GI212" s="25"/>
      <c r="GJ212" s="25"/>
      <c r="GK212" s="25"/>
      <c r="GL212" s="25" t="s">
        <v>344</v>
      </c>
      <c r="GM212" s="25" t="s">
        <v>344</v>
      </c>
      <c r="GN212" s="25" t="s">
        <v>344</v>
      </c>
      <c r="GO212" s="25" t="s">
        <v>344</v>
      </c>
      <c r="GP212" s="25" t="s">
        <v>344</v>
      </c>
      <c r="GQ212" s="25" t="s">
        <v>344</v>
      </c>
      <c r="GR212" s="25" t="s">
        <v>344</v>
      </c>
      <c r="GS212" s="25" t="s">
        <v>344</v>
      </c>
      <c r="GT212" s="25" t="s">
        <v>344</v>
      </c>
      <c r="GU212" s="25" t="s">
        <v>344</v>
      </c>
      <c r="GV212" s="25" t="s">
        <v>344</v>
      </c>
      <c r="GW212" s="25" t="s">
        <v>344</v>
      </c>
      <c r="GX212" s="25" t="s">
        <v>344</v>
      </c>
      <c r="GY212" s="25" t="s">
        <v>344</v>
      </c>
      <c r="GZ212" s="25" t="s">
        <v>345</v>
      </c>
      <c r="HA212" s="25"/>
      <c r="HB212" s="25" t="s">
        <v>344</v>
      </c>
      <c r="HC212" s="25"/>
      <c r="HD212" s="25" t="s">
        <v>344</v>
      </c>
      <c r="HE212" s="25"/>
      <c r="HF212" s="25" t="s">
        <v>344</v>
      </c>
      <c r="HG212" s="25"/>
      <c r="HH212" s="25" t="s">
        <v>344</v>
      </c>
      <c r="HI212" s="25"/>
      <c r="HJ212" s="25" t="s">
        <v>344</v>
      </c>
      <c r="HK212" s="25" t="s">
        <v>344</v>
      </c>
      <c r="HL212" s="25" t="s">
        <v>344</v>
      </c>
      <c r="HM212" s="25" t="s">
        <v>344</v>
      </c>
      <c r="HN212" s="25" t="s">
        <v>344</v>
      </c>
      <c r="HO212" s="25" t="s">
        <v>344</v>
      </c>
      <c r="HP212" s="25" t="s">
        <v>344</v>
      </c>
      <c r="HQ212" s="25" t="s">
        <v>344</v>
      </c>
      <c r="HR212" s="25" t="s">
        <v>344</v>
      </c>
      <c r="HS212" s="25" t="s">
        <v>344</v>
      </c>
      <c r="HT212" s="25" t="s">
        <v>344</v>
      </c>
      <c r="HU212" s="25" t="s">
        <v>344</v>
      </c>
      <c r="HV212" s="25" t="s">
        <v>344</v>
      </c>
      <c r="HW212" s="25" t="s">
        <v>344</v>
      </c>
      <c r="HX212" s="25" t="s">
        <v>345</v>
      </c>
      <c r="HY212" s="25"/>
      <c r="HZ212" s="25" t="s">
        <v>344</v>
      </c>
      <c r="IA212" s="25"/>
      <c r="IB212" s="25" t="s">
        <v>344</v>
      </c>
      <c r="IC212" s="25"/>
      <c r="ID212" s="25" t="s">
        <v>344</v>
      </c>
      <c r="IE212" s="25"/>
      <c r="IF212" s="25" t="s">
        <v>344</v>
      </c>
      <c r="IG212" s="25"/>
      <c r="IH212" s="25" t="s">
        <v>344</v>
      </c>
      <c r="II212" s="25" t="s">
        <v>345</v>
      </c>
      <c r="IJ212" s="25" t="s">
        <v>344</v>
      </c>
      <c r="IK212" s="25" t="s">
        <v>344</v>
      </c>
      <c r="IL212" s="25" t="s">
        <v>345</v>
      </c>
      <c r="IM212" s="25" t="s">
        <v>345</v>
      </c>
      <c r="IN212" s="25" t="s">
        <v>344</v>
      </c>
      <c r="IO212" s="25" t="s">
        <v>345</v>
      </c>
      <c r="IP212" s="25" t="s">
        <v>344</v>
      </c>
      <c r="IQ212" s="25" t="s">
        <v>344</v>
      </c>
      <c r="IR212" s="25" t="s">
        <v>344</v>
      </c>
      <c r="IS212" s="25" t="s">
        <v>344</v>
      </c>
      <c r="IT212" s="25"/>
      <c r="IU212" s="25"/>
      <c r="IV212" s="25"/>
      <c r="IW212" s="25"/>
      <c r="IX212" s="25"/>
      <c r="IY212" s="25"/>
      <c r="IZ212" s="25"/>
      <c r="JA212" s="25"/>
      <c r="JB212" s="25"/>
      <c r="JC212" s="25"/>
      <c r="JD212" s="25"/>
      <c r="JE212" s="25"/>
      <c r="JF212" s="25"/>
      <c r="JG212" s="25"/>
      <c r="JH212" s="25"/>
    </row>
    <row r="213" spans="1:268" x14ac:dyDescent="0.3">
      <c r="A213" s="25" t="s">
        <v>338</v>
      </c>
      <c r="B213" s="25">
        <v>333</v>
      </c>
      <c r="C213" s="25" t="s">
        <v>1247</v>
      </c>
      <c r="D213" s="25">
        <v>14</v>
      </c>
      <c r="E213" s="25" t="s">
        <v>340</v>
      </c>
      <c r="F213" s="25">
        <v>227665822</v>
      </c>
      <c r="G213" s="25" t="s">
        <v>1248</v>
      </c>
      <c r="H213" s="25" t="s">
        <v>1247</v>
      </c>
      <c r="I213" s="25" t="s">
        <v>1202</v>
      </c>
      <c r="J213" s="25">
        <v>17</v>
      </c>
      <c r="K213" s="25" t="s">
        <v>406</v>
      </c>
      <c r="L213" s="25"/>
      <c r="M213" s="25" t="s">
        <v>345</v>
      </c>
      <c r="N213" s="25" t="s">
        <v>345</v>
      </c>
      <c r="O213" s="25" t="s">
        <v>344</v>
      </c>
      <c r="P213" s="25" t="s">
        <v>344</v>
      </c>
      <c r="Q213" s="25" t="s">
        <v>344</v>
      </c>
      <c r="R213" s="25"/>
      <c r="S213" s="25" t="s">
        <v>346</v>
      </c>
      <c r="T213" s="25"/>
      <c r="U213" s="25" t="s">
        <v>418</v>
      </c>
      <c r="V213" s="25"/>
      <c r="W213" s="25" t="s">
        <v>344</v>
      </c>
      <c r="X213" s="25" t="s">
        <v>345</v>
      </c>
      <c r="Y213" s="25" t="s">
        <v>344</v>
      </c>
      <c r="Z213" s="25" t="s">
        <v>344</v>
      </c>
      <c r="AA213" s="25" t="s">
        <v>345</v>
      </c>
      <c r="AB213" s="25" t="s">
        <v>344</v>
      </c>
      <c r="AC213" s="25" t="s">
        <v>344</v>
      </c>
      <c r="AD213" s="25" t="s">
        <v>345</v>
      </c>
      <c r="AE213" s="25" t="s">
        <v>345</v>
      </c>
      <c r="AF213" s="25" t="s">
        <v>344</v>
      </c>
      <c r="AG213" s="25" t="s">
        <v>344</v>
      </c>
      <c r="AH213" s="25" t="s">
        <v>345</v>
      </c>
      <c r="AI213" s="25" t="s">
        <v>344</v>
      </c>
      <c r="AJ213" s="25" t="s">
        <v>344</v>
      </c>
      <c r="AK213" s="25" t="s">
        <v>344</v>
      </c>
      <c r="AL213" s="25" t="s">
        <v>344</v>
      </c>
      <c r="AM213" s="25" t="s">
        <v>344</v>
      </c>
      <c r="AN213" s="25" t="s">
        <v>345</v>
      </c>
      <c r="AO213" s="25" t="s">
        <v>344</v>
      </c>
      <c r="AP213" s="25" t="s">
        <v>344</v>
      </c>
      <c r="AQ213" s="25" t="s">
        <v>344</v>
      </c>
      <c r="AR213" s="25" t="s">
        <v>345</v>
      </c>
      <c r="AS213" s="25" t="s">
        <v>344</v>
      </c>
      <c r="AT213" s="25" t="s">
        <v>344</v>
      </c>
      <c r="AU213" s="25" t="s">
        <v>344</v>
      </c>
      <c r="AV213" s="25" t="s">
        <v>345</v>
      </c>
      <c r="AW213" s="25" t="s">
        <v>344</v>
      </c>
      <c r="AX213" s="25" t="s">
        <v>344</v>
      </c>
      <c r="AY213" s="25" t="s">
        <v>733</v>
      </c>
      <c r="AZ213" s="25" t="s">
        <v>732</v>
      </c>
      <c r="BA213" s="25" t="s">
        <v>732</v>
      </c>
      <c r="BB213" s="25" t="s">
        <v>733</v>
      </c>
      <c r="BC213" s="25" t="s">
        <v>731</v>
      </c>
      <c r="BD213" s="25" t="s">
        <v>732</v>
      </c>
      <c r="BE213" s="25" t="s">
        <v>349</v>
      </c>
      <c r="BF213" s="25" t="s">
        <v>348</v>
      </c>
      <c r="BG213" s="25" t="s">
        <v>349</v>
      </c>
      <c r="BH213" s="25" t="s">
        <v>349</v>
      </c>
      <c r="BI213" s="25" t="s">
        <v>350</v>
      </c>
      <c r="BJ213" s="25" t="s">
        <v>391</v>
      </c>
      <c r="BK213" s="25" t="s">
        <v>354</v>
      </c>
      <c r="BL213" s="25" t="s">
        <v>357</v>
      </c>
      <c r="BM213" s="25" t="s">
        <v>356</v>
      </c>
      <c r="BN213" s="25" t="s">
        <v>353</v>
      </c>
      <c r="BO213" s="25" t="s">
        <v>351</v>
      </c>
      <c r="BP213" s="25" t="s">
        <v>391</v>
      </c>
      <c r="BQ213" s="25" t="s">
        <v>358</v>
      </c>
      <c r="BR213" s="25" t="s">
        <v>408</v>
      </c>
      <c r="BS213" s="25" t="s">
        <v>353</v>
      </c>
      <c r="BT213" s="25" t="s">
        <v>355</v>
      </c>
      <c r="BU213" s="25" t="s">
        <v>357</v>
      </c>
      <c r="BV213" s="25" t="s">
        <v>355</v>
      </c>
      <c r="BW213" s="25" t="s">
        <v>354</v>
      </c>
      <c r="BX213" s="25" t="s">
        <v>352</v>
      </c>
      <c r="BY213" s="25" t="s">
        <v>357</v>
      </c>
      <c r="BZ213" s="25" t="s">
        <v>356</v>
      </c>
      <c r="CA213" s="25" t="s">
        <v>352</v>
      </c>
      <c r="CB213" s="25" t="s">
        <v>357</v>
      </c>
      <c r="CC213" s="25" t="s">
        <v>352</v>
      </c>
      <c r="CD213" s="25" t="s">
        <v>357</v>
      </c>
      <c r="CE213" s="25" t="s">
        <v>391</v>
      </c>
      <c r="CF213" s="25" t="s">
        <v>391</v>
      </c>
      <c r="CG213" s="25" t="s">
        <v>421</v>
      </c>
      <c r="CH213" s="25" t="s">
        <v>420</v>
      </c>
      <c r="CI213" s="25" t="s">
        <v>360</v>
      </c>
      <c r="CJ213" s="25" t="s">
        <v>420</v>
      </c>
      <c r="CK213" s="25" t="s">
        <v>1012</v>
      </c>
      <c r="CL213" s="25" t="s">
        <v>344</v>
      </c>
      <c r="CM213" s="25" t="s">
        <v>344</v>
      </c>
      <c r="CN213" s="25" t="s">
        <v>344</v>
      </c>
      <c r="CO213" s="25" t="s">
        <v>344</v>
      </c>
      <c r="CP213" s="25" t="s">
        <v>345</v>
      </c>
      <c r="CQ213" s="25" t="s">
        <v>344</v>
      </c>
      <c r="CR213" s="25" t="s">
        <v>655</v>
      </c>
      <c r="CS213" s="25">
        <v>60</v>
      </c>
      <c r="CT213" s="25">
        <v>70</v>
      </c>
      <c r="CU213" s="25">
        <v>35</v>
      </c>
      <c r="CV213" s="25">
        <v>80</v>
      </c>
      <c r="CW213" s="25" t="s">
        <v>395</v>
      </c>
      <c r="CX213" s="25" t="s">
        <v>395</v>
      </c>
      <c r="CY213" s="25" t="s">
        <v>396</v>
      </c>
      <c r="CZ213" s="25" t="s">
        <v>366</v>
      </c>
      <c r="DA213" s="25" t="s">
        <v>423</v>
      </c>
      <c r="DB213" s="25" t="s">
        <v>397</v>
      </c>
      <c r="DC213" s="25" t="s">
        <v>366</v>
      </c>
      <c r="DD213" s="25" t="s">
        <v>366</v>
      </c>
      <c r="DE213" s="25" t="s">
        <v>397</v>
      </c>
      <c r="DF213" s="25" t="s">
        <v>365</v>
      </c>
      <c r="DG213" s="25" t="s">
        <v>397</v>
      </c>
      <c r="DH213" s="25" t="s">
        <v>397</v>
      </c>
      <c r="DI213" s="25" t="s">
        <v>366</v>
      </c>
      <c r="DJ213" s="25" t="s">
        <v>1249</v>
      </c>
      <c r="DK213" s="25" t="s">
        <v>367</v>
      </c>
      <c r="DL213" s="25" t="s">
        <v>368</v>
      </c>
      <c r="DM213" s="25" t="s">
        <v>368</v>
      </c>
      <c r="DN213" s="25" t="s">
        <v>368</v>
      </c>
      <c r="DO213" s="25" t="s">
        <v>368</v>
      </c>
      <c r="DP213" s="25" t="s">
        <v>345</v>
      </c>
      <c r="DQ213" s="25" t="s">
        <v>344</v>
      </c>
      <c r="DR213" s="25" t="s">
        <v>344</v>
      </c>
      <c r="DS213" s="25" t="s">
        <v>344</v>
      </c>
      <c r="DT213" s="25" t="s">
        <v>345</v>
      </c>
      <c r="DU213" s="25" t="s">
        <v>344</v>
      </c>
      <c r="DV213" s="25" t="s">
        <v>345</v>
      </c>
      <c r="DW213" s="25" t="s">
        <v>344</v>
      </c>
      <c r="DX213" s="25" t="s">
        <v>369</v>
      </c>
      <c r="DY213" s="25" t="s">
        <v>371</v>
      </c>
      <c r="DZ213" s="25" t="s">
        <v>369</v>
      </c>
      <c r="EA213" s="25" t="s">
        <v>369</v>
      </c>
      <c r="EB213" s="25" t="s">
        <v>369</v>
      </c>
      <c r="EC213" s="25" t="s">
        <v>369</v>
      </c>
      <c r="ED213" s="25" t="s">
        <v>371</v>
      </c>
      <c r="EE213" s="25" t="s">
        <v>370</v>
      </c>
      <c r="EF213" s="25" t="s">
        <v>370</v>
      </c>
      <c r="EG213" s="25" t="s">
        <v>370</v>
      </c>
      <c r="EH213" s="25" t="s">
        <v>370</v>
      </c>
      <c r="EI213" s="25" t="s">
        <v>370</v>
      </c>
      <c r="EJ213" s="25" t="s">
        <v>370</v>
      </c>
      <c r="EK213" s="25" t="s">
        <v>370</v>
      </c>
      <c r="EL213" s="25" t="s">
        <v>372</v>
      </c>
      <c r="EM213" s="25" t="s">
        <v>373</v>
      </c>
      <c r="EN213" s="25" t="s">
        <v>424</v>
      </c>
      <c r="EO213" s="25"/>
      <c r="EP213" s="25"/>
      <c r="EQ213" s="25" t="s">
        <v>375</v>
      </c>
      <c r="ER213" s="25" t="s">
        <v>375</v>
      </c>
      <c r="ES213" s="25" t="s">
        <v>377</v>
      </c>
      <c r="ET213" s="25" t="s">
        <v>376</v>
      </c>
      <c r="EU213" s="25" t="s">
        <v>378</v>
      </c>
      <c r="EV213" s="25" t="s">
        <v>400</v>
      </c>
      <c r="EW213" s="25"/>
      <c r="EX213" s="25" t="s">
        <v>368</v>
      </c>
      <c r="EY213" s="25" t="s">
        <v>368</v>
      </c>
      <c r="EZ213" s="25" t="s">
        <v>368</v>
      </c>
      <c r="FA213" s="25" t="s">
        <v>345</v>
      </c>
      <c r="FB213" s="25" t="s">
        <v>381</v>
      </c>
      <c r="FC213" s="25"/>
      <c r="FD213" s="25" t="s">
        <v>401</v>
      </c>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t="s">
        <v>368</v>
      </c>
      <c r="GB213" s="25" t="s">
        <v>368</v>
      </c>
      <c r="GC213" s="25" t="s">
        <v>368</v>
      </c>
      <c r="GD213" s="25" t="s">
        <v>368</v>
      </c>
      <c r="GE213" s="25" t="s">
        <v>368</v>
      </c>
      <c r="GF213" s="25" t="s">
        <v>368</v>
      </c>
      <c r="GG213" s="25"/>
      <c r="GH213" s="25"/>
      <c r="GI213" s="25"/>
      <c r="GJ213" s="25"/>
      <c r="GK213" s="25"/>
      <c r="GL213" s="25" t="s">
        <v>344</v>
      </c>
      <c r="GM213" s="25" t="s">
        <v>344</v>
      </c>
      <c r="GN213" s="25" t="s">
        <v>344</v>
      </c>
      <c r="GO213" s="25" t="s">
        <v>344</v>
      </c>
      <c r="GP213" s="25" t="s">
        <v>344</v>
      </c>
      <c r="GQ213" s="25" t="s">
        <v>344</v>
      </c>
      <c r="GR213" s="25" t="s">
        <v>344</v>
      </c>
      <c r="GS213" s="25" t="s">
        <v>344</v>
      </c>
      <c r="GT213" s="25" t="s">
        <v>344</v>
      </c>
      <c r="GU213" s="25" t="s">
        <v>344</v>
      </c>
      <c r="GV213" s="25" t="s">
        <v>344</v>
      </c>
      <c r="GW213" s="25" t="s">
        <v>344</v>
      </c>
      <c r="GX213" s="25" t="s">
        <v>344</v>
      </c>
      <c r="GY213" s="25" t="s">
        <v>344</v>
      </c>
      <c r="GZ213" s="25" t="s">
        <v>345</v>
      </c>
      <c r="HA213" s="25"/>
      <c r="HB213" s="25" t="s">
        <v>344</v>
      </c>
      <c r="HC213" s="25"/>
      <c r="HD213" s="25" t="s">
        <v>344</v>
      </c>
      <c r="HE213" s="25"/>
      <c r="HF213" s="25" t="s">
        <v>344</v>
      </c>
      <c r="HG213" s="25"/>
      <c r="HH213" s="25" t="s">
        <v>344</v>
      </c>
      <c r="HI213" s="25"/>
      <c r="HJ213" s="25" t="s">
        <v>344</v>
      </c>
      <c r="HK213" s="25" t="s">
        <v>344</v>
      </c>
      <c r="HL213" s="25" t="s">
        <v>344</v>
      </c>
      <c r="HM213" s="25" t="s">
        <v>344</v>
      </c>
      <c r="HN213" s="25" t="s">
        <v>344</v>
      </c>
      <c r="HO213" s="25" t="s">
        <v>344</v>
      </c>
      <c r="HP213" s="25" t="s">
        <v>344</v>
      </c>
      <c r="HQ213" s="25" t="s">
        <v>344</v>
      </c>
      <c r="HR213" s="25" t="s">
        <v>344</v>
      </c>
      <c r="HS213" s="25" t="s">
        <v>344</v>
      </c>
      <c r="HT213" s="25" t="s">
        <v>344</v>
      </c>
      <c r="HU213" s="25" t="s">
        <v>344</v>
      </c>
      <c r="HV213" s="25" t="s">
        <v>344</v>
      </c>
      <c r="HW213" s="25" t="s">
        <v>344</v>
      </c>
      <c r="HX213" s="25" t="s">
        <v>345</v>
      </c>
      <c r="HY213" s="25"/>
      <c r="HZ213" s="25" t="s">
        <v>344</v>
      </c>
      <c r="IA213" s="25"/>
      <c r="IB213" s="25" t="s">
        <v>344</v>
      </c>
      <c r="IC213" s="25"/>
      <c r="ID213" s="25" t="s">
        <v>344</v>
      </c>
      <c r="IE213" s="25"/>
      <c r="IF213" s="25" t="s">
        <v>344</v>
      </c>
      <c r="IG213" s="25"/>
      <c r="IH213" s="25" t="s">
        <v>345</v>
      </c>
      <c r="II213" s="25" t="s">
        <v>345</v>
      </c>
      <c r="IJ213" s="25" t="s">
        <v>345</v>
      </c>
      <c r="IK213" s="25" t="s">
        <v>344</v>
      </c>
      <c r="IL213" s="25" t="s">
        <v>345</v>
      </c>
      <c r="IM213" s="25" t="s">
        <v>345</v>
      </c>
      <c r="IN213" s="25" t="s">
        <v>344</v>
      </c>
      <c r="IO213" s="25" t="s">
        <v>345</v>
      </c>
      <c r="IP213" s="25" t="s">
        <v>344</v>
      </c>
      <c r="IQ213" s="25" t="s">
        <v>344</v>
      </c>
      <c r="IR213" s="25" t="s">
        <v>344</v>
      </c>
      <c r="IS213" s="25" t="s">
        <v>344</v>
      </c>
      <c r="IT213" s="25"/>
      <c r="IU213" s="25"/>
      <c r="IV213" s="25"/>
      <c r="IW213" s="25"/>
      <c r="IX213" s="25"/>
      <c r="IY213" s="25"/>
      <c r="IZ213" s="25"/>
      <c r="JA213" s="25"/>
      <c r="JB213" s="25"/>
      <c r="JC213" s="25"/>
      <c r="JD213" s="25"/>
      <c r="JE213" s="25"/>
      <c r="JF213" s="25"/>
      <c r="JG213" s="25"/>
      <c r="JH213" s="25"/>
    </row>
    <row r="214" spans="1:268" x14ac:dyDescent="0.3">
      <c r="A214" s="25" t="s">
        <v>338</v>
      </c>
      <c r="B214" s="25">
        <v>334</v>
      </c>
      <c r="C214" s="25" t="s">
        <v>1250</v>
      </c>
      <c r="D214" s="25">
        <v>14</v>
      </c>
      <c r="E214" s="25" t="s">
        <v>340</v>
      </c>
      <c r="F214" s="25">
        <v>1949614885</v>
      </c>
      <c r="G214" s="25" t="s">
        <v>1251</v>
      </c>
      <c r="H214" s="25" t="s">
        <v>1250</v>
      </c>
      <c r="I214" s="25" t="s">
        <v>1202</v>
      </c>
      <c r="J214" s="25">
        <v>18</v>
      </c>
      <c r="K214" s="25" t="s">
        <v>406</v>
      </c>
      <c r="L214" s="25"/>
      <c r="M214" s="25" t="s">
        <v>344</v>
      </c>
      <c r="N214" s="25" t="s">
        <v>345</v>
      </c>
      <c r="O214" s="25" t="s">
        <v>344</v>
      </c>
      <c r="P214" s="25" t="s">
        <v>344</v>
      </c>
      <c r="Q214" s="25" t="s">
        <v>344</v>
      </c>
      <c r="R214" s="25"/>
      <c r="S214" s="25" t="s">
        <v>346</v>
      </c>
      <c r="T214" s="25"/>
      <c r="U214" s="25" t="s">
        <v>418</v>
      </c>
      <c r="V214" s="25"/>
      <c r="W214" s="25" t="s">
        <v>368</v>
      </c>
      <c r="X214" s="25" t="s">
        <v>368</v>
      </c>
      <c r="Y214" s="25" t="s">
        <v>368</v>
      </c>
      <c r="Z214" s="25" t="s">
        <v>368</v>
      </c>
      <c r="AA214" s="25" t="s">
        <v>368</v>
      </c>
      <c r="AB214" s="25" t="s">
        <v>368</v>
      </c>
      <c r="AC214" s="25" t="s">
        <v>345</v>
      </c>
      <c r="AD214" s="25" t="s">
        <v>345</v>
      </c>
      <c r="AE214" s="25" t="s">
        <v>345</v>
      </c>
      <c r="AF214" s="25" t="s">
        <v>344</v>
      </c>
      <c r="AG214" s="25" t="s">
        <v>344</v>
      </c>
      <c r="AH214" s="25" t="s">
        <v>344</v>
      </c>
      <c r="AI214" s="25" t="s">
        <v>344</v>
      </c>
      <c r="AJ214" s="25" t="s">
        <v>344</v>
      </c>
      <c r="AK214" s="25" t="s">
        <v>368</v>
      </c>
      <c r="AL214" s="25" t="s">
        <v>368</v>
      </c>
      <c r="AM214" s="25" t="s">
        <v>368</v>
      </c>
      <c r="AN214" s="25" t="s">
        <v>368</v>
      </c>
      <c r="AO214" s="25" t="s">
        <v>368</v>
      </c>
      <c r="AP214" s="25" t="s">
        <v>368</v>
      </c>
      <c r="AQ214" s="25" t="s">
        <v>345</v>
      </c>
      <c r="AR214" s="25" t="s">
        <v>368</v>
      </c>
      <c r="AS214" s="25" t="s">
        <v>368</v>
      </c>
      <c r="AT214" s="25" t="s">
        <v>368</v>
      </c>
      <c r="AU214" s="25" t="s">
        <v>368</v>
      </c>
      <c r="AV214" s="25" t="s">
        <v>368</v>
      </c>
      <c r="AW214" s="25" t="s">
        <v>368</v>
      </c>
      <c r="AX214" s="25" t="s">
        <v>345</v>
      </c>
      <c r="AY214" s="25"/>
      <c r="AZ214" s="25"/>
      <c r="BA214" s="25"/>
      <c r="BB214" s="25"/>
      <c r="BC214" s="25"/>
      <c r="BD214" s="25"/>
      <c r="BE214" s="25" t="s">
        <v>349</v>
      </c>
      <c r="BF214" s="25" t="s">
        <v>348</v>
      </c>
      <c r="BG214" s="25" t="s">
        <v>349</v>
      </c>
      <c r="BH214" s="25" t="s">
        <v>349</v>
      </c>
      <c r="BI214" s="25" t="s">
        <v>348</v>
      </c>
      <c r="BJ214" s="25" t="s">
        <v>391</v>
      </c>
      <c r="BK214" s="25" t="s">
        <v>391</v>
      </c>
      <c r="BL214" s="25" t="s">
        <v>391</v>
      </c>
      <c r="BM214" s="25" t="s">
        <v>391</v>
      </c>
      <c r="BN214" s="25" t="s">
        <v>391</v>
      </c>
      <c r="BO214" s="25" t="s">
        <v>391</v>
      </c>
      <c r="BP214" s="25" t="s">
        <v>391</v>
      </c>
      <c r="BQ214" s="25" t="s">
        <v>407</v>
      </c>
      <c r="BR214" s="25" t="s">
        <v>429</v>
      </c>
      <c r="BS214" s="25" t="s">
        <v>391</v>
      </c>
      <c r="BT214" s="25" t="s">
        <v>391</v>
      </c>
      <c r="BU214" s="25" t="s">
        <v>391</v>
      </c>
      <c r="BV214" s="25" t="s">
        <v>391</v>
      </c>
      <c r="BW214" s="25" t="s">
        <v>391</v>
      </c>
      <c r="BX214" s="25" t="s">
        <v>391</v>
      </c>
      <c r="BY214" s="25" t="s">
        <v>391</v>
      </c>
      <c r="BZ214" s="25" t="s">
        <v>391</v>
      </c>
      <c r="CA214" s="25" t="s">
        <v>391</v>
      </c>
      <c r="CB214" s="25" t="s">
        <v>391</v>
      </c>
      <c r="CC214" s="25" t="s">
        <v>391</v>
      </c>
      <c r="CD214" s="25" t="s">
        <v>391</v>
      </c>
      <c r="CE214" s="25" t="s">
        <v>391</v>
      </c>
      <c r="CF214" s="25" t="s">
        <v>391</v>
      </c>
      <c r="CG214" s="25" t="s">
        <v>421</v>
      </c>
      <c r="CH214" s="25" t="s">
        <v>421</v>
      </c>
      <c r="CI214" s="25" t="s">
        <v>421</v>
      </c>
      <c r="CJ214" s="25" t="s">
        <v>421</v>
      </c>
      <c r="CK214" s="25"/>
      <c r="CL214" s="25" t="s">
        <v>345</v>
      </c>
      <c r="CM214" s="25" t="s">
        <v>344</v>
      </c>
      <c r="CN214" s="25" t="s">
        <v>344</v>
      </c>
      <c r="CO214" s="25" t="s">
        <v>344</v>
      </c>
      <c r="CP214" s="25" t="s">
        <v>345</v>
      </c>
      <c r="CQ214" s="25" t="s">
        <v>344</v>
      </c>
      <c r="CR214" s="25" t="s">
        <v>667</v>
      </c>
      <c r="CS214" s="25">
        <v>69</v>
      </c>
      <c r="CT214" s="25">
        <v>50</v>
      </c>
      <c r="CU214" s="25">
        <v>59</v>
      </c>
      <c r="CV214" s="25">
        <v>73</v>
      </c>
      <c r="CW214" s="25" t="s">
        <v>363</v>
      </c>
      <c r="CX214" s="25" t="s">
        <v>395</v>
      </c>
      <c r="CY214" s="25" t="s">
        <v>396</v>
      </c>
      <c r="CZ214" s="25" t="s">
        <v>397</v>
      </c>
      <c r="DA214" s="25" t="s">
        <v>397</v>
      </c>
      <c r="DB214" s="25" t="s">
        <v>397</v>
      </c>
      <c r="DC214" s="25" t="s">
        <v>397</v>
      </c>
      <c r="DD214" s="25" t="s">
        <v>397</v>
      </c>
      <c r="DE214" s="25" t="s">
        <v>366</v>
      </c>
      <c r="DF214" s="25" t="s">
        <v>397</v>
      </c>
      <c r="DG214" s="25" t="s">
        <v>366</v>
      </c>
      <c r="DH214" s="25" t="s">
        <v>366</v>
      </c>
      <c r="DI214" s="25" t="s">
        <v>366</v>
      </c>
      <c r="DJ214" s="25"/>
      <c r="DK214" s="25" t="s">
        <v>367</v>
      </c>
      <c r="DL214" s="25" t="s">
        <v>368</v>
      </c>
      <c r="DM214" s="25" t="s">
        <v>368</v>
      </c>
      <c r="DN214" s="25" t="s">
        <v>368</v>
      </c>
      <c r="DO214" s="25" t="s">
        <v>368</v>
      </c>
      <c r="DP214" s="25" t="s">
        <v>345</v>
      </c>
      <c r="DQ214" s="25" t="s">
        <v>344</v>
      </c>
      <c r="DR214" s="25" t="s">
        <v>344</v>
      </c>
      <c r="DS214" s="25" t="s">
        <v>344</v>
      </c>
      <c r="DT214" s="25" t="s">
        <v>345</v>
      </c>
      <c r="DU214" s="25" t="s">
        <v>344</v>
      </c>
      <c r="DV214" s="25" t="s">
        <v>344</v>
      </c>
      <c r="DW214" s="25" t="s">
        <v>344</v>
      </c>
      <c r="DX214" s="25" t="s">
        <v>399</v>
      </c>
      <c r="DY214" s="25" t="s">
        <v>369</v>
      </c>
      <c r="DZ214" s="25" t="s">
        <v>369</v>
      </c>
      <c r="EA214" s="25" t="s">
        <v>371</v>
      </c>
      <c r="EB214" s="25" t="s">
        <v>371</v>
      </c>
      <c r="EC214" s="25" t="s">
        <v>371</v>
      </c>
      <c r="ED214" s="25" t="s">
        <v>370</v>
      </c>
      <c r="EE214" s="25" t="s">
        <v>370</v>
      </c>
      <c r="EF214" s="25" t="s">
        <v>370</v>
      </c>
      <c r="EG214" s="25" t="s">
        <v>371</v>
      </c>
      <c r="EH214" s="25" t="s">
        <v>370</v>
      </c>
      <c r="EI214" s="25" t="s">
        <v>371</v>
      </c>
      <c r="EJ214" s="25" t="s">
        <v>371</v>
      </c>
      <c r="EK214" s="25" t="s">
        <v>371</v>
      </c>
      <c r="EL214" s="25" t="s">
        <v>374</v>
      </c>
      <c r="EM214" s="25" t="s">
        <v>424</v>
      </c>
      <c r="EN214" s="25" t="s">
        <v>373</v>
      </c>
      <c r="EO214" s="25"/>
      <c r="EP214" s="25"/>
      <c r="EQ214" s="25" t="s">
        <v>391</v>
      </c>
      <c r="ER214" s="25" t="s">
        <v>391</v>
      </c>
      <c r="ES214" s="25" t="s">
        <v>391</v>
      </c>
      <c r="ET214" s="25" t="s">
        <v>391</v>
      </c>
      <c r="EU214" s="25" t="s">
        <v>391</v>
      </c>
      <c r="EV214" s="25" t="s">
        <v>400</v>
      </c>
      <c r="EW214" s="25"/>
      <c r="EX214" s="25" t="s">
        <v>368</v>
      </c>
      <c r="EY214" s="25" t="s">
        <v>368</v>
      </c>
      <c r="EZ214" s="25" t="s">
        <v>368</v>
      </c>
      <c r="FA214" s="25" t="s">
        <v>345</v>
      </c>
      <c r="FB214" s="25" t="s">
        <v>381</v>
      </c>
      <c r="FC214" s="25"/>
      <c r="FD214" s="25" t="s">
        <v>381</v>
      </c>
      <c r="FE214" s="25"/>
      <c r="FF214" s="25" t="s">
        <v>412</v>
      </c>
      <c r="FG214" s="25" t="s">
        <v>383</v>
      </c>
      <c r="FH214" s="25" t="s">
        <v>384</v>
      </c>
      <c r="FI214" s="25" t="s">
        <v>385</v>
      </c>
      <c r="FJ214" s="25"/>
      <c r="FK214" s="25"/>
      <c r="FL214" s="25"/>
      <c r="FM214" s="25"/>
      <c r="FN214" s="25"/>
      <c r="FO214" s="25"/>
      <c r="FP214" s="25"/>
      <c r="FQ214" s="25"/>
      <c r="FR214" s="25"/>
      <c r="FS214" s="25"/>
      <c r="FT214" s="25"/>
      <c r="FU214" s="25"/>
      <c r="FV214" s="25"/>
      <c r="FW214" s="25"/>
      <c r="FX214" s="25"/>
      <c r="FY214" s="25"/>
      <c r="FZ214" s="25"/>
      <c r="GA214" s="25" t="s">
        <v>368</v>
      </c>
      <c r="GB214" s="25" t="s">
        <v>368</v>
      </c>
      <c r="GC214" s="25" t="s">
        <v>368</v>
      </c>
      <c r="GD214" s="25" t="s">
        <v>368</v>
      </c>
      <c r="GE214" s="25" t="s">
        <v>368</v>
      </c>
      <c r="GF214" s="25" t="s">
        <v>368</v>
      </c>
      <c r="GG214" s="25"/>
      <c r="GH214" s="25"/>
      <c r="GI214" s="25"/>
      <c r="GJ214" s="25"/>
      <c r="GK214" s="25"/>
      <c r="GL214" s="25" t="s">
        <v>344</v>
      </c>
      <c r="GM214" s="25" t="s">
        <v>344</v>
      </c>
      <c r="GN214" s="25" t="s">
        <v>344</v>
      </c>
      <c r="GO214" s="25" t="s">
        <v>344</v>
      </c>
      <c r="GP214" s="25" t="s">
        <v>344</v>
      </c>
      <c r="GQ214" s="25" t="s">
        <v>344</v>
      </c>
      <c r="GR214" s="25" t="s">
        <v>344</v>
      </c>
      <c r="GS214" s="25" t="s">
        <v>344</v>
      </c>
      <c r="GT214" s="25" t="s">
        <v>344</v>
      </c>
      <c r="GU214" s="25" t="s">
        <v>344</v>
      </c>
      <c r="GV214" s="25" t="s">
        <v>344</v>
      </c>
      <c r="GW214" s="25" t="s">
        <v>344</v>
      </c>
      <c r="GX214" s="25" t="s">
        <v>344</v>
      </c>
      <c r="GY214" s="25" t="s">
        <v>344</v>
      </c>
      <c r="GZ214" s="25" t="s">
        <v>345</v>
      </c>
      <c r="HA214" s="25"/>
      <c r="HB214" s="25" t="s">
        <v>344</v>
      </c>
      <c r="HC214" s="25"/>
      <c r="HD214" s="25" t="s">
        <v>344</v>
      </c>
      <c r="HE214" s="25"/>
      <c r="HF214" s="25" t="s">
        <v>344</v>
      </c>
      <c r="HG214" s="25"/>
      <c r="HH214" s="25" t="s">
        <v>344</v>
      </c>
      <c r="HI214" s="25"/>
      <c r="HJ214" s="25" t="s">
        <v>344</v>
      </c>
      <c r="HK214" s="25" t="s">
        <v>344</v>
      </c>
      <c r="HL214" s="25" t="s">
        <v>344</v>
      </c>
      <c r="HM214" s="25" t="s">
        <v>344</v>
      </c>
      <c r="HN214" s="25" t="s">
        <v>344</v>
      </c>
      <c r="HO214" s="25" t="s">
        <v>344</v>
      </c>
      <c r="HP214" s="25" t="s">
        <v>344</v>
      </c>
      <c r="HQ214" s="25" t="s">
        <v>344</v>
      </c>
      <c r="HR214" s="25" t="s">
        <v>344</v>
      </c>
      <c r="HS214" s="25" t="s">
        <v>344</v>
      </c>
      <c r="HT214" s="25" t="s">
        <v>344</v>
      </c>
      <c r="HU214" s="25" t="s">
        <v>344</v>
      </c>
      <c r="HV214" s="25" t="s">
        <v>344</v>
      </c>
      <c r="HW214" s="25" t="s">
        <v>344</v>
      </c>
      <c r="HX214" s="25" t="s">
        <v>345</v>
      </c>
      <c r="HY214" s="25"/>
      <c r="HZ214" s="25" t="s">
        <v>344</v>
      </c>
      <c r="IA214" s="25"/>
      <c r="IB214" s="25" t="s">
        <v>344</v>
      </c>
      <c r="IC214" s="25"/>
      <c r="ID214" s="25" t="s">
        <v>344</v>
      </c>
      <c r="IE214" s="25"/>
      <c r="IF214" s="25" t="s">
        <v>344</v>
      </c>
      <c r="IG214" s="25"/>
      <c r="IH214" s="25" t="s">
        <v>345</v>
      </c>
      <c r="II214" s="25" t="s">
        <v>345</v>
      </c>
      <c r="IJ214" s="25" t="s">
        <v>344</v>
      </c>
      <c r="IK214" s="25" t="s">
        <v>344</v>
      </c>
      <c r="IL214" s="25" t="s">
        <v>345</v>
      </c>
      <c r="IM214" s="25" t="s">
        <v>345</v>
      </c>
      <c r="IN214" s="25" t="s">
        <v>344</v>
      </c>
      <c r="IO214" s="25" t="s">
        <v>345</v>
      </c>
      <c r="IP214" s="25" t="s">
        <v>344</v>
      </c>
      <c r="IQ214" s="25" t="s">
        <v>344</v>
      </c>
      <c r="IR214" s="25" t="s">
        <v>344</v>
      </c>
      <c r="IS214" s="25" t="s">
        <v>344</v>
      </c>
      <c r="IT214" s="25"/>
      <c r="IU214" s="25"/>
      <c r="IV214" s="25"/>
      <c r="IW214" s="25"/>
      <c r="IX214" s="25"/>
      <c r="IY214" s="25"/>
      <c r="IZ214" s="25"/>
      <c r="JA214" s="25"/>
      <c r="JB214" s="25"/>
      <c r="JC214" s="25"/>
      <c r="JD214" s="25"/>
      <c r="JE214" s="25"/>
      <c r="JF214" s="25"/>
      <c r="JG214" s="25"/>
      <c r="JH214" s="25"/>
    </row>
    <row r="215" spans="1:268" x14ac:dyDescent="0.3">
      <c r="A215" s="26" t="s">
        <v>727</v>
      </c>
      <c r="B215" s="27">
        <v>148</v>
      </c>
      <c r="C215" s="27" t="s">
        <v>1252</v>
      </c>
      <c r="D215" s="27">
        <v>14</v>
      </c>
      <c r="E215" s="27" t="s">
        <v>387</v>
      </c>
      <c r="F215" s="27">
        <v>770285311</v>
      </c>
      <c r="G215" s="27" t="s">
        <v>1253</v>
      </c>
      <c r="H215" s="27" t="s">
        <v>1252</v>
      </c>
      <c r="I215" s="27" t="s">
        <v>1254</v>
      </c>
      <c r="J215" s="27">
        <v>17</v>
      </c>
      <c r="K215" s="27" t="s">
        <v>1255</v>
      </c>
      <c r="L215" s="27"/>
      <c r="M215" s="27" t="s">
        <v>345</v>
      </c>
      <c r="N215" s="27" t="s">
        <v>344</v>
      </c>
      <c r="O215" s="27" t="s">
        <v>344</v>
      </c>
      <c r="P215" s="27" t="s">
        <v>344</v>
      </c>
      <c r="Q215" s="27" t="s">
        <v>344</v>
      </c>
      <c r="R215" s="27"/>
      <c r="S215" s="27" t="s">
        <v>475</v>
      </c>
      <c r="T215" s="27"/>
      <c r="U215" s="27" t="s">
        <v>1256</v>
      </c>
      <c r="V215" s="27"/>
      <c r="W215" s="27" t="s">
        <v>344</v>
      </c>
      <c r="X215" s="27" t="s">
        <v>344</v>
      </c>
      <c r="Y215" s="27" t="s">
        <v>344</v>
      </c>
      <c r="Z215" s="27" t="s">
        <v>344</v>
      </c>
      <c r="AA215" s="27" t="s">
        <v>344</v>
      </c>
      <c r="AB215" s="27" t="s">
        <v>345</v>
      </c>
      <c r="AC215" s="27" t="s">
        <v>344</v>
      </c>
      <c r="AD215" s="27" t="s">
        <v>344</v>
      </c>
      <c r="AE215" s="27" t="s">
        <v>344</v>
      </c>
      <c r="AF215" s="27" t="s">
        <v>344</v>
      </c>
      <c r="AG215" s="27" t="s">
        <v>344</v>
      </c>
      <c r="AH215" s="27" t="s">
        <v>345</v>
      </c>
      <c r="AI215" s="27" t="s">
        <v>344</v>
      </c>
      <c r="AJ215" s="27" t="s">
        <v>344</v>
      </c>
      <c r="AK215" s="27" t="s">
        <v>344</v>
      </c>
      <c r="AL215" s="27" t="s">
        <v>345</v>
      </c>
      <c r="AM215" s="27" t="s">
        <v>345</v>
      </c>
      <c r="AN215" s="27" t="s">
        <v>344</v>
      </c>
      <c r="AO215" s="27" t="s">
        <v>345</v>
      </c>
      <c r="AP215" s="27" t="s">
        <v>344</v>
      </c>
      <c r="AQ215" s="27" t="s">
        <v>344</v>
      </c>
      <c r="AR215" s="27" t="s">
        <v>345</v>
      </c>
      <c r="AS215" s="27" t="s">
        <v>344</v>
      </c>
      <c r="AT215" s="27" t="s">
        <v>344</v>
      </c>
      <c r="AU215" s="27" t="s">
        <v>344</v>
      </c>
      <c r="AV215" s="27" t="s">
        <v>344</v>
      </c>
      <c r="AW215" s="27" t="s">
        <v>344</v>
      </c>
      <c r="AX215" s="27" t="s">
        <v>344</v>
      </c>
      <c r="AY215" s="27" t="s">
        <v>733</v>
      </c>
      <c r="AZ215" s="27" t="s">
        <v>733</v>
      </c>
      <c r="BA215" s="27" t="s">
        <v>733</v>
      </c>
      <c r="BB215" s="27" t="s">
        <v>731</v>
      </c>
      <c r="BC215" s="27" t="s">
        <v>731</v>
      </c>
      <c r="BD215" s="27" t="s">
        <v>733</v>
      </c>
      <c r="BE215" s="27" t="s">
        <v>350</v>
      </c>
      <c r="BF215" s="27" t="s">
        <v>350</v>
      </c>
      <c r="BG215" s="27" t="s">
        <v>348</v>
      </c>
      <c r="BH215" s="27" t="s">
        <v>390</v>
      </c>
      <c r="BI215" s="27" t="s">
        <v>348</v>
      </c>
      <c r="BJ215" s="27" t="s">
        <v>355</v>
      </c>
      <c r="BK215" s="27" t="s">
        <v>354</v>
      </c>
      <c r="BL215" s="27" t="s">
        <v>357</v>
      </c>
      <c r="BM215" s="27" t="s">
        <v>351</v>
      </c>
      <c r="BN215" s="27" t="s">
        <v>356</v>
      </c>
      <c r="BO215" s="27" t="s">
        <v>353</v>
      </c>
      <c r="BP215" s="27" t="s">
        <v>352</v>
      </c>
      <c r="BQ215" s="27" t="s">
        <v>419</v>
      </c>
      <c r="BR215" s="27" t="s">
        <v>1257</v>
      </c>
      <c r="BS215" s="27" t="s">
        <v>354</v>
      </c>
      <c r="BT215" s="27" t="s">
        <v>356</v>
      </c>
      <c r="BU215" s="27" t="s">
        <v>352</v>
      </c>
      <c r="BV215" s="27" t="s">
        <v>355</v>
      </c>
      <c r="BW215" s="27" t="s">
        <v>351</v>
      </c>
      <c r="BX215" s="27" t="s">
        <v>355</v>
      </c>
      <c r="BY215" s="27" t="s">
        <v>357</v>
      </c>
      <c r="BZ215" s="27" t="s">
        <v>351</v>
      </c>
      <c r="CA215" s="27" t="s">
        <v>353</v>
      </c>
      <c r="CB215" s="27" t="s">
        <v>357</v>
      </c>
      <c r="CC215" s="27" t="s">
        <v>356</v>
      </c>
      <c r="CD215" s="27" t="s">
        <v>357</v>
      </c>
      <c r="CE215" s="27" t="s">
        <v>352</v>
      </c>
      <c r="CF215" s="27" t="s">
        <v>356</v>
      </c>
      <c r="CG215" s="27" t="s">
        <v>393</v>
      </c>
      <c r="CH215" s="27" t="s">
        <v>421</v>
      </c>
      <c r="CI215" s="27" t="s">
        <v>420</v>
      </c>
      <c r="CJ215" s="27" t="s">
        <v>421</v>
      </c>
      <c r="CK215" s="27" t="s">
        <v>717</v>
      </c>
      <c r="CL215" s="27" t="s">
        <v>344</v>
      </c>
      <c r="CM215" s="27" t="s">
        <v>344</v>
      </c>
      <c r="CN215" s="27" t="s">
        <v>344</v>
      </c>
      <c r="CO215" s="27" t="s">
        <v>345</v>
      </c>
      <c r="CP215" s="27" t="s">
        <v>345</v>
      </c>
      <c r="CQ215" s="27" t="s">
        <v>344</v>
      </c>
      <c r="CR215" s="27" t="s">
        <v>655</v>
      </c>
      <c r="CS215" s="27">
        <v>100</v>
      </c>
      <c r="CT215" s="27">
        <v>100</v>
      </c>
      <c r="CU215" s="27"/>
      <c r="CV215" s="27"/>
      <c r="CW215" s="27" t="s">
        <v>363</v>
      </c>
      <c r="CX215" s="27" t="s">
        <v>396</v>
      </c>
      <c r="CY215" s="27" t="s">
        <v>364</v>
      </c>
      <c r="CZ215" s="27" t="s">
        <v>397</v>
      </c>
      <c r="DA215" s="27" t="s">
        <v>397</v>
      </c>
      <c r="DB215" s="27" t="s">
        <v>397</v>
      </c>
      <c r="DC215" s="27" t="s">
        <v>397</v>
      </c>
      <c r="DD215" s="27" t="s">
        <v>397</v>
      </c>
      <c r="DE215" s="27"/>
      <c r="DF215" s="27"/>
      <c r="DG215" s="27"/>
      <c r="DH215" s="27"/>
      <c r="DI215" s="27"/>
      <c r="DJ215" s="27"/>
      <c r="DK215" s="27" t="s">
        <v>344</v>
      </c>
      <c r="DL215" s="27" t="s">
        <v>368</v>
      </c>
      <c r="DM215" s="27" t="s">
        <v>368</v>
      </c>
      <c r="DN215" s="27" t="s">
        <v>368</v>
      </c>
      <c r="DO215" s="27" t="s">
        <v>368</v>
      </c>
      <c r="DP215" s="27" t="s">
        <v>345</v>
      </c>
      <c r="DQ215" s="27" t="s">
        <v>344</v>
      </c>
      <c r="DR215" s="27" t="s">
        <v>344</v>
      </c>
      <c r="DS215" s="27" t="s">
        <v>344</v>
      </c>
      <c r="DT215" s="27" t="s">
        <v>368</v>
      </c>
      <c r="DU215" s="27" t="s">
        <v>368</v>
      </c>
      <c r="DV215" s="27" t="s">
        <v>368</v>
      </c>
      <c r="DW215" s="27" t="s">
        <v>345</v>
      </c>
      <c r="DX215" s="27" t="s">
        <v>1258</v>
      </c>
      <c r="DY215" s="27" t="s">
        <v>1258</v>
      </c>
      <c r="DZ215" s="27" t="s">
        <v>1258</v>
      </c>
      <c r="EA215" s="27" t="s">
        <v>1258</v>
      </c>
      <c r="EB215" s="27" t="s">
        <v>1258</v>
      </c>
      <c r="EC215" s="27" t="s">
        <v>1258</v>
      </c>
      <c r="ED215" s="27" t="s">
        <v>1258</v>
      </c>
      <c r="EE215" s="27" t="s">
        <v>397</v>
      </c>
      <c r="EF215" s="27" t="s">
        <v>397</v>
      </c>
      <c r="EG215" s="27" t="s">
        <v>397</v>
      </c>
      <c r="EH215" s="27" t="s">
        <v>397</v>
      </c>
      <c r="EI215" s="27" t="s">
        <v>397</v>
      </c>
      <c r="EJ215" s="27" t="s">
        <v>397</v>
      </c>
      <c r="EK215" s="27" t="s">
        <v>397</v>
      </c>
      <c r="EL215" s="27" t="s">
        <v>1259</v>
      </c>
      <c r="EM215" s="27" t="s">
        <v>1260</v>
      </c>
      <c r="EN215" s="27" t="s">
        <v>1261</v>
      </c>
      <c r="EO215" s="27"/>
      <c r="EP215" s="27"/>
      <c r="EQ215" s="27" t="s">
        <v>1262</v>
      </c>
      <c r="ER215" s="27" t="s">
        <v>1263</v>
      </c>
      <c r="ES215" s="27" t="s">
        <v>1263</v>
      </c>
      <c r="ET215" s="27" t="s">
        <v>1264</v>
      </c>
      <c r="EU215" s="27" t="s">
        <v>1262</v>
      </c>
      <c r="EV215" s="27" t="s">
        <v>1265</v>
      </c>
      <c r="EW215" s="27"/>
      <c r="EX215" s="27" t="s">
        <v>368</v>
      </c>
      <c r="EY215" s="27" t="s">
        <v>368</v>
      </c>
      <c r="EZ215" s="27" t="s">
        <v>368</v>
      </c>
      <c r="FA215" s="27" t="s">
        <v>345</v>
      </c>
      <c r="FB215" s="27" t="s">
        <v>1266</v>
      </c>
      <c r="FC215" s="27"/>
      <c r="FD215" s="27" t="s">
        <v>1266</v>
      </c>
      <c r="FE215" s="27"/>
      <c r="FF215" s="27" t="s">
        <v>431</v>
      </c>
      <c r="FG215" s="27" t="s">
        <v>441</v>
      </c>
      <c r="FH215" s="27" t="s">
        <v>460</v>
      </c>
      <c r="FI215" s="27" t="s">
        <v>442</v>
      </c>
      <c r="FJ215" s="27"/>
      <c r="FK215" s="27"/>
      <c r="FL215" s="27"/>
      <c r="FM215" s="27"/>
      <c r="FN215" s="27"/>
      <c r="FO215" s="27"/>
      <c r="FP215" s="27"/>
      <c r="FQ215" s="27"/>
      <c r="FR215" s="27"/>
      <c r="FS215" s="27"/>
      <c r="FT215" s="27"/>
      <c r="FU215" s="27"/>
      <c r="FV215" s="27"/>
      <c r="FW215" s="27"/>
      <c r="FX215" s="27"/>
      <c r="FY215" s="27"/>
      <c r="FZ215" s="27"/>
      <c r="GA215" s="27" t="s">
        <v>368</v>
      </c>
      <c r="GB215" s="27" t="s">
        <v>368</v>
      </c>
      <c r="GC215" s="27" t="s">
        <v>368</v>
      </c>
      <c r="GD215" s="27" t="s">
        <v>368</v>
      </c>
      <c r="GE215" s="27" t="s">
        <v>368</v>
      </c>
      <c r="GF215" s="27" t="s">
        <v>368</v>
      </c>
      <c r="GG215" s="27"/>
      <c r="GH215" s="27"/>
      <c r="GI215" s="27"/>
      <c r="GJ215" s="27"/>
      <c r="GK215" s="27"/>
      <c r="GL215" s="27" t="s">
        <v>344</v>
      </c>
      <c r="GM215" s="27" t="s">
        <v>344</v>
      </c>
      <c r="GN215" s="27" t="s">
        <v>344</v>
      </c>
      <c r="GO215" s="27" t="s">
        <v>344</v>
      </c>
      <c r="GP215" s="27" t="s">
        <v>344</v>
      </c>
      <c r="GQ215" s="27" t="s">
        <v>344</v>
      </c>
      <c r="GR215" s="27" t="s">
        <v>344</v>
      </c>
      <c r="GS215" s="27" t="s">
        <v>344</v>
      </c>
      <c r="GT215" s="27" t="s">
        <v>344</v>
      </c>
      <c r="GU215" s="27" t="s">
        <v>344</v>
      </c>
      <c r="GV215" s="27" t="s">
        <v>345</v>
      </c>
      <c r="GW215" s="27" t="s">
        <v>344</v>
      </c>
      <c r="GX215" s="27" t="s">
        <v>344</v>
      </c>
      <c r="GY215" s="27" t="s">
        <v>344</v>
      </c>
      <c r="GZ215" s="27" t="s">
        <v>344</v>
      </c>
      <c r="HA215" s="27" t="s">
        <v>344</v>
      </c>
      <c r="HB215" s="27"/>
      <c r="HC215" s="27" t="s">
        <v>345</v>
      </c>
      <c r="HD215" s="27" t="s">
        <v>1267</v>
      </c>
      <c r="HE215" s="27" t="s">
        <v>344</v>
      </c>
      <c r="HF215" s="27"/>
      <c r="HG215" s="27" t="s">
        <v>344</v>
      </c>
      <c r="HH215" s="27"/>
      <c r="HI215" s="27" t="s">
        <v>344</v>
      </c>
      <c r="HJ215" s="27"/>
      <c r="HK215" s="27" t="s">
        <v>344</v>
      </c>
      <c r="HL215" s="27" t="s">
        <v>344</v>
      </c>
      <c r="HM215" s="27" t="s">
        <v>344</v>
      </c>
      <c r="HN215" s="27" t="s">
        <v>344</v>
      </c>
      <c r="HO215" s="27" t="s">
        <v>344</v>
      </c>
      <c r="HP215" s="27" t="s">
        <v>344</v>
      </c>
      <c r="HQ215" s="27" t="s">
        <v>344</v>
      </c>
      <c r="HR215" s="27" t="s">
        <v>344</v>
      </c>
      <c r="HS215" s="27" t="s">
        <v>344</v>
      </c>
      <c r="HT215" s="27" t="s">
        <v>344</v>
      </c>
      <c r="HU215" s="27" t="s">
        <v>344</v>
      </c>
      <c r="HV215" s="27" t="s">
        <v>344</v>
      </c>
      <c r="HW215" s="27" t="s">
        <v>344</v>
      </c>
      <c r="HX215" s="27" t="s">
        <v>344</v>
      </c>
      <c r="HY215" s="27" t="s">
        <v>344</v>
      </c>
      <c r="HZ215" s="27" t="s">
        <v>344</v>
      </c>
      <c r="IA215" s="27" t="s">
        <v>344</v>
      </c>
      <c r="IB215" s="27" t="s">
        <v>344</v>
      </c>
      <c r="IC215" s="27" t="s">
        <v>345</v>
      </c>
      <c r="ID215" s="27"/>
      <c r="IE215" s="27" t="s">
        <v>344</v>
      </c>
      <c r="IF215" s="27"/>
      <c r="IG215" s="27" t="s">
        <v>344</v>
      </c>
      <c r="IH215" s="27"/>
      <c r="II215" s="27" t="s">
        <v>344</v>
      </c>
      <c r="IJ215" s="27"/>
      <c r="IK215" s="27" t="s">
        <v>344</v>
      </c>
      <c r="IL215" s="27"/>
      <c r="IM215" s="27" t="s">
        <v>345</v>
      </c>
      <c r="IN215" s="27" t="s">
        <v>345</v>
      </c>
      <c r="IO215" s="27" t="s">
        <v>345</v>
      </c>
      <c r="IP215" s="27" t="s">
        <v>344</v>
      </c>
      <c r="IQ215" s="27" t="s">
        <v>345</v>
      </c>
      <c r="IR215" s="27" t="s">
        <v>345</v>
      </c>
      <c r="IS215" s="27" t="s">
        <v>344</v>
      </c>
      <c r="IT215" s="27" t="s">
        <v>345</v>
      </c>
      <c r="IU215" s="27" t="s">
        <v>344</v>
      </c>
      <c r="IV215" s="27" t="s">
        <v>344</v>
      </c>
      <c r="IW215" s="27" t="s">
        <v>345</v>
      </c>
      <c r="IX215" s="27" t="s">
        <v>344</v>
      </c>
      <c r="IY215" s="27" t="s">
        <v>345</v>
      </c>
      <c r="IZ215" s="27" t="s">
        <v>344</v>
      </c>
      <c r="JA215" s="27"/>
      <c r="JB215" s="27"/>
    </row>
    <row r="216" spans="1:268" x14ac:dyDescent="0.3">
      <c r="A216" s="26" t="s">
        <v>727</v>
      </c>
      <c r="B216" s="27">
        <v>149</v>
      </c>
      <c r="C216" s="27" t="s">
        <v>1268</v>
      </c>
      <c r="D216" s="27">
        <v>14</v>
      </c>
      <c r="E216" s="27" t="s">
        <v>387</v>
      </c>
      <c r="F216" s="27">
        <v>1791145845</v>
      </c>
      <c r="G216" s="27" t="s">
        <v>1269</v>
      </c>
      <c r="H216" s="27" t="s">
        <v>1268</v>
      </c>
      <c r="I216" s="27" t="s">
        <v>1254</v>
      </c>
      <c r="J216" s="27">
        <v>17</v>
      </c>
      <c r="K216" s="27" t="s">
        <v>1255</v>
      </c>
      <c r="L216" s="27"/>
      <c r="M216" s="27" t="s">
        <v>345</v>
      </c>
      <c r="N216" s="27" t="s">
        <v>344</v>
      </c>
      <c r="O216" s="27" t="s">
        <v>344</v>
      </c>
      <c r="P216" s="27" t="s">
        <v>344</v>
      </c>
      <c r="Q216" s="27" t="s">
        <v>344</v>
      </c>
      <c r="R216" s="27"/>
      <c r="S216" s="27" t="s">
        <v>475</v>
      </c>
      <c r="T216" s="27"/>
      <c r="U216" s="27" t="s">
        <v>1270</v>
      </c>
      <c r="V216" s="27"/>
      <c r="W216" s="27" t="s">
        <v>345</v>
      </c>
      <c r="X216" s="27" t="s">
        <v>344</v>
      </c>
      <c r="Y216" s="27" t="s">
        <v>344</v>
      </c>
      <c r="Z216" s="27" t="s">
        <v>344</v>
      </c>
      <c r="AA216" s="27" t="s">
        <v>344</v>
      </c>
      <c r="AB216" s="27" t="s">
        <v>344</v>
      </c>
      <c r="AC216" s="27" t="s">
        <v>344</v>
      </c>
      <c r="AD216" s="27" t="s">
        <v>344</v>
      </c>
      <c r="AE216" s="27" t="s">
        <v>344</v>
      </c>
      <c r="AF216" s="27" t="s">
        <v>345</v>
      </c>
      <c r="AG216" s="27" t="s">
        <v>344</v>
      </c>
      <c r="AH216" s="27" t="s">
        <v>344</v>
      </c>
      <c r="AI216" s="27" t="s">
        <v>344</v>
      </c>
      <c r="AJ216" s="27" t="s">
        <v>344</v>
      </c>
      <c r="AK216" s="27" t="s">
        <v>344</v>
      </c>
      <c r="AL216" s="27" t="s">
        <v>344</v>
      </c>
      <c r="AM216" s="27" t="s">
        <v>344</v>
      </c>
      <c r="AN216" s="27" t="s">
        <v>344</v>
      </c>
      <c r="AO216" s="27" t="s">
        <v>345</v>
      </c>
      <c r="AP216" s="27" t="s">
        <v>344</v>
      </c>
      <c r="AQ216" s="27" t="s">
        <v>344</v>
      </c>
      <c r="AR216" s="27" t="s">
        <v>344</v>
      </c>
      <c r="AS216" s="27" t="s">
        <v>344</v>
      </c>
      <c r="AT216" s="27" t="s">
        <v>345</v>
      </c>
      <c r="AU216" s="27" t="s">
        <v>344</v>
      </c>
      <c r="AV216" s="27" t="s">
        <v>344</v>
      </c>
      <c r="AW216" s="27" t="s">
        <v>344</v>
      </c>
      <c r="AX216" s="27" t="s">
        <v>344</v>
      </c>
      <c r="AY216" s="27" t="s">
        <v>391</v>
      </c>
      <c r="AZ216" s="27" t="s">
        <v>391</v>
      </c>
      <c r="BA216" s="27" t="s">
        <v>391</v>
      </c>
      <c r="BB216" s="27" t="s">
        <v>391</v>
      </c>
      <c r="BC216" s="27" t="s">
        <v>391</v>
      </c>
      <c r="BD216" s="27" t="s">
        <v>391</v>
      </c>
      <c r="BE216" s="27" t="s">
        <v>349</v>
      </c>
      <c r="BF216" s="27" t="s">
        <v>350</v>
      </c>
      <c r="BG216" s="27" t="s">
        <v>348</v>
      </c>
      <c r="BH216" s="27" t="s">
        <v>390</v>
      </c>
      <c r="BI216" s="27" t="s">
        <v>348</v>
      </c>
      <c r="BJ216" s="27" t="s">
        <v>357</v>
      </c>
      <c r="BK216" s="27" t="s">
        <v>355</v>
      </c>
      <c r="BL216" s="27" t="s">
        <v>357</v>
      </c>
      <c r="BM216" s="27" t="s">
        <v>353</v>
      </c>
      <c r="BN216" s="27" t="s">
        <v>356</v>
      </c>
      <c r="BO216" s="27" t="s">
        <v>355</v>
      </c>
      <c r="BP216" s="27" t="s">
        <v>354</v>
      </c>
      <c r="BQ216" s="27" t="s">
        <v>407</v>
      </c>
      <c r="BR216" s="27" t="s">
        <v>344</v>
      </c>
      <c r="BS216" s="27" t="s">
        <v>356</v>
      </c>
      <c r="BT216" s="27" t="s">
        <v>354</v>
      </c>
      <c r="BU216" s="27" t="s">
        <v>351</v>
      </c>
      <c r="BV216" s="27" t="s">
        <v>357</v>
      </c>
      <c r="BW216" s="27" t="s">
        <v>352</v>
      </c>
      <c r="BX216" s="27" t="s">
        <v>356</v>
      </c>
      <c r="BY216" s="27" t="s">
        <v>351</v>
      </c>
      <c r="BZ216" s="27" t="s">
        <v>355</v>
      </c>
      <c r="CA216" s="27" t="s">
        <v>354</v>
      </c>
      <c r="CB216" s="27" t="s">
        <v>353</v>
      </c>
      <c r="CC216" s="27" t="s">
        <v>353</v>
      </c>
      <c r="CD216" s="27" t="s">
        <v>357</v>
      </c>
      <c r="CE216" s="27" t="s">
        <v>352</v>
      </c>
      <c r="CF216" s="27" t="s">
        <v>356</v>
      </c>
      <c r="CG216" s="27" t="s">
        <v>421</v>
      </c>
      <c r="CH216" s="27" t="s">
        <v>421</v>
      </c>
      <c r="CI216" s="27" t="s">
        <v>393</v>
      </c>
      <c r="CJ216" s="27" t="s">
        <v>421</v>
      </c>
      <c r="CK216" s="27" t="s">
        <v>1271</v>
      </c>
      <c r="CL216" s="27" t="s">
        <v>345</v>
      </c>
      <c r="CM216" s="27" t="s">
        <v>344</v>
      </c>
      <c r="CN216" s="27" t="s">
        <v>344</v>
      </c>
      <c r="CO216" s="27" t="s">
        <v>344</v>
      </c>
      <c r="CP216" s="27" t="s">
        <v>344</v>
      </c>
      <c r="CQ216" s="27" t="s">
        <v>344</v>
      </c>
      <c r="CR216" s="27" t="s">
        <v>667</v>
      </c>
      <c r="CS216" s="27">
        <v>100</v>
      </c>
      <c r="CT216" s="27">
        <v>1</v>
      </c>
      <c r="CU216" s="27"/>
      <c r="CV216" s="27"/>
      <c r="CW216" s="27" t="s">
        <v>364</v>
      </c>
      <c r="CX216" s="27" t="s">
        <v>364</v>
      </c>
      <c r="CY216" s="27" t="s">
        <v>364</v>
      </c>
      <c r="CZ216" s="27" t="s">
        <v>397</v>
      </c>
      <c r="DA216" s="27" t="s">
        <v>397</v>
      </c>
      <c r="DB216" s="27" t="s">
        <v>397</v>
      </c>
      <c r="DC216" s="27" t="s">
        <v>397</v>
      </c>
      <c r="DD216" s="27" t="s">
        <v>397</v>
      </c>
      <c r="DE216" s="27"/>
      <c r="DF216" s="27"/>
      <c r="DG216" s="27"/>
      <c r="DH216" s="27"/>
      <c r="DI216" s="27"/>
      <c r="DJ216" s="27"/>
      <c r="DK216" s="27" t="s">
        <v>344</v>
      </c>
      <c r="DL216" s="27" t="s">
        <v>368</v>
      </c>
      <c r="DM216" s="27" t="s">
        <v>368</v>
      </c>
      <c r="DN216" s="27" t="s">
        <v>368</v>
      </c>
      <c r="DO216" s="27" t="s">
        <v>368</v>
      </c>
      <c r="DP216" s="27" t="s">
        <v>368</v>
      </c>
      <c r="DQ216" s="27" t="s">
        <v>368</v>
      </c>
      <c r="DR216" s="27" t="s">
        <v>368</v>
      </c>
      <c r="DS216" s="27" t="s">
        <v>345</v>
      </c>
      <c r="DT216" s="27" t="s">
        <v>368</v>
      </c>
      <c r="DU216" s="27" t="s">
        <v>368</v>
      </c>
      <c r="DV216" s="27" t="s">
        <v>368</v>
      </c>
      <c r="DW216" s="27" t="s">
        <v>345</v>
      </c>
      <c r="DX216" s="27" t="s">
        <v>1258</v>
      </c>
      <c r="DY216" s="27" t="s">
        <v>1272</v>
      </c>
      <c r="DZ216" s="27" t="s">
        <v>1273</v>
      </c>
      <c r="EA216" s="27" t="s">
        <v>1274</v>
      </c>
      <c r="EB216" s="27" t="s">
        <v>1274</v>
      </c>
      <c r="EC216" s="27" t="s">
        <v>397</v>
      </c>
      <c r="ED216" s="27" t="s">
        <v>1258</v>
      </c>
      <c r="EE216" s="27" t="s">
        <v>397</v>
      </c>
      <c r="EF216" s="27" t="s">
        <v>397</v>
      </c>
      <c r="EG216" s="27" t="s">
        <v>397</v>
      </c>
      <c r="EH216" s="27" t="s">
        <v>397</v>
      </c>
      <c r="EI216" s="27" t="s">
        <v>397</v>
      </c>
      <c r="EJ216" s="27" t="s">
        <v>397</v>
      </c>
      <c r="EK216" s="27" t="s">
        <v>397</v>
      </c>
      <c r="EL216" s="27" t="s">
        <v>1275</v>
      </c>
      <c r="EM216" s="27" t="s">
        <v>1276</v>
      </c>
      <c r="EN216" s="27" t="s">
        <v>1259</v>
      </c>
      <c r="EO216" s="27"/>
      <c r="EP216" s="27"/>
      <c r="EQ216" s="27" t="s">
        <v>1264</v>
      </c>
      <c r="ER216" s="27" t="s">
        <v>1277</v>
      </c>
      <c r="ES216" s="27" t="s">
        <v>1263</v>
      </c>
      <c r="ET216" s="27" t="s">
        <v>1277</v>
      </c>
      <c r="EU216" s="27" t="s">
        <v>1278</v>
      </c>
      <c r="EV216" s="27" t="s">
        <v>1265</v>
      </c>
      <c r="EW216" s="27"/>
      <c r="EX216" s="170" t="s">
        <v>345</v>
      </c>
      <c r="EY216" s="170" t="s">
        <v>344</v>
      </c>
      <c r="EZ216" s="170" t="s">
        <v>344</v>
      </c>
      <c r="FA216" s="27" t="s">
        <v>344</v>
      </c>
      <c r="FB216" s="27" t="s">
        <v>1266</v>
      </c>
      <c r="FC216" s="27"/>
      <c r="FD216" s="27" t="s">
        <v>1266</v>
      </c>
      <c r="FE216" s="27"/>
      <c r="FF216" s="27" t="s">
        <v>431</v>
      </c>
      <c r="FG216" s="27" t="s">
        <v>441</v>
      </c>
      <c r="FH216" s="27" t="s">
        <v>432</v>
      </c>
      <c r="FI216" s="27" t="s">
        <v>442</v>
      </c>
      <c r="FJ216" s="27"/>
      <c r="FK216" s="27"/>
      <c r="FL216" s="27"/>
      <c r="FM216" s="27"/>
      <c r="FN216" s="27"/>
      <c r="FO216" s="27"/>
      <c r="FP216" s="27"/>
      <c r="FQ216" s="27"/>
      <c r="FR216" s="27"/>
      <c r="FS216" s="27"/>
      <c r="FT216" s="27"/>
      <c r="FU216" s="27"/>
      <c r="FV216" s="27"/>
      <c r="FW216" s="27"/>
      <c r="FX216" s="27"/>
      <c r="FY216" s="27"/>
      <c r="FZ216" s="27"/>
      <c r="GA216" s="27" t="s">
        <v>368</v>
      </c>
      <c r="GB216" s="27" t="s">
        <v>368</v>
      </c>
      <c r="GC216" s="27" t="s">
        <v>368</v>
      </c>
      <c r="GD216" s="27" t="s">
        <v>368</v>
      </c>
      <c r="GE216" s="27" t="s">
        <v>368</v>
      </c>
      <c r="GF216" s="27" t="s">
        <v>368</v>
      </c>
      <c r="GG216" s="27"/>
      <c r="GH216" s="27"/>
      <c r="GI216" s="27"/>
      <c r="GJ216" s="27"/>
      <c r="GK216" s="27"/>
      <c r="GL216" s="27" t="s">
        <v>344</v>
      </c>
      <c r="GM216" s="27" t="s">
        <v>344</v>
      </c>
      <c r="GN216" s="27" t="s">
        <v>344</v>
      </c>
      <c r="GO216" s="27" t="s">
        <v>344</v>
      </c>
      <c r="GP216" s="27" t="s">
        <v>344</v>
      </c>
      <c r="GQ216" s="27" t="s">
        <v>344</v>
      </c>
      <c r="GR216" s="27" t="s">
        <v>344</v>
      </c>
      <c r="GS216" s="27" t="s">
        <v>344</v>
      </c>
      <c r="GT216" s="27" t="s">
        <v>344</v>
      </c>
      <c r="GU216" s="27" t="s">
        <v>344</v>
      </c>
      <c r="GV216" s="27" t="s">
        <v>344</v>
      </c>
      <c r="GW216" s="27" t="s">
        <v>344</v>
      </c>
      <c r="GX216" s="27" t="s">
        <v>344</v>
      </c>
      <c r="GY216" s="27" t="s">
        <v>345</v>
      </c>
      <c r="GZ216" s="27" t="s">
        <v>344</v>
      </c>
      <c r="HA216" s="27" t="s">
        <v>344</v>
      </c>
      <c r="HB216" s="27"/>
      <c r="HC216" s="27" t="s">
        <v>344</v>
      </c>
      <c r="HD216" s="27"/>
      <c r="HE216" s="27" t="s">
        <v>344</v>
      </c>
      <c r="HF216" s="27"/>
      <c r="HG216" s="27" t="s">
        <v>344</v>
      </c>
      <c r="HH216" s="27"/>
      <c r="HI216" s="27" t="s">
        <v>344</v>
      </c>
      <c r="HJ216" s="27"/>
      <c r="HK216" s="27" t="s">
        <v>345</v>
      </c>
      <c r="HL216" s="27" t="s">
        <v>344</v>
      </c>
      <c r="HM216" s="27" t="s">
        <v>344</v>
      </c>
      <c r="HN216" s="27" t="s">
        <v>344</v>
      </c>
      <c r="HO216" s="27" t="s">
        <v>344</v>
      </c>
      <c r="HP216" s="27" t="s">
        <v>344</v>
      </c>
      <c r="HQ216" s="27" t="s">
        <v>344</v>
      </c>
      <c r="HR216" s="27" t="s">
        <v>344</v>
      </c>
      <c r="HS216" s="27" t="s">
        <v>344</v>
      </c>
      <c r="HT216" s="27" t="s">
        <v>344</v>
      </c>
      <c r="HU216" s="27" t="s">
        <v>344</v>
      </c>
      <c r="HV216" s="27" t="s">
        <v>344</v>
      </c>
      <c r="HW216" s="27" t="s">
        <v>344</v>
      </c>
      <c r="HX216" s="27" t="s">
        <v>344</v>
      </c>
      <c r="HY216" s="27" t="s">
        <v>344</v>
      </c>
      <c r="HZ216" s="27" t="s">
        <v>344</v>
      </c>
      <c r="IA216" s="27" t="s">
        <v>344</v>
      </c>
      <c r="IB216" s="27" t="s">
        <v>344</v>
      </c>
      <c r="IC216" s="27" t="s">
        <v>344</v>
      </c>
      <c r="ID216" s="27"/>
      <c r="IE216" s="27" t="s">
        <v>344</v>
      </c>
      <c r="IF216" s="27"/>
      <c r="IG216" s="27" t="s">
        <v>344</v>
      </c>
      <c r="IH216" s="27"/>
      <c r="II216" s="27" t="s">
        <v>344</v>
      </c>
      <c r="IJ216" s="27"/>
      <c r="IK216" s="27" t="s">
        <v>344</v>
      </c>
      <c r="IL216" s="27"/>
      <c r="IM216" s="27" t="s">
        <v>345</v>
      </c>
      <c r="IN216" s="27" t="s">
        <v>345</v>
      </c>
      <c r="IO216" s="27" t="s">
        <v>345</v>
      </c>
      <c r="IP216" s="27" t="s">
        <v>344</v>
      </c>
      <c r="IQ216" s="27" t="s">
        <v>345</v>
      </c>
      <c r="IR216" s="27" t="s">
        <v>344</v>
      </c>
      <c r="IS216" s="27" t="s">
        <v>344</v>
      </c>
      <c r="IT216" s="27" t="s">
        <v>345</v>
      </c>
      <c r="IU216" s="27" t="s">
        <v>344</v>
      </c>
      <c r="IV216" s="27" t="s">
        <v>344</v>
      </c>
      <c r="IW216" s="27" t="s">
        <v>345</v>
      </c>
      <c r="IX216" s="27" t="s">
        <v>344</v>
      </c>
      <c r="IY216" s="27" t="s">
        <v>345</v>
      </c>
      <c r="IZ216" s="27" t="s">
        <v>344</v>
      </c>
      <c r="JA216" s="27"/>
      <c r="JB216" s="27" t="s">
        <v>1279</v>
      </c>
    </row>
    <row r="217" spans="1:268" x14ac:dyDescent="0.3">
      <c r="A217" s="26" t="s">
        <v>727</v>
      </c>
      <c r="B217" s="27">
        <v>151</v>
      </c>
      <c r="C217" s="27" t="s">
        <v>1280</v>
      </c>
      <c r="D217" s="27">
        <v>14</v>
      </c>
      <c r="E217" s="27" t="s">
        <v>387</v>
      </c>
      <c r="F217" s="27">
        <v>1825640439</v>
      </c>
      <c r="G217" s="27" t="s">
        <v>1281</v>
      </c>
      <c r="H217" s="27" t="s">
        <v>1280</v>
      </c>
      <c r="I217" s="27" t="s">
        <v>1254</v>
      </c>
      <c r="J217" s="27">
        <v>18</v>
      </c>
      <c r="K217" s="27" t="s">
        <v>1282</v>
      </c>
      <c r="L217" s="27"/>
      <c r="M217" s="27" t="s">
        <v>345</v>
      </c>
      <c r="N217" s="27" t="s">
        <v>344</v>
      </c>
      <c r="O217" s="27" t="s">
        <v>344</v>
      </c>
      <c r="P217" s="27" t="s">
        <v>345</v>
      </c>
      <c r="Q217" s="27" t="s">
        <v>344</v>
      </c>
      <c r="R217" s="27"/>
      <c r="S217" s="27" t="s">
        <v>475</v>
      </c>
      <c r="T217" s="27"/>
      <c r="U217" s="27" t="s">
        <v>1270</v>
      </c>
      <c r="V217" s="27"/>
      <c r="W217" s="27" t="s">
        <v>368</v>
      </c>
      <c r="X217" s="27" t="s">
        <v>368</v>
      </c>
      <c r="Y217" s="27" t="s">
        <v>368</v>
      </c>
      <c r="Z217" s="27" t="s">
        <v>368</v>
      </c>
      <c r="AA217" s="27" t="s">
        <v>368</v>
      </c>
      <c r="AB217" s="27" t="s">
        <v>368</v>
      </c>
      <c r="AC217" s="27" t="s">
        <v>345</v>
      </c>
      <c r="AD217" s="27" t="s">
        <v>368</v>
      </c>
      <c r="AE217" s="27" t="s">
        <v>368</v>
      </c>
      <c r="AF217" s="27" t="s">
        <v>368</v>
      </c>
      <c r="AG217" s="27" t="s">
        <v>368</v>
      </c>
      <c r="AH217" s="27" t="s">
        <v>368</v>
      </c>
      <c r="AI217" s="27" t="s">
        <v>368</v>
      </c>
      <c r="AJ217" s="27" t="s">
        <v>345</v>
      </c>
      <c r="AK217" s="27" t="s">
        <v>368</v>
      </c>
      <c r="AL217" s="27" t="s">
        <v>368</v>
      </c>
      <c r="AM217" s="27" t="s">
        <v>368</v>
      </c>
      <c r="AN217" s="27" t="s">
        <v>368</v>
      </c>
      <c r="AO217" s="27" t="s">
        <v>368</v>
      </c>
      <c r="AP217" s="27" t="s">
        <v>368</v>
      </c>
      <c r="AQ217" s="27" t="s">
        <v>345</v>
      </c>
      <c r="AR217" s="27" t="s">
        <v>368</v>
      </c>
      <c r="AS217" s="27" t="s">
        <v>368</v>
      </c>
      <c r="AT217" s="27" t="s">
        <v>368</v>
      </c>
      <c r="AU217" s="27" t="s">
        <v>368</v>
      </c>
      <c r="AV217" s="27" t="s">
        <v>368</v>
      </c>
      <c r="AW217" s="27" t="s">
        <v>368</v>
      </c>
      <c r="AX217" s="27" t="s">
        <v>345</v>
      </c>
      <c r="AY217" s="27" t="s">
        <v>732</v>
      </c>
      <c r="AZ217" s="27" t="s">
        <v>732</v>
      </c>
      <c r="BA217" s="27" t="s">
        <v>391</v>
      </c>
      <c r="BB217" s="27" t="s">
        <v>731</v>
      </c>
      <c r="BC217" s="27" t="s">
        <v>733</v>
      </c>
      <c r="BD217" s="27" t="s">
        <v>731</v>
      </c>
      <c r="BE217" s="27" t="s">
        <v>348</v>
      </c>
      <c r="BF217" s="27" t="s">
        <v>349</v>
      </c>
      <c r="BG217" s="27" t="s">
        <v>349</v>
      </c>
      <c r="BH217" s="27" t="s">
        <v>349</v>
      </c>
      <c r="BI217" s="27" t="s">
        <v>349</v>
      </c>
      <c r="BJ217" s="27" t="s">
        <v>391</v>
      </c>
      <c r="BK217" s="27" t="s">
        <v>391</v>
      </c>
      <c r="BL217" s="27" t="s">
        <v>391</v>
      </c>
      <c r="BM217" s="27" t="s">
        <v>391</v>
      </c>
      <c r="BN217" s="27" t="s">
        <v>391</v>
      </c>
      <c r="BO217" s="27" t="s">
        <v>391</v>
      </c>
      <c r="BP217" s="27" t="s">
        <v>391</v>
      </c>
      <c r="BQ217" s="27" t="s">
        <v>358</v>
      </c>
      <c r="BR217" s="27" t="s">
        <v>1257</v>
      </c>
      <c r="BS217" s="27" t="s">
        <v>391</v>
      </c>
      <c r="BT217" s="27" t="s">
        <v>391</v>
      </c>
      <c r="BU217" s="27" t="s">
        <v>391</v>
      </c>
      <c r="BV217" s="27" t="s">
        <v>391</v>
      </c>
      <c r="BW217" s="27" t="s">
        <v>391</v>
      </c>
      <c r="BX217" s="27" t="s">
        <v>391</v>
      </c>
      <c r="BY217" s="27" t="s">
        <v>391</v>
      </c>
      <c r="BZ217" s="27" t="s">
        <v>391</v>
      </c>
      <c r="CA217" s="27" t="s">
        <v>391</v>
      </c>
      <c r="CB217" s="27" t="s">
        <v>391</v>
      </c>
      <c r="CC217" s="27" t="s">
        <v>391</v>
      </c>
      <c r="CD217" s="27" t="s">
        <v>391</v>
      </c>
      <c r="CE217" s="27" t="s">
        <v>391</v>
      </c>
      <c r="CF217" s="27" t="s">
        <v>391</v>
      </c>
      <c r="CG217" s="27" t="s">
        <v>392</v>
      </c>
      <c r="CH217" s="27" t="s">
        <v>421</v>
      </c>
      <c r="CI217" s="27" t="s">
        <v>392</v>
      </c>
      <c r="CJ217" s="27" t="s">
        <v>420</v>
      </c>
      <c r="CK217" s="27" t="s">
        <v>1283</v>
      </c>
      <c r="CL217" s="27" t="s">
        <v>344</v>
      </c>
      <c r="CM217" s="27" t="s">
        <v>344</v>
      </c>
      <c r="CN217" s="27" t="s">
        <v>344</v>
      </c>
      <c r="CO217" s="27" t="s">
        <v>345</v>
      </c>
      <c r="CP217" s="27" t="s">
        <v>345</v>
      </c>
      <c r="CQ217" s="27" t="s">
        <v>344</v>
      </c>
      <c r="CR217" s="27" t="s">
        <v>667</v>
      </c>
      <c r="CS217" s="27">
        <v>50</v>
      </c>
      <c r="CT217" s="27">
        <v>95</v>
      </c>
      <c r="CU217" s="27"/>
      <c r="CV217" s="27"/>
      <c r="CW217" s="27" t="s">
        <v>396</v>
      </c>
      <c r="CX217" s="27" t="s">
        <v>363</v>
      </c>
      <c r="CY217" s="27" t="s">
        <v>396</v>
      </c>
      <c r="CZ217" s="27" t="s">
        <v>397</v>
      </c>
      <c r="DA217" s="27" t="s">
        <v>366</v>
      </c>
      <c r="DB217" s="27" t="s">
        <v>397</v>
      </c>
      <c r="DC217" s="27" t="s">
        <v>366</v>
      </c>
      <c r="DD217" s="27" t="s">
        <v>397</v>
      </c>
      <c r="DE217" s="27"/>
      <c r="DF217" s="27"/>
      <c r="DG217" s="27"/>
      <c r="DH217" s="27"/>
      <c r="DI217" s="27"/>
      <c r="DJ217" s="27" t="s">
        <v>1284</v>
      </c>
      <c r="DK217" s="27" t="s">
        <v>344</v>
      </c>
      <c r="DL217" s="27" t="s">
        <v>368</v>
      </c>
      <c r="DM217" s="27" t="s">
        <v>368</v>
      </c>
      <c r="DN217" s="27" t="s">
        <v>368</v>
      </c>
      <c r="DO217" s="27" t="s">
        <v>368</v>
      </c>
      <c r="DP217" s="27" t="s">
        <v>368</v>
      </c>
      <c r="DQ217" s="27" t="s">
        <v>368</v>
      </c>
      <c r="DR217" s="27" t="s">
        <v>368</v>
      </c>
      <c r="DS217" s="27" t="s">
        <v>345</v>
      </c>
      <c r="DT217" s="27" t="s">
        <v>345</v>
      </c>
      <c r="DU217" s="27" t="s">
        <v>344</v>
      </c>
      <c r="DV217" s="27" t="s">
        <v>344</v>
      </c>
      <c r="DW217" s="27" t="s">
        <v>344</v>
      </c>
      <c r="DX217" s="27" t="s">
        <v>1258</v>
      </c>
      <c r="DY217" s="27" t="s">
        <v>1258</v>
      </c>
      <c r="DZ217" s="27" t="s">
        <v>1258</v>
      </c>
      <c r="EA217" s="27" t="s">
        <v>1258</v>
      </c>
      <c r="EB217" s="27" t="s">
        <v>1258</v>
      </c>
      <c r="EC217" s="27" t="s">
        <v>1258</v>
      </c>
      <c r="ED217" s="27" t="s">
        <v>1258</v>
      </c>
      <c r="EE217" s="27" t="s">
        <v>397</v>
      </c>
      <c r="EF217" s="27" t="s">
        <v>1274</v>
      </c>
      <c r="EG217" s="27" t="s">
        <v>397</v>
      </c>
      <c r="EH217" s="27" t="s">
        <v>1274</v>
      </c>
      <c r="EI217" s="27" t="s">
        <v>397</v>
      </c>
      <c r="EJ217" s="27" t="s">
        <v>1274</v>
      </c>
      <c r="EK217" s="27" t="s">
        <v>1274</v>
      </c>
      <c r="EL217" s="27" t="s">
        <v>1276</v>
      </c>
      <c r="EM217" s="27" t="s">
        <v>1260</v>
      </c>
      <c r="EN217" s="27" t="s">
        <v>1275</v>
      </c>
      <c r="EO217" s="27"/>
      <c r="EP217" s="27"/>
      <c r="EQ217" s="27" t="s">
        <v>1264</v>
      </c>
      <c r="ER217" s="27" t="s">
        <v>1264</v>
      </c>
      <c r="ES217" s="27" t="s">
        <v>1264</v>
      </c>
      <c r="ET217" s="27" t="s">
        <v>1264</v>
      </c>
      <c r="EU217" s="27" t="s">
        <v>1264</v>
      </c>
      <c r="EV217" s="27" t="s">
        <v>400</v>
      </c>
      <c r="EW217" s="27"/>
      <c r="EX217" s="170" t="s">
        <v>345</v>
      </c>
      <c r="EY217" s="170" t="s">
        <v>344</v>
      </c>
      <c r="EZ217" s="170" t="s">
        <v>344</v>
      </c>
      <c r="FA217" s="27" t="s">
        <v>344</v>
      </c>
      <c r="FB217" s="27" t="s">
        <v>343</v>
      </c>
      <c r="FC217" s="27" t="s">
        <v>1285</v>
      </c>
      <c r="FD217" s="27" t="s">
        <v>1266</v>
      </c>
      <c r="FE217" s="27"/>
      <c r="FF217" s="27" t="s">
        <v>477</v>
      </c>
      <c r="FG217" s="27" t="s">
        <v>441</v>
      </c>
      <c r="FH217" s="27" t="s">
        <v>432</v>
      </c>
      <c r="FI217" s="27" t="s">
        <v>1286</v>
      </c>
      <c r="FJ217" s="27"/>
      <c r="FK217" s="27"/>
      <c r="FL217" s="27"/>
      <c r="FM217" s="27"/>
      <c r="FN217" s="27"/>
      <c r="FO217" s="27"/>
      <c r="FP217" s="27"/>
      <c r="FQ217" s="27"/>
      <c r="FR217" s="27"/>
      <c r="FS217" s="27"/>
      <c r="FT217" s="27"/>
      <c r="FU217" s="27"/>
      <c r="FV217" s="27"/>
      <c r="FW217" s="27"/>
      <c r="FX217" s="27"/>
      <c r="FY217" s="27"/>
      <c r="FZ217" s="27"/>
      <c r="GA217" s="27" t="s">
        <v>368</v>
      </c>
      <c r="GB217" s="27" t="s">
        <v>368</v>
      </c>
      <c r="GC217" s="27" t="s">
        <v>368</v>
      </c>
      <c r="GD217" s="27" t="s">
        <v>368</v>
      </c>
      <c r="GE217" s="27" t="s">
        <v>368</v>
      </c>
      <c r="GF217" s="27" t="s">
        <v>368</v>
      </c>
      <c r="GG217" s="27"/>
      <c r="GH217" s="27"/>
      <c r="GI217" s="27"/>
      <c r="GJ217" s="27"/>
      <c r="GK217" s="27"/>
      <c r="GL217" s="27" t="s">
        <v>344</v>
      </c>
      <c r="GM217" s="27" t="s">
        <v>344</v>
      </c>
      <c r="GN217" s="27" t="s">
        <v>345</v>
      </c>
      <c r="GO217" s="27" t="s">
        <v>344</v>
      </c>
      <c r="GP217" s="27" t="s">
        <v>344</v>
      </c>
      <c r="GQ217" s="27" t="s">
        <v>344</v>
      </c>
      <c r="GR217" s="27" t="s">
        <v>344</v>
      </c>
      <c r="GS217" s="27" t="s">
        <v>344</v>
      </c>
      <c r="GT217" s="27" t="s">
        <v>344</v>
      </c>
      <c r="GU217" s="27" t="s">
        <v>344</v>
      </c>
      <c r="GV217" s="27" t="s">
        <v>344</v>
      </c>
      <c r="GW217" s="27" t="s">
        <v>345</v>
      </c>
      <c r="GX217" s="27" t="s">
        <v>344</v>
      </c>
      <c r="GY217" s="27" t="s">
        <v>345</v>
      </c>
      <c r="GZ217" s="27" t="s">
        <v>344</v>
      </c>
      <c r="HA217" s="27" t="s">
        <v>344</v>
      </c>
      <c r="HB217" s="27"/>
      <c r="HC217" s="27" t="s">
        <v>344</v>
      </c>
      <c r="HD217" s="27"/>
      <c r="HE217" s="27" t="s">
        <v>344</v>
      </c>
      <c r="HF217" s="27"/>
      <c r="HG217" s="27" t="s">
        <v>344</v>
      </c>
      <c r="HH217" s="27"/>
      <c r="HI217" s="27" t="s">
        <v>344</v>
      </c>
      <c r="HJ217" s="27"/>
      <c r="HK217" s="27" t="s">
        <v>345</v>
      </c>
      <c r="HL217" s="27" t="s">
        <v>344</v>
      </c>
      <c r="HM217" s="27" t="s">
        <v>344</v>
      </c>
      <c r="HN217" s="27" t="s">
        <v>344</v>
      </c>
      <c r="HO217" s="27" t="s">
        <v>344</v>
      </c>
      <c r="HP217" s="27" t="s">
        <v>344</v>
      </c>
      <c r="HQ217" s="27" t="s">
        <v>344</v>
      </c>
      <c r="HR217" s="27" t="s">
        <v>345</v>
      </c>
      <c r="HS217" s="27" t="s">
        <v>344</v>
      </c>
      <c r="HT217" s="27" t="s">
        <v>345</v>
      </c>
      <c r="HU217" s="27" t="s">
        <v>344</v>
      </c>
      <c r="HV217" s="27" t="s">
        <v>344</v>
      </c>
      <c r="HW217" s="27" t="s">
        <v>345</v>
      </c>
      <c r="HX217" s="27" t="s">
        <v>344</v>
      </c>
      <c r="HY217" s="27" t="s">
        <v>344</v>
      </c>
      <c r="HZ217" s="27" t="s">
        <v>344</v>
      </c>
      <c r="IA217" s="27" t="s">
        <v>345</v>
      </c>
      <c r="IB217" s="27" t="s">
        <v>344</v>
      </c>
      <c r="IC217" s="27" t="s">
        <v>344</v>
      </c>
      <c r="ID217" s="27"/>
      <c r="IE217" s="27" t="s">
        <v>344</v>
      </c>
      <c r="IF217" s="27"/>
      <c r="IG217" s="27" t="s">
        <v>344</v>
      </c>
      <c r="IH217" s="27"/>
      <c r="II217" s="27" t="s">
        <v>344</v>
      </c>
      <c r="IJ217" s="27"/>
      <c r="IK217" s="27" t="s">
        <v>344</v>
      </c>
      <c r="IL217" s="27"/>
      <c r="IM217" s="27" t="s">
        <v>344</v>
      </c>
      <c r="IN217" s="27" t="s">
        <v>345</v>
      </c>
      <c r="IO217" s="27" t="s">
        <v>345</v>
      </c>
      <c r="IP217" s="27" t="s">
        <v>344</v>
      </c>
      <c r="IQ217" s="27" t="s">
        <v>345</v>
      </c>
      <c r="IR217" s="27" t="s">
        <v>344</v>
      </c>
      <c r="IS217" s="27" t="s">
        <v>344</v>
      </c>
      <c r="IT217" s="27" t="s">
        <v>345</v>
      </c>
      <c r="IU217" s="27" t="s">
        <v>345</v>
      </c>
      <c r="IV217" s="27" t="s">
        <v>344</v>
      </c>
      <c r="IW217" s="27" t="s">
        <v>344</v>
      </c>
      <c r="IX217" s="27" t="s">
        <v>344</v>
      </c>
      <c r="IY217" s="27" t="s">
        <v>345</v>
      </c>
      <c r="IZ217" s="27" t="s">
        <v>344</v>
      </c>
      <c r="JA217" s="27"/>
      <c r="JB217" s="27" t="s">
        <v>1287</v>
      </c>
    </row>
    <row r="218" spans="1:268" x14ac:dyDescent="0.3">
      <c r="A218" s="26" t="s">
        <v>727</v>
      </c>
      <c r="B218" s="27">
        <v>153</v>
      </c>
      <c r="C218" s="27" t="s">
        <v>1288</v>
      </c>
      <c r="D218" s="27">
        <v>14</v>
      </c>
      <c r="E218" s="27" t="s">
        <v>340</v>
      </c>
      <c r="F218" s="27">
        <v>303802979</v>
      </c>
      <c r="G218" s="27" t="s">
        <v>1289</v>
      </c>
      <c r="H218" s="27" t="s">
        <v>1288</v>
      </c>
      <c r="I218" s="27" t="s">
        <v>1290</v>
      </c>
      <c r="J218" s="27">
        <v>16</v>
      </c>
      <c r="K218" s="27" t="s">
        <v>1255</v>
      </c>
      <c r="L218" s="27"/>
      <c r="M218" s="27" t="s">
        <v>344</v>
      </c>
      <c r="N218" s="27" t="s">
        <v>345</v>
      </c>
      <c r="O218" s="27" t="s">
        <v>344</v>
      </c>
      <c r="P218" s="27" t="s">
        <v>344</v>
      </c>
      <c r="Q218" s="27" t="s">
        <v>344</v>
      </c>
      <c r="R218" s="27"/>
      <c r="S218" s="27" t="s">
        <v>475</v>
      </c>
      <c r="T218" s="27"/>
      <c r="U218" s="27" t="s">
        <v>1270</v>
      </c>
      <c r="V218" s="27"/>
      <c r="W218" s="27" t="s">
        <v>344</v>
      </c>
      <c r="X218" s="27" t="s">
        <v>344</v>
      </c>
      <c r="Y218" s="27" t="s">
        <v>344</v>
      </c>
      <c r="Z218" s="27" t="s">
        <v>345</v>
      </c>
      <c r="AA218" s="27" t="s">
        <v>344</v>
      </c>
      <c r="AB218" s="27" t="s">
        <v>345</v>
      </c>
      <c r="AC218" s="27" t="s">
        <v>344</v>
      </c>
      <c r="AD218" s="27" t="s">
        <v>345</v>
      </c>
      <c r="AE218" s="27" t="s">
        <v>345</v>
      </c>
      <c r="AF218" s="27" t="s">
        <v>344</v>
      </c>
      <c r="AG218" s="27" t="s">
        <v>345</v>
      </c>
      <c r="AH218" s="27" t="s">
        <v>345</v>
      </c>
      <c r="AI218" s="27" t="s">
        <v>344</v>
      </c>
      <c r="AJ218" s="27" t="s">
        <v>344</v>
      </c>
      <c r="AK218" s="27" t="s">
        <v>345</v>
      </c>
      <c r="AL218" s="27" t="s">
        <v>344</v>
      </c>
      <c r="AM218" s="27" t="s">
        <v>344</v>
      </c>
      <c r="AN218" s="27" t="s">
        <v>344</v>
      </c>
      <c r="AO218" s="27" t="s">
        <v>344</v>
      </c>
      <c r="AP218" s="27" t="s">
        <v>345</v>
      </c>
      <c r="AQ218" s="27" t="s">
        <v>344</v>
      </c>
      <c r="AR218" s="27" t="s">
        <v>344</v>
      </c>
      <c r="AS218" s="27" t="s">
        <v>344</v>
      </c>
      <c r="AT218" s="27" t="s">
        <v>345</v>
      </c>
      <c r="AU218" s="27" t="s">
        <v>344</v>
      </c>
      <c r="AV218" s="27" t="s">
        <v>344</v>
      </c>
      <c r="AW218" s="27" t="s">
        <v>345</v>
      </c>
      <c r="AX218" s="27" t="s">
        <v>344</v>
      </c>
      <c r="AY218" s="27" t="s">
        <v>732</v>
      </c>
      <c r="AZ218" s="27" t="s">
        <v>733</v>
      </c>
      <c r="BA218" s="27" t="s">
        <v>732</v>
      </c>
      <c r="BB218" s="27" t="s">
        <v>732</v>
      </c>
      <c r="BC218" s="27" t="s">
        <v>731</v>
      </c>
      <c r="BD218" s="27" t="s">
        <v>733</v>
      </c>
      <c r="BE218" s="27" t="s">
        <v>390</v>
      </c>
      <c r="BF218" s="27" t="s">
        <v>349</v>
      </c>
      <c r="BG218" s="27" t="s">
        <v>390</v>
      </c>
      <c r="BH218" s="27" t="s">
        <v>390</v>
      </c>
      <c r="BI218" s="27" t="s">
        <v>349</v>
      </c>
      <c r="BJ218" s="27" t="s">
        <v>391</v>
      </c>
      <c r="BK218" s="27" t="s">
        <v>391</v>
      </c>
      <c r="BL218" s="27" t="s">
        <v>391</v>
      </c>
      <c r="BM218" s="27" t="s">
        <v>391</v>
      </c>
      <c r="BN218" s="27" t="s">
        <v>391</v>
      </c>
      <c r="BO218" s="27" t="s">
        <v>391</v>
      </c>
      <c r="BP218" s="27" t="s">
        <v>391</v>
      </c>
      <c r="BQ218" s="27" t="s">
        <v>407</v>
      </c>
      <c r="BR218" s="27" t="s">
        <v>1257</v>
      </c>
      <c r="BS218" s="27" t="s">
        <v>391</v>
      </c>
      <c r="BT218" s="27" t="s">
        <v>391</v>
      </c>
      <c r="BU218" s="27" t="s">
        <v>391</v>
      </c>
      <c r="BV218" s="27" t="s">
        <v>391</v>
      </c>
      <c r="BW218" s="27" t="s">
        <v>391</v>
      </c>
      <c r="BX218" s="27" t="s">
        <v>391</v>
      </c>
      <c r="BY218" s="27" t="s">
        <v>391</v>
      </c>
      <c r="BZ218" s="27" t="s">
        <v>391</v>
      </c>
      <c r="CA218" s="27" t="s">
        <v>391</v>
      </c>
      <c r="CB218" s="27" t="s">
        <v>391</v>
      </c>
      <c r="CC218" s="27" t="s">
        <v>391</v>
      </c>
      <c r="CD218" s="27" t="s">
        <v>391</v>
      </c>
      <c r="CE218" s="27" t="s">
        <v>391</v>
      </c>
      <c r="CF218" s="27" t="s">
        <v>391</v>
      </c>
      <c r="CG218" s="27" t="s">
        <v>393</v>
      </c>
      <c r="CH218" s="27" t="s">
        <v>421</v>
      </c>
      <c r="CI218" s="27" t="s">
        <v>420</v>
      </c>
      <c r="CJ218" s="27" t="s">
        <v>421</v>
      </c>
      <c r="CK218" s="27" t="s">
        <v>510</v>
      </c>
      <c r="CL218" s="27" t="s">
        <v>344</v>
      </c>
      <c r="CM218" s="27" t="s">
        <v>344</v>
      </c>
      <c r="CN218" s="27" t="s">
        <v>345</v>
      </c>
      <c r="CO218" s="27" t="s">
        <v>344</v>
      </c>
      <c r="CP218" s="27" t="s">
        <v>345</v>
      </c>
      <c r="CQ218" s="27" t="s">
        <v>344</v>
      </c>
      <c r="CR218" s="27" t="s">
        <v>667</v>
      </c>
      <c r="CS218" s="27">
        <v>70</v>
      </c>
      <c r="CT218" s="27">
        <v>35</v>
      </c>
      <c r="CU218" s="27">
        <v>65</v>
      </c>
      <c r="CV218" s="27">
        <v>1</v>
      </c>
      <c r="CW218" s="27" t="s">
        <v>396</v>
      </c>
      <c r="CX218" s="27" t="s">
        <v>396</v>
      </c>
      <c r="CY218" s="27" t="s">
        <v>396</v>
      </c>
      <c r="CZ218" s="27" t="s">
        <v>397</v>
      </c>
      <c r="DA218" s="27" t="s">
        <v>397</v>
      </c>
      <c r="DB218" s="27" t="s">
        <v>397</v>
      </c>
      <c r="DC218" s="27" t="s">
        <v>397</v>
      </c>
      <c r="DD218" s="27" t="s">
        <v>397</v>
      </c>
      <c r="DE218" s="27" t="s">
        <v>397</v>
      </c>
      <c r="DF218" s="27" t="s">
        <v>397</v>
      </c>
      <c r="DG218" s="27" t="s">
        <v>397</v>
      </c>
      <c r="DH218" s="27" t="s">
        <v>397</v>
      </c>
      <c r="DI218" s="27" t="s">
        <v>397</v>
      </c>
      <c r="DJ218" s="27"/>
      <c r="DK218" s="27" t="s">
        <v>344</v>
      </c>
      <c r="DL218" s="27" t="s">
        <v>368</v>
      </c>
      <c r="DM218" s="27" t="s">
        <v>368</v>
      </c>
      <c r="DN218" s="27" t="s">
        <v>368</v>
      </c>
      <c r="DO218" s="27" t="s">
        <v>368</v>
      </c>
      <c r="DP218" s="27" t="s">
        <v>368</v>
      </c>
      <c r="DQ218" s="27" t="s">
        <v>368</v>
      </c>
      <c r="DR218" s="27" t="s">
        <v>368</v>
      </c>
      <c r="DS218" s="27" t="s">
        <v>345</v>
      </c>
      <c r="DT218" s="27" t="s">
        <v>368</v>
      </c>
      <c r="DU218" s="27" t="s">
        <v>368</v>
      </c>
      <c r="DV218" s="27" t="s">
        <v>368</v>
      </c>
      <c r="DW218" s="27" t="s">
        <v>345</v>
      </c>
      <c r="DX218" s="27" t="s">
        <v>397</v>
      </c>
      <c r="DY218" s="27" t="s">
        <v>1272</v>
      </c>
      <c r="DZ218" s="27" t="s">
        <v>397</v>
      </c>
      <c r="EA218" s="27" t="s">
        <v>397</v>
      </c>
      <c r="EB218" s="27" t="s">
        <v>397</v>
      </c>
      <c r="EC218" s="27" t="s">
        <v>397</v>
      </c>
      <c r="ED218" s="27" t="s">
        <v>1258</v>
      </c>
      <c r="EE218" s="27" t="s">
        <v>1258</v>
      </c>
      <c r="EF218" s="27" t="s">
        <v>1258</v>
      </c>
      <c r="EG218" s="27" t="s">
        <v>397</v>
      </c>
      <c r="EH218" s="27" t="s">
        <v>1258</v>
      </c>
      <c r="EI218" s="27" t="s">
        <v>1258</v>
      </c>
      <c r="EJ218" s="27" t="s">
        <v>1258</v>
      </c>
      <c r="EK218" s="27" t="s">
        <v>397</v>
      </c>
      <c r="EL218" s="27" t="s">
        <v>1276</v>
      </c>
      <c r="EM218" s="27" t="s">
        <v>1261</v>
      </c>
      <c r="EN218" s="27" t="s">
        <v>1260</v>
      </c>
      <c r="EO218" s="27"/>
      <c r="EP218" s="27"/>
      <c r="EQ218" s="27" t="s">
        <v>1277</v>
      </c>
      <c r="ER218" s="27" t="s">
        <v>1277</v>
      </c>
      <c r="ES218" s="27" t="s">
        <v>1264</v>
      </c>
      <c r="ET218" s="27" t="s">
        <v>1264</v>
      </c>
      <c r="EU218" s="27" t="s">
        <v>1264</v>
      </c>
      <c r="EV218" s="27" t="s">
        <v>1265</v>
      </c>
      <c r="EW218" s="27"/>
      <c r="EX218" s="27" t="s">
        <v>368</v>
      </c>
      <c r="EY218" s="27" t="s">
        <v>368</v>
      </c>
      <c r="EZ218" s="27" t="s">
        <v>368</v>
      </c>
      <c r="FA218" s="27" t="s">
        <v>345</v>
      </c>
      <c r="FB218" s="27" t="s">
        <v>1266</v>
      </c>
      <c r="FC218" s="27"/>
      <c r="FD218" s="27" t="s">
        <v>1291</v>
      </c>
      <c r="FE218" s="27"/>
      <c r="FF218" s="27" t="s">
        <v>382</v>
      </c>
      <c r="FG218" s="27" t="s">
        <v>1292</v>
      </c>
      <c r="FH218" s="27" t="s">
        <v>1293</v>
      </c>
      <c r="FI218" s="27" t="s">
        <v>1294</v>
      </c>
      <c r="FJ218" s="27"/>
      <c r="FK218" s="27"/>
      <c r="FL218" s="27"/>
      <c r="FM218" s="27"/>
      <c r="FN218" s="27"/>
      <c r="FO218" s="27"/>
      <c r="FP218" s="27"/>
      <c r="FQ218" s="27"/>
      <c r="FR218" s="27"/>
      <c r="FS218" s="27"/>
      <c r="FT218" s="27"/>
      <c r="FU218" s="27"/>
      <c r="FV218" s="27"/>
      <c r="FW218" s="27"/>
      <c r="FX218" s="27"/>
      <c r="FY218" s="27"/>
      <c r="FZ218" s="27"/>
      <c r="GA218" s="27" t="s">
        <v>368</v>
      </c>
      <c r="GB218" s="27" t="s">
        <v>368</v>
      </c>
      <c r="GC218" s="27" t="s">
        <v>368</v>
      </c>
      <c r="GD218" s="27" t="s">
        <v>368</v>
      </c>
      <c r="GE218" s="27" t="s">
        <v>368</v>
      </c>
      <c r="GF218" s="27" t="s">
        <v>368</v>
      </c>
      <c r="GG218" s="27"/>
      <c r="GH218" s="27"/>
      <c r="GI218" s="27"/>
      <c r="GJ218" s="27"/>
      <c r="GK218" s="27"/>
      <c r="GL218" s="27" t="s">
        <v>344</v>
      </c>
      <c r="GM218" s="27" t="s">
        <v>344</v>
      </c>
      <c r="GN218" s="27" t="s">
        <v>344</v>
      </c>
      <c r="GO218" s="27" t="s">
        <v>344</v>
      </c>
      <c r="GP218" s="27" t="s">
        <v>344</v>
      </c>
      <c r="GQ218" s="27" t="s">
        <v>344</v>
      </c>
      <c r="GR218" s="27" t="s">
        <v>344</v>
      </c>
      <c r="GS218" s="27" t="s">
        <v>344</v>
      </c>
      <c r="GT218" s="27" t="s">
        <v>344</v>
      </c>
      <c r="GU218" s="27" t="s">
        <v>344</v>
      </c>
      <c r="GV218" s="27" t="s">
        <v>344</v>
      </c>
      <c r="GW218" s="27" t="s">
        <v>344</v>
      </c>
      <c r="GX218" s="27" t="s">
        <v>344</v>
      </c>
      <c r="GY218" s="27" t="s">
        <v>344</v>
      </c>
      <c r="GZ218" s="27" t="s">
        <v>344</v>
      </c>
      <c r="HA218" s="27" t="s">
        <v>345</v>
      </c>
      <c r="HB218" s="27"/>
      <c r="HC218" s="27" t="s">
        <v>344</v>
      </c>
      <c r="HD218" s="27"/>
      <c r="HE218" s="27" t="s">
        <v>344</v>
      </c>
      <c r="HF218" s="27"/>
      <c r="HG218" s="27" t="s">
        <v>344</v>
      </c>
      <c r="HH218" s="27"/>
      <c r="HI218" s="27" t="s">
        <v>344</v>
      </c>
      <c r="HJ218" s="27"/>
      <c r="HK218" s="27" t="s">
        <v>344</v>
      </c>
      <c r="HL218" s="27" t="s">
        <v>344</v>
      </c>
      <c r="HM218" s="27" t="s">
        <v>344</v>
      </c>
      <c r="HN218" s="27" t="s">
        <v>344</v>
      </c>
      <c r="HO218" s="27" t="s">
        <v>344</v>
      </c>
      <c r="HP218" s="27" t="s">
        <v>344</v>
      </c>
      <c r="HQ218" s="27" t="s">
        <v>344</v>
      </c>
      <c r="HR218" s="27" t="s">
        <v>344</v>
      </c>
      <c r="HS218" s="27" t="s">
        <v>344</v>
      </c>
      <c r="HT218" s="27" t="s">
        <v>344</v>
      </c>
      <c r="HU218" s="27" t="s">
        <v>344</v>
      </c>
      <c r="HV218" s="27" t="s">
        <v>344</v>
      </c>
      <c r="HW218" s="27" t="s">
        <v>344</v>
      </c>
      <c r="HX218" s="27" t="s">
        <v>344</v>
      </c>
      <c r="HY218" s="27" t="s">
        <v>344</v>
      </c>
      <c r="HZ218" s="27" t="s">
        <v>344</v>
      </c>
      <c r="IA218" s="27" t="s">
        <v>344</v>
      </c>
      <c r="IB218" s="27" t="s">
        <v>344</v>
      </c>
      <c r="IC218" s="27" t="s">
        <v>345</v>
      </c>
      <c r="ID218" s="27"/>
      <c r="IE218" s="27" t="s">
        <v>344</v>
      </c>
      <c r="IF218" s="27"/>
      <c r="IG218" s="27" t="s">
        <v>344</v>
      </c>
      <c r="IH218" s="27"/>
      <c r="II218" s="27" t="s">
        <v>344</v>
      </c>
      <c r="IJ218" s="27"/>
      <c r="IK218" s="27" t="s">
        <v>344</v>
      </c>
      <c r="IL218" s="27"/>
      <c r="IM218" s="27" t="s">
        <v>345</v>
      </c>
      <c r="IN218" s="27" t="s">
        <v>344</v>
      </c>
      <c r="IO218" s="27" t="s">
        <v>344</v>
      </c>
      <c r="IP218" s="27" t="s">
        <v>344</v>
      </c>
      <c r="IQ218" s="27" t="s">
        <v>345</v>
      </c>
      <c r="IR218" s="27" t="s">
        <v>344</v>
      </c>
      <c r="IS218" s="27" t="s">
        <v>344</v>
      </c>
      <c r="IT218" s="27" t="s">
        <v>345</v>
      </c>
      <c r="IU218" s="27" t="s">
        <v>344</v>
      </c>
      <c r="IV218" s="27" t="s">
        <v>344</v>
      </c>
      <c r="IW218" s="27" t="s">
        <v>345</v>
      </c>
      <c r="IX218" s="27" t="s">
        <v>344</v>
      </c>
      <c r="IY218" s="27" t="s">
        <v>344</v>
      </c>
      <c r="IZ218" s="27" t="s">
        <v>344</v>
      </c>
      <c r="JA218" s="27"/>
      <c r="JB218" s="27"/>
    </row>
    <row r="219" spans="1:268" x14ac:dyDescent="0.3">
      <c r="A219" s="26" t="s">
        <v>727</v>
      </c>
      <c r="B219" s="27">
        <v>154</v>
      </c>
      <c r="C219" s="27" t="s">
        <v>1295</v>
      </c>
      <c r="D219" s="27">
        <v>14</v>
      </c>
      <c r="E219" s="27" t="s">
        <v>340</v>
      </c>
      <c r="F219" s="27">
        <v>1776140325</v>
      </c>
      <c r="G219" s="27" t="s">
        <v>1289</v>
      </c>
      <c r="H219" s="27" t="s">
        <v>1295</v>
      </c>
      <c r="I219" s="27" t="s">
        <v>1290</v>
      </c>
      <c r="J219" s="27">
        <v>17</v>
      </c>
      <c r="K219" s="27" t="s">
        <v>1255</v>
      </c>
      <c r="L219" s="27"/>
      <c r="M219" s="27" t="s">
        <v>344</v>
      </c>
      <c r="N219" s="27" t="s">
        <v>345</v>
      </c>
      <c r="O219" s="27" t="s">
        <v>344</v>
      </c>
      <c r="P219" s="27" t="s">
        <v>344</v>
      </c>
      <c r="Q219" s="27" t="s">
        <v>344</v>
      </c>
      <c r="R219" s="27"/>
      <c r="S219" s="27" t="s">
        <v>475</v>
      </c>
      <c r="T219" s="27"/>
      <c r="U219" s="27" t="s">
        <v>1256</v>
      </c>
      <c r="V219" s="27"/>
      <c r="W219" s="27" t="s">
        <v>345</v>
      </c>
      <c r="X219" s="27" t="s">
        <v>344</v>
      </c>
      <c r="Y219" s="27" t="s">
        <v>344</v>
      </c>
      <c r="Z219" s="27" t="s">
        <v>344</v>
      </c>
      <c r="AA219" s="27" t="s">
        <v>344</v>
      </c>
      <c r="AB219" s="27" t="s">
        <v>344</v>
      </c>
      <c r="AC219" s="27" t="s">
        <v>344</v>
      </c>
      <c r="AD219" s="27" t="s">
        <v>345</v>
      </c>
      <c r="AE219" s="27" t="s">
        <v>345</v>
      </c>
      <c r="AF219" s="27" t="s">
        <v>344</v>
      </c>
      <c r="AG219" s="27" t="s">
        <v>344</v>
      </c>
      <c r="AH219" s="27" t="s">
        <v>345</v>
      </c>
      <c r="AI219" s="27" t="s">
        <v>344</v>
      </c>
      <c r="AJ219" s="27" t="s">
        <v>344</v>
      </c>
      <c r="AK219" s="27" t="s">
        <v>344</v>
      </c>
      <c r="AL219" s="27" t="s">
        <v>345</v>
      </c>
      <c r="AM219" s="27" t="s">
        <v>344</v>
      </c>
      <c r="AN219" s="27" t="s">
        <v>344</v>
      </c>
      <c r="AO219" s="27" t="s">
        <v>345</v>
      </c>
      <c r="AP219" s="27" t="s">
        <v>345</v>
      </c>
      <c r="AQ219" s="27" t="s">
        <v>344</v>
      </c>
      <c r="AR219" s="27" t="s">
        <v>345</v>
      </c>
      <c r="AS219" s="27" t="s">
        <v>345</v>
      </c>
      <c r="AT219" s="27" t="s">
        <v>345</v>
      </c>
      <c r="AU219" s="27" t="s">
        <v>345</v>
      </c>
      <c r="AV219" s="27" t="s">
        <v>345</v>
      </c>
      <c r="AW219" s="27" t="s">
        <v>345</v>
      </c>
      <c r="AX219" s="27" t="s">
        <v>344</v>
      </c>
      <c r="AY219" s="27" t="s">
        <v>391</v>
      </c>
      <c r="AZ219" s="27" t="s">
        <v>391</v>
      </c>
      <c r="BA219" s="27" t="s">
        <v>391</v>
      </c>
      <c r="BB219" s="27" t="s">
        <v>391</v>
      </c>
      <c r="BC219" s="27" t="s">
        <v>391</v>
      </c>
      <c r="BD219" s="27" t="s">
        <v>391</v>
      </c>
      <c r="BE219" s="27" t="s">
        <v>390</v>
      </c>
      <c r="BF219" s="27" t="s">
        <v>350</v>
      </c>
      <c r="BG219" s="27" t="s">
        <v>390</v>
      </c>
      <c r="BH219" s="27" t="s">
        <v>390</v>
      </c>
      <c r="BI219" s="27" t="s">
        <v>350</v>
      </c>
      <c r="BJ219" s="27" t="s">
        <v>391</v>
      </c>
      <c r="BK219" s="27" t="s">
        <v>391</v>
      </c>
      <c r="BL219" s="27" t="s">
        <v>391</v>
      </c>
      <c r="BM219" s="27" t="s">
        <v>391</v>
      </c>
      <c r="BN219" s="27" t="s">
        <v>391</v>
      </c>
      <c r="BO219" s="27" t="s">
        <v>391</v>
      </c>
      <c r="BP219" s="27" t="s">
        <v>391</v>
      </c>
      <c r="BQ219" s="27" t="s">
        <v>455</v>
      </c>
      <c r="BR219" s="27" t="s">
        <v>1296</v>
      </c>
      <c r="BS219" s="27" t="s">
        <v>391</v>
      </c>
      <c r="BT219" s="27" t="s">
        <v>391</v>
      </c>
      <c r="BU219" s="27" t="s">
        <v>391</v>
      </c>
      <c r="BV219" s="27" t="s">
        <v>391</v>
      </c>
      <c r="BW219" s="27" t="s">
        <v>391</v>
      </c>
      <c r="BX219" s="27" t="s">
        <v>391</v>
      </c>
      <c r="BY219" s="27" t="s">
        <v>391</v>
      </c>
      <c r="BZ219" s="27" t="s">
        <v>391</v>
      </c>
      <c r="CA219" s="27" t="s">
        <v>391</v>
      </c>
      <c r="CB219" s="27" t="s">
        <v>391</v>
      </c>
      <c r="CC219" s="27" t="s">
        <v>391</v>
      </c>
      <c r="CD219" s="27" t="s">
        <v>391</v>
      </c>
      <c r="CE219" s="27" t="s">
        <v>391</v>
      </c>
      <c r="CF219" s="27" t="s">
        <v>391</v>
      </c>
      <c r="CG219" s="27" t="s">
        <v>393</v>
      </c>
      <c r="CH219" s="27" t="s">
        <v>421</v>
      </c>
      <c r="CI219" s="27" t="s">
        <v>420</v>
      </c>
      <c r="CJ219" s="27" t="s">
        <v>421</v>
      </c>
      <c r="CK219" s="27" t="s">
        <v>1297</v>
      </c>
      <c r="CL219" s="27" t="s">
        <v>344</v>
      </c>
      <c r="CM219" s="27" t="s">
        <v>344</v>
      </c>
      <c r="CN219" s="27" t="s">
        <v>344</v>
      </c>
      <c r="CO219" s="27" t="s">
        <v>344</v>
      </c>
      <c r="CP219" s="27" t="s">
        <v>345</v>
      </c>
      <c r="CQ219" s="27" t="s">
        <v>344</v>
      </c>
      <c r="CR219" s="27" t="s">
        <v>667</v>
      </c>
      <c r="CS219" s="27">
        <v>100</v>
      </c>
      <c r="CT219" s="27">
        <v>1</v>
      </c>
      <c r="CU219" s="27">
        <v>100</v>
      </c>
      <c r="CV219" s="27">
        <v>50</v>
      </c>
      <c r="CW219" s="27" t="s">
        <v>363</v>
      </c>
      <c r="CX219" s="27" t="s">
        <v>363</v>
      </c>
      <c r="CY219" s="27" t="s">
        <v>364</v>
      </c>
      <c r="CZ219" s="27" t="s">
        <v>397</v>
      </c>
      <c r="DA219" s="27" t="s">
        <v>397</v>
      </c>
      <c r="DB219" s="27" t="s">
        <v>397</v>
      </c>
      <c r="DC219" s="27" t="s">
        <v>397</v>
      </c>
      <c r="DD219" s="27" t="s">
        <v>397</v>
      </c>
      <c r="DE219" s="27" t="s">
        <v>717</v>
      </c>
      <c r="DF219" s="27" t="s">
        <v>365</v>
      </c>
      <c r="DG219" s="27" t="s">
        <v>397</v>
      </c>
      <c r="DH219" s="27" t="s">
        <v>365</v>
      </c>
      <c r="DI219" s="27" t="s">
        <v>365</v>
      </c>
      <c r="DJ219" s="27" t="s">
        <v>1298</v>
      </c>
      <c r="DK219" s="27" t="s">
        <v>344</v>
      </c>
      <c r="DL219" s="27" t="s">
        <v>368</v>
      </c>
      <c r="DM219" s="27" t="s">
        <v>368</v>
      </c>
      <c r="DN219" s="27" t="s">
        <v>368</v>
      </c>
      <c r="DO219" s="27" t="s">
        <v>368</v>
      </c>
      <c r="DP219" s="27" t="s">
        <v>368</v>
      </c>
      <c r="DQ219" s="27" t="s">
        <v>368</v>
      </c>
      <c r="DR219" s="27" t="s">
        <v>368</v>
      </c>
      <c r="DS219" s="27" t="s">
        <v>345</v>
      </c>
      <c r="DT219" s="27" t="s">
        <v>368</v>
      </c>
      <c r="DU219" s="27" t="s">
        <v>368</v>
      </c>
      <c r="DV219" s="27" t="s">
        <v>368</v>
      </c>
      <c r="DW219" s="27" t="s">
        <v>345</v>
      </c>
      <c r="DX219" s="27" t="s">
        <v>397</v>
      </c>
      <c r="DY219" s="27" t="s">
        <v>1272</v>
      </c>
      <c r="DZ219" s="27" t="s">
        <v>397</v>
      </c>
      <c r="EA219" s="27" t="s">
        <v>397</v>
      </c>
      <c r="EB219" s="27" t="s">
        <v>397</v>
      </c>
      <c r="EC219" s="27" t="s">
        <v>397</v>
      </c>
      <c r="ED219" s="27" t="s">
        <v>1274</v>
      </c>
      <c r="EE219" s="27" t="s">
        <v>1258</v>
      </c>
      <c r="EF219" s="27" t="s">
        <v>1258</v>
      </c>
      <c r="EG219" s="27" t="s">
        <v>397</v>
      </c>
      <c r="EH219" s="27" t="s">
        <v>1258</v>
      </c>
      <c r="EI219" s="27" t="s">
        <v>1258</v>
      </c>
      <c r="EJ219" s="27" t="s">
        <v>1258</v>
      </c>
      <c r="EK219" s="27" t="s">
        <v>1258</v>
      </c>
      <c r="EL219" s="27" t="s">
        <v>1259</v>
      </c>
      <c r="EM219" s="27" t="s">
        <v>1276</v>
      </c>
      <c r="EN219" s="27" t="s">
        <v>1260</v>
      </c>
      <c r="EO219" s="27"/>
      <c r="EP219" s="27"/>
      <c r="EQ219" s="27" t="s">
        <v>717</v>
      </c>
      <c r="ER219" s="27" t="s">
        <v>717</v>
      </c>
      <c r="ES219" s="27" t="s">
        <v>717</v>
      </c>
      <c r="ET219" s="27" t="s">
        <v>717</v>
      </c>
      <c r="EU219" s="27" t="s">
        <v>1262</v>
      </c>
      <c r="EV219" s="27" t="s">
        <v>400</v>
      </c>
      <c r="EW219" s="27"/>
      <c r="EX219" s="27" t="s">
        <v>368</v>
      </c>
      <c r="EY219" s="27" t="s">
        <v>368</v>
      </c>
      <c r="EZ219" s="27" t="s">
        <v>368</v>
      </c>
      <c r="FA219" s="27" t="s">
        <v>345</v>
      </c>
      <c r="FB219" s="27" t="s">
        <v>1300</v>
      </c>
      <c r="FC219" s="27"/>
      <c r="FD219" s="27" t="s">
        <v>1266</v>
      </c>
      <c r="FE219" s="27"/>
      <c r="FF219" s="27" t="s">
        <v>382</v>
      </c>
      <c r="FG219" s="27" t="s">
        <v>402</v>
      </c>
      <c r="FH219" s="27" t="s">
        <v>1301</v>
      </c>
      <c r="FI219" s="27" t="s">
        <v>1294</v>
      </c>
      <c r="FJ219" s="27"/>
      <c r="FK219" s="27"/>
      <c r="FL219" s="27"/>
      <c r="FM219" s="27"/>
      <c r="FN219" s="27"/>
      <c r="FO219" s="27"/>
      <c r="FP219" s="27"/>
      <c r="FQ219" s="27"/>
      <c r="FR219" s="27"/>
      <c r="FS219" s="27"/>
      <c r="FT219" s="27"/>
      <c r="FU219" s="27"/>
      <c r="FV219" s="27"/>
      <c r="FW219" s="27"/>
      <c r="FX219" s="27"/>
      <c r="FY219" s="27"/>
      <c r="FZ219" s="27"/>
      <c r="GA219" s="27" t="s">
        <v>368</v>
      </c>
      <c r="GB219" s="27" t="s">
        <v>368</v>
      </c>
      <c r="GC219" s="27" t="s">
        <v>368</v>
      </c>
      <c r="GD219" s="27" t="s">
        <v>368</v>
      </c>
      <c r="GE219" s="27" t="s">
        <v>368</v>
      </c>
      <c r="GF219" s="27" t="s">
        <v>368</v>
      </c>
      <c r="GG219" s="27"/>
      <c r="GH219" s="27"/>
      <c r="GI219" s="27"/>
      <c r="GJ219" s="27"/>
      <c r="GK219" s="27"/>
      <c r="GL219" s="27" t="s">
        <v>344</v>
      </c>
      <c r="GM219" s="27" t="s">
        <v>344</v>
      </c>
      <c r="GN219" s="27" t="s">
        <v>344</v>
      </c>
      <c r="GO219" s="27" t="s">
        <v>344</v>
      </c>
      <c r="GP219" s="27" t="s">
        <v>344</v>
      </c>
      <c r="GQ219" s="27" t="s">
        <v>344</v>
      </c>
      <c r="GR219" s="27" t="s">
        <v>344</v>
      </c>
      <c r="GS219" s="27" t="s">
        <v>344</v>
      </c>
      <c r="GT219" s="27" t="s">
        <v>344</v>
      </c>
      <c r="GU219" s="27" t="s">
        <v>344</v>
      </c>
      <c r="GV219" s="27" t="s">
        <v>344</v>
      </c>
      <c r="GW219" s="27" t="s">
        <v>344</v>
      </c>
      <c r="GX219" s="27" t="s">
        <v>344</v>
      </c>
      <c r="GY219" s="27" t="s">
        <v>344</v>
      </c>
      <c r="GZ219" s="27" t="s">
        <v>344</v>
      </c>
      <c r="HA219" s="27" t="s">
        <v>345</v>
      </c>
      <c r="HB219" s="27"/>
      <c r="HC219" s="27" t="s">
        <v>344</v>
      </c>
      <c r="HD219" s="27"/>
      <c r="HE219" s="27" t="s">
        <v>344</v>
      </c>
      <c r="HF219" s="27"/>
      <c r="HG219" s="27" t="s">
        <v>344</v>
      </c>
      <c r="HH219" s="27"/>
      <c r="HI219" s="27" t="s">
        <v>344</v>
      </c>
      <c r="HJ219" s="27"/>
      <c r="HK219" s="27" t="s">
        <v>344</v>
      </c>
      <c r="HL219" s="27" t="s">
        <v>344</v>
      </c>
      <c r="HM219" s="27" t="s">
        <v>344</v>
      </c>
      <c r="HN219" s="27" t="s">
        <v>344</v>
      </c>
      <c r="HO219" s="27" t="s">
        <v>344</v>
      </c>
      <c r="HP219" s="27" t="s">
        <v>344</v>
      </c>
      <c r="HQ219" s="27" t="s">
        <v>344</v>
      </c>
      <c r="HR219" s="27" t="s">
        <v>344</v>
      </c>
      <c r="HS219" s="27" t="s">
        <v>344</v>
      </c>
      <c r="HT219" s="27" t="s">
        <v>344</v>
      </c>
      <c r="HU219" s="27" t="s">
        <v>344</v>
      </c>
      <c r="HV219" s="27" t="s">
        <v>344</v>
      </c>
      <c r="HW219" s="27" t="s">
        <v>344</v>
      </c>
      <c r="HX219" s="27" t="s">
        <v>344</v>
      </c>
      <c r="HY219" s="27" t="s">
        <v>344</v>
      </c>
      <c r="HZ219" s="27" t="s">
        <v>344</v>
      </c>
      <c r="IA219" s="27" t="s">
        <v>344</v>
      </c>
      <c r="IB219" s="27" t="s">
        <v>344</v>
      </c>
      <c r="IC219" s="27" t="s">
        <v>345</v>
      </c>
      <c r="ID219" s="27"/>
      <c r="IE219" s="27" t="s">
        <v>344</v>
      </c>
      <c r="IF219" s="27"/>
      <c r="IG219" s="27" t="s">
        <v>344</v>
      </c>
      <c r="IH219" s="27"/>
      <c r="II219" s="27" t="s">
        <v>344</v>
      </c>
      <c r="IJ219" s="27"/>
      <c r="IK219" s="27" t="s">
        <v>344</v>
      </c>
      <c r="IL219" s="27"/>
      <c r="IM219" s="27" t="s">
        <v>345</v>
      </c>
      <c r="IN219" s="27" t="s">
        <v>345</v>
      </c>
      <c r="IO219" s="27" t="s">
        <v>344</v>
      </c>
      <c r="IP219" s="27" t="s">
        <v>344</v>
      </c>
      <c r="IQ219" s="27" t="s">
        <v>345</v>
      </c>
      <c r="IR219" s="27" t="s">
        <v>345</v>
      </c>
      <c r="IS219" s="27" t="s">
        <v>344</v>
      </c>
      <c r="IT219" s="27" t="s">
        <v>345</v>
      </c>
      <c r="IU219" s="27" t="s">
        <v>344</v>
      </c>
      <c r="IV219" s="27" t="s">
        <v>344</v>
      </c>
      <c r="IW219" s="27" t="s">
        <v>344</v>
      </c>
      <c r="IX219" s="27" t="s">
        <v>344</v>
      </c>
      <c r="IY219" s="27" t="s">
        <v>345</v>
      </c>
      <c r="IZ219" s="27" t="s">
        <v>344</v>
      </c>
      <c r="JA219" s="27"/>
      <c r="JB219" s="27" t="s">
        <v>1302</v>
      </c>
    </row>
    <row r="220" spans="1:268" x14ac:dyDescent="0.3">
      <c r="A220" s="26" t="s">
        <v>727</v>
      </c>
      <c r="B220" s="27">
        <v>155</v>
      </c>
      <c r="C220" s="27" t="s">
        <v>1303</v>
      </c>
      <c r="D220" s="27">
        <v>14</v>
      </c>
      <c r="E220" s="27" t="s">
        <v>387</v>
      </c>
      <c r="F220" s="27">
        <v>228729157</v>
      </c>
      <c r="G220" s="27" t="s">
        <v>1304</v>
      </c>
      <c r="H220" s="27" t="s">
        <v>1303</v>
      </c>
      <c r="I220" s="27" t="s">
        <v>1254</v>
      </c>
      <c r="J220" s="27">
        <v>16</v>
      </c>
      <c r="K220" s="27" t="s">
        <v>1255</v>
      </c>
      <c r="L220" s="27"/>
      <c r="M220" s="27" t="s">
        <v>345</v>
      </c>
      <c r="N220" s="27" t="s">
        <v>344</v>
      </c>
      <c r="O220" s="27" t="s">
        <v>344</v>
      </c>
      <c r="P220" s="27" t="s">
        <v>344</v>
      </c>
      <c r="Q220" s="27" t="s">
        <v>344</v>
      </c>
      <c r="R220" s="27"/>
      <c r="S220" s="27" t="s">
        <v>475</v>
      </c>
      <c r="T220" s="27"/>
      <c r="U220" s="27" t="s">
        <v>1256</v>
      </c>
      <c r="V220" s="27"/>
      <c r="W220" s="27" t="s">
        <v>345</v>
      </c>
      <c r="X220" s="27" t="s">
        <v>345</v>
      </c>
      <c r="Y220" s="27" t="s">
        <v>344</v>
      </c>
      <c r="Z220" s="27" t="s">
        <v>344</v>
      </c>
      <c r="AA220" s="27" t="s">
        <v>344</v>
      </c>
      <c r="AB220" s="27" t="s">
        <v>344</v>
      </c>
      <c r="AC220" s="27" t="s">
        <v>344</v>
      </c>
      <c r="AD220" s="27" t="s">
        <v>344</v>
      </c>
      <c r="AE220" s="27" t="s">
        <v>344</v>
      </c>
      <c r="AF220" s="27" t="s">
        <v>344</v>
      </c>
      <c r="AG220" s="27" t="s">
        <v>344</v>
      </c>
      <c r="AH220" s="27" t="s">
        <v>344</v>
      </c>
      <c r="AI220" s="27" t="s">
        <v>345</v>
      </c>
      <c r="AJ220" s="27" t="s">
        <v>344</v>
      </c>
      <c r="AK220" s="27" t="s">
        <v>344</v>
      </c>
      <c r="AL220" s="27" t="s">
        <v>345</v>
      </c>
      <c r="AM220" s="27" t="s">
        <v>344</v>
      </c>
      <c r="AN220" s="27" t="s">
        <v>344</v>
      </c>
      <c r="AO220" s="27" t="s">
        <v>344</v>
      </c>
      <c r="AP220" s="27" t="s">
        <v>344</v>
      </c>
      <c r="AQ220" s="27" t="s">
        <v>344</v>
      </c>
      <c r="AR220" s="27" t="s">
        <v>345</v>
      </c>
      <c r="AS220" s="27" t="s">
        <v>344</v>
      </c>
      <c r="AT220" s="27" t="s">
        <v>344</v>
      </c>
      <c r="AU220" s="27" t="s">
        <v>344</v>
      </c>
      <c r="AV220" s="27" t="s">
        <v>344</v>
      </c>
      <c r="AW220" s="27" t="s">
        <v>344</v>
      </c>
      <c r="AX220" s="27" t="s">
        <v>344</v>
      </c>
      <c r="AY220" s="27" t="s">
        <v>732</v>
      </c>
      <c r="AZ220" s="27" t="s">
        <v>731</v>
      </c>
      <c r="BA220" s="27" t="s">
        <v>733</v>
      </c>
      <c r="BB220" s="27" t="s">
        <v>733</v>
      </c>
      <c r="BC220" s="27" t="s">
        <v>733</v>
      </c>
      <c r="BD220" s="27" t="s">
        <v>731</v>
      </c>
      <c r="BE220" s="27" t="s">
        <v>349</v>
      </c>
      <c r="BF220" s="27" t="s">
        <v>350</v>
      </c>
      <c r="BG220" s="27" t="s">
        <v>348</v>
      </c>
      <c r="BH220" s="27" t="s">
        <v>390</v>
      </c>
      <c r="BI220" s="27" t="s">
        <v>348</v>
      </c>
      <c r="BJ220" s="27" t="s">
        <v>352</v>
      </c>
      <c r="BK220" s="27" t="s">
        <v>354</v>
      </c>
      <c r="BL220" s="27" t="s">
        <v>357</v>
      </c>
      <c r="BM220" s="27" t="s">
        <v>353</v>
      </c>
      <c r="BN220" s="27" t="s">
        <v>356</v>
      </c>
      <c r="BO220" s="27" t="s">
        <v>351</v>
      </c>
      <c r="BP220" s="27" t="s">
        <v>356</v>
      </c>
      <c r="BQ220" s="27" t="s">
        <v>358</v>
      </c>
      <c r="BR220" s="27" t="s">
        <v>1257</v>
      </c>
      <c r="BS220" s="27" t="s">
        <v>356</v>
      </c>
      <c r="BT220" s="27" t="s">
        <v>354</v>
      </c>
      <c r="BU220" s="27" t="s">
        <v>351</v>
      </c>
      <c r="BV220" s="27" t="s">
        <v>357</v>
      </c>
      <c r="BW220" s="27" t="s">
        <v>353</v>
      </c>
      <c r="BX220" s="27" t="s">
        <v>352</v>
      </c>
      <c r="BY220" s="27" t="s">
        <v>357</v>
      </c>
      <c r="BZ220" s="27" t="s">
        <v>354</v>
      </c>
      <c r="CA220" s="27" t="s">
        <v>354</v>
      </c>
      <c r="CB220" s="27" t="s">
        <v>357</v>
      </c>
      <c r="CC220" s="27" t="s">
        <v>354</v>
      </c>
      <c r="CD220" s="27" t="s">
        <v>353</v>
      </c>
      <c r="CE220" s="27" t="s">
        <v>351</v>
      </c>
      <c r="CF220" s="27" t="s">
        <v>354</v>
      </c>
      <c r="CG220" s="27" t="s">
        <v>392</v>
      </c>
      <c r="CH220" s="27" t="s">
        <v>421</v>
      </c>
      <c r="CI220" s="27" t="s">
        <v>420</v>
      </c>
      <c r="CJ220" s="27" t="s">
        <v>421</v>
      </c>
      <c r="CK220" s="27" t="s">
        <v>1305</v>
      </c>
      <c r="CL220" s="27" t="s">
        <v>344</v>
      </c>
      <c r="CM220" s="27" t="s">
        <v>344</v>
      </c>
      <c r="CN220" s="27" t="s">
        <v>344</v>
      </c>
      <c r="CO220" s="27" t="s">
        <v>345</v>
      </c>
      <c r="CP220" s="27" t="s">
        <v>345</v>
      </c>
      <c r="CQ220" s="27" t="s">
        <v>344</v>
      </c>
      <c r="CR220" s="27" t="s">
        <v>667</v>
      </c>
      <c r="CS220" s="27">
        <v>69</v>
      </c>
      <c r="CT220" s="27">
        <v>16</v>
      </c>
      <c r="CU220" s="27"/>
      <c r="CV220" s="27"/>
      <c r="CW220" s="27" t="s">
        <v>363</v>
      </c>
      <c r="CX220" s="27" t="s">
        <v>395</v>
      </c>
      <c r="CY220" s="27" t="s">
        <v>363</v>
      </c>
      <c r="CZ220" s="27" t="s">
        <v>397</v>
      </c>
      <c r="DA220" s="27" t="s">
        <v>365</v>
      </c>
      <c r="DB220" s="27" t="s">
        <v>366</v>
      </c>
      <c r="DC220" s="27" t="s">
        <v>366</v>
      </c>
      <c r="DD220" s="27" t="s">
        <v>366</v>
      </c>
      <c r="DE220" s="27"/>
      <c r="DF220" s="27"/>
      <c r="DG220" s="27"/>
      <c r="DH220" s="27"/>
      <c r="DI220" s="27"/>
      <c r="DJ220" s="27" t="s">
        <v>1306</v>
      </c>
      <c r="DK220" s="27" t="s">
        <v>344</v>
      </c>
      <c r="DL220" s="27" t="s">
        <v>368</v>
      </c>
      <c r="DM220" s="27" t="s">
        <v>368</v>
      </c>
      <c r="DN220" s="27" t="s">
        <v>368</v>
      </c>
      <c r="DO220" s="27" t="s">
        <v>368</v>
      </c>
      <c r="DP220" s="27" t="s">
        <v>344</v>
      </c>
      <c r="DQ220" s="27" t="s">
        <v>345</v>
      </c>
      <c r="DR220" s="27" t="s">
        <v>344</v>
      </c>
      <c r="DS220" s="27" t="s">
        <v>344</v>
      </c>
      <c r="DT220" s="27" t="s">
        <v>345</v>
      </c>
      <c r="DU220" s="27" t="s">
        <v>344</v>
      </c>
      <c r="DV220" s="27" t="s">
        <v>344</v>
      </c>
      <c r="DW220" s="27" t="s">
        <v>344</v>
      </c>
      <c r="DX220" s="27" t="s">
        <v>1258</v>
      </c>
      <c r="DY220" s="27" t="s">
        <v>1258</v>
      </c>
      <c r="DZ220" s="27" t="s">
        <v>1272</v>
      </c>
      <c r="EA220" s="27" t="s">
        <v>1258</v>
      </c>
      <c r="EB220" s="27" t="s">
        <v>1258</v>
      </c>
      <c r="EC220" s="27" t="s">
        <v>1258</v>
      </c>
      <c r="ED220" s="27" t="s">
        <v>1258</v>
      </c>
      <c r="EE220" s="27" t="s">
        <v>1273</v>
      </c>
      <c r="EF220" s="27" t="s">
        <v>1272</v>
      </c>
      <c r="EG220" s="27" t="s">
        <v>1274</v>
      </c>
      <c r="EH220" s="27" t="s">
        <v>1272</v>
      </c>
      <c r="EI220" s="27" t="s">
        <v>397</v>
      </c>
      <c r="EJ220" s="27" t="s">
        <v>1274</v>
      </c>
      <c r="EK220" s="27" t="s">
        <v>1273</v>
      </c>
      <c r="EL220" s="27" t="s">
        <v>1260</v>
      </c>
      <c r="EM220" s="27" t="s">
        <v>1276</v>
      </c>
      <c r="EN220" s="27" t="s">
        <v>1259</v>
      </c>
      <c r="EO220" s="27"/>
      <c r="EP220" s="27"/>
      <c r="EQ220" s="27" t="s">
        <v>1264</v>
      </c>
      <c r="ER220" s="27" t="s">
        <v>1263</v>
      </c>
      <c r="ES220" s="27" t="s">
        <v>1262</v>
      </c>
      <c r="ET220" s="27" t="s">
        <v>1264</v>
      </c>
      <c r="EU220" s="27" t="s">
        <v>1263</v>
      </c>
      <c r="EV220" s="27" t="s">
        <v>1265</v>
      </c>
      <c r="EW220" s="27"/>
      <c r="EX220" s="27" t="s">
        <v>368</v>
      </c>
      <c r="EY220" s="27" t="s">
        <v>368</v>
      </c>
      <c r="EZ220" s="27" t="s">
        <v>368</v>
      </c>
      <c r="FA220" s="27" t="s">
        <v>345</v>
      </c>
      <c r="FB220" s="27" t="s">
        <v>1266</v>
      </c>
      <c r="FC220" s="27"/>
      <c r="FD220" s="27" t="s">
        <v>1266</v>
      </c>
      <c r="FE220" s="27"/>
      <c r="FF220" s="27" t="s">
        <v>477</v>
      </c>
      <c r="FG220" s="27" t="s">
        <v>402</v>
      </c>
      <c r="FH220" s="27" t="s">
        <v>1293</v>
      </c>
      <c r="FI220" s="27" t="s">
        <v>1286</v>
      </c>
      <c r="FJ220" s="27"/>
      <c r="FK220" s="27"/>
      <c r="FL220" s="27"/>
      <c r="FM220" s="27"/>
      <c r="FN220" s="27"/>
      <c r="FO220" s="27"/>
      <c r="FP220" s="27"/>
      <c r="FQ220" s="27"/>
      <c r="FR220" s="27"/>
      <c r="FS220" s="27"/>
      <c r="FT220" s="27"/>
      <c r="FU220" s="27"/>
      <c r="FV220" s="27"/>
      <c r="FW220" s="27"/>
      <c r="FX220" s="27"/>
      <c r="FY220" s="27"/>
      <c r="FZ220" s="27"/>
      <c r="GA220" s="27" t="s">
        <v>368</v>
      </c>
      <c r="GB220" s="27" t="s">
        <v>368</v>
      </c>
      <c r="GC220" s="27" t="s">
        <v>368</v>
      </c>
      <c r="GD220" s="27" t="s">
        <v>368</v>
      </c>
      <c r="GE220" s="27" t="s">
        <v>368</v>
      </c>
      <c r="GF220" s="27" t="s">
        <v>368</v>
      </c>
      <c r="GG220" s="27"/>
      <c r="GH220" s="27"/>
      <c r="GI220" s="27"/>
      <c r="GJ220" s="27"/>
      <c r="GK220" s="27"/>
      <c r="GL220" s="27" t="s">
        <v>344</v>
      </c>
      <c r="GM220" s="27" t="s">
        <v>344</v>
      </c>
      <c r="GN220" s="27" t="s">
        <v>344</v>
      </c>
      <c r="GO220" s="27" t="s">
        <v>344</v>
      </c>
      <c r="GP220" s="27" t="s">
        <v>344</v>
      </c>
      <c r="GQ220" s="27" t="s">
        <v>344</v>
      </c>
      <c r="GR220" s="27" t="s">
        <v>344</v>
      </c>
      <c r="GS220" s="27" t="s">
        <v>344</v>
      </c>
      <c r="GT220" s="27" t="s">
        <v>345</v>
      </c>
      <c r="GU220" s="27" t="s">
        <v>344</v>
      </c>
      <c r="GV220" s="27" t="s">
        <v>344</v>
      </c>
      <c r="GW220" s="27" t="s">
        <v>344</v>
      </c>
      <c r="GX220" s="27" t="s">
        <v>344</v>
      </c>
      <c r="GY220" s="27" t="s">
        <v>345</v>
      </c>
      <c r="GZ220" s="27" t="s">
        <v>344</v>
      </c>
      <c r="HA220" s="27" t="s">
        <v>344</v>
      </c>
      <c r="HB220" s="27"/>
      <c r="HC220" s="27" t="s">
        <v>344</v>
      </c>
      <c r="HD220" s="27"/>
      <c r="HE220" s="27" t="s">
        <v>344</v>
      </c>
      <c r="HF220" s="27"/>
      <c r="HG220" s="27" t="s">
        <v>344</v>
      </c>
      <c r="HH220" s="27"/>
      <c r="HI220" s="27" t="s">
        <v>344</v>
      </c>
      <c r="HJ220" s="27"/>
      <c r="HK220" s="27" t="s">
        <v>345</v>
      </c>
      <c r="HL220" s="27" t="s">
        <v>344</v>
      </c>
      <c r="HM220" s="27" t="s">
        <v>344</v>
      </c>
      <c r="HN220" s="27" t="s">
        <v>345</v>
      </c>
      <c r="HO220" s="27" t="s">
        <v>344</v>
      </c>
      <c r="HP220" s="27" t="s">
        <v>344</v>
      </c>
      <c r="HQ220" s="27" t="s">
        <v>344</v>
      </c>
      <c r="HR220" s="27" t="s">
        <v>344</v>
      </c>
      <c r="HS220" s="27" t="s">
        <v>344</v>
      </c>
      <c r="HT220" s="27" t="s">
        <v>344</v>
      </c>
      <c r="HU220" s="27" t="s">
        <v>344</v>
      </c>
      <c r="HV220" s="27" t="s">
        <v>344</v>
      </c>
      <c r="HW220" s="27" t="s">
        <v>344</v>
      </c>
      <c r="HX220" s="27" t="s">
        <v>344</v>
      </c>
      <c r="HY220" s="27" t="s">
        <v>344</v>
      </c>
      <c r="HZ220" s="27" t="s">
        <v>344</v>
      </c>
      <c r="IA220" s="27" t="s">
        <v>345</v>
      </c>
      <c r="IB220" s="27" t="s">
        <v>344</v>
      </c>
      <c r="IC220" s="27" t="s">
        <v>344</v>
      </c>
      <c r="ID220" s="27"/>
      <c r="IE220" s="27" t="s">
        <v>344</v>
      </c>
      <c r="IF220" s="27"/>
      <c r="IG220" s="27" t="s">
        <v>344</v>
      </c>
      <c r="IH220" s="27"/>
      <c r="II220" s="27" t="s">
        <v>344</v>
      </c>
      <c r="IJ220" s="27"/>
      <c r="IK220" s="27" t="s">
        <v>344</v>
      </c>
      <c r="IL220" s="27"/>
      <c r="IM220" s="27" t="s">
        <v>345</v>
      </c>
      <c r="IN220" s="27" t="s">
        <v>345</v>
      </c>
      <c r="IO220" s="27" t="s">
        <v>345</v>
      </c>
      <c r="IP220" s="27" t="s">
        <v>344</v>
      </c>
      <c r="IQ220" s="27" t="s">
        <v>345</v>
      </c>
      <c r="IR220" s="27" t="s">
        <v>344</v>
      </c>
      <c r="IS220" s="27" t="s">
        <v>344</v>
      </c>
      <c r="IT220" s="27" t="s">
        <v>345</v>
      </c>
      <c r="IU220" s="27" t="s">
        <v>345</v>
      </c>
      <c r="IV220" s="27" t="s">
        <v>344</v>
      </c>
      <c r="IW220" s="27" t="s">
        <v>345</v>
      </c>
      <c r="IX220" s="27" t="s">
        <v>344</v>
      </c>
      <c r="IY220" s="27" t="s">
        <v>345</v>
      </c>
      <c r="IZ220" s="27" t="s">
        <v>344</v>
      </c>
      <c r="JA220" s="27"/>
      <c r="JB220" s="27" t="s">
        <v>1307</v>
      </c>
    </row>
    <row r="221" spans="1:268" x14ac:dyDescent="0.3">
      <c r="A221" s="26" t="s">
        <v>727</v>
      </c>
      <c r="B221" s="27">
        <v>156</v>
      </c>
      <c r="C221" s="27" t="s">
        <v>1308</v>
      </c>
      <c r="D221" s="27">
        <v>14</v>
      </c>
      <c r="E221" s="27" t="s">
        <v>387</v>
      </c>
      <c r="F221" s="27">
        <v>1073393827</v>
      </c>
      <c r="G221" s="27" t="s">
        <v>1304</v>
      </c>
      <c r="H221" s="27" t="s">
        <v>1308</v>
      </c>
      <c r="I221" s="27" t="s">
        <v>1254</v>
      </c>
      <c r="J221" s="27">
        <v>17</v>
      </c>
      <c r="K221" s="27" t="s">
        <v>1255</v>
      </c>
      <c r="L221" s="27"/>
      <c r="M221" s="27" t="s">
        <v>345</v>
      </c>
      <c r="N221" s="27" t="s">
        <v>345</v>
      </c>
      <c r="O221" s="27" t="s">
        <v>344</v>
      </c>
      <c r="P221" s="27" t="s">
        <v>344</v>
      </c>
      <c r="Q221" s="27" t="s">
        <v>344</v>
      </c>
      <c r="R221" s="27"/>
      <c r="S221" s="27" t="s">
        <v>475</v>
      </c>
      <c r="T221" s="27"/>
      <c r="U221" s="27" t="s">
        <v>1270</v>
      </c>
      <c r="V221" s="27"/>
      <c r="W221" s="27" t="s">
        <v>345</v>
      </c>
      <c r="X221" s="27" t="s">
        <v>345</v>
      </c>
      <c r="Y221" s="27" t="s">
        <v>344</v>
      </c>
      <c r="Z221" s="27" t="s">
        <v>344</v>
      </c>
      <c r="AA221" s="27" t="s">
        <v>344</v>
      </c>
      <c r="AB221" s="27" t="s">
        <v>344</v>
      </c>
      <c r="AC221" s="27" t="s">
        <v>344</v>
      </c>
      <c r="AD221" s="27" t="s">
        <v>344</v>
      </c>
      <c r="AE221" s="27" t="s">
        <v>345</v>
      </c>
      <c r="AF221" s="27" t="s">
        <v>344</v>
      </c>
      <c r="AG221" s="27" t="s">
        <v>344</v>
      </c>
      <c r="AH221" s="27" t="s">
        <v>344</v>
      </c>
      <c r="AI221" s="27" t="s">
        <v>345</v>
      </c>
      <c r="AJ221" s="27" t="s">
        <v>344</v>
      </c>
      <c r="AK221" s="27" t="s">
        <v>345</v>
      </c>
      <c r="AL221" s="27" t="s">
        <v>345</v>
      </c>
      <c r="AM221" s="27" t="s">
        <v>345</v>
      </c>
      <c r="AN221" s="27" t="s">
        <v>344</v>
      </c>
      <c r="AO221" s="27" t="s">
        <v>344</v>
      </c>
      <c r="AP221" s="27" t="s">
        <v>344</v>
      </c>
      <c r="AQ221" s="27" t="s">
        <v>344</v>
      </c>
      <c r="AR221" s="27" t="s">
        <v>345</v>
      </c>
      <c r="AS221" s="27" t="s">
        <v>345</v>
      </c>
      <c r="AT221" s="27" t="s">
        <v>344</v>
      </c>
      <c r="AU221" s="27" t="s">
        <v>345</v>
      </c>
      <c r="AV221" s="27" t="s">
        <v>344</v>
      </c>
      <c r="AW221" s="27" t="s">
        <v>345</v>
      </c>
      <c r="AX221" s="27" t="s">
        <v>344</v>
      </c>
      <c r="AY221" s="27" t="s">
        <v>731</v>
      </c>
      <c r="AZ221" s="27" t="s">
        <v>733</v>
      </c>
      <c r="BA221" s="27" t="s">
        <v>731</v>
      </c>
      <c r="BB221" s="27" t="s">
        <v>732</v>
      </c>
      <c r="BC221" s="27" t="s">
        <v>733</v>
      </c>
      <c r="BD221" s="27" t="s">
        <v>732</v>
      </c>
      <c r="BE221" s="27" t="s">
        <v>348</v>
      </c>
      <c r="BF221" s="27" t="s">
        <v>350</v>
      </c>
      <c r="BG221" s="27" t="s">
        <v>349</v>
      </c>
      <c r="BH221" s="27" t="s">
        <v>349</v>
      </c>
      <c r="BI221" s="27" t="s">
        <v>350</v>
      </c>
      <c r="BJ221" s="27" t="s">
        <v>357</v>
      </c>
      <c r="BK221" s="27" t="s">
        <v>355</v>
      </c>
      <c r="BL221" s="27" t="s">
        <v>351</v>
      </c>
      <c r="BM221" s="27" t="s">
        <v>356</v>
      </c>
      <c r="BN221" s="27" t="s">
        <v>353</v>
      </c>
      <c r="BO221" s="27" t="s">
        <v>354</v>
      </c>
      <c r="BP221" s="27" t="s">
        <v>352</v>
      </c>
      <c r="BQ221" s="27" t="s">
        <v>358</v>
      </c>
      <c r="BR221" s="27" t="s">
        <v>1257</v>
      </c>
      <c r="BS221" s="27" t="s">
        <v>354</v>
      </c>
      <c r="BT221" s="27" t="s">
        <v>355</v>
      </c>
      <c r="BU221" s="27" t="s">
        <v>353</v>
      </c>
      <c r="BV221" s="27" t="s">
        <v>352</v>
      </c>
      <c r="BW221" s="27" t="s">
        <v>356</v>
      </c>
      <c r="BX221" s="27" t="s">
        <v>351</v>
      </c>
      <c r="BY221" s="27" t="s">
        <v>357</v>
      </c>
      <c r="BZ221" s="27" t="s">
        <v>355</v>
      </c>
      <c r="CA221" s="27" t="s">
        <v>353</v>
      </c>
      <c r="CB221" s="27" t="s">
        <v>357</v>
      </c>
      <c r="CC221" s="27" t="s">
        <v>356</v>
      </c>
      <c r="CD221" s="27" t="s">
        <v>354</v>
      </c>
      <c r="CE221" s="27" t="s">
        <v>352</v>
      </c>
      <c r="CF221" s="27" t="s">
        <v>351</v>
      </c>
      <c r="CG221" s="27" t="s">
        <v>393</v>
      </c>
      <c r="CH221" s="27" t="s">
        <v>392</v>
      </c>
      <c r="CI221" s="27" t="s">
        <v>420</v>
      </c>
      <c r="CJ221" s="27" t="s">
        <v>392</v>
      </c>
      <c r="CK221" s="27" t="s">
        <v>1309</v>
      </c>
      <c r="CL221" s="27" t="s">
        <v>344</v>
      </c>
      <c r="CM221" s="27" t="s">
        <v>345</v>
      </c>
      <c r="CN221" s="27" t="s">
        <v>344</v>
      </c>
      <c r="CO221" s="27" t="s">
        <v>344</v>
      </c>
      <c r="CP221" s="27" t="s">
        <v>344</v>
      </c>
      <c r="CQ221" s="27" t="s">
        <v>344</v>
      </c>
      <c r="CR221" s="27" t="s">
        <v>655</v>
      </c>
      <c r="CS221" s="27">
        <v>35</v>
      </c>
      <c r="CT221" s="27">
        <v>90</v>
      </c>
      <c r="CU221" s="27">
        <v>63</v>
      </c>
      <c r="CV221" s="27">
        <v>40</v>
      </c>
      <c r="CW221" s="27" t="s">
        <v>363</v>
      </c>
      <c r="CX221" s="27" t="s">
        <v>364</v>
      </c>
      <c r="CY221" s="27" t="s">
        <v>395</v>
      </c>
      <c r="CZ221" s="27" t="s">
        <v>397</v>
      </c>
      <c r="DA221" s="27" t="s">
        <v>397</v>
      </c>
      <c r="DB221" s="27" t="s">
        <v>397</v>
      </c>
      <c r="DC221" s="27" t="s">
        <v>717</v>
      </c>
      <c r="DD221" s="27" t="s">
        <v>397</v>
      </c>
      <c r="DE221" s="27" t="s">
        <v>397</v>
      </c>
      <c r="DF221" s="27" t="s">
        <v>397</v>
      </c>
      <c r="DG221" s="27" t="s">
        <v>397</v>
      </c>
      <c r="DH221" s="27" t="s">
        <v>717</v>
      </c>
      <c r="DI221" s="27" t="s">
        <v>397</v>
      </c>
      <c r="DJ221" s="27"/>
      <c r="DK221" s="27" t="s">
        <v>344</v>
      </c>
      <c r="DL221" s="27" t="s">
        <v>368</v>
      </c>
      <c r="DM221" s="27" t="s">
        <v>368</v>
      </c>
      <c r="DN221" s="27" t="s">
        <v>368</v>
      </c>
      <c r="DO221" s="27" t="s">
        <v>368</v>
      </c>
      <c r="DP221" s="27" t="s">
        <v>368</v>
      </c>
      <c r="DQ221" s="27" t="s">
        <v>368</v>
      </c>
      <c r="DR221" s="27" t="s">
        <v>368</v>
      </c>
      <c r="DS221" s="27" t="s">
        <v>345</v>
      </c>
      <c r="DT221" s="27" t="s">
        <v>368</v>
      </c>
      <c r="DU221" s="27" t="s">
        <v>368</v>
      </c>
      <c r="DV221" s="27" t="s">
        <v>368</v>
      </c>
      <c r="DW221" s="27" t="s">
        <v>345</v>
      </c>
      <c r="DX221" s="27" t="s">
        <v>1258</v>
      </c>
      <c r="DY221" s="27" t="s">
        <v>1258</v>
      </c>
      <c r="DZ221" s="27" t="s">
        <v>1258</v>
      </c>
      <c r="EA221" s="27" t="s">
        <v>1258</v>
      </c>
      <c r="EB221" s="27" t="s">
        <v>1258</v>
      </c>
      <c r="EC221" s="27" t="s">
        <v>397</v>
      </c>
      <c r="ED221" s="27" t="s">
        <v>1258</v>
      </c>
      <c r="EE221" s="27" t="s">
        <v>1258</v>
      </c>
      <c r="EF221" s="27" t="s">
        <v>1258</v>
      </c>
      <c r="EG221" s="27" t="s">
        <v>1272</v>
      </c>
      <c r="EH221" s="27" t="s">
        <v>1258</v>
      </c>
      <c r="EI221" s="27" t="s">
        <v>1258</v>
      </c>
      <c r="EJ221" s="27" t="s">
        <v>1272</v>
      </c>
      <c r="EK221" s="27" t="s">
        <v>1272</v>
      </c>
      <c r="EL221" s="27" t="s">
        <v>1276</v>
      </c>
      <c r="EM221" s="27" t="s">
        <v>1275</v>
      </c>
      <c r="EN221" s="27" t="s">
        <v>1259</v>
      </c>
      <c r="EO221" s="27"/>
      <c r="EP221" s="27"/>
      <c r="EQ221" s="27" t="s">
        <v>1263</v>
      </c>
      <c r="ER221" s="27" t="s">
        <v>1264</v>
      </c>
      <c r="ES221" s="27" t="s">
        <v>1264</v>
      </c>
      <c r="ET221" s="27" t="s">
        <v>1264</v>
      </c>
      <c r="EU221" s="27" t="s">
        <v>1277</v>
      </c>
      <c r="EV221" s="27" t="s">
        <v>1265</v>
      </c>
      <c r="EW221" s="27"/>
      <c r="EX221" s="27" t="s">
        <v>368</v>
      </c>
      <c r="EY221" s="27" t="s">
        <v>368</v>
      </c>
      <c r="EZ221" s="27" t="s">
        <v>368</v>
      </c>
      <c r="FA221" s="27" t="s">
        <v>345</v>
      </c>
      <c r="FB221" s="27" t="s">
        <v>1266</v>
      </c>
      <c r="FC221" s="27"/>
      <c r="FD221" s="27" t="s">
        <v>1266</v>
      </c>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t="s">
        <v>368</v>
      </c>
      <c r="GB221" s="27" t="s">
        <v>368</v>
      </c>
      <c r="GC221" s="27" t="s">
        <v>368</v>
      </c>
      <c r="GD221" s="27" t="s">
        <v>368</v>
      </c>
      <c r="GE221" s="27" t="s">
        <v>368</v>
      </c>
      <c r="GF221" s="27" t="s">
        <v>368</v>
      </c>
      <c r="GG221" s="27"/>
      <c r="GH221" s="27"/>
      <c r="GI221" s="27"/>
      <c r="GJ221" s="27"/>
      <c r="GK221" s="27"/>
      <c r="GL221" s="27" t="s">
        <v>344</v>
      </c>
      <c r="GM221" s="27" t="s">
        <v>344</v>
      </c>
      <c r="GN221" s="27" t="s">
        <v>344</v>
      </c>
      <c r="GO221" s="27" t="s">
        <v>344</v>
      </c>
      <c r="GP221" s="27" t="s">
        <v>344</v>
      </c>
      <c r="GQ221" s="27" t="s">
        <v>344</v>
      </c>
      <c r="GR221" s="27" t="s">
        <v>344</v>
      </c>
      <c r="GS221" s="27" t="s">
        <v>344</v>
      </c>
      <c r="GT221" s="27" t="s">
        <v>344</v>
      </c>
      <c r="GU221" s="27" t="s">
        <v>344</v>
      </c>
      <c r="GV221" s="27" t="s">
        <v>344</v>
      </c>
      <c r="GW221" s="27" t="s">
        <v>344</v>
      </c>
      <c r="GX221" s="27" t="s">
        <v>344</v>
      </c>
      <c r="GY221" s="27" t="s">
        <v>344</v>
      </c>
      <c r="GZ221" s="27" t="s">
        <v>344</v>
      </c>
      <c r="HA221" s="27" t="s">
        <v>345</v>
      </c>
      <c r="HB221" s="27"/>
      <c r="HC221" s="27" t="s">
        <v>344</v>
      </c>
      <c r="HD221" s="27"/>
      <c r="HE221" s="27" t="s">
        <v>344</v>
      </c>
      <c r="HF221" s="27"/>
      <c r="HG221" s="27" t="s">
        <v>344</v>
      </c>
      <c r="HH221" s="27"/>
      <c r="HI221" s="27" t="s">
        <v>344</v>
      </c>
      <c r="HJ221" s="27"/>
      <c r="HK221" s="27" t="s">
        <v>344</v>
      </c>
      <c r="HL221" s="27" t="s">
        <v>344</v>
      </c>
      <c r="HM221" s="27" t="s">
        <v>344</v>
      </c>
      <c r="HN221" s="27" t="s">
        <v>344</v>
      </c>
      <c r="HO221" s="27" t="s">
        <v>344</v>
      </c>
      <c r="HP221" s="27" t="s">
        <v>344</v>
      </c>
      <c r="HQ221" s="27" t="s">
        <v>344</v>
      </c>
      <c r="HR221" s="27" t="s">
        <v>344</v>
      </c>
      <c r="HS221" s="27" t="s">
        <v>344</v>
      </c>
      <c r="HT221" s="27" t="s">
        <v>344</v>
      </c>
      <c r="HU221" s="27" t="s">
        <v>344</v>
      </c>
      <c r="HV221" s="27" t="s">
        <v>344</v>
      </c>
      <c r="HW221" s="27" t="s">
        <v>344</v>
      </c>
      <c r="HX221" s="27" t="s">
        <v>344</v>
      </c>
      <c r="HY221" s="27" t="s">
        <v>344</v>
      </c>
      <c r="HZ221" s="27" t="s">
        <v>344</v>
      </c>
      <c r="IA221" s="27" t="s">
        <v>344</v>
      </c>
      <c r="IB221" s="27" t="s">
        <v>344</v>
      </c>
      <c r="IC221" s="27" t="s">
        <v>345</v>
      </c>
      <c r="ID221" s="27"/>
      <c r="IE221" s="27" t="s">
        <v>344</v>
      </c>
      <c r="IF221" s="27"/>
      <c r="IG221" s="27" t="s">
        <v>344</v>
      </c>
      <c r="IH221" s="27"/>
      <c r="II221" s="27" t="s">
        <v>344</v>
      </c>
      <c r="IJ221" s="27"/>
      <c r="IK221" s="27" t="s">
        <v>344</v>
      </c>
      <c r="IL221" s="27"/>
      <c r="IM221" s="27" t="s">
        <v>344</v>
      </c>
      <c r="IN221" s="27" t="s">
        <v>344</v>
      </c>
      <c r="IO221" s="27" t="s">
        <v>344</v>
      </c>
      <c r="IP221" s="27" t="s">
        <v>344</v>
      </c>
      <c r="IQ221" s="27" t="s">
        <v>345</v>
      </c>
      <c r="IR221" s="27" t="s">
        <v>344</v>
      </c>
      <c r="IS221" s="27" t="s">
        <v>344</v>
      </c>
      <c r="IT221" s="27" t="s">
        <v>344</v>
      </c>
      <c r="IU221" s="27" t="s">
        <v>344</v>
      </c>
      <c r="IV221" s="27" t="s">
        <v>344</v>
      </c>
      <c r="IW221" s="27" t="s">
        <v>345</v>
      </c>
      <c r="IX221" s="27" t="s">
        <v>344</v>
      </c>
      <c r="IY221" s="27" t="s">
        <v>344</v>
      </c>
      <c r="IZ221" s="27" t="s">
        <v>344</v>
      </c>
      <c r="JA221" s="27"/>
      <c r="JB221" s="27"/>
    </row>
    <row r="222" spans="1:268" x14ac:dyDescent="0.3">
      <c r="A222" s="26" t="s">
        <v>727</v>
      </c>
      <c r="B222" s="27">
        <v>157</v>
      </c>
      <c r="C222" s="27" t="s">
        <v>1310</v>
      </c>
      <c r="D222" s="27">
        <v>14</v>
      </c>
      <c r="E222" s="27" t="s">
        <v>340</v>
      </c>
      <c r="F222" s="27">
        <v>1302742803</v>
      </c>
      <c r="G222" s="27" t="s">
        <v>1311</v>
      </c>
      <c r="H222" s="27" t="s">
        <v>1310</v>
      </c>
      <c r="I222" s="27" t="s">
        <v>1290</v>
      </c>
      <c r="J222" s="27">
        <v>17</v>
      </c>
      <c r="K222" s="27" t="s">
        <v>1255</v>
      </c>
      <c r="L222" s="27"/>
      <c r="M222" s="27" t="s">
        <v>345</v>
      </c>
      <c r="N222" s="27" t="s">
        <v>345</v>
      </c>
      <c r="O222" s="27" t="s">
        <v>344</v>
      </c>
      <c r="P222" s="27" t="s">
        <v>344</v>
      </c>
      <c r="Q222" s="27" t="s">
        <v>344</v>
      </c>
      <c r="R222" s="27"/>
      <c r="S222" s="27" t="s">
        <v>475</v>
      </c>
      <c r="T222" s="27"/>
      <c r="U222" s="27" t="s">
        <v>1256</v>
      </c>
      <c r="V222" s="27"/>
      <c r="W222" s="27" t="s">
        <v>344</v>
      </c>
      <c r="X222" s="27" t="s">
        <v>345</v>
      </c>
      <c r="Y222" s="27" t="s">
        <v>344</v>
      </c>
      <c r="Z222" s="27" t="s">
        <v>344</v>
      </c>
      <c r="AA222" s="27" t="s">
        <v>344</v>
      </c>
      <c r="AB222" s="27" t="s">
        <v>344</v>
      </c>
      <c r="AC222" s="27" t="s">
        <v>344</v>
      </c>
      <c r="AD222" s="27" t="s">
        <v>345</v>
      </c>
      <c r="AE222" s="27" t="s">
        <v>345</v>
      </c>
      <c r="AF222" s="27" t="s">
        <v>344</v>
      </c>
      <c r="AG222" s="27" t="s">
        <v>344</v>
      </c>
      <c r="AH222" s="27" t="s">
        <v>345</v>
      </c>
      <c r="AI222" s="27" t="s">
        <v>344</v>
      </c>
      <c r="AJ222" s="27" t="s">
        <v>344</v>
      </c>
      <c r="AK222" s="27" t="s">
        <v>344</v>
      </c>
      <c r="AL222" s="27" t="s">
        <v>345</v>
      </c>
      <c r="AM222" s="27" t="s">
        <v>344</v>
      </c>
      <c r="AN222" s="27" t="s">
        <v>344</v>
      </c>
      <c r="AO222" s="27" t="s">
        <v>344</v>
      </c>
      <c r="AP222" s="27" t="s">
        <v>344</v>
      </c>
      <c r="AQ222" s="27" t="s">
        <v>344</v>
      </c>
      <c r="AR222" s="27" t="s">
        <v>344</v>
      </c>
      <c r="AS222" s="27" t="s">
        <v>345</v>
      </c>
      <c r="AT222" s="27" t="s">
        <v>345</v>
      </c>
      <c r="AU222" s="27" t="s">
        <v>345</v>
      </c>
      <c r="AV222" s="27" t="s">
        <v>345</v>
      </c>
      <c r="AW222" s="27" t="s">
        <v>345</v>
      </c>
      <c r="AX222" s="27" t="s">
        <v>344</v>
      </c>
      <c r="AY222" s="27" t="s">
        <v>732</v>
      </c>
      <c r="AZ222" s="27" t="s">
        <v>731</v>
      </c>
      <c r="BA222" s="27" t="s">
        <v>732</v>
      </c>
      <c r="BB222" s="27" t="s">
        <v>731</v>
      </c>
      <c r="BC222" s="27" t="s">
        <v>733</v>
      </c>
      <c r="BD222" s="27" t="s">
        <v>732</v>
      </c>
      <c r="BE222" s="27" t="s">
        <v>390</v>
      </c>
      <c r="BF222" s="27" t="s">
        <v>350</v>
      </c>
      <c r="BG222" s="27" t="s">
        <v>390</v>
      </c>
      <c r="BH222" s="27" t="s">
        <v>390</v>
      </c>
      <c r="BI222" s="27" t="s">
        <v>390</v>
      </c>
      <c r="BJ222" s="27" t="s">
        <v>356</v>
      </c>
      <c r="BK222" s="27" t="s">
        <v>355</v>
      </c>
      <c r="BL222" s="27" t="s">
        <v>353</v>
      </c>
      <c r="BM222" s="27" t="s">
        <v>352</v>
      </c>
      <c r="BN222" s="27" t="s">
        <v>351</v>
      </c>
      <c r="BO222" s="27" t="s">
        <v>357</v>
      </c>
      <c r="BP222" s="27" t="s">
        <v>354</v>
      </c>
      <c r="BQ222" s="27" t="s">
        <v>358</v>
      </c>
      <c r="BR222" s="27" t="s">
        <v>1257</v>
      </c>
      <c r="BS222" s="27" t="s">
        <v>355</v>
      </c>
      <c r="BT222" s="27" t="s">
        <v>351</v>
      </c>
      <c r="BU222" s="27" t="s">
        <v>356</v>
      </c>
      <c r="BV222" s="27" t="s">
        <v>353</v>
      </c>
      <c r="BW222" s="27" t="s">
        <v>354</v>
      </c>
      <c r="BX222" s="27" t="s">
        <v>357</v>
      </c>
      <c r="BY222" s="27" t="s">
        <v>352</v>
      </c>
      <c r="BZ222" s="27" t="s">
        <v>357</v>
      </c>
      <c r="CA222" s="27" t="s">
        <v>354</v>
      </c>
      <c r="CB222" s="27" t="s">
        <v>353</v>
      </c>
      <c r="CC222" s="27" t="s">
        <v>391</v>
      </c>
      <c r="CD222" s="27" t="s">
        <v>391</v>
      </c>
      <c r="CE222" s="27" t="s">
        <v>351</v>
      </c>
      <c r="CF222" s="27" t="s">
        <v>391</v>
      </c>
      <c r="CG222" s="27" t="s">
        <v>420</v>
      </c>
      <c r="CH222" s="27" t="s">
        <v>392</v>
      </c>
      <c r="CI222" s="27" t="s">
        <v>392</v>
      </c>
      <c r="CJ222" s="27" t="s">
        <v>393</v>
      </c>
      <c r="CK222" s="27" t="s">
        <v>510</v>
      </c>
      <c r="CL222" s="27" t="s">
        <v>344</v>
      </c>
      <c r="CM222" s="27" t="s">
        <v>344</v>
      </c>
      <c r="CN222" s="27" t="s">
        <v>344</v>
      </c>
      <c r="CO222" s="27" t="s">
        <v>344</v>
      </c>
      <c r="CP222" s="27" t="s">
        <v>345</v>
      </c>
      <c r="CQ222" s="27" t="s">
        <v>344</v>
      </c>
      <c r="CR222" s="27" t="s">
        <v>672</v>
      </c>
      <c r="CS222" s="27">
        <v>1</v>
      </c>
      <c r="CT222" s="27">
        <v>50</v>
      </c>
      <c r="CU222" s="27">
        <v>100</v>
      </c>
      <c r="CV222" s="27">
        <v>27</v>
      </c>
      <c r="CW222" s="27" t="s">
        <v>395</v>
      </c>
      <c r="CX222" s="27" t="s">
        <v>396</v>
      </c>
      <c r="CY222" s="27" t="s">
        <v>396</v>
      </c>
      <c r="CZ222" s="27" t="s">
        <v>717</v>
      </c>
      <c r="DA222" s="27" t="s">
        <v>397</v>
      </c>
      <c r="DB222" s="27" t="s">
        <v>397</v>
      </c>
      <c r="DC222" s="27" t="s">
        <v>717</v>
      </c>
      <c r="DD222" s="27" t="s">
        <v>366</v>
      </c>
      <c r="DE222" s="27" t="s">
        <v>397</v>
      </c>
      <c r="DF222" s="27" t="s">
        <v>397</v>
      </c>
      <c r="DG222" s="27" t="s">
        <v>397</v>
      </c>
      <c r="DH222" s="27" t="s">
        <v>397</v>
      </c>
      <c r="DI222" s="27" t="s">
        <v>397</v>
      </c>
      <c r="DJ222" s="27" t="s">
        <v>1312</v>
      </c>
      <c r="DK222" s="27" t="s">
        <v>344</v>
      </c>
      <c r="DL222" s="27" t="s">
        <v>368</v>
      </c>
      <c r="DM222" s="27" t="s">
        <v>368</v>
      </c>
      <c r="DN222" s="27" t="s">
        <v>368</v>
      </c>
      <c r="DO222" s="27" t="s">
        <v>368</v>
      </c>
      <c r="DP222" s="27" t="s">
        <v>345</v>
      </c>
      <c r="DQ222" s="27" t="s">
        <v>344</v>
      </c>
      <c r="DR222" s="27" t="s">
        <v>345</v>
      </c>
      <c r="DS222" s="27" t="s">
        <v>344</v>
      </c>
      <c r="DT222" s="27" t="s">
        <v>345</v>
      </c>
      <c r="DU222" s="27" t="s">
        <v>344</v>
      </c>
      <c r="DV222" s="27" t="s">
        <v>344</v>
      </c>
      <c r="DW222" s="27" t="s">
        <v>344</v>
      </c>
      <c r="DX222" s="27" t="s">
        <v>397</v>
      </c>
      <c r="DY222" s="27" t="s">
        <v>1258</v>
      </c>
      <c r="DZ222" s="27" t="s">
        <v>1258</v>
      </c>
      <c r="EA222" s="27" t="s">
        <v>1258</v>
      </c>
      <c r="EB222" s="27" t="s">
        <v>1258</v>
      </c>
      <c r="EC222" s="27" t="s">
        <v>1258</v>
      </c>
      <c r="ED222" s="27" t="s">
        <v>1258</v>
      </c>
      <c r="EE222" s="27" t="s">
        <v>1258</v>
      </c>
      <c r="EF222" s="27" t="s">
        <v>1258</v>
      </c>
      <c r="EG222" s="27" t="s">
        <v>1258</v>
      </c>
      <c r="EH222" s="27" t="s">
        <v>1258</v>
      </c>
      <c r="EI222" s="27" t="s">
        <v>1258</v>
      </c>
      <c r="EJ222" s="27" t="s">
        <v>1258</v>
      </c>
      <c r="EK222" s="27" t="s">
        <v>1272</v>
      </c>
      <c r="EL222" s="27" t="s">
        <v>1276</v>
      </c>
      <c r="EM222" s="27" t="s">
        <v>1275</v>
      </c>
      <c r="EN222" s="27" t="s">
        <v>1261</v>
      </c>
      <c r="EO222" s="27"/>
      <c r="EP222" s="27"/>
      <c r="EQ222" s="27" t="s">
        <v>1277</v>
      </c>
      <c r="ER222" s="27" t="s">
        <v>1278</v>
      </c>
      <c r="ES222" s="27" t="s">
        <v>1278</v>
      </c>
      <c r="ET222" s="27" t="s">
        <v>1278</v>
      </c>
      <c r="EU222" s="27" t="s">
        <v>1278</v>
      </c>
      <c r="EV222" s="27" t="s">
        <v>400</v>
      </c>
      <c r="EW222" s="27"/>
      <c r="EX222" s="27" t="s">
        <v>368</v>
      </c>
      <c r="EY222" s="27" t="s">
        <v>368</v>
      </c>
      <c r="EZ222" s="27" t="s">
        <v>368</v>
      </c>
      <c r="FA222" s="27" t="s">
        <v>345</v>
      </c>
      <c r="FB222" s="27" t="s">
        <v>1300</v>
      </c>
      <c r="FC222" s="27"/>
      <c r="FD222" s="27" t="s">
        <v>1300</v>
      </c>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t="s">
        <v>368</v>
      </c>
      <c r="GB222" s="27" t="s">
        <v>368</v>
      </c>
      <c r="GC222" s="27" t="s">
        <v>368</v>
      </c>
      <c r="GD222" s="27" t="s">
        <v>368</v>
      </c>
      <c r="GE222" s="27" t="s">
        <v>368</v>
      </c>
      <c r="GF222" s="27" t="s">
        <v>368</v>
      </c>
      <c r="GG222" s="27"/>
      <c r="GH222" s="27"/>
      <c r="GI222" s="27"/>
      <c r="GJ222" s="27"/>
      <c r="GK222" s="27"/>
      <c r="GL222" s="27" t="s">
        <v>344</v>
      </c>
      <c r="GM222" s="27" t="s">
        <v>344</v>
      </c>
      <c r="GN222" s="27" t="s">
        <v>344</v>
      </c>
      <c r="GO222" s="27" t="s">
        <v>344</v>
      </c>
      <c r="GP222" s="27" t="s">
        <v>344</v>
      </c>
      <c r="GQ222" s="27" t="s">
        <v>344</v>
      </c>
      <c r="GR222" s="27" t="s">
        <v>344</v>
      </c>
      <c r="GS222" s="27" t="s">
        <v>344</v>
      </c>
      <c r="GT222" s="27" t="s">
        <v>344</v>
      </c>
      <c r="GU222" s="27" t="s">
        <v>344</v>
      </c>
      <c r="GV222" s="27" t="s">
        <v>344</v>
      </c>
      <c r="GW222" s="27" t="s">
        <v>345</v>
      </c>
      <c r="GX222" s="27" t="s">
        <v>344</v>
      </c>
      <c r="GY222" s="27" t="s">
        <v>344</v>
      </c>
      <c r="GZ222" s="27" t="s">
        <v>344</v>
      </c>
      <c r="HA222" s="27" t="s">
        <v>345</v>
      </c>
      <c r="HB222" s="27"/>
      <c r="HC222" s="27" t="s">
        <v>344</v>
      </c>
      <c r="HD222" s="27"/>
      <c r="HE222" s="27" t="s">
        <v>344</v>
      </c>
      <c r="HF222" s="27"/>
      <c r="HG222" s="27" t="s">
        <v>344</v>
      </c>
      <c r="HH222" s="27"/>
      <c r="HI222" s="27" t="s">
        <v>344</v>
      </c>
      <c r="HJ222" s="27"/>
      <c r="HK222" s="27" t="s">
        <v>344</v>
      </c>
      <c r="HL222" s="27" t="s">
        <v>344</v>
      </c>
      <c r="HM222" s="27" t="s">
        <v>344</v>
      </c>
      <c r="HN222" s="27" t="s">
        <v>344</v>
      </c>
      <c r="HO222" s="27" t="s">
        <v>344</v>
      </c>
      <c r="HP222" s="27" t="s">
        <v>344</v>
      </c>
      <c r="HQ222" s="27" t="s">
        <v>344</v>
      </c>
      <c r="HR222" s="27" t="s">
        <v>344</v>
      </c>
      <c r="HS222" s="27" t="s">
        <v>344</v>
      </c>
      <c r="HT222" s="27" t="s">
        <v>344</v>
      </c>
      <c r="HU222" s="27" t="s">
        <v>344</v>
      </c>
      <c r="HV222" s="27" t="s">
        <v>344</v>
      </c>
      <c r="HW222" s="27" t="s">
        <v>344</v>
      </c>
      <c r="HX222" s="27" t="s">
        <v>344</v>
      </c>
      <c r="HY222" s="27" t="s">
        <v>344</v>
      </c>
      <c r="HZ222" s="27" t="s">
        <v>344</v>
      </c>
      <c r="IA222" s="27" t="s">
        <v>345</v>
      </c>
      <c r="IB222" s="27" t="s">
        <v>344</v>
      </c>
      <c r="IC222" s="27" t="s">
        <v>344</v>
      </c>
      <c r="ID222" s="27"/>
      <c r="IE222" s="27" t="s">
        <v>344</v>
      </c>
      <c r="IF222" s="27"/>
      <c r="IG222" s="27" t="s">
        <v>344</v>
      </c>
      <c r="IH222" s="27"/>
      <c r="II222" s="27" t="s">
        <v>344</v>
      </c>
      <c r="IJ222" s="27"/>
      <c r="IK222" s="27" t="s">
        <v>344</v>
      </c>
      <c r="IL222" s="27"/>
      <c r="IM222" s="27" t="s">
        <v>344</v>
      </c>
      <c r="IN222" s="27" t="s">
        <v>345</v>
      </c>
      <c r="IO222" s="27" t="s">
        <v>344</v>
      </c>
      <c r="IP222" s="27" t="s">
        <v>344</v>
      </c>
      <c r="IQ222" s="27" t="s">
        <v>345</v>
      </c>
      <c r="IR222" s="27" t="s">
        <v>345</v>
      </c>
      <c r="IS222" s="27" t="s">
        <v>344</v>
      </c>
      <c r="IT222" s="27" t="s">
        <v>345</v>
      </c>
      <c r="IU222" s="27" t="s">
        <v>344</v>
      </c>
      <c r="IV222" s="27" t="s">
        <v>344</v>
      </c>
      <c r="IW222" s="27" t="s">
        <v>345</v>
      </c>
      <c r="IX222" s="27" t="s">
        <v>344</v>
      </c>
      <c r="IY222" s="27" t="s">
        <v>345</v>
      </c>
      <c r="IZ222" s="27" t="s">
        <v>344</v>
      </c>
      <c r="JA222" s="27"/>
      <c r="JB222" s="27"/>
    </row>
    <row r="223" spans="1:268" x14ac:dyDescent="0.3">
      <c r="A223" s="26" t="s">
        <v>727</v>
      </c>
      <c r="B223" s="27">
        <v>158</v>
      </c>
      <c r="C223" s="27" t="s">
        <v>1313</v>
      </c>
      <c r="D223" s="27">
        <v>14</v>
      </c>
      <c r="E223" s="27" t="s">
        <v>387</v>
      </c>
      <c r="F223" s="27">
        <v>1787296331</v>
      </c>
      <c r="G223" s="27" t="s">
        <v>1314</v>
      </c>
      <c r="H223" s="27" t="s">
        <v>1313</v>
      </c>
      <c r="I223" s="27" t="s">
        <v>1254</v>
      </c>
      <c r="J223" s="27">
        <v>17</v>
      </c>
      <c r="K223" s="27" t="s">
        <v>1255</v>
      </c>
      <c r="L223" s="27"/>
      <c r="M223" s="27" t="s">
        <v>345</v>
      </c>
      <c r="N223" s="27" t="s">
        <v>344</v>
      </c>
      <c r="O223" s="27" t="s">
        <v>344</v>
      </c>
      <c r="P223" s="27" t="s">
        <v>344</v>
      </c>
      <c r="Q223" s="27" t="s">
        <v>344</v>
      </c>
      <c r="R223" s="27"/>
      <c r="S223" s="27" t="s">
        <v>475</v>
      </c>
      <c r="T223" s="27"/>
      <c r="U223" s="27" t="s">
        <v>1256</v>
      </c>
      <c r="V223" s="27"/>
      <c r="W223" s="27" t="s">
        <v>345</v>
      </c>
      <c r="X223" s="27" t="s">
        <v>345</v>
      </c>
      <c r="Y223" s="27" t="s">
        <v>344</v>
      </c>
      <c r="Z223" s="27" t="s">
        <v>344</v>
      </c>
      <c r="AA223" s="27" t="s">
        <v>344</v>
      </c>
      <c r="AB223" s="27" t="s">
        <v>344</v>
      </c>
      <c r="AC223" s="27" t="s">
        <v>344</v>
      </c>
      <c r="AD223" s="27" t="s">
        <v>345</v>
      </c>
      <c r="AE223" s="27" t="s">
        <v>345</v>
      </c>
      <c r="AF223" s="27" t="s">
        <v>344</v>
      </c>
      <c r="AG223" s="27" t="s">
        <v>344</v>
      </c>
      <c r="AH223" s="27" t="s">
        <v>345</v>
      </c>
      <c r="AI223" s="27" t="s">
        <v>344</v>
      </c>
      <c r="AJ223" s="27" t="s">
        <v>344</v>
      </c>
      <c r="AK223" s="27" t="s">
        <v>345</v>
      </c>
      <c r="AL223" s="27" t="s">
        <v>345</v>
      </c>
      <c r="AM223" s="27" t="s">
        <v>344</v>
      </c>
      <c r="AN223" s="27" t="s">
        <v>344</v>
      </c>
      <c r="AO223" s="27" t="s">
        <v>344</v>
      </c>
      <c r="AP223" s="27" t="s">
        <v>344</v>
      </c>
      <c r="AQ223" s="27" t="s">
        <v>344</v>
      </c>
      <c r="AR223" s="27" t="s">
        <v>345</v>
      </c>
      <c r="AS223" s="27" t="s">
        <v>344</v>
      </c>
      <c r="AT223" s="27" t="s">
        <v>345</v>
      </c>
      <c r="AU223" s="27" t="s">
        <v>345</v>
      </c>
      <c r="AV223" s="27" t="s">
        <v>345</v>
      </c>
      <c r="AW223" s="27" t="s">
        <v>344</v>
      </c>
      <c r="AX223" s="27" t="s">
        <v>344</v>
      </c>
      <c r="AY223" s="27" t="s">
        <v>733</v>
      </c>
      <c r="AZ223" s="27" t="s">
        <v>732</v>
      </c>
      <c r="BA223" s="27" t="s">
        <v>737</v>
      </c>
      <c r="BB223" s="27" t="s">
        <v>737</v>
      </c>
      <c r="BC223" s="27" t="s">
        <v>731</v>
      </c>
      <c r="BD223" s="27" t="s">
        <v>731</v>
      </c>
      <c r="BE223" s="27" t="s">
        <v>390</v>
      </c>
      <c r="BF223" s="27" t="s">
        <v>349</v>
      </c>
      <c r="BG223" s="27" t="s">
        <v>349</v>
      </c>
      <c r="BH223" s="27" t="s">
        <v>349</v>
      </c>
      <c r="BI223" s="27" t="s">
        <v>349</v>
      </c>
      <c r="BJ223" s="27" t="s">
        <v>354</v>
      </c>
      <c r="BK223" s="27" t="s">
        <v>352</v>
      </c>
      <c r="BL223" s="27" t="s">
        <v>351</v>
      </c>
      <c r="BM223" s="27" t="s">
        <v>356</v>
      </c>
      <c r="BN223" s="27" t="s">
        <v>353</v>
      </c>
      <c r="BO223" s="27" t="s">
        <v>357</v>
      </c>
      <c r="BP223" s="27" t="s">
        <v>355</v>
      </c>
      <c r="BQ223" s="27" t="s">
        <v>407</v>
      </c>
      <c r="BR223" s="27" t="s">
        <v>1257</v>
      </c>
      <c r="BS223" s="27" t="s">
        <v>351</v>
      </c>
      <c r="BT223" s="27" t="s">
        <v>357</v>
      </c>
      <c r="BU223" s="27" t="s">
        <v>353</v>
      </c>
      <c r="BV223" s="27" t="s">
        <v>355</v>
      </c>
      <c r="BW223" s="27" t="s">
        <v>356</v>
      </c>
      <c r="BX223" s="27" t="s">
        <v>352</v>
      </c>
      <c r="BY223" s="27" t="s">
        <v>354</v>
      </c>
      <c r="BZ223" s="27" t="s">
        <v>351</v>
      </c>
      <c r="CA223" s="27" t="s">
        <v>355</v>
      </c>
      <c r="CB223" s="27" t="s">
        <v>354</v>
      </c>
      <c r="CC223" s="27" t="s">
        <v>357</v>
      </c>
      <c r="CD223" s="27" t="s">
        <v>353</v>
      </c>
      <c r="CE223" s="27" t="s">
        <v>356</v>
      </c>
      <c r="CF223" s="27" t="s">
        <v>352</v>
      </c>
      <c r="CG223" s="27" t="s">
        <v>420</v>
      </c>
      <c r="CH223" s="27" t="s">
        <v>420</v>
      </c>
      <c r="CI223" s="27" t="s">
        <v>420</v>
      </c>
      <c r="CJ223" s="27" t="s">
        <v>393</v>
      </c>
      <c r="CK223" s="27" t="s">
        <v>1315</v>
      </c>
      <c r="CL223" s="27" t="s">
        <v>344</v>
      </c>
      <c r="CM223" s="27" t="s">
        <v>344</v>
      </c>
      <c r="CN223" s="27" t="s">
        <v>344</v>
      </c>
      <c r="CO223" s="27" t="s">
        <v>345</v>
      </c>
      <c r="CP223" s="27" t="s">
        <v>345</v>
      </c>
      <c r="CQ223" s="27" t="s">
        <v>344</v>
      </c>
      <c r="CR223" s="27" t="s">
        <v>667</v>
      </c>
      <c r="CS223" s="27">
        <v>84</v>
      </c>
      <c r="CT223" s="27">
        <v>100</v>
      </c>
      <c r="CU223" s="27"/>
      <c r="CV223" s="27"/>
      <c r="CW223" s="27" t="s">
        <v>395</v>
      </c>
      <c r="CX223" s="27" t="s">
        <v>396</v>
      </c>
      <c r="CY223" s="27" t="s">
        <v>395</v>
      </c>
      <c r="CZ223" s="27" t="s">
        <v>397</v>
      </c>
      <c r="DA223" s="27" t="s">
        <v>397</v>
      </c>
      <c r="DB223" s="27" t="s">
        <v>397</v>
      </c>
      <c r="DC223" s="27" t="s">
        <v>397</v>
      </c>
      <c r="DD223" s="27" t="s">
        <v>397</v>
      </c>
      <c r="DE223" s="27"/>
      <c r="DF223" s="27"/>
      <c r="DG223" s="27"/>
      <c r="DH223" s="27"/>
      <c r="DI223" s="27"/>
      <c r="DJ223" s="27"/>
      <c r="DK223" s="27" t="s">
        <v>344</v>
      </c>
      <c r="DL223" s="27" t="s">
        <v>368</v>
      </c>
      <c r="DM223" s="27" t="s">
        <v>368</v>
      </c>
      <c r="DN223" s="27" t="s">
        <v>368</v>
      </c>
      <c r="DO223" s="27" t="s">
        <v>368</v>
      </c>
      <c r="DP223" s="27" t="s">
        <v>345</v>
      </c>
      <c r="DQ223" s="27" t="s">
        <v>344</v>
      </c>
      <c r="DR223" s="27" t="s">
        <v>345</v>
      </c>
      <c r="DS223" s="27" t="s">
        <v>344</v>
      </c>
      <c r="DT223" s="27" t="s">
        <v>345</v>
      </c>
      <c r="DU223" s="27" t="s">
        <v>344</v>
      </c>
      <c r="DV223" s="27" t="s">
        <v>344</v>
      </c>
      <c r="DW223" s="27" t="s">
        <v>344</v>
      </c>
      <c r="DX223" s="27" t="s">
        <v>1258</v>
      </c>
      <c r="DY223" s="27" t="s">
        <v>1258</v>
      </c>
      <c r="DZ223" s="27" t="s">
        <v>1258</v>
      </c>
      <c r="EA223" s="27" t="s">
        <v>1258</v>
      </c>
      <c r="EB223" s="27" t="s">
        <v>1258</v>
      </c>
      <c r="EC223" s="27" t="s">
        <v>1258</v>
      </c>
      <c r="ED223" s="27" t="s">
        <v>1258</v>
      </c>
      <c r="EE223" s="27" t="s">
        <v>397</v>
      </c>
      <c r="EF223" s="27" t="s">
        <v>397</v>
      </c>
      <c r="EG223" s="27" t="s">
        <v>397</v>
      </c>
      <c r="EH223" s="27" t="s">
        <v>397</v>
      </c>
      <c r="EI223" s="27" t="s">
        <v>397</v>
      </c>
      <c r="EJ223" s="27" t="s">
        <v>397</v>
      </c>
      <c r="EK223" s="27" t="s">
        <v>397</v>
      </c>
      <c r="EL223" s="27" t="s">
        <v>1276</v>
      </c>
      <c r="EM223" s="27" t="s">
        <v>1260</v>
      </c>
      <c r="EN223" s="27" t="s">
        <v>1259</v>
      </c>
      <c r="EO223" s="27"/>
      <c r="EP223" s="27"/>
      <c r="EQ223" s="27" t="s">
        <v>1263</v>
      </c>
      <c r="ER223" s="27" t="s">
        <v>1263</v>
      </c>
      <c r="ES223" s="27" t="s">
        <v>1277</v>
      </c>
      <c r="ET223" s="27" t="s">
        <v>1264</v>
      </c>
      <c r="EU223" s="27" t="s">
        <v>1264</v>
      </c>
      <c r="EV223" s="27" t="s">
        <v>1265</v>
      </c>
      <c r="EW223" s="27"/>
      <c r="EX223" s="27" t="s">
        <v>368</v>
      </c>
      <c r="EY223" s="27" t="s">
        <v>368</v>
      </c>
      <c r="EZ223" s="27" t="s">
        <v>368</v>
      </c>
      <c r="FA223" s="27" t="s">
        <v>345</v>
      </c>
      <c r="FB223" s="27" t="s">
        <v>1266</v>
      </c>
      <c r="FC223" s="27"/>
      <c r="FD223" s="27" t="s">
        <v>1266</v>
      </c>
      <c r="FE223" s="27"/>
      <c r="FF223" s="27" t="s">
        <v>382</v>
      </c>
      <c r="FG223" s="27" t="s">
        <v>402</v>
      </c>
      <c r="FH223" s="27" t="s">
        <v>460</v>
      </c>
      <c r="FI223" s="27" t="s">
        <v>1286</v>
      </c>
      <c r="FJ223" s="27"/>
      <c r="FK223" s="27"/>
      <c r="FL223" s="27"/>
      <c r="FM223" s="27"/>
      <c r="FN223" s="27"/>
      <c r="FO223" s="27"/>
      <c r="FP223" s="27"/>
      <c r="FQ223" s="27"/>
      <c r="FR223" s="27"/>
      <c r="FS223" s="27"/>
      <c r="FT223" s="27"/>
      <c r="FU223" s="27"/>
      <c r="FV223" s="27"/>
      <c r="FW223" s="27"/>
      <c r="FX223" s="27"/>
      <c r="FY223" s="27"/>
      <c r="FZ223" s="27"/>
      <c r="GA223" s="27" t="s">
        <v>368</v>
      </c>
      <c r="GB223" s="27" t="s">
        <v>368</v>
      </c>
      <c r="GC223" s="27" t="s">
        <v>368</v>
      </c>
      <c r="GD223" s="27" t="s">
        <v>368</v>
      </c>
      <c r="GE223" s="27" t="s">
        <v>368</v>
      </c>
      <c r="GF223" s="27" t="s">
        <v>368</v>
      </c>
      <c r="GG223" s="27"/>
      <c r="GH223" s="27"/>
      <c r="GI223" s="27"/>
      <c r="GJ223" s="27"/>
      <c r="GK223" s="27"/>
      <c r="GL223" s="27" t="s">
        <v>344</v>
      </c>
      <c r="GM223" s="27" t="s">
        <v>344</v>
      </c>
      <c r="GN223" s="27" t="s">
        <v>345</v>
      </c>
      <c r="GO223" s="27" t="s">
        <v>345</v>
      </c>
      <c r="GP223" s="27" t="s">
        <v>344</v>
      </c>
      <c r="GQ223" s="27" t="s">
        <v>344</v>
      </c>
      <c r="GR223" s="27" t="s">
        <v>344</v>
      </c>
      <c r="GS223" s="27" t="s">
        <v>344</v>
      </c>
      <c r="GT223" s="27" t="s">
        <v>344</v>
      </c>
      <c r="GU223" s="27" t="s">
        <v>344</v>
      </c>
      <c r="GV223" s="27" t="s">
        <v>344</v>
      </c>
      <c r="GW223" s="27" t="s">
        <v>345</v>
      </c>
      <c r="GX223" s="27" t="s">
        <v>344</v>
      </c>
      <c r="GY223" s="27" t="s">
        <v>344</v>
      </c>
      <c r="GZ223" s="27" t="s">
        <v>344</v>
      </c>
      <c r="HA223" s="27" t="s">
        <v>344</v>
      </c>
      <c r="HB223" s="27"/>
      <c r="HC223" s="27" t="s">
        <v>345</v>
      </c>
      <c r="HD223" s="27" t="s">
        <v>1316</v>
      </c>
      <c r="HE223" s="27" t="s">
        <v>344</v>
      </c>
      <c r="HF223" s="27"/>
      <c r="HG223" s="27" t="s">
        <v>344</v>
      </c>
      <c r="HH223" s="27"/>
      <c r="HI223" s="27" t="s">
        <v>344</v>
      </c>
      <c r="HJ223" s="27"/>
      <c r="HK223" s="27" t="s">
        <v>344</v>
      </c>
      <c r="HL223" s="27" t="s">
        <v>344</v>
      </c>
      <c r="HM223" s="27" t="s">
        <v>344</v>
      </c>
      <c r="HN223" s="27" t="s">
        <v>345</v>
      </c>
      <c r="HO223" s="27" t="s">
        <v>344</v>
      </c>
      <c r="HP223" s="27" t="s">
        <v>344</v>
      </c>
      <c r="HQ223" s="27" t="s">
        <v>344</v>
      </c>
      <c r="HR223" s="27" t="s">
        <v>344</v>
      </c>
      <c r="HS223" s="27" t="s">
        <v>344</v>
      </c>
      <c r="HT223" s="27" t="s">
        <v>345</v>
      </c>
      <c r="HU223" s="27" t="s">
        <v>344</v>
      </c>
      <c r="HV223" s="27" t="s">
        <v>344</v>
      </c>
      <c r="HW223" s="27" t="s">
        <v>344</v>
      </c>
      <c r="HX223" s="27" t="s">
        <v>344</v>
      </c>
      <c r="HY223" s="27" t="s">
        <v>344</v>
      </c>
      <c r="HZ223" s="27" t="s">
        <v>344</v>
      </c>
      <c r="IA223" s="27" t="s">
        <v>345</v>
      </c>
      <c r="IB223" s="27" t="s">
        <v>344</v>
      </c>
      <c r="IC223" s="27" t="s">
        <v>344</v>
      </c>
      <c r="ID223" s="27"/>
      <c r="IE223" s="27" t="s">
        <v>345</v>
      </c>
      <c r="IF223" s="27" t="s">
        <v>1317</v>
      </c>
      <c r="IG223" s="27" t="s">
        <v>344</v>
      </c>
      <c r="IH223" s="27"/>
      <c r="II223" s="27" t="s">
        <v>344</v>
      </c>
      <c r="IJ223" s="27"/>
      <c r="IK223" s="27" t="s">
        <v>344</v>
      </c>
      <c r="IL223" s="27"/>
      <c r="IM223" s="27" t="s">
        <v>345</v>
      </c>
      <c r="IN223" s="27" t="s">
        <v>345</v>
      </c>
      <c r="IO223" s="27" t="s">
        <v>345</v>
      </c>
      <c r="IP223" s="27" t="s">
        <v>344</v>
      </c>
      <c r="IQ223" s="27" t="s">
        <v>345</v>
      </c>
      <c r="IR223" s="27" t="s">
        <v>344</v>
      </c>
      <c r="IS223" s="27" t="s">
        <v>344</v>
      </c>
      <c r="IT223" s="27" t="s">
        <v>345</v>
      </c>
      <c r="IU223" s="27" t="s">
        <v>344</v>
      </c>
      <c r="IV223" s="27" t="s">
        <v>344</v>
      </c>
      <c r="IW223" s="27" t="s">
        <v>344</v>
      </c>
      <c r="IX223" s="27" t="s">
        <v>344</v>
      </c>
      <c r="IY223" s="27" t="s">
        <v>345</v>
      </c>
      <c r="IZ223" s="27" t="s">
        <v>344</v>
      </c>
      <c r="JA223" s="27"/>
      <c r="JB223" s="27"/>
    </row>
    <row r="224" spans="1:268" x14ac:dyDescent="0.3">
      <c r="A224" s="26" t="s">
        <v>727</v>
      </c>
      <c r="B224" s="27">
        <v>161</v>
      </c>
      <c r="C224" s="27" t="s">
        <v>1318</v>
      </c>
      <c r="D224" s="27">
        <v>14</v>
      </c>
      <c r="E224" s="27" t="s">
        <v>387</v>
      </c>
      <c r="F224" s="27">
        <v>1886195831</v>
      </c>
      <c r="G224" s="27" t="s">
        <v>1319</v>
      </c>
      <c r="H224" s="27" t="s">
        <v>1318</v>
      </c>
      <c r="I224" s="27" t="s">
        <v>1254</v>
      </c>
      <c r="J224" s="27">
        <v>17</v>
      </c>
      <c r="K224" s="27" t="s">
        <v>1282</v>
      </c>
      <c r="L224" s="27"/>
      <c r="M224" s="27" t="s">
        <v>344</v>
      </c>
      <c r="N224" s="27" t="s">
        <v>345</v>
      </c>
      <c r="O224" s="27" t="s">
        <v>344</v>
      </c>
      <c r="P224" s="27" t="s">
        <v>344</v>
      </c>
      <c r="Q224" s="27" t="s">
        <v>344</v>
      </c>
      <c r="R224" s="27"/>
      <c r="S224" s="27" t="s">
        <v>475</v>
      </c>
      <c r="T224" s="27"/>
      <c r="U224" s="27" t="s">
        <v>1270</v>
      </c>
      <c r="V224" s="27"/>
      <c r="W224" s="27" t="s">
        <v>344</v>
      </c>
      <c r="X224" s="27" t="s">
        <v>345</v>
      </c>
      <c r="Y224" s="27" t="s">
        <v>344</v>
      </c>
      <c r="Z224" s="27" t="s">
        <v>344</v>
      </c>
      <c r="AA224" s="27" t="s">
        <v>344</v>
      </c>
      <c r="AB224" s="27" t="s">
        <v>344</v>
      </c>
      <c r="AC224" s="27" t="s">
        <v>344</v>
      </c>
      <c r="AD224" s="27" t="s">
        <v>344</v>
      </c>
      <c r="AE224" s="27" t="s">
        <v>344</v>
      </c>
      <c r="AF224" s="27" t="s">
        <v>344</v>
      </c>
      <c r="AG224" s="27" t="s">
        <v>345</v>
      </c>
      <c r="AH224" s="27" t="s">
        <v>344</v>
      </c>
      <c r="AI224" s="27" t="s">
        <v>344</v>
      </c>
      <c r="AJ224" s="27" t="s">
        <v>344</v>
      </c>
      <c r="AK224" s="27" t="s">
        <v>344</v>
      </c>
      <c r="AL224" s="27" t="s">
        <v>344</v>
      </c>
      <c r="AM224" s="27" t="s">
        <v>344</v>
      </c>
      <c r="AN224" s="27" t="s">
        <v>344</v>
      </c>
      <c r="AO224" s="27" t="s">
        <v>345</v>
      </c>
      <c r="AP224" s="27" t="s">
        <v>344</v>
      </c>
      <c r="AQ224" s="27" t="s">
        <v>344</v>
      </c>
      <c r="AR224" s="27" t="s">
        <v>344</v>
      </c>
      <c r="AS224" s="27" t="s">
        <v>345</v>
      </c>
      <c r="AT224" s="27" t="s">
        <v>344</v>
      </c>
      <c r="AU224" s="27" t="s">
        <v>344</v>
      </c>
      <c r="AV224" s="27" t="s">
        <v>344</v>
      </c>
      <c r="AW224" s="27" t="s">
        <v>344</v>
      </c>
      <c r="AX224" s="27" t="s">
        <v>344</v>
      </c>
      <c r="AY224" s="27" t="s">
        <v>733</v>
      </c>
      <c r="AZ224" s="27" t="s">
        <v>731</v>
      </c>
      <c r="BA224" s="27" t="s">
        <v>732</v>
      </c>
      <c r="BB224" s="27" t="s">
        <v>733</v>
      </c>
      <c r="BC224" s="27" t="s">
        <v>733</v>
      </c>
      <c r="BD224" s="27" t="s">
        <v>737</v>
      </c>
      <c r="BE224" s="27" t="s">
        <v>348</v>
      </c>
      <c r="BF224" s="27" t="s">
        <v>348</v>
      </c>
      <c r="BG224" s="27" t="s">
        <v>349</v>
      </c>
      <c r="BH224" s="27" t="s">
        <v>349</v>
      </c>
      <c r="BI224" s="27" t="s">
        <v>348</v>
      </c>
      <c r="BJ224" s="27" t="s">
        <v>391</v>
      </c>
      <c r="BK224" s="27" t="s">
        <v>391</v>
      </c>
      <c r="BL224" s="27" t="s">
        <v>391</v>
      </c>
      <c r="BM224" s="27" t="s">
        <v>391</v>
      </c>
      <c r="BN224" s="27" t="s">
        <v>391</v>
      </c>
      <c r="BO224" s="27" t="s">
        <v>391</v>
      </c>
      <c r="BP224" s="27" t="s">
        <v>391</v>
      </c>
      <c r="BQ224" s="27" t="s">
        <v>358</v>
      </c>
      <c r="BR224" s="27" t="s">
        <v>1257</v>
      </c>
      <c r="BS224" s="27" t="s">
        <v>391</v>
      </c>
      <c r="BT224" s="27" t="s">
        <v>391</v>
      </c>
      <c r="BU224" s="27" t="s">
        <v>391</v>
      </c>
      <c r="BV224" s="27" t="s">
        <v>391</v>
      </c>
      <c r="BW224" s="27" t="s">
        <v>391</v>
      </c>
      <c r="BX224" s="27" t="s">
        <v>391</v>
      </c>
      <c r="BY224" s="27" t="s">
        <v>391</v>
      </c>
      <c r="BZ224" s="27" t="s">
        <v>391</v>
      </c>
      <c r="CA224" s="27" t="s">
        <v>391</v>
      </c>
      <c r="CB224" s="27" t="s">
        <v>391</v>
      </c>
      <c r="CC224" s="27" t="s">
        <v>391</v>
      </c>
      <c r="CD224" s="27" t="s">
        <v>391</v>
      </c>
      <c r="CE224" s="27" t="s">
        <v>391</v>
      </c>
      <c r="CF224" s="27" t="s">
        <v>391</v>
      </c>
      <c r="CG224" s="27" t="s">
        <v>392</v>
      </c>
      <c r="CH224" s="27" t="s">
        <v>420</v>
      </c>
      <c r="CI224" s="27" t="s">
        <v>420</v>
      </c>
      <c r="CJ224" s="27" t="s">
        <v>420</v>
      </c>
      <c r="CK224" s="27" t="s">
        <v>391</v>
      </c>
      <c r="CL224" s="27" t="s">
        <v>345</v>
      </c>
      <c r="CM224" s="27" t="s">
        <v>344</v>
      </c>
      <c r="CN224" s="27" t="s">
        <v>345</v>
      </c>
      <c r="CO224" s="27" t="s">
        <v>345</v>
      </c>
      <c r="CP224" s="27" t="s">
        <v>345</v>
      </c>
      <c r="CQ224" s="27" t="s">
        <v>344</v>
      </c>
      <c r="CR224" s="27" t="s">
        <v>1320</v>
      </c>
      <c r="CS224" s="27">
        <v>27</v>
      </c>
      <c r="CT224" s="27">
        <v>43</v>
      </c>
      <c r="CU224" s="27">
        <v>60</v>
      </c>
      <c r="CV224" s="27">
        <v>10</v>
      </c>
      <c r="CW224" s="27" t="s">
        <v>363</v>
      </c>
      <c r="CX224" s="27" t="s">
        <v>363</v>
      </c>
      <c r="CY224" s="27" t="s">
        <v>395</v>
      </c>
      <c r="CZ224" s="27" t="s">
        <v>397</v>
      </c>
      <c r="DA224" s="27" t="s">
        <v>365</v>
      </c>
      <c r="DB224" s="27" t="s">
        <v>397</v>
      </c>
      <c r="DC224" s="27" t="s">
        <v>397</v>
      </c>
      <c r="DD224" s="27" t="s">
        <v>365</v>
      </c>
      <c r="DE224" s="27" t="s">
        <v>365</v>
      </c>
      <c r="DF224" s="27" t="s">
        <v>365</v>
      </c>
      <c r="DG224" s="27" t="s">
        <v>365</v>
      </c>
      <c r="DH224" s="27" t="s">
        <v>365</v>
      </c>
      <c r="DI224" s="27" t="s">
        <v>365</v>
      </c>
      <c r="DJ224" s="27" t="s">
        <v>391</v>
      </c>
      <c r="DK224" s="27" t="s">
        <v>344</v>
      </c>
      <c r="DL224" s="27" t="s">
        <v>368</v>
      </c>
      <c r="DM224" s="27" t="s">
        <v>368</v>
      </c>
      <c r="DN224" s="27" t="s">
        <v>368</v>
      </c>
      <c r="DO224" s="27" t="s">
        <v>368</v>
      </c>
      <c r="DP224" s="27" t="s">
        <v>368</v>
      </c>
      <c r="DQ224" s="27" t="s">
        <v>368</v>
      </c>
      <c r="DR224" s="27" t="s">
        <v>368</v>
      </c>
      <c r="DS224" s="27" t="s">
        <v>345</v>
      </c>
      <c r="DT224" s="27" t="s">
        <v>368</v>
      </c>
      <c r="DU224" s="27" t="s">
        <v>368</v>
      </c>
      <c r="DV224" s="27" t="s">
        <v>368</v>
      </c>
      <c r="DW224" s="27" t="s">
        <v>345</v>
      </c>
      <c r="DX224" s="27" t="s">
        <v>1258</v>
      </c>
      <c r="DY224" s="27" t="s">
        <v>1258</v>
      </c>
      <c r="DZ224" s="27" t="s">
        <v>397</v>
      </c>
      <c r="EA224" s="27" t="s">
        <v>1258</v>
      </c>
      <c r="EB224" s="27" t="s">
        <v>397</v>
      </c>
      <c r="EC224" s="27" t="s">
        <v>397</v>
      </c>
      <c r="ED224" s="27" t="s">
        <v>1258</v>
      </c>
      <c r="EE224" s="27" t="s">
        <v>1258</v>
      </c>
      <c r="EF224" s="27" t="s">
        <v>1258</v>
      </c>
      <c r="EG224" s="27" t="s">
        <v>397</v>
      </c>
      <c r="EH224" s="27" t="s">
        <v>1258</v>
      </c>
      <c r="EI224" s="27" t="s">
        <v>397</v>
      </c>
      <c r="EJ224" s="27" t="s">
        <v>1258</v>
      </c>
      <c r="EK224" s="27" t="s">
        <v>397</v>
      </c>
      <c r="EL224" s="27" t="s">
        <v>1276</v>
      </c>
      <c r="EM224" s="27" t="s">
        <v>1259</v>
      </c>
      <c r="EN224" s="27" t="s">
        <v>1275</v>
      </c>
      <c r="EO224" s="27"/>
      <c r="EP224" s="27"/>
      <c r="EQ224" s="27" t="s">
        <v>1277</v>
      </c>
      <c r="ER224" s="27" t="s">
        <v>1277</v>
      </c>
      <c r="ES224" s="27" t="s">
        <v>1263</v>
      </c>
      <c r="ET224" s="27" t="s">
        <v>1277</v>
      </c>
      <c r="EU224" s="27" t="s">
        <v>1277</v>
      </c>
      <c r="EV224" s="27" t="s">
        <v>1265</v>
      </c>
      <c r="EW224" s="27"/>
      <c r="EX224" s="27" t="s">
        <v>368</v>
      </c>
      <c r="EY224" s="27" t="s">
        <v>368</v>
      </c>
      <c r="EZ224" s="27" t="s">
        <v>368</v>
      </c>
      <c r="FA224" s="27" t="s">
        <v>345</v>
      </c>
      <c r="FB224" s="27" t="s">
        <v>1321</v>
      </c>
      <c r="FC224" s="27"/>
      <c r="FD224" s="27" t="s">
        <v>1266</v>
      </c>
      <c r="FE224" s="27"/>
      <c r="FF224" s="27" t="s">
        <v>1322</v>
      </c>
      <c r="FG224" s="27" t="s">
        <v>1323</v>
      </c>
      <c r="FH224" s="27" t="s">
        <v>1301</v>
      </c>
      <c r="FI224" s="27" t="s">
        <v>385</v>
      </c>
      <c r="FJ224" s="27"/>
      <c r="FK224" s="27"/>
      <c r="FL224" s="27"/>
      <c r="FM224" s="27"/>
      <c r="FN224" s="27"/>
      <c r="FO224" s="27"/>
      <c r="FP224" s="27"/>
      <c r="FQ224" s="27"/>
      <c r="FR224" s="27"/>
      <c r="FS224" s="27"/>
      <c r="FT224" s="27"/>
      <c r="FU224" s="27"/>
      <c r="FV224" s="27"/>
      <c r="FW224" s="27"/>
      <c r="FX224" s="27"/>
      <c r="FY224" s="27"/>
      <c r="FZ224" s="27"/>
      <c r="GA224" s="27" t="s">
        <v>368</v>
      </c>
      <c r="GB224" s="27" t="s">
        <v>368</v>
      </c>
      <c r="GC224" s="27" t="s">
        <v>368</v>
      </c>
      <c r="GD224" s="27" t="s">
        <v>368</v>
      </c>
      <c r="GE224" s="27" t="s">
        <v>368</v>
      </c>
      <c r="GF224" s="27" t="s">
        <v>368</v>
      </c>
      <c r="GG224" s="27"/>
      <c r="GH224" s="27"/>
      <c r="GI224" s="27"/>
      <c r="GJ224" s="27"/>
      <c r="GK224" s="27"/>
      <c r="GL224" s="27" t="s">
        <v>344</v>
      </c>
      <c r="GM224" s="27" t="s">
        <v>344</v>
      </c>
      <c r="GN224" s="27" t="s">
        <v>344</v>
      </c>
      <c r="GO224" s="27" t="s">
        <v>344</v>
      </c>
      <c r="GP224" s="27" t="s">
        <v>344</v>
      </c>
      <c r="GQ224" s="27" t="s">
        <v>344</v>
      </c>
      <c r="GR224" s="27" t="s">
        <v>344</v>
      </c>
      <c r="GS224" s="27" t="s">
        <v>344</v>
      </c>
      <c r="GT224" s="27" t="s">
        <v>344</v>
      </c>
      <c r="GU224" s="27" t="s">
        <v>344</v>
      </c>
      <c r="GV224" s="27" t="s">
        <v>344</v>
      </c>
      <c r="GW224" s="27" t="s">
        <v>345</v>
      </c>
      <c r="GX224" s="27" t="s">
        <v>344</v>
      </c>
      <c r="GY224" s="27" t="s">
        <v>344</v>
      </c>
      <c r="GZ224" s="27" t="s">
        <v>344</v>
      </c>
      <c r="HA224" s="27" t="s">
        <v>345</v>
      </c>
      <c r="HB224" s="27"/>
      <c r="HC224" s="27" t="s">
        <v>344</v>
      </c>
      <c r="HD224" s="27"/>
      <c r="HE224" s="27" t="s">
        <v>344</v>
      </c>
      <c r="HF224" s="27"/>
      <c r="HG224" s="27" t="s">
        <v>344</v>
      </c>
      <c r="HH224" s="27"/>
      <c r="HI224" s="27" t="s">
        <v>344</v>
      </c>
      <c r="HJ224" s="27"/>
      <c r="HK224" s="27" t="s">
        <v>344</v>
      </c>
      <c r="HL224" s="27" t="s">
        <v>344</v>
      </c>
      <c r="HM224" s="27" t="s">
        <v>344</v>
      </c>
      <c r="HN224" s="27" t="s">
        <v>344</v>
      </c>
      <c r="HO224" s="27" t="s">
        <v>344</v>
      </c>
      <c r="HP224" s="27" t="s">
        <v>344</v>
      </c>
      <c r="HQ224" s="27" t="s">
        <v>344</v>
      </c>
      <c r="HR224" s="27" t="s">
        <v>344</v>
      </c>
      <c r="HS224" s="27" t="s">
        <v>344</v>
      </c>
      <c r="HT224" s="27" t="s">
        <v>344</v>
      </c>
      <c r="HU224" s="27" t="s">
        <v>344</v>
      </c>
      <c r="HV224" s="27" t="s">
        <v>344</v>
      </c>
      <c r="HW224" s="27" t="s">
        <v>344</v>
      </c>
      <c r="HX224" s="27" t="s">
        <v>344</v>
      </c>
      <c r="HY224" s="27" t="s">
        <v>344</v>
      </c>
      <c r="HZ224" s="27" t="s">
        <v>344</v>
      </c>
      <c r="IA224" s="27" t="s">
        <v>345</v>
      </c>
      <c r="IB224" s="27" t="s">
        <v>344</v>
      </c>
      <c r="IC224" s="27" t="s">
        <v>344</v>
      </c>
      <c r="ID224" s="27"/>
      <c r="IE224" s="27" t="s">
        <v>344</v>
      </c>
      <c r="IF224" s="27"/>
      <c r="IG224" s="27" t="s">
        <v>344</v>
      </c>
      <c r="IH224" s="27"/>
      <c r="II224" s="27" t="s">
        <v>344</v>
      </c>
      <c r="IJ224" s="27"/>
      <c r="IK224" s="27" t="s">
        <v>344</v>
      </c>
      <c r="IL224" s="27"/>
      <c r="IM224" s="27" t="s">
        <v>344</v>
      </c>
      <c r="IN224" s="27" t="s">
        <v>344</v>
      </c>
      <c r="IO224" s="27" t="s">
        <v>344</v>
      </c>
      <c r="IP224" s="27" t="s">
        <v>344</v>
      </c>
      <c r="IQ224" s="27" t="s">
        <v>345</v>
      </c>
      <c r="IR224" s="27" t="s">
        <v>345</v>
      </c>
      <c r="IS224" s="27" t="s">
        <v>344</v>
      </c>
      <c r="IT224" s="27" t="s">
        <v>345</v>
      </c>
      <c r="IU224" s="27" t="s">
        <v>344</v>
      </c>
      <c r="IV224" s="27" t="s">
        <v>344</v>
      </c>
      <c r="IW224" s="27" t="s">
        <v>344</v>
      </c>
      <c r="IX224" s="27" t="s">
        <v>344</v>
      </c>
      <c r="IY224" s="27" t="s">
        <v>344</v>
      </c>
      <c r="IZ224" s="27" t="s">
        <v>344</v>
      </c>
      <c r="JA224" s="27"/>
      <c r="JB224" s="27"/>
    </row>
    <row r="225" spans="1:262" x14ac:dyDescent="0.3">
      <c r="A225" s="26" t="s">
        <v>727</v>
      </c>
      <c r="B225" s="27">
        <v>162</v>
      </c>
      <c r="C225" s="27" t="s">
        <v>1324</v>
      </c>
      <c r="D225" s="27">
        <v>14</v>
      </c>
      <c r="E225" s="27" t="s">
        <v>340</v>
      </c>
      <c r="F225" s="27">
        <v>1233722396</v>
      </c>
      <c r="G225" s="27" t="s">
        <v>1325</v>
      </c>
      <c r="H225" s="27" t="s">
        <v>1324</v>
      </c>
      <c r="I225" s="27" t="s">
        <v>1290</v>
      </c>
      <c r="J225" s="27">
        <v>17</v>
      </c>
      <c r="K225" s="27" t="s">
        <v>1255</v>
      </c>
      <c r="L225" s="27"/>
      <c r="M225" s="27" t="s">
        <v>344</v>
      </c>
      <c r="N225" s="27" t="s">
        <v>345</v>
      </c>
      <c r="O225" s="27" t="s">
        <v>344</v>
      </c>
      <c r="P225" s="27" t="s">
        <v>344</v>
      </c>
      <c r="Q225" s="27" t="s">
        <v>344</v>
      </c>
      <c r="R225" s="27"/>
      <c r="S225" s="27" t="s">
        <v>475</v>
      </c>
      <c r="T225" s="27"/>
      <c r="U225" s="27" t="s">
        <v>1270</v>
      </c>
      <c r="V225" s="27"/>
      <c r="W225" s="27" t="s">
        <v>344</v>
      </c>
      <c r="X225" s="27" t="s">
        <v>344</v>
      </c>
      <c r="Y225" s="27" t="s">
        <v>344</v>
      </c>
      <c r="Z225" s="27" t="s">
        <v>344</v>
      </c>
      <c r="AA225" s="27" t="s">
        <v>345</v>
      </c>
      <c r="AB225" s="27" t="s">
        <v>345</v>
      </c>
      <c r="AC225" s="27" t="s">
        <v>344</v>
      </c>
      <c r="AD225" s="27" t="s">
        <v>344</v>
      </c>
      <c r="AE225" s="27" t="s">
        <v>344</v>
      </c>
      <c r="AF225" s="27" t="s">
        <v>344</v>
      </c>
      <c r="AG225" s="27" t="s">
        <v>345</v>
      </c>
      <c r="AH225" s="27" t="s">
        <v>345</v>
      </c>
      <c r="AI225" s="27" t="s">
        <v>344</v>
      </c>
      <c r="AJ225" s="27" t="s">
        <v>344</v>
      </c>
      <c r="AK225" s="27" t="s">
        <v>345</v>
      </c>
      <c r="AL225" s="27" t="s">
        <v>345</v>
      </c>
      <c r="AM225" s="27" t="s">
        <v>344</v>
      </c>
      <c r="AN225" s="27" t="s">
        <v>344</v>
      </c>
      <c r="AO225" s="27" t="s">
        <v>344</v>
      </c>
      <c r="AP225" s="27" t="s">
        <v>344</v>
      </c>
      <c r="AQ225" s="27" t="s">
        <v>344</v>
      </c>
      <c r="AR225" s="27" t="s">
        <v>344</v>
      </c>
      <c r="AS225" s="27" t="s">
        <v>345</v>
      </c>
      <c r="AT225" s="27" t="s">
        <v>344</v>
      </c>
      <c r="AU225" s="27" t="s">
        <v>345</v>
      </c>
      <c r="AV225" s="27" t="s">
        <v>345</v>
      </c>
      <c r="AW225" s="27" t="s">
        <v>344</v>
      </c>
      <c r="AX225" s="27" t="s">
        <v>344</v>
      </c>
      <c r="AY225" s="27" t="s">
        <v>733</v>
      </c>
      <c r="AZ225" s="27" t="s">
        <v>391</v>
      </c>
      <c r="BA225" s="27" t="s">
        <v>732</v>
      </c>
      <c r="BB225" s="27" t="s">
        <v>732</v>
      </c>
      <c r="BC225" s="27" t="s">
        <v>733</v>
      </c>
      <c r="BD225" s="27" t="s">
        <v>391</v>
      </c>
      <c r="BE225" s="27" t="s">
        <v>348</v>
      </c>
      <c r="BF225" s="27" t="s">
        <v>349</v>
      </c>
      <c r="BG225" s="27" t="s">
        <v>390</v>
      </c>
      <c r="BH225" s="27" t="s">
        <v>390</v>
      </c>
      <c r="BI225" s="27" t="s">
        <v>390</v>
      </c>
      <c r="BJ225" s="27" t="s">
        <v>353</v>
      </c>
      <c r="BK225" s="27" t="s">
        <v>391</v>
      </c>
      <c r="BL225" s="27" t="s">
        <v>391</v>
      </c>
      <c r="BM225" s="27" t="s">
        <v>391</v>
      </c>
      <c r="BN225" s="27" t="s">
        <v>391</v>
      </c>
      <c r="BO225" s="27" t="s">
        <v>391</v>
      </c>
      <c r="BP225" s="27" t="s">
        <v>391</v>
      </c>
      <c r="BQ225" s="27" t="s">
        <v>358</v>
      </c>
      <c r="BR225" s="27" t="s">
        <v>1257</v>
      </c>
      <c r="BS225" s="27" t="s">
        <v>351</v>
      </c>
      <c r="BT225" s="27" t="s">
        <v>391</v>
      </c>
      <c r="BU225" s="27" t="s">
        <v>391</v>
      </c>
      <c r="BV225" s="27" t="s">
        <v>391</v>
      </c>
      <c r="BW225" s="27" t="s">
        <v>391</v>
      </c>
      <c r="BX225" s="27" t="s">
        <v>391</v>
      </c>
      <c r="BY225" s="27" t="s">
        <v>391</v>
      </c>
      <c r="BZ225" s="27" t="s">
        <v>391</v>
      </c>
      <c r="CA225" s="27" t="s">
        <v>391</v>
      </c>
      <c r="CB225" s="27" t="s">
        <v>391</v>
      </c>
      <c r="CC225" s="27" t="s">
        <v>391</v>
      </c>
      <c r="CD225" s="27" t="s">
        <v>391</v>
      </c>
      <c r="CE225" s="27" t="s">
        <v>391</v>
      </c>
      <c r="CF225" s="27" t="s">
        <v>391</v>
      </c>
      <c r="CG225" s="27" t="s">
        <v>360</v>
      </c>
      <c r="CH225" s="27" t="s">
        <v>393</v>
      </c>
      <c r="CI225" s="27" t="s">
        <v>420</v>
      </c>
      <c r="CJ225" s="27" t="s">
        <v>420</v>
      </c>
      <c r="CK225" s="27" t="s">
        <v>1326</v>
      </c>
      <c r="CL225" s="27" t="s">
        <v>344</v>
      </c>
      <c r="CM225" s="27" t="s">
        <v>344</v>
      </c>
      <c r="CN225" s="27" t="s">
        <v>344</v>
      </c>
      <c r="CO225" s="27" t="s">
        <v>345</v>
      </c>
      <c r="CP225" s="27" t="s">
        <v>345</v>
      </c>
      <c r="CQ225" s="27" t="s">
        <v>344</v>
      </c>
      <c r="CR225" s="27" t="s">
        <v>655</v>
      </c>
      <c r="CS225" s="27">
        <v>70</v>
      </c>
      <c r="CT225" s="27">
        <v>40</v>
      </c>
      <c r="CU225" s="27">
        <v>70</v>
      </c>
      <c r="CV225" s="27">
        <v>14</v>
      </c>
      <c r="CW225" s="27" t="s">
        <v>363</v>
      </c>
      <c r="CX225" s="27" t="s">
        <v>395</v>
      </c>
      <c r="CY225" s="27" t="s">
        <v>396</v>
      </c>
      <c r="CZ225" s="27" t="s">
        <v>397</v>
      </c>
      <c r="DA225" s="27" t="s">
        <v>397</v>
      </c>
      <c r="DB225" s="27" t="s">
        <v>397</v>
      </c>
      <c r="DC225" s="27" t="s">
        <v>366</v>
      </c>
      <c r="DD225" s="27" t="s">
        <v>366</v>
      </c>
      <c r="DE225" s="27" t="s">
        <v>365</v>
      </c>
      <c r="DF225" s="27" t="s">
        <v>365</v>
      </c>
      <c r="DG225" s="27" t="s">
        <v>366</v>
      </c>
      <c r="DH225" s="27" t="s">
        <v>366</v>
      </c>
      <c r="DI225" s="27" t="s">
        <v>366</v>
      </c>
      <c r="DJ225" s="27" t="s">
        <v>1327</v>
      </c>
      <c r="DK225" s="27" t="s">
        <v>344</v>
      </c>
      <c r="DL225" s="27" t="s">
        <v>368</v>
      </c>
      <c r="DM225" s="27" t="s">
        <v>368</v>
      </c>
      <c r="DN225" s="27" t="s">
        <v>368</v>
      </c>
      <c r="DO225" s="27" t="s">
        <v>368</v>
      </c>
      <c r="DP225" s="27" t="s">
        <v>344</v>
      </c>
      <c r="DQ225" s="27" t="s">
        <v>344</v>
      </c>
      <c r="DR225" s="27" t="s">
        <v>345</v>
      </c>
      <c r="DS225" s="27" t="s">
        <v>344</v>
      </c>
      <c r="DT225" s="27" t="s">
        <v>344</v>
      </c>
      <c r="DU225" s="27" t="s">
        <v>344</v>
      </c>
      <c r="DV225" s="27" t="s">
        <v>345</v>
      </c>
      <c r="DW225" s="27" t="s">
        <v>344</v>
      </c>
      <c r="DX225" s="27" t="s">
        <v>1274</v>
      </c>
      <c r="DY225" s="27" t="s">
        <v>1258</v>
      </c>
      <c r="DZ225" s="27" t="s">
        <v>1258</v>
      </c>
      <c r="EA225" s="27" t="s">
        <v>1272</v>
      </c>
      <c r="EB225" s="27" t="s">
        <v>1258</v>
      </c>
      <c r="EC225" s="27" t="s">
        <v>1272</v>
      </c>
      <c r="ED225" s="27" t="s">
        <v>1274</v>
      </c>
      <c r="EE225" s="27" t="s">
        <v>1258</v>
      </c>
      <c r="EF225" s="27" t="s">
        <v>1258</v>
      </c>
      <c r="EG225" s="27" t="s">
        <v>1258</v>
      </c>
      <c r="EH225" s="27" t="s">
        <v>1258</v>
      </c>
      <c r="EI225" s="27" t="s">
        <v>1258</v>
      </c>
      <c r="EJ225" s="27" t="s">
        <v>1272</v>
      </c>
      <c r="EK225" s="27" t="s">
        <v>1273</v>
      </c>
      <c r="EL225" s="27" t="s">
        <v>1260</v>
      </c>
      <c r="EM225" s="27" t="s">
        <v>1259</v>
      </c>
      <c r="EN225" s="27" t="s">
        <v>1276</v>
      </c>
      <c r="EO225" s="27"/>
      <c r="EP225" s="27"/>
      <c r="EQ225" s="27" t="s">
        <v>1264</v>
      </c>
      <c r="ER225" s="27" t="s">
        <v>1264</v>
      </c>
      <c r="ES225" s="27" t="s">
        <v>1277</v>
      </c>
      <c r="ET225" s="27" t="s">
        <v>1264</v>
      </c>
      <c r="EU225" s="27" t="s">
        <v>1264</v>
      </c>
      <c r="EV225" s="27" t="s">
        <v>400</v>
      </c>
      <c r="EW225" s="27"/>
      <c r="EX225" s="170" t="s">
        <v>344</v>
      </c>
      <c r="EY225" s="170" t="s">
        <v>344</v>
      </c>
      <c r="EZ225" s="170" t="s">
        <v>345</v>
      </c>
      <c r="FA225" s="27" t="s">
        <v>344</v>
      </c>
      <c r="FB225" s="27" t="s">
        <v>1266</v>
      </c>
      <c r="FC225" s="27"/>
      <c r="FD225" s="27" t="s">
        <v>1266</v>
      </c>
      <c r="FE225" s="27"/>
      <c r="FF225" s="27" t="s">
        <v>477</v>
      </c>
      <c r="FG225" s="27" t="s">
        <v>1292</v>
      </c>
      <c r="FH225" s="27" t="s">
        <v>1293</v>
      </c>
      <c r="FI225" s="27" t="s">
        <v>385</v>
      </c>
      <c r="FJ225" s="27"/>
      <c r="FK225" s="27"/>
      <c r="FL225" s="27"/>
      <c r="FM225" s="27"/>
      <c r="FN225" s="27"/>
      <c r="FO225" s="27"/>
      <c r="FP225" s="27"/>
      <c r="FQ225" s="27"/>
      <c r="FR225" s="27"/>
      <c r="FS225" s="27"/>
      <c r="FT225" s="27"/>
      <c r="FU225" s="27"/>
      <c r="FV225" s="27"/>
      <c r="FW225" s="27"/>
      <c r="FX225" s="27"/>
      <c r="FY225" s="27"/>
      <c r="FZ225" s="27"/>
      <c r="GA225" s="27" t="s">
        <v>368</v>
      </c>
      <c r="GB225" s="27" t="s">
        <v>368</v>
      </c>
      <c r="GC225" s="27" t="s">
        <v>368</v>
      </c>
      <c r="GD225" s="27" t="s">
        <v>368</v>
      </c>
      <c r="GE225" s="27" t="s">
        <v>368</v>
      </c>
      <c r="GF225" s="27" t="s">
        <v>368</v>
      </c>
      <c r="GG225" s="27"/>
      <c r="GH225" s="27"/>
      <c r="GI225" s="27"/>
      <c r="GJ225" s="27"/>
      <c r="GK225" s="27"/>
      <c r="GL225" s="27" t="s">
        <v>344</v>
      </c>
      <c r="GM225" s="27" t="s">
        <v>344</v>
      </c>
      <c r="GN225" s="27" t="s">
        <v>344</v>
      </c>
      <c r="GO225" s="27" t="s">
        <v>344</v>
      </c>
      <c r="GP225" s="27" t="s">
        <v>344</v>
      </c>
      <c r="GQ225" s="27" t="s">
        <v>344</v>
      </c>
      <c r="GR225" s="27" t="s">
        <v>344</v>
      </c>
      <c r="GS225" s="27" t="s">
        <v>344</v>
      </c>
      <c r="GT225" s="27" t="s">
        <v>344</v>
      </c>
      <c r="GU225" s="27" t="s">
        <v>344</v>
      </c>
      <c r="GV225" s="27" t="s">
        <v>344</v>
      </c>
      <c r="GW225" s="27" t="s">
        <v>344</v>
      </c>
      <c r="GX225" s="27" t="s">
        <v>344</v>
      </c>
      <c r="GY225" s="27" t="s">
        <v>344</v>
      </c>
      <c r="GZ225" s="27" t="s">
        <v>344</v>
      </c>
      <c r="HA225" s="27" t="s">
        <v>345</v>
      </c>
      <c r="HB225" s="27"/>
      <c r="HC225" s="27" t="s">
        <v>344</v>
      </c>
      <c r="HD225" s="27"/>
      <c r="HE225" s="27" t="s">
        <v>344</v>
      </c>
      <c r="HF225" s="27"/>
      <c r="HG225" s="27" t="s">
        <v>344</v>
      </c>
      <c r="HH225" s="27"/>
      <c r="HI225" s="27" t="s">
        <v>344</v>
      </c>
      <c r="HJ225" s="27"/>
      <c r="HK225" s="27" t="s">
        <v>344</v>
      </c>
      <c r="HL225" s="27" t="s">
        <v>344</v>
      </c>
      <c r="HM225" s="27" t="s">
        <v>344</v>
      </c>
      <c r="HN225" s="27" t="s">
        <v>344</v>
      </c>
      <c r="HO225" s="27" t="s">
        <v>344</v>
      </c>
      <c r="HP225" s="27" t="s">
        <v>344</v>
      </c>
      <c r="HQ225" s="27" t="s">
        <v>344</v>
      </c>
      <c r="HR225" s="27" t="s">
        <v>344</v>
      </c>
      <c r="HS225" s="27" t="s">
        <v>344</v>
      </c>
      <c r="HT225" s="27" t="s">
        <v>344</v>
      </c>
      <c r="HU225" s="27" t="s">
        <v>344</v>
      </c>
      <c r="HV225" s="27" t="s">
        <v>344</v>
      </c>
      <c r="HW225" s="27" t="s">
        <v>345</v>
      </c>
      <c r="HX225" s="27" t="s">
        <v>345</v>
      </c>
      <c r="HY225" s="27" t="s">
        <v>344</v>
      </c>
      <c r="HZ225" s="27" t="s">
        <v>344</v>
      </c>
      <c r="IA225" s="27" t="s">
        <v>344</v>
      </c>
      <c r="IB225" s="27" t="s">
        <v>344</v>
      </c>
      <c r="IC225" s="27" t="s">
        <v>344</v>
      </c>
      <c r="ID225" s="27"/>
      <c r="IE225" s="27" t="s">
        <v>344</v>
      </c>
      <c r="IF225" s="27"/>
      <c r="IG225" s="27" t="s">
        <v>344</v>
      </c>
      <c r="IH225" s="27"/>
      <c r="II225" s="27" t="s">
        <v>344</v>
      </c>
      <c r="IJ225" s="27"/>
      <c r="IK225" s="27" t="s">
        <v>344</v>
      </c>
      <c r="IL225" s="27"/>
      <c r="IM225" s="27" t="s">
        <v>344</v>
      </c>
      <c r="IN225" s="27" t="s">
        <v>344</v>
      </c>
      <c r="IO225" s="27" t="s">
        <v>344</v>
      </c>
      <c r="IP225" s="27" t="s">
        <v>344</v>
      </c>
      <c r="IQ225" s="27" t="s">
        <v>345</v>
      </c>
      <c r="IR225" s="27" t="s">
        <v>345</v>
      </c>
      <c r="IS225" s="27" t="s">
        <v>344</v>
      </c>
      <c r="IT225" s="27" t="s">
        <v>345</v>
      </c>
      <c r="IU225" s="27" t="s">
        <v>344</v>
      </c>
      <c r="IV225" s="27" t="s">
        <v>344</v>
      </c>
      <c r="IW225" s="27" t="s">
        <v>344</v>
      </c>
      <c r="IX225" s="27" t="s">
        <v>344</v>
      </c>
      <c r="IY225" s="27" t="s">
        <v>344</v>
      </c>
      <c r="IZ225" s="27" t="s">
        <v>344</v>
      </c>
      <c r="JA225" s="27"/>
      <c r="JB225" s="27" t="s">
        <v>1328</v>
      </c>
    </row>
    <row r="226" spans="1:262" x14ac:dyDescent="0.3">
      <c r="A226" s="26" t="s">
        <v>727</v>
      </c>
      <c r="B226" s="27">
        <v>163</v>
      </c>
      <c r="C226" s="27" t="s">
        <v>1329</v>
      </c>
      <c r="D226" s="27">
        <v>14</v>
      </c>
      <c r="E226" s="27" t="s">
        <v>387</v>
      </c>
      <c r="F226" s="27">
        <v>2048815827</v>
      </c>
      <c r="G226" s="27" t="s">
        <v>1325</v>
      </c>
      <c r="H226" s="27" t="s">
        <v>1329</v>
      </c>
      <c r="I226" s="27" t="s">
        <v>1254</v>
      </c>
      <c r="J226" s="27">
        <v>16</v>
      </c>
      <c r="K226" s="27" t="s">
        <v>1255</v>
      </c>
      <c r="L226" s="27"/>
      <c r="M226" s="27" t="s">
        <v>345</v>
      </c>
      <c r="N226" s="27" t="s">
        <v>344</v>
      </c>
      <c r="O226" s="27" t="s">
        <v>344</v>
      </c>
      <c r="P226" s="27" t="s">
        <v>344</v>
      </c>
      <c r="Q226" s="27" t="s">
        <v>344</v>
      </c>
      <c r="R226" s="27"/>
      <c r="S226" s="27" t="s">
        <v>475</v>
      </c>
      <c r="T226" s="27"/>
      <c r="U226" s="27" t="s">
        <v>1256</v>
      </c>
      <c r="V226" s="27"/>
      <c r="W226" s="27" t="s">
        <v>344</v>
      </c>
      <c r="X226" s="27" t="s">
        <v>344</v>
      </c>
      <c r="Y226" s="27" t="s">
        <v>344</v>
      </c>
      <c r="Z226" s="27" t="s">
        <v>344</v>
      </c>
      <c r="AA226" s="27" t="s">
        <v>345</v>
      </c>
      <c r="AB226" s="27" t="s">
        <v>345</v>
      </c>
      <c r="AC226" s="27" t="s">
        <v>344</v>
      </c>
      <c r="AD226" s="27" t="s">
        <v>345</v>
      </c>
      <c r="AE226" s="27" t="s">
        <v>345</v>
      </c>
      <c r="AF226" s="27" t="s">
        <v>345</v>
      </c>
      <c r="AG226" s="27" t="s">
        <v>344</v>
      </c>
      <c r="AH226" s="27" t="s">
        <v>344</v>
      </c>
      <c r="AI226" s="27" t="s">
        <v>344</v>
      </c>
      <c r="AJ226" s="27" t="s">
        <v>344</v>
      </c>
      <c r="AK226" s="27" t="s">
        <v>344</v>
      </c>
      <c r="AL226" s="27" t="s">
        <v>344</v>
      </c>
      <c r="AM226" s="27" t="s">
        <v>344</v>
      </c>
      <c r="AN226" s="27" t="s">
        <v>345</v>
      </c>
      <c r="AO226" s="27" t="s">
        <v>344</v>
      </c>
      <c r="AP226" s="27" t="s">
        <v>345</v>
      </c>
      <c r="AQ226" s="27" t="s">
        <v>344</v>
      </c>
      <c r="AR226" s="27" t="s">
        <v>345</v>
      </c>
      <c r="AS226" s="27" t="s">
        <v>344</v>
      </c>
      <c r="AT226" s="27" t="s">
        <v>345</v>
      </c>
      <c r="AU226" s="27" t="s">
        <v>344</v>
      </c>
      <c r="AV226" s="27" t="s">
        <v>344</v>
      </c>
      <c r="AW226" s="27" t="s">
        <v>344</v>
      </c>
      <c r="AX226" s="27" t="s">
        <v>344</v>
      </c>
      <c r="AY226" s="27" t="s">
        <v>391</v>
      </c>
      <c r="AZ226" s="27" t="s">
        <v>391</v>
      </c>
      <c r="BA226" s="27" t="s">
        <v>732</v>
      </c>
      <c r="BB226" s="27" t="s">
        <v>391</v>
      </c>
      <c r="BC226" s="27" t="s">
        <v>733</v>
      </c>
      <c r="BD226" s="27" t="s">
        <v>732</v>
      </c>
      <c r="BE226" s="27" t="s">
        <v>350</v>
      </c>
      <c r="BF226" s="27" t="s">
        <v>348</v>
      </c>
      <c r="BG226" s="27" t="s">
        <v>348</v>
      </c>
      <c r="BH226" s="27" t="s">
        <v>348</v>
      </c>
      <c r="BI226" s="27" t="s">
        <v>350</v>
      </c>
      <c r="BJ226" s="27" t="s">
        <v>391</v>
      </c>
      <c r="BK226" s="27" t="s">
        <v>391</v>
      </c>
      <c r="BL226" s="27" t="s">
        <v>391</v>
      </c>
      <c r="BM226" s="27" t="s">
        <v>391</v>
      </c>
      <c r="BN226" s="27" t="s">
        <v>391</v>
      </c>
      <c r="BO226" s="27" t="s">
        <v>391</v>
      </c>
      <c r="BP226" s="27" t="s">
        <v>391</v>
      </c>
      <c r="BQ226" s="27" t="s">
        <v>358</v>
      </c>
      <c r="BR226" s="27" t="s">
        <v>344</v>
      </c>
      <c r="BS226" s="27" t="s">
        <v>391</v>
      </c>
      <c r="BT226" s="27" t="s">
        <v>391</v>
      </c>
      <c r="BU226" s="27" t="s">
        <v>391</v>
      </c>
      <c r="BV226" s="27" t="s">
        <v>391</v>
      </c>
      <c r="BW226" s="27" t="s">
        <v>391</v>
      </c>
      <c r="BX226" s="27" t="s">
        <v>391</v>
      </c>
      <c r="BY226" s="27" t="s">
        <v>391</v>
      </c>
      <c r="BZ226" s="27" t="s">
        <v>391</v>
      </c>
      <c r="CA226" s="27" t="s">
        <v>391</v>
      </c>
      <c r="CB226" s="27" t="s">
        <v>391</v>
      </c>
      <c r="CC226" s="27" t="s">
        <v>391</v>
      </c>
      <c r="CD226" s="27" t="s">
        <v>391</v>
      </c>
      <c r="CE226" s="27" t="s">
        <v>391</v>
      </c>
      <c r="CF226" s="27" t="s">
        <v>391</v>
      </c>
      <c r="CG226" s="27" t="s">
        <v>421</v>
      </c>
      <c r="CH226" s="27" t="s">
        <v>421</v>
      </c>
      <c r="CI226" s="27" t="s">
        <v>393</v>
      </c>
      <c r="CJ226" s="27" t="s">
        <v>393</v>
      </c>
      <c r="CK226" s="27" t="s">
        <v>391</v>
      </c>
      <c r="CL226" s="27" t="s">
        <v>344</v>
      </c>
      <c r="CM226" s="27" t="s">
        <v>344</v>
      </c>
      <c r="CN226" s="27" t="s">
        <v>344</v>
      </c>
      <c r="CO226" s="27" t="s">
        <v>345</v>
      </c>
      <c r="CP226" s="27" t="s">
        <v>345</v>
      </c>
      <c r="CQ226" s="27" t="s">
        <v>344</v>
      </c>
      <c r="CR226" s="27" t="s">
        <v>655</v>
      </c>
      <c r="CS226" s="27">
        <v>90</v>
      </c>
      <c r="CT226" s="27">
        <v>100</v>
      </c>
      <c r="CU226" s="27"/>
      <c r="CV226" s="27"/>
      <c r="CW226" s="27" t="s">
        <v>363</v>
      </c>
      <c r="CX226" s="27" t="s">
        <v>363</v>
      </c>
      <c r="CY226" s="27" t="s">
        <v>396</v>
      </c>
      <c r="CZ226" s="27" t="s">
        <v>397</v>
      </c>
      <c r="DA226" s="27" t="s">
        <v>397</v>
      </c>
      <c r="DB226" s="27" t="s">
        <v>397</v>
      </c>
      <c r="DC226" s="27" t="s">
        <v>397</v>
      </c>
      <c r="DD226" s="27" t="s">
        <v>397</v>
      </c>
      <c r="DE226" s="27"/>
      <c r="DF226" s="27"/>
      <c r="DG226" s="27"/>
      <c r="DH226" s="27"/>
      <c r="DI226" s="27"/>
      <c r="DJ226" s="27"/>
      <c r="DK226" s="27" t="s">
        <v>344</v>
      </c>
      <c r="DL226" s="27" t="s">
        <v>368</v>
      </c>
      <c r="DM226" s="27" t="s">
        <v>368</v>
      </c>
      <c r="DN226" s="27" t="s">
        <v>368</v>
      </c>
      <c r="DO226" s="27" t="s">
        <v>368</v>
      </c>
      <c r="DP226" s="27" t="s">
        <v>368</v>
      </c>
      <c r="DQ226" s="27" t="s">
        <v>368</v>
      </c>
      <c r="DR226" s="27" t="s">
        <v>368</v>
      </c>
      <c r="DS226" s="27" t="s">
        <v>345</v>
      </c>
      <c r="DT226" s="27" t="s">
        <v>368</v>
      </c>
      <c r="DU226" s="27" t="s">
        <v>368</v>
      </c>
      <c r="DV226" s="27" t="s">
        <v>368</v>
      </c>
      <c r="DW226" s="27" t="s">
        <v>345</v>
      </c>
      <c r="DX226" s="27" t="s">
        <v>1258</v>
      </c>
      <c r="DY226" s="27" t="s">
        <v>1258</v>
      </c>
      <c r="DZ226" s="27" t="s">
        <v>1258</v>
      </c>
      <c r="EA226" s="27" t="s">
        <v>1258</v>
      </c>
      <c r="EB226" s="27" t="s">
        <v>1258</v>
      </c>
      <c r="EC226" s="27" t="s">
        <v>1258</v>
      </c>
      <c r="ED226" s="27" t="s">
        <v>1258</v>
      </c>
      <c r="EE226" s="27" t="s">
        <v>397</v>
      </c>
      <c r="EF226" s="27" t="s">
        <v>397</v>
      </c>
      <c r="EG226" s="27" t="s">
        <v>397</v>
      </c>
      <c r="EH226" s="27" t="s">
        <v>397</v>
      </c>
      <c r="EI226" s="27" t="s">
        <v>397</v>
      </c>
      <c r="EJ226" s="27" t="s">
        <v>397</v>
      </c>
      <c r="EK226" s="27" t="s">
        <v>397</v>
      </c>
      <c r="EL226" s="27" t="s">
        <v>1260</v>
      </c>
      <c r="EM226" s="27" t="s">
        <v>1276</v>
      </c>
      <c r="EN226" s="27" t="s">
        <v>1261</v>
      </c>
      <c r="EO226" s="27"/>
      <c r="EP226" s="27"/>
      <c r="EQ226" s="27" t="s">
        <v>1264</v>
      </c>
      <c r="ER226" s="27" t="s">
        <v>1263</v>
      </c>
      <c r="ES226" s="27" t="s">
        <v>1264</v>
      </c>
      <c r="ET226" s="27" t="s">
        <v>1277</v>
      </c>
      <c r="EU226" s="27" t="s">
        <v>717</v>
      </c>
      <c r="EV226" s="27" t="s">
        <v>400</v>
      </c>
      <c r="EW226" s="27"/>
      <c r="EX226" s="27" t="s">
        <v>368</v>
      </c>
      <c r="EY226" s="27" t="s">
        <v>368</v>
      </c>
      <c r="EZ226" s="27" t="s">
        <v>368</v>
      </c>
      <c r="FA226" s="27" t="s">
        <v>345</v>
      </c>
      <c r="FB226" s="27" t="s">
        <v>1266</v>
      </c>
      <c r="FC226" s="27"/>
      <c r="FD226" s="27" t="s">
        <v>1266</v>
      </c>
      <c r="FE226" s="27"/>
      <c r="FF226" s="27" t="s">
        <v>431</v>
      </c>
      <c r="FG226" s="27" t="s">
        <v>402</v>
      </c>
      <c r="FH226" s="27" t="s">
        <v>432</v>
      </c>
      <c r="FI226" s="27" t="s">
        <v>1286</v>
      </c>
      <c r="FJ226" s="27"/>
      <c r="FK226" s="27"/>
      <c r="FL226" s="27"/>
      <c r="FM226" s="27"/>
      <c r="FN226" s="27"/>
      <c r="FO226" s="27"/>
      <c r="FP226" s="27"/>
      <c r="FQ226" s="27"/>
      <c r="FR226" s="27"/>
      <c r="FS226" s="27"/>
      <c r="FT226" s="27"/>
      <c r="FU226" s="27"/>
      <c r="FV226" s="27"/>
      <c r="FW226" s="27"/>
      <c r="FX226" s="27"/>
      <c r="FY226" s="27"/>
      <c r="FZ226" s="27"/>
      <c r="GA226" s="27" t="s">
        <v>368</v>
      </c>
      <c r="GB226" s="27" t="s">
        <v>368</v>
      </c>
      <c r="GC226" s="27" t="s">
        <v>368</v>
      </c>
      <c r="GD226" s="27" t="s">
        <v>368</v>
      </c>
      <c r="GE226" s="27" t="s">
        <v>368</v>
      </c>
      <c r="GF226" s="27" t="s">
        <v>368</v>
      </c>
      <c r="GG226" s="27"/>
      <c r="GH226" s="27"/>
      <c r="GI226" s="27"/>
      <c r="GJ226" s="27"/>
      <c r="GK226" s="27"/>
      <c r="GL226" s="27" t="s">
        <v>344</v>
      </c>
      <c r="GM226" s="27" t="s">
        <v>344</v>
      </c>
      <c r="GN226" s="27" t="s">
        <v>344</v>
      </c>
      <c r="GO226" s="27" t="s">
        <v>344</v>
      </c>
      <c r="GP226" s="27" t="s">
        <v>344</v>
      </c>
      <c r="GQ226" s="27" t="s">
        <v>344</v>
      </c>
      <c r="GR226" s="27" t="s">
        <v>344</v>
      </c>
      <c r="GS226" s="27" t="s">
        <v>344</v>
      </c>
      <c r="GT226" s="27" t="s">
        <v>345</v>
      </c>
      <c r="GU226" s="27" t="s">
        <v>344</v>
      </c>
      <c r="GV226" s="27" t="s">
        <v>344</v>
      </c>
      <c r="GW226" s="27" t="s">
        <v>345</v>
      </c>
      <c r="GX226" s="27" t="s">
        <v>344</v>
      </c>
      <c r="GY226" s="27" t="s">
        <v>344</v>
      </c>
      <c r="GZ226" s="27" t="s">
        <v>344</v>
      </c>
      <c r="HA226" s="27" t="s">
        <v>344</v>
      </c>
      <c r="HB226" s="27"/>
      <c r="HC226" s="27" t="s">
        <v>344</v>
      </c>
      <c r="HD226" s="27"/>
      <c r="HE226" s="27" t="s">
        <v>344</v>
      </c>
      <c r="HF226" s="27"/>
      <c r="HG226" s="27" t="s">
        <v>344</v>
      </c>
      <c r="HH226" s="27"/>
      <c r="HI226" s="27" t="s">
        <v>344</v>
      </c>
      <c r="HJ226" s="27"/>
      <c r="HK226" s="27" t="s">
        <v>344</v>
      </c>
      <c r="HL226" s="27" t="s">
        <v>344</v>
      </c>
      <c r="HM226" s="27" t="s">
        <v>344</v>
      </c>
      <c r="HN226" s="27" t="s">
        <v>344</v>
      </c>
      <c r="HO226" s="27" t="s">
        <v>344</v>
      </c>
      <c r="HP226" s="27" t="s">
        <v>344</v>
      </c>
      <c r="HQ226" s="27" t="s">
        <v>344</v>
      </c>
      <c r="HR226" s="27" t="s">
        <v>344</v>
      </c>
      <c r="HS226" s="27" t="s">
        <v>344</v>
      </c>
      <c r="HT226" s="27" t="s">
        <v>344</v>
      </c>
      <c r="HU226" s="27" t="s">
        <v>344</v>
      </c>
      <c r="HV226" s="27" t="s">
        <v>344</v>
      </c>
      <c r="HW226" s="27" t="s">
        <v>344</v>
      </c>
      <c r="HX226" s="27" t="s">
        <v>344</v>
      </c>
      <c r="HY226" s="27" t="s">
        <v>344</v>
      </c>
      <c r="HZ226" s="27" t="s">
        <v>344</v>
      </c>
      <c r="IA226" s="27" t="s">
        <v>345</v>
      </c>
      <c r="IB226" s="27" t="s">
        <v>344</v>
      </c>
      <c r="IC226" s="27" t="s">
        <v>344</v>
      </c>
      <c r="ID226" s="27"/>
      <c r="IE226" s="27" t="s">
        <v>344</v>
      </c>
      <c r="IF226" s="27"/>
      <c r="IG226" s="27" t="s">
        <v>344</v>
      </c>
      <c r="IH226" s="27"/>
      <c r="II226" s="27" t="s">
        <v>344</v>
      </c>
      <c r="IJ226" s="27"/>
      <c r="IK226" s="27" t="s">
        <v>344</v>
      </c>
      <c r="IL226" s="27"/>
      <c r="IM226" s="27" t="s">
        <v>344</v>
      </c>
      <c r="IN226" s="27" t="s">
        <v>345</v>
      </c>
      <c r="IO226" s="27" t="s">
        <v>345</v>
      </c>
      <c r="IP226" s="27" t="s">
        <v>344</v>
      </c>
      <c r="IQ226" s="27" t="s">
        <v>345</v>
      </c>
      <c r="IR226" s="27" t="s">
        <v>344</v>
      </c>
      <c r="IS226" s="27" t="s">
        <v>344</v>
      </c>
      <c r="IT226" s="27" t="s">
        <v>345</v>
      </c>
      <c r="IU226" s="27" t="s">
        <v>344</v>
      </c>
      <c r="IV226" s="27" t="s">
        <v>344</v>
      </c>
      <c r="IW226" s="27" t="s">
        <v>344</v>
      </c>
      <c r="IX226" s="27" t="s">
        <v>344</v>
      </c>
      <c r="IY226" s="27" t="s">
        <v>345</v>
      </c>
      <c r="IZ226" s="27" t="s">
        <v>344</v>
      </c>
      <c r="JA226" s="27"/>
      <c r="JB226" s="27"/>
    </row>
    <row r="227" spans="1:262" x14ac:dyDescent="0.3">
      <c r="A227" s="26" t="s">
        <v>727</v>
      </c>
      <c r="B227" s="27">
        <v>164</v>
      </c>
      <c r="C227" s="27" t="s">
        <v>1330</v>
      </c>
      <c r="D227" s="27">
        <v>14</v>
      </c>
      <c r="E227" s="27" t="s">
        <v>340</v>
      </c>
      <c r="F227" s="27">
        <v>1637421867</v>
      </c>
      <c r="G227" s="27" t="s">
        <v>1331</v>
      </c>
      <c r="H227" s="27" t="s">
        <v>1330</v>
      </c>
      <c r="I227" s="27" t="s">
        <v>1290</v>
      </c>
      <c r="J227" s="27">
        <v>17</v>
      </c>
      <c r="K227" s="27" t="s">
        <v>1255</v>
      </c>
      <c r="L227" s="27"/>
      <c r="M227" s="27" t="s">
        <v>344</v>
      </c>
      <c r="N227" s="27" t="s">
        <v>345</v>
      </c>
      <c r="O227" s="27" t="s">
        <v>344</v>
      </c>
      <c r="P227" s="27" t="s">
        <v>344</v>
      </c>
      <c r="Q227" s="27" t="s">
        <v>344</v>
      </c>
      <c r="R227" s="27"/>
      <c r="S227" s="27" t="s">
        <v>475</v>
      </c>
      <c r="T227" s="27"/>
      <c r="U227" s="27" t="s">
        <v>1256</v>
      </c>
      <c r="V227" s="27"/>
      <c r="W227" s="27" t="s">
        <v>345</v>
      </c>
      <c r="X227" s="27" t="s">
        <v>345</v>
      </c>
      <c r="Y227" s="27" t="s">
        <v>344</v>
      </c>
      <c r="Z227" s="27" t="s">
        <v>344</v>
      </c>
      <c r="AA227" s="27" t="s">
        <v>344</v>
      </c>
      <c r="AB227" s="27" t="s">
        <v>344</v>
      </c>
      <c r="AC227" s="27" t="s">
        <v>344</v>
      </c>
      <c r="AD227" s="27" t="s">
        <v>344</v>
      </c>
      <c r="AE227" s="27" t="s">
        <v>345</v>
      </c>
      <c r="AF227" s="27" t="s">
        <v>345</v>
      </c>
      <c r="AG227" s="27" t="s">
        <v>344</v>
      </c>
      <c r="AH227" s="27" t="s">
        <v>344</v>
      </c>
      <c r="AI227" s="27" t="s">
        <v>345</v>
      </c>
      <c r="AJ227" s="27" t="s">
        <v>344</v>
      </c>
      <c r="AK227" s="27" t="s">
        <v>344</v>
      </c>
      <c r="AL227" s="27" t="s">
        <v>344</v>
      </c>
      <c r="AM227" s="27" t="s">
        <v>344</v>
      </c>
      <c r="AN227" s="27" t="s">
        <v>344</v>
      </c>
      <c r="AO227" s="27" t="s">
        <v>344</v>
      </c>
      <c r="AP227" s="27" t="s">
        <v>344</v>
      </c>
      <c r="AQ227" s="27" t="s">
        <v>345</v>
      </c>
      <c r="AR227" s="27" t="s">
        <v>345</v>
      </c>
      <c r="AS227" s="27" t="s">
        <v>345</v>
      </c>
      <c r="AT227" s="27" t="s">
        <v>345</v>
      </c>
      <c r="AU227" s="27" t="s">
        <v>345</v>
      </c>
      <c r="AV227" s="27" t="s">
        <v>345</v>
      </c>
      <c r="AW227" s="27" t="s">
        <v>345</v>
      </c>
      <c r="AX227" s="27" t="s">
        <v>344</v>
      </c>
      <c r="AY227" s="27" t="s">
        <v>391</v>
      </c>
      <c r="AZ227" s="27" t="s">
        <v>732</v>
      </c>
      <c r="BA227" s="27" t="s">
        <v>732</v>
      </c>
      <c r="BB227" s="27" t="s">
        <v>732</v>
      </c>
      <c r="BC227" s="27" t="s">
        <v>733</v>
      </c>
      <c r="BD227" s="27" t="s">
        <v>733</v>
      </c>
      <c r="BE227" s="27" t="s">
        <v>390</v>
      </c>
      <c r="BF227" s="27" t="s">
        <v>350</v>
      </c>
      <c r="BG227" s="27" t="s">
        <v>390</v>
      </c>
      <c r="BH227" s="27" t="s">
        <v>390</v>
      </c>
      <c r="BI227" s="27" t="s">
        <v>390</v>
      </c>
      <c r="BJ227" s="27" t="s">
        <v>391</v>
      </c>
      <c r="BK227" s="27" t="s">
        <v>391</v>
      </c>
      <c r="BL227" s="27" t="s">
        <v>391</v>
      </c>
      <c r="BM227" s="27" t="s">
        <v>391</v>
      </c>
      <c r="BN227" s="27" t="s">
        <v>391</v>
      </c>
      <c r="BO227" s="27" t="s">
        <v>391</v>
      </c>
      <c r="BP227" s="27" t="s">
        <v>391</v>
      </c>
      <c r="BQ227" s="27" t="s">
        <v>358</v>
      </c>
      <c r="BR227" s="27" t="s">
        <v>1296</v>
      </c>
      <c r="BS227" s="27" t="s">
        <v>391</v>
      </c>
      <c r="BT227" s="27" t="s">
        <v>391</v>
      </c>
      <c r="BU227" s="27" t="s">
        <v>391</v>
      </c>
      <c r="BV227" s="27" t="s">
        <v>391</v>
      </c>
      <c r="BW227" s="27" t="s">
        <v>391</v>
      </c>
      <c r="BX227" s="27" t="s">
        <v>391</v>
      </c>
      <c r="BY227" s="27" t="s">
        <v>391</v>
      </c>
      <c r="BZ227" s="27" t="s">
        <v>391</v>
      </c>
      <c r="CA227" s="27" t="s">
        <v>391</v>
      </c>
      <c r="CB227" s="27" t="s">
        <v>391</v>
      </c>
      <c r="CC227" s="27" t="s">
        <v>391</v>
      </c>
      <c r="CD227" s="27" t="s">
        <v>391</v>
      </c>
      <c r="CE227" s="27" t="s">
        <v>391</v>
      </c>
      <c r="CF227" s="27" t="s">
        <v>391</v>
      </c>
      <c r="CG227" s="27" t="s">
        <v>360</v>
      </c>
      <c r="CH227" s="27" t="s">
        <v>421</v>
      </c>
      <c r="CI227" s="27" t="s">
        <v>392</v>
      </c>
      <c r="CJ227" s="27" t="s">
        <v>420</v>
      </c>
      <c r="CK227" s="27" t="s">
        <v>510</v>
      </c>
      <c r="CL227" s="27" t="s">
        <v>344</v>
      </c>
      <c r="CM227" s="27" t="s">
        <v>345</v>
      </c>
      <c r="CN227" s="27" t="s">
        <v>344</v>
      </c>
      <c r="CO227" s="27" t="s">
        <v>344</v>
      </c>
      <c r="CP227" s="27" t="s">
        <v>345</v>
      </c>
      <c r="CQ227" s="27" t="s">
        <v>344</v>
      </c>
      <c r="CR227" s="27" t="s">
        <v>672</v>
      </c>
      <c r="CS227" s="27">
        <v>30</v>
      </c>
      <c r="CT227" s="27">
        <v>10</v>
      </c>
      <c r="CU227" s="27">
        <v>100</v>
      </c>
      <c r="CV227" s="27">
        <v>49</v>
      </c>
      <c r="CW227" s="27" t="s">
        <v>363</v>
      </c>
      <c r="CX227" s="27" t="s">
        <v>395</v>
      </c>
      <c r="CY227" s="27" t="s">
        <v>396</v>
      </c>
      <c r="CZ227" s="27" t="s">
        <v>397</v>
      </c>
      <c r="DA227" s="27" t="s">
        <v>397</v>
      </c>
      <c r="DB227" s="27" t="s">
        <v>397</v>
      </c>
      <c r="DC227" s="27" t="s">
        <v>397</v>
      </c>
      <c r="DD227" s="27" t="s">
        <v>397</v>
      </c>
      <c r="DE227" s="27" t="s">
        <v>366</v>
      </c>
      <c r="DF227" s="27" t="s">
        <v>365</v>
      </c>
      <c r="DG227" s="27" t="s">
        <v>397</v>
      </c>
      <c r="DH227" s="27" t="s">
        <v>366</v>
      </c>
      <c r="DI227" s="27" t="s">
        <v>365</v>
      </c>
      <c r="DJ227" s="27" t="s">
        <v>1332</v>
      </c>
      <c r="DK227" s="27" t="s">
        <v>344</v>
      </c>
      <c r="DL227" s="27" t="s">
        <v>368</v>
      </c>
      <c r="DM227" s="27" t="s">
        <v>368</v>
      </c>
      <c r="DN227" s="27" t="s">
        <v>368</v>
      </c>
      <c r="DO227" s="27" t="s">
        <v>368</v>
      </c>
      <c r="DP227" s="27" t="s">
        <v>368</v>
      </c>
      <c r="DQ227" s="27" t="s">
        <v>368</v>
      </c>
      <c r="DR227" s="27" t="s">
        <v>368</v>
      </c>
      <c r="DS227" s="27" t="s">
        <v>345</v>
      </c>
      <c r="DT227" s="27" t="s">
        <v>368</v>
      </c>
      <c r="DU227" s="27" t="s">
        <v>368</v>
      </c>
      <c r="DV227" s="27" t="s">
        <v>368</v>
      </c>
      <c r="DW227" s="27" t="s">
        <v>345</v>
      </c>
      <c r="DX227" s="27" t="s">
        <v>397</v>
      </c>
      <c r="DY227" s="27" t="s">
        <v>1274</v>
      </c>
      <c r="DZ227" s="27" t="s">
        <v>397</v>
      </c>
      <c r="EA227" s="27" t="s">
        <v>1273</v>
      </c>
      <c r="EB227" s="27" t="s">
        <v>1273</v>
      </c>
      <c r="EC227" s="27" t="s">
        <v>397</v>
      </c>
      <c r="ED227" s="27" t="s">
        <v>1258</v>
      </c>
      <c r="EE227" s="27" t="s">
        <v>1258</v>
      </c>
      <c r="EF227" s="27" t="s">
        <v>1258</v>
      </c>
      <c r="EG227" s="27" t="s">
        <v>1258</v>
      </c>
      <c r="EH227" s="27" t="s">
        <v>1258</v>
      </c>
      <c r="EI227" s="27" t="s">
        <v>1258</v>
      </c>
      <c r="EJ227" s="27" t="s">
        <v>1258</v>
      </c>
      <c r="EK227" s="27" t="s">
        <v>1258</v>
      </c>
      <c r="EL227" s="27" t="s">
        <v>1276</v>
      </c>
      <c r="EM227" s="27" t="s">
        <v>1259</v>
      </c>
      <c r="EN227" s="27" t="s">
        <v>1261</v>
      </c>
      <c r="EO227" s="27"/>
      <c r="EP227" s="27"/>
      <c r="EQ227" s="27" t="s">
        <v>717</v>
      </c>
      <c r="ER227" s="27" t="s">
        <v>717</v>
      </c>
      <c r="ES227" s="27" t="s">
        <v>717</v>
      </c>
      <c r="ET227" s="27" t="s">
        <v>717</v>
      </c>
      <c r="EU227" s="27" t="s">
        <v>717</v>
      </c>
      <c r="EV227" s="27" t="s">
        <v>1265</v>
      </c>
      <c r="EW227" s="27"/>
      <c r="EX227" s="27" t="s">
        <v>368</v>
      </c>
      <c r="EY227" s="27" t="s">
        <v>368</v>
      </c>
      <c r="EZ227" s="27" t="s">
        <v>368</v>
      </c>
      <c r="FA227" s="27" t="s">
        <v>345</v>
      </c>
      <c r="FB227" s="27" t="s">
        <v>1321</v>
      </c>
      <c r="FC227" s="27"/>
      <c r="FD227" s="27" t="s">
        <v>1266</v>
      </c>
      <c r="FE227" s="27"/>
      <c r="FF227" s="27" t="s">
        <v>382</v>
      </c>
      <c r="FG227" s="27" t="s">
        <v>402</v>
      </c>
      <c r="FH227" s="27" t="s">
        <v>1293</v>
      </c>
      <c r="FI227" s="27" t="s">
        <v>1294</v>
      </c>
      <c r="FJ227" s="27"/>
      <c r="FK227" s="27"/>
      <c r="FL227" s="27"/>
      <c r="FM227" s="27"/>
      <c r="FN227" s="27"/>
      <c r="FO227" s="27"/>
      <c r="FP227" s="27"/>
      <c r="FQ227" s="27"/>
      <c r="FR227" s="27"/>
      <c r="FS227" s="27"/>
      <c r="FT227" s="27"/>
      <c r="FU227" s="27"/>
      <c r="FV227" s="27"/>
      <c r="FW227" s="27"/>
      <c r="FX227" s="27"/>
      <c r="FY227" s="27"/>
      <c r="FZ227" s="27"/>
      <c r="GA227" s="27" t="s">
        <v>368</v>
      </c>
      <c r="GB227" s="27" t="s">
        <v>368</v>
      </c>
      <c r="GC227" s="27" t="s">
        <v>368</v>
      </c>
      <c r="GD227" s="27" t="s">
        <v>368</v>
      </c>
      <c r="GE227" s="27" t="s">
        <v>368</v>
      </c>
      <c r="GF227" s="27" t="s">
        <v>368</v>
      </c>
      <c r="GG227" s="27"/>
      <c r="GH227" s="27"/>
      <c r="GI227" s="27"/>
      <c r="GJ227" s="27"/>
      <c r="GK227" s="27"/>
      <c r="GL227" s="27" t="s">
        <v>344</v>
      </c>
      <c r="GM227" s="27" t="s">
        <v>344</v>
      </c>
      <c r="GN227" s="27" t="s">
        <v>344</v>
      </c>
      <c r="GO227" s="27" t="s">
        <v>344</v>
      </c>
      <c r="GP227" s="27" t="s">
        <v>344</v>
      </c>
      <c r="GQ227" s="27" t="s">
        <v>344</v>
      </c>
      <c r="GR227" s="27" t="s">
        <v>344</v>
      </c>
      <c r="GS227" s="27" t="s">
        <v>344</v>
      </c>
      <c r="GT227" s="27" t="s">
        <v>344</v>
      </c>
      <c r="GU227" s="27" t="s">
        <v>344</v>
      </c>
      <c r="GV227" s="27" t="s">
        <v>344</v>
      </c>
      <c r="GW227" s="27" t="s">
        <v>344</v>
      </c>
      <c r="GX227" s="27" t="s">
        <v>344</v>
      </c>
      <c r="GY227" s="27" t="s">
        <v>344</v>
      </c>
      <c r="GZ227" s="27" t="s">
        <v>344</v>
      </c>
      <c r="HA227" s="27" t="s">
        <v>345</v>
      </c>
      <c r="HB227" s="27"/>
      <c r="HC227" s="27" t="s">
        <v>344</v>
      </c>
      <c r="HD227" s="27"/>
      <c r="HE227" s="27" t="s">
        <v>344</v>
      </c>
      <c r="HF227" s="27"/>
      <c r="HG227" s="27" t="s">
        <v>344</v>
      </c>
      <c r="HH227" s="27"/>
      <c r="HI227" s="27" t="s">
        <v>344</v>
      </c>
      <c r="HJ227" s="27"/>
      <c r="HK227" s="27" t="s">
        <v>344</v>
      </c>
      <c r="HL227" s="27" t="s">
        <v>344</v>
      </c>
      <c r="HM227" s="27" t="s">
        <v>345</v>
      </c>
      <c r="HN227" s="27" t="s">
        <v>344</v>
      </c>
      <c r="HO227" s="27" t="s">
        <v>344</v>
      </c>
      <c r="HP227" s="27" t="s">
        <v>344</v>
      </c>
      <c r="HQ227" s="27" t="s">
        <v>344</v>
      </c>
      <c r="HR227" s="27" t="s">
        <v>344</v>
      </c>
      <c r="HS227" s="27" t="s">
        <v>344</v>
      </c>
      <c r="HT227" s="27" t="s">
        <v>344</v>
      </c>
      <c r="HU227" s="27" t="s">
        <v>344</v>
      </c>
      <c r="HV227" s="27" t="s">
        <v>344</v>
      </c>
      <c r="HW227" s="27" t="s">
        <v>344</v>
      </c>
      <c r="HX227" s="27" t="s">
        <v>344</v>
      </c>
      <c r="HY227" s="27" t="s">
        <v>344</v>
      </c>
      <c r="HZ227" s="27" t="s">
        <v>344</v>
      </c>
      <c r="IA227" s="27" t="s">
        <v>345</v>
      </c>
      <c r="IB227" s="27" t="s">
        <v>344</v>
      </c>
      <c r="IC227" s="27" t="s">
        <v>344</v>
      </c>
      <c r="ID227" s="27"/>
      <c r="IE227" s="27" t="s">
        <v>344</v>
      </c>
      <c r="IF227" s="27"/>
      <c r="IG227" s="27" t="s">
        <v>344</v>
      </c>
      <c r="IH227" s="27"/>
      <c r="II227" s="27" t="s">
        <v>344</v>
      </c>
      <c r="IJ227" s="27"/>
      <c r="IK227" s="27" t="s">
        <v>344</v>
      </c>
      <c r="IL227" s="27"/>
      <c r="IM227" s="27" t="s">
        <v>345</v>
      </c>
      <c r="IN227" s="27" t="s">
        <v>345</v>
      </c>
      <c r="IO227" s="27" t="s">
        <v>344</v>
      </c>
      <c r="IP227" s="27" t="s">
        <v>344</v>
      </c>
      <c r="IQ227" s="27" t="s">
        <v>345</v>
      </c>
      <c r="IR227" s="27" t="s">
        <v>345</v>
      </c>
      <c r="IS227" s="27" t="s">
        <v>344</v>
      </c>
      <c r="IT227" s="27" t="s">
        <v>345</v>
      </c>
      <c r="IU227" s="27" t="s">
        <v>344</v>
      </c>
      <c r="IV227" s="27" t="s">
        <v>344</v>
      </c>
      <c r="IW227" s="27" t="s">
        <v>345</v>
      </c>
      <c r="IX227" s="27" t="s">
        <v>344</v>
      </c>
      <c r="IY227" s="27" t="s">
        <v>345</v>
      </c>
      <c r="IZ227" s="27" t="s">
        <v>344</v>
      </c>
      <c r="JA227" s="27"/>
      <c r="JB227" s="27"/>
    </row>
    <row r="228" spans="1:262" x14ac:dyDescent="0.3">
      <c r="A228" s="26" t="s">
        <v>727</v>
      </c>
      <c r="B228" s="27">
        <v>165</v>
      </c>
      <c r="C228" s="27" t="s">
        <v>1333</v>
      </c>
      <c r="D228" s="27">
        <v>14</v>
      </c>
      <c r="E228" s="27" t="s">
        <v>340</v>
      </c>
      <c r="F228" s="27">
        <v>1623365468</v>
      </c>
      <c r="G228" s="27" t="s">
        <v>1334</v>
      </c>
      <c r="H228" s="27" t="s">
        <v>1333</v>
      </c>
      <c r="I228" s="27" t="s">
        <v>1290</v>
      </c>
      <c r="J228" s="27">
        <v>17</v>
      </c>
      <c r="K228" s="27" t="s">
        <v>1282</v>
      </c>
      <c r="L228" s="27"/>
      <c r="M228" s="27" t="s">
        <v>344</v>
      </c>
      <c r="N228" s="27" t="s">
        <v>345</v>
      </c>
      <c r="O228" s="27" t="s">
        <v>344</v>
      </c>
      <c r="P228" s="27" t="s">
        <v>344</v>
      </c>
      <c r="Q228" s="27" t="s">
        <v>344</v>
      </c>
      <c r="R228" s="27"/>
      <c r="S228" s="27" t="s">
        <v>475</v>
      </c>
      <c r="T228" s="27"/>
      <c r="U228" s="27" t="s">
        <v>1270</v>
      </c>
      <c r="V228" s="27"/>
      <c r="W228" s="27" t="s">
        <v>345</v>
      </c>
      <c r="X228" s="27" t="s">
        <v>344</v>
      </c>
      <c r="Y228" s="27" t="s">
        <v>344</v>
      </c>
      <c r="Z228" s="27" t="s">
        <v>344</v>
      </c>
      <c r="AA228" s="27" t="s">
        <v>344</v>
      </c>
      <c r="AB228" s="27" t="s">
        <v>344</v>
      </c>
      <c r="AC228" s="27" t="s">
        <v>344</v>
      </c>
      <c r="AD228" s="27" t="s">
        <v>344</v>
      </c>
      <c r="AE228" s="27" t="s">
        <v>345</v>
      </c>
      <c r="AF228" s="27" t="s">
        <v>344</v>
      </c>
      <c r="AG228" s="27" t="s">
        <v>344</v>
      </c>
      <c r="AH228" s="27" t="s">
        <v>344</v>
      </c>
      <c r="AI228" s="27" t="s">
        <v>344</v>
      </c>
      <c r="AJ228" s="27" t="s">
        <v>344</v>
      </c>
      <c r="AK228" s="27" t="s">
        <v>344</v>
      </c>
      <c r="AL228" s="27" t="s">
        <v>344</v>
      </c>
      <c r="AM228" s="27" t="s">
        <v>344</v>
      </c>
      <c r="AN228" s="27" t="s">
        <v>344</v>
      </c>
      <c r="AO228" s="27" t="s">
        <v>344</v>
      </c>
      <c r="AP228" s="27" t="s">
        <v>344</v>
      </c>
      <c r="AQ228" s="27" t="s">
        <v>345</v>
      </c>
      <c r="AR228" s="27" t="s">
        <v>344</v>
      </c>
      <c r="AS228" s="27" t="s">
        <v>344</v>
      </c>
      <c r="AT228" s="27" t="s">
        <v>344</v>
      </c>
      <c r="AU228" s="27" t="s">
        <v>344</v>
      </c>
      <c r="AV228" s="27" t="s">
        <v>344</v>
      </c>
      <c r="AW228" s="27" t="s">
        <v>345</v>
      </c>
      <c r="AX228" s="27" t="s">
        <v>344</v>
      </c>
      <c r="AY228" s="27" t="s">
        <v>391</v>
      </c>
      <c r="AZ228" s="27" t="s">
        <v>391</v>
      </c>
      <c r="BA228" s="27" t="s">
        <v>391</v>
      </c>
      <c r="BB228" s="27" t="s">
        <v>391</v>
      </c>
      <c r="BC228" s="27" t="s">
        <v>391</v>
      </c>
      <c r="BD228" s="27" t="s">
        <v>391</v>
      </c>
      <c r="BE228" s="27" t="s">
        <v>350</v>
      </c>
      <c r="BF228" s="27" t="s">
        <v>348</v>
      </c>
      <c r="BG228" s="27" t="s">
        <v>348</v>
      </c>
      <c r="BH228" s="27" t="s">
        <v>349</v>
      </c>
      <c r="BI228" s="27" t="s">
        <v>348</v>
      </c>
      <c r="BJ228" s="27" t="s">
        <v>391</v>
      </c>
      <c r="BK228" s="27" t="s">
        <v>356</v>
      </c>
      <c r="BL228" s="27" t="s">
        <v>353</v>
      </c>
      <c r="BM228" s="27" t="s">
        <v>391</v>
      </c>
      <c r="BN228" s="27" t="s">
        <v>391</v>
      </c>
      <c r="BO228" s="27" t="s">
        <v>356</v>
      </c>
      <c r="BP228" s="27" t="s">
        <v>391</v>
      </c>
      <c r="BQ228" s="27" t="s">
        <v>358</v>
      </c>
      <c r="BR228" s="27" t="s">
        <v>1257</v>
      </c>
      <c r="BS228" s="27" t="s">
        <v>351</v>
      </c>
      <c r="BT228" s="27" t="s">
        <v>351</v>
      </c>
      <c r="BU228" s="27" t="s">
        <v>351</v>
      </c>
      <c r="BV228" s="27" t="s">
        <v>357</v>
      </c>
      <c r="BW228" s="27" t="s">
        <v>352</v>
      </c>
      <c r="BX228" s="27" t="s">
        <v>351</v>
      </c>
      <c r="BY228" s="27" t="s">
        <v>391</v>
      </c>
      <c r="BZ228" s="27" t="s">
        <v>391</v>
      </c>
      <c r="CA228" s="27" t="s">
        <v>391</v>
      </c>
      <c r="CB228" s="27" t="s">
        <v>391</v>
      </c>
      <c r="CC228" s="27" t="s">
        <v>391</v>
      </c>
      <c r="CD228" s="27" t="s">
        <v>391</v>
      </c>
      <c r="CE228" s="27" t="s">
        <v>391</v>
      </c>
      <c r="CF228" s="27" t="s">
        <v>391</v>
      </c>
      <c r="CG228" s="27" t="s">
        <v>392</v>
      </c>
      <c r="CH228" s="27" t="s">
        <v>360</v>
      </c>
      <c r="CI228" s="27" t="s">
        <v>420</v>
      </c>
      <c r="CJ228" s="27" t="s">
        <v>360</v>
      </c>
      <c r="CK228" s="27" t="s">
        <v>835</v>
      </c>
      <c r="CL228" s="27" t="s">
        <v>344</v>
      </c>
      <c r="CM228" s="27" t="s">
        <v>344</v>
      </c>
      <c r="CN228" s="27" t="s">
        <v>344</v>
      </c>
      <c r="CO228" s="27" t="s">
        <v>344</v>
      </c>
      <c r="CP228" s="27" t="s">
        <v>344</v>
      </c>
      <c r="CQ228" s="27" t="s">
        <v>345</v>
      </c>
      <c r="CR228" s="27" t="s">
        <v>655</v>
      </c>
      <c r="CS228" s="27">
        <v>18</v>
      </c>
      <c r="CT228" s="27">
        <v>35</v>
      </c>
      <c r="CU228" s="27">
        <v>65</v>
      </c>
      <c r="CV228" s="27">
        <v>1</v>
      </c>
      <c r="CW228" s="27" t="s">
        <v>396</v>
      </c>
      <c r="CX228" s="27" t="s">
        <v>396</v>
      </c>
      <c r="CY228" s="27" t="s">
        <v>396</v>
      </c>
      <c r="CZ228" s="27" t="s">
        <v>397</v>
      </c>
      <c r="DA228" s="27" t="s">
        <v>397</v>
      </c>
      <c r="DB228" s="27" t="s">
        <v>717</v>
      </c>
      <c r="DC228" s="27" t="s">
        <v>397</v>
      </c>
      <c r="DD228" s="27" t="s">
        <v>366</v>
      </c>
      <c r="DE228" s="27" t="s">
        <v>717</v>
      </c>
      <c r="DF228" s="27" t="s">
        <v>365</v>
      </c>
      <c r="DG228" s="27" t="s">
        <v>717</v>
      </c>
      <c r="DH228" s="27" t="s">
        <v>397</v>
      </c>
      <c r="DI228" s="27" t="s">
        <v>366</v>
      </c>
      <c r="DJ228" s="27" t="s">
        <v>1335</v>
      </c>
      <c r="DK228" s="27" t="s">
        <v>344</v>
      </c>
      <c r="DL228" s="27" t="s">
        <v>368</v>
      </c>
      <c r="DM228" s="27" t="s">
        <v>368</v>
      </c>
      <c r="DN228" s="27" t="s">
        <v>368</v>
      </c>
      <c r="DO228" s="27" t="s">
        <v>368</v>
      </c>
      <c r="DP228" s="27" t="s">
        <v>368</v>
      </c>
      <c r="DQ228" s="27" t="s">
        <v>368</v>
      </c>
      <c r="DR228" s="27" t="s">
        <v>368</v>
      </c>
      <c r="DS228" s="27" t="s">
        <v>345</v>
      </c>
      <c r="DT228" s="27" t="s">
        <v>345</v>
      </c>
      <c r="DU228" s="27" t="s">
        <v>344</v>
      </c>
      <c r="DV228" s="27" t="s">
        <v>344</v>
      </c>
      <c r="DW228" s="27" t="s">
        <v>344</v>
      </c>
      <c r="DX228" s="27" t="s">
        <v>1274</v>
      </c>
      <c r="DY228" s="27" t="s">
        <v>1274</v>
      </c>
      <c r="DZ228" s="27" t="s">
        <v>397</v>
      </c>
      <c r="EA228" s="27" t="s">
        <v>1273</v>
      </c>
      <c r="EB228" s="27" t="s">
        <v>397</v>
      </c>
      <c r="EC228" s="27" t="s">
        <v>397</v>
      </c>
      <c r="ED228" s="27" t="s">
        <v>1258</v>
      </c>
      <c r="EE228" s="27" t="s">
        <v>1258</v>
      </c>
      <c r="EF228" s="27" t="s">
        <v>1258</v>
      </c>
      <c r="EG228" s="27" t="s">
        <v>397</v>
      </c>
      <c r="EH228" s="27" t="s">
        <v>1258</v>
      </c>
      <c r="EI228" s="27" t="s">
        <v>397</v>
      </c>
      <c r="EJ228" s="27" t="s">
        <v>1258</v>
      </c>
      <c r="EK228" s="27" t="s">
        <v>1258</v>
      </c>
      <c r="EL228" s="27" t="s">
        <v>1276</v>
      </c>
      <c r="EM228" s="27" t="s">
        <v>1260</v>
      </c>
      <c r="EN228" s="27" t="s">
        <v>1261</v>
      </c>
      <c r="EO228" s="27"/>
      <c r="EP228" s="27"/>
      <c r="EQ228" s="27" t="s">
        <v>1277</v>
      </c>
      <c r="ER228" s="27" t="s">
        <v>1277</v>
      </c>
      <c r="ES228" s="27" t="s">
        <v>1263</v>
      </c>
      <c r="ET228" s="27" t="s">
        <v>1263</v>
      </c>
      <c r="EU228" s="27" t="s">
        <v>1264</v>
      </c>
      <c r="EV228" s="27" t="s">
        <v>400</v>
      </c>
      <c r="EW228" s="27"/>
      <c r="EX228" s="27" t="s">
        <v>368</v>
      </c>
      <c r="EY228" s="27" t="s">
        <v>368</v>
      </c>
      <c r="EZ228" s="27" t="s">
        <v>368</v>
      </c>
      <c r="FA228" s="27" t="s">
        <v>345</v>
      </c>
      <c r="FB228" s="27" t="s">
        <v>1300</v>
      </c>
      <c r="FC228" s="27"/>
      <c r="FD228" s="27" t="s">
        <v>1266</v>
      </c>
      <c r="FE228" s="27"/>
      <c r="FF228" s="27" t="s">
        <v>382</v>
      </c>
      <c r="FG228" s="27" t="s">
        <v>1323</v>
      </c>
      <c r="FH228" s="27" t="s">
        <v>1293</v>
      </c>
      <c r="FI228" s="27" t="s">
        <v>1294</v>
      </c>
      <c r="FJ228" s="27"/>
      <c r="FK228" s="27"/>
      <c r="FL228" s="27"/>
      <c r="FM228" s="27"/>
      <c r="FN228" s="27"/>
      <c r="FO228" s="27"/>
      <c r="FP228" s="27"/>
      <c r="FQ228" s="27"/>
      <c r="FR228" s="27"/>
      <c r="FS228" s="27"/>
      <c r="FT228" s="27"/>
      <c r="FU228" s="27"/>
      <c r="FV228" s="27"/>
      <c r="FW228" s="27"/>
      <c r="FX228" s="27"/>
      <c r="FY228" s="27"/>
      <c r="FZ228" s="27"/>
      <c r="GA228" s="27" t="s">
        <v>368</v>
      </c>
      <c r="GB228" s="27" t="s">
        <v>368</v>
      </c>
      <c r="GC228" s="27" t="s">
        <v>368</v>
      </c>
      <c r="GD228" s="27" t="s">
        <v>368</v>
      </c>
      <c r="GE228" s="27" t="s">
        <v>368</v>
      </c>
      <c r="GF228" s="27" t="s">
        <v>368</v>
      </c>
      <c r="GG228" s="27"/>
      <c r="GH228" s="27"/>
      <c r="GI228" s="27"/>
      <c r="GJ228" s="27"/>
      <c r="GK228" s="27"/>
      <c r="GL228" s="27" t="s">
        <v>344</v>
      </c>
      <c r="GM228" s="27" t="s">
        <v>344</v>
      </c>
      <c r="GN228" s="27" t="s">
        <v>344</v>
      </c>
      <c r="GO228" s="27" t="s">
        <v>344</v>
      </c>
      <c r="GP228" s="27" t="s">
        <v>344</v>
      </c>
      <c r="GQ228" s="27" t="s">
        <v>344</v>
      </c>
      <c r="GR228" s="27" t="s">
        <v>344</v>
      </c>
      <c r="GS228" s="27" t="s">
        <v>344</v>
      </c>
      <c r="GT228" s="27" t="s">
        <v>344</v>
      </c>
      <c r="GU228" s="27" t="s">
        <v>344</v>
      </c>
      <c r="GV228" s="27" t="s">
        <v>344</v>
      </c>
      <c r="GW228" s="27" t="s">
        <v>344</v>
      </c>
      <c r="GX228" s="27" t="s">
        <v>344</v>
      </c>
      <c r="GY228" s="27" t="s">
        <v>344</v>
      </c>
      <c r="GZ228" s="27" t="s">
        <v>344</v>
      </c>
      <c r="HA228" s="27" t="s">
        <v>345</v>
      </c>
      <c r="HB228" s="27"/>
      <c r="HC228" s="27" t="s">
        <v>344</v>
      </c>
      <c r="HD228" s="27"/>
      <c r="HE228" s="27" t="s">
        <v>344</v>
      </c>
      <c r="HF228" s="27"/>
      <c r="HG228" s="27" t="s">
        <v>344</v>
      </c>
      <c r="HH228" s="27"/>
      <c r="HI228" s="27" t="s">
        <v>344</v>
      </c>
      <c r="HJ228" s="27"/>
      <c r="HK228" s="27" t="s">
        <v>344</v>
      </c>
      <c r="HL228" s="27" t="s">
        <v>344</v>
      </c>
      <c r="HM228" s="27" t="s">
        <v>344</v>
      </c>
      <c r="HN228" s="27" t="s">
        <v>344</v>
      </c>
      <c r="HO228" s="27" t="s">
        <v>344</v>
      </c>
      <c r="HP228" s="27" t="s">
        <v>344</v>
      </c>
      <c r="HQ228" s="27" t="s">
        <v>344</v>
      </c>
      <c r="HR228" s="27" t="s">
        <v>344</v>
      </c>
      <c r="HS228" s="27" t="s">
        <v>344</v>
      </c>
      <c r="HT228" s="27" t="s">
        <v>344</v>
      </c>
      <c r="HU228" s="27" t="s">
        <v>344</v>
      </c>
      <c r="HV228" s="27" t="s">
        <v>344</v>
      </c>
      <c r="HW228" s="27" t="s">
        <v>344</v>
      </c>
      <c r="HX228" s="27" t="s">
        <v>344</v>
      </c>
      <c r="HY228" s="27" t="s">
        <v>344</v>
      </c>
      <c r="HZ228" s="27" t="s">
        <v>344</v>
      </c>
      <c r="IA228" s="27" t="s">
        <v>344</v>
      </c>
      <c r="IB228" s="27" t="s">
        <v>344</v>
      </c>
      <c r="IC228" s="27" t="s">
        <v>345</v>
      </c>
      <c r="ID228" s="27"/>
      <c r="IE228" s="27" t="s">
        <v>344</v>
      </c>
      <c r="IF228" s="27"/>
      <c r="IG228" s="27" t="s">
        <v>344</v>
      </c>
      <c r="IH228" s="27"/>
      <c r="II228" s="27" t="s">
        <v>344</v>
      </c>
      <c r="IJ228" s="27"/>
      <c r="IK228" s="27" t="s">
        <v>344</v>
      </c>
      <c r="IL228" s="27"/>
      <c r="IM228" s="27" t="s">
        <v>345</v>
      </c>
      <c r="IN228" s="27" t="s">
        <v>345</v>
      </c>
      <c r="IO228" s="27" t="s">
        <v>345</v>
      </c>
      <c r="IP228" s="27" t="s">
        <v>344</v>
      </c>
      <c r="IQ228" s="27" t="s">
        <v>345</v>
      </c>
      <c r="IR228" s="27" t="s">
        <v>345</v>
      </c>
      <c r="IS228" s="27" t="s">
        <v>344</v>
      </c>
      <c r="IT228" s="27" t="s">
        <v>345</v>
      </c>
      <c r="IU228" s="27" t="s">
        <v>344</v>
      </c>
      <c r="IV228" s="27" t="s">
        <v>344</v>
      </c>
      <c r="IW228" s="27" t="s">
        <v>344</v>
      </c>
      <c r="IX228" s="27" t="s">
        <v>344</v>
      </c>
      <c r="IY228" s="27" t="s">
        <v>345</v>
      </c>
      <c r="IZ228" s="27" t="s">
        <v>344</v>
      </c>
      <c r="JA228" s="27"/>
      <c r="JB228" s="27"/>
    </row>
    <row r="229" spans="1:262" x14ac:dyDescent="0.3">
      <c r="A229" s="26" t="s">
        <v>727</v>
      </c>
      <c r="B229" s="27">
        <v>166</v>
      </c>
      <c r="C229" s="27" t="s">
        <v>1336</v>
      </c>
      <c r="D229" s="27">
        <v>14</v>
      </c>
      <c r="E229" s="27" t="s">
        <v>387</v>
      </c>
      <c r="F229" s="27">
        <v>1030688516</v>
      </c>
      <c r="G229" s="27" t="s">
        <v>1337</v>
      </c>
      <c r="H229" s="27" t="s">
        <v>1336</v>
      </c>
      <c r="I229" s="27" t="s">
        <v>1254</v>
      </c>
      <c r="J229" s="27">
        <v>17</v>
      </c>
      <c r="K229" s="27" t="s">
        <v>1282</v>
      </c>
      <c r="L229" s="27"/>
      <c r="M229" s="27" t="s">
        <v>345</v>
      </c>
      <c r="N229" s="27" t="s">
        <v>344</v>
      </c>
      <c r="O229" s="27" t="s">
        <v>344</v>
      </c>
      <c r="P229" s="27" t="s">
        <v>344</v>
      </c>
      <c r="Q229" s="27" t="s">
        <v>344</v>
      </c>
      <c r="R229" s="27"/>
      <c r="S229" s="27" t="s">
        <v>475</v>
      </c>
      <c r="T229" s="27"/>
      <c r="U229" s="27" t="s">
        <v>343</v>
      </c>
      <c r="V229" s="27" t="s">
        <v>1338</v>
      </c>
      <c r="W229" s="27" t="s">
        <v>345</v>
      </c>
      <c r="X229" s="27" t="s">
        <v>345</v>
      </c>
      <c r="Y229" s="27" t="s">
        <v>344</v>
      </c>
      <c r="Z229" s="27" t="s">
        <v>344</v>
      </c>
      <c r="AA229" s="27" t="s">
        <v>344</v>
      </c>
      <c r="AB229" s="27" t="s">
        <v>344</v>
      </c>
      <c r="AC229" s="27" t="s">
        <v>344</v>
      </c>
      <c r="AD229" s="27" t="s">
        <v>344</v>
      </c>
      <c r="AE229" s="27" t="s">
        <v>344</v>
      </c>
      <c r="AF229" s="27" t="s">
        <v>344</v>
      </c>
      <c r="AG229" s="27" t="s">
        <v>345</v>
      </c>
      <c r="AH229" s="27" t="s">
        <v>344</v>
      </c>
      <c r="AI229" s="27" t="s">
        <v>345</v>
      </c>
      <c r="AJ229" s="27" t="s">
        <v>344</v>
      </c>
      <c r="AK229" s="27" t="s">
        <v>344</v>
      </c>
      <c r="AL229" s="27" t="s">
        <v>345</v>
      </c>
      <c r="AM229" s="27" t="s">
        <v>345</v>
      </c>
      <c r="AN229" s="27" t="s">
        <v>344</v>
      </c>
      <c r="AO229" s="27" t="s">
        <v>344</v>
      </c>
      <c r="AP229" s="27" t="s">
        <v>344</v>
      </c>
      <c r="AQ229" s="27" t="s">
        <v>344</v>
      </c>
      <c r="AR229" s="27" t="s">
        <v>345</v>
      </c>
      <c r="AS229" s="27" t="s">
        <v>344</v>
      </c>
      <c r="AT229" s="27" t="s">
        <v>345</v>
      </c>
      <c r="AU229" s="27" t="s">
        <v>345</v>
      </c>
      <c r="AV229" s="27" t="s">
        <v>345</v>
      </c>
      <c r="AW229" s="27" t="s">
        <v>345</v>
      </c>
      <c r="AX229" s="27" t="s">
        <v>344</v>
      </c>
      <c r="AY229" s="27" t="s">
        <v>732</v>
      </c>
      <c r="AZ229" s="27" t="s">
        <v>732</v>
      </c>
      <c r="BA229" s="27" t="s">
        <v>732</v>
      </c>
      <c r="BB229" s="27" t="s">
        <v>731</v>
      </c>
      <c r="BC229" s="27" t="s">
        <v>732</v>
      </c>
      <c r="BD229" s="27" t="s">
        <v>731</v>
      </c>
      <c r="BE229" s="27" t="s">
        <v>390</v>
      </c>
      <c r="BF229" s="27" t="s">
        <v>348</v>
      </c>
      <c r="BG229" s="27" t="s">
        <v>349</v>
      </c>
      <c r="BH229" s="27" t="s">
        <v>390</v>
      </c>
      <c r="BI229" s="27" t="s">
        <v>350</v>
      </c>
      <c r="BJ229" s="27" t="s">
        <v>352</v>
      </c>
      <c r="BK229" s="27" t="s">
        <v>357</v>
      </c>
      <c r="BL229" s="27" t="s">
        <v>354</v>
      </c>
      <c r="BM229" s="27" t="s">
        <v>353</v>
      </c>
      <c r="BN229" s="27" t="s">
        <v>355</v>
      </c>
      <c r="BO229" s="27" t="s">
        <v>356</v>
      </c>
      <c r="BP229" s="27" t="s">
        <v>351</v>
      </c>
      <c r="BQ229" s="27" t="s">
        <v>358</v>
      </c>
      <c r="BR229" s="27" t="s">
        <v>1339</v>
      </c>
      <c r="BS229" s="27" t="s">
        <v>351</v>
      </c>
      <c r="BT229" s="27" t="s">
        <v>354</v>
      </c>
      <c r="BU229" s="27" t="s">
        <v>357</v>
      </c>
      <c r="BV229" s="27" t="s">
        <v>353</v>
      </c>
      <c r="BW229" s="27" t="s">
        <v>356</v>
      </c>
      <c r="BX229" s="27" t="s">
        <v>353</v>
      </c>
      <c r="BY229" s="27" t="s">
        <v>355</v>
      </c>
      <c r="BZ229" s="27" t="s">
        <v>354</v>
      </c>
      <c r="CA229" s="27" t="s">
        <v>351</v>
      </c>
      <c r="CB229" s="27" t="s">
        <v>357</v>
      </c>
      <c r="CC229" s="27" t="s">
        <v>353</v>
      </c>
      <c r="CD229" s="27" t="s">
        <v>355</v>
      </c>
      <c r="CE229" s="27" t="s">
        <v>355</v>
      </c>
      <c r="CF229" s="27" t="s">
        <v>352</v>
      </c>
      <c r="CG229" s="27" t="s">
        <v>393</v>
      </c>
      <c r="CH229" s="27" t="s">
        <v>360</v>
      </c>
      <c r="CI229" s="27" t="s">
        <v>392</v>
      </c>
      <c r="CJ229" s="27" t="s">
        <v>392</v>
      </c>
      <c r="CK229" s="27" t="s">
        <v>1340</v>
      </c>
      <c r="CL229" s="27" t="s">
        <v>344</v>
      </c>
      <c r="CM229" s="27" t="s">
        <v>344</v>
      </c>
      <c r="CN229" s="27" t="s">
        <v>344</v>
      </c>
      <c r="CO229" s="27" t="s">
        <v>344</v>
      </c>
      <c r="CP229" s="27" t="s">
        <v>345</v>
      </c>
      <c r="CQ229" s="27" t="s">
        <v>344</v>
      </c>
      <c r="CR229" s="27" t="s">
        <v>655</v>
      </c>
      <c r="CS229" s="27">
        <v>40</v>
      </c>
      <c r="CT229" s="27">
        <v>55</v>
      </c>
      <c r="CU229" s="27"/>
      <c r="CV229" s="27"/>
      <c r="CW229" s="27" t="s">
        <v>363</v>
      </c>
      <c r="CX229" s="27" t="s">
        <v>395</v>
      </c>
      <c r="CY229" s="27" t="s">
        <v>395</v>
      </c>
      <c r="CZ229" s="27" t="s">
        <v>366</v>
      </c>
      <c r="DA229" s="27" t="s">
        <v>366</v>
      </c>
      <c r="DB229" s="27" t="s">
        <v>366</v>
      </c>
      <c r="DC229" s="27" t="s">
        <v>365</v>
      </c>
      <c r="DD229" s="27" t="s">
        <v>365</v>
      </c>
      <c r="DE229" s="27"/>
      <c r="DF229" s="27"/>
      <c r="DG229" s="27"/>
      <c r="DH229" s="27"/>
      <c r="DI229" s="27"/>
      <c r="DJ229" s="27"/>
      <c r="DK229" s="27" t="s">
        <v>344</v>
      </c>
      <c r="DL229" s="27" t="s">
        <v>368</v>
      </c>
      <c r="DM229" s="27" t="s">
        <v>368</v>
      </c>
      <c r="DN229" s="27" t="s">
        <v>368</v>
      </c>
      <c r="DO229" s="27" t="s">
        <v>368</v>
      </c>
      <c r="DP229" s="27" t="s">
        <v>368</v>
      </c>
      <c r="DQ229" s="27" t="s">
        <v>368</v>
      </c>
      <c r="DR229" s="27" t="s">
        <v>368</v>
      </c>
      <c r="DS229" s="27" t="s">
        <v>345</v>
      </c>
      <c r="DT229" s="27" t="s">
        <v>368</v>
      </c>
      <c r="DU229" s="27" t="s">
        <v>368</v>
      </c>
      <c r="DV229" s="27" t="s">
        <v>368</v>
      </c>
      <c r="DW229" s="27" t="s">
        <v>345</v>
      </c>
      <c r="DX229" s="27" t="s">
        <v>1258</v>
      </c>
      <c r="DY229" s="27" t="s">
        <v>1258</v>
      </c>
      <c r="DZ229" s="27" t="s">
        <v>1258</v>
      </c>
      <c r="EA229" s="27" t="s">
        <v>1258</v>
      </c>
      <c r="EB229" s="27" t="s">
        <v>1258</v>
      </c>
      <c r="EC229" s="27" t="s">
        <v>1258</v>
      </c>
      <c r="ED229" s="27" t="s">
        <v>1258</v>
      </c>
      <c r="EE229" s="27" t="s">
        <v>1272</v>
      </c>
      <c r="EF229" s="27" t="s">
        <v>1273</v>
      </c>
      <c r="EG229" s="27" t="s">
        <v>1273</v>
      </c>
      <c r="EH229" s="27" t="s">
        <v>397</v>
      </c>
      <c r="EI229" s="27" t="s">
        <v>397</v>
      </c>
      <c r="EJ229" s="27" t="s">
        <v>397</v>
      </c>
      <c r="EK229" s="27" t="s">
        <v>1273</v>
      </c>
      <c r="EL229" s="27" t="s">
        <v>1276</v>
      </c>
      <c r="EM229" s="27" t="s">
        <v>1260</v>
      </c>
      <c r="EN229" s="27" t="s">
        <v>1259</v>
      </c>
      <c r="EO229" s="27"/>
      <c r="EP229" s="27"/>
      <c r="EQ229" s="27" t="s">
        <v>1263</v>
      </c>
      <c r="ER229" s="27" t="s">
        <v>1263</v>
      </c>
      <c r="ES229" s="27" t="s">
        <v>1264</v>
      </c>
      <c r="ET229" s="27" t="s">
        <v>1264</v>
      </c>
      <c r="EU229" s="27" t="s">
        <v>1264</v>
      </c>
      <c r="EV229" s="27" t="s">
        <v>1265</v>
      </c>
      <c r="EW229" s="27"/>
      <c r="EX229" s="27" t="s">
        <v>368</v>
      </c>
      <c r="EY229" s="27" t="s">
        <v>368</v>
      </c>
      <c r="EZ229" s="27" t="s">
        <v>368</v>
      </c>
      <c r="FA229" s="27" t="s">
        <v>345</v>
      </c>
      <c r="FB229" s="27" t="s">
        <v>1266</v>
      </c>
      <c r="FC229" s="27"/>
      <c r="FD229" s="27" t="s">
        <v>1266</v>
      </c>
      <c r="FE229" s="27"/>
      <c r="FF229" s="27" t="s">
        <v>1322</v>
      </c>
      <c r="FG229" s="27" t="s">
        <v>1292</v>
      </c>
      <c r="FH229" s="27" t="s">
        <v>1301</v>
      </c>
      <c r="FI229" s="27" t="s">
        <v>385</v>
      </c>
      <c r="FJ229" s="27"/>
      <c r="FK229" s="27"/>
      <c r="FL229" s="27"/>
      <c r="FM229" s="27"/>
      <c r="FN229" s="27"/>
      <c r="FO229" s="27"/>
      <c r="FP229" s="27"/>
      <c r="FQ229" s="27"/>
      <c r="FR229" s="27"/>
      <c r="FS229" s="27"/>
      <c r="FT229" s="27"/>
      <c r="FU229" s="27"/>
      <c r="FV229" s="27"/>
      <c r="FW229" s="27"/>
      <c r="FX229" s="27"/>
      <c r="FY229" s="27"/>
      <c r="FZ229" s="27"/>
      <c r="GA229" s="27" t="s">
        <v>368</v>
      </c>
      <c r="GB229" s="27" t="s">
        <v>368</v>
      </c>
      <c r="GC229" s="27" t="s">
        <v>368</v>
      </c>
      <c r="GD229" s="27" t="s">
        <v>368</v>
      </c>
      <c r="GE229" s="27" t="s">
        <v>368</v>
      </c>
      <c r="GF229" s="27" t="s">
        <v>368</v>
      </c>
      <c r="GG229" s="27"/>
      <c r="GH229" s="27"/>
      <c r="GI229" s="27"/>
      <c r="GJ229" s="27"/>
      <c r="GK229" s="27"/>
      <c r="GL229" s="27" t="s">
        <v>344</v>
      </c>
      <c r="GM229" s="27" t="s">
        <v>344</v>
      </c>
      <c r="GN229" s="27" t="s">
        <v>344</v>
      </c>
      <c r="GO229" s="27" t="s">
        <v>344</v>
      </c>
      <c r="GP229" s="27" t="s">
        <v>344</v>
      </c>
      <c r="GQ229" s="27" t="s">
        <v>344</v>
      </c>
      <c r="GR229" s="27" t="s">
        <v>344</v>
      </c>
      <c r="GS229" s="27" t="s">
        <v>344</v>
      </c>
      <c r="GT229" s="27" t="s">
        <v>344</v>
      </c>
      <c r="GU229" s="27" t="s">
        <v>344</v>
      </c>
      <c r="GV229" s="27" t="s">
        <v>345</v>
      </c>
      <c r="GW229" s="27" t="s">
        <v>344</v>
      </c>
      <c r="GX229" s="27" t="s">
        <v>344</v>
      </c>
      <c r="GY229" s="27" t="s">
        <v>344</v>
      </c>
      <c r="GZ229" s="27" t="s">
        <v>344</v>
      </c>
      <c r="HA229" s="27" t="s">
        <v>344</v>
      </c>
      <c r="HB229" s="27"/>
      <c r="HC229" s="27" t="s">
        <v>344</v>
      </c>
      <c r="HD229" s="27"/>
      <c r="HE229" s="27" t="s">
        <v>344</v>
      </c>
      <c r="HF229" s="27"/>
      <c r="HG229" s="27" t="s">
        <v>344</v>
      </c>
      <c r="HH229" s="27"/>
      <c r="HI229" s="27" t="s">
        <v>344</v>
      </c>
      <c r="HJ229" s="27"/>
      <c r="HK229" s="27" t="s">
        <v>345</v>
      </c>
      <c r="HL229" s="27" t="s">
        <v>344</v>
      </c>
      <c r="HM229" s="27" t="s">
        <v>344</v>
      </c>
      <c r="HN229" s="27" t="s">
        <v>344</v>
      </c>
      <c r="HO229" s="27" t="s">
        <v>344</v>
      </c>
      <c r="HP229" s="27" t="s">
        <v>344</v>
      </c>
      <c r="HQ229" s="27" t="s">
        <v>344</v>
      </c>
      <c r="HR229" s="27" t="s">
        <v>344</v>
      </c>
      <c r="HS229" s="27" t="s">
        <v>344</v>
      </c>
      <c r="HT229" s="27" t="s">
        <v>344</v>
      </c>
      <c r="HU229" s="27" t="s">
        <v>344</v>
      </c>
      <c r="HV229" s="27" t="s">
        <v>344</v>
      </c>
      <c r="HW229" s="27" t="s">
        <v>344</v>
      </c>
      <c r="HX229" s="27" t="s">
        <v>344</v>
      </c>
      <c r="HY229" s="27" t="s">
        <v>344</v>
      </c>
      <c r="HZ229" s="27" t="s">
        <v>344</v>
      </c>
      <c r="IA229" s="27" t="s">
        <v>345</v>
      </c>
      <c r="IB229" s="27" t="s">
        <v>344</v>
      </c>
      <c r="IC229" s="27" t="s">
        <v>344</v>
      </c>
      <c r="ID229" s="27"/>
      <c r="IE229" s="27" t="s">
        <v>344</v>
      </c>
      <c r="IF229" s="27"/>
      <c r="IG229" s="27" t="s">
        <v>344</v>
      </c>
      <c r="IH229" s="27"/>
      <c r="II229" s="27" t="s">
        <v>344</v>
      </c>
      <c r="IJ229" s="27"/>
      <c r="IK229" s="27" t="s">
        <v>344</v>
      </c>
      <c r="IL229" s="27"/>
      <c r="IM229" s="27" t="s">
        <v>345</v>
      </c>
      <c r="IN229" s="27" t="s">
        <v>345</v>
      </c>
      <c r="IO229" s="27" t="s">
        <v>344</v>
      </c>
      <c r="IP229" s="27" t="s">
        <v>344</v>
      </c>
      <c r="IQ229" s="27" t="s">
        <v>345</v>
      </c>
      <c r="IR229" s="27" t="s">
        <v>344</v>
      </c>
      <c r="IS229" s="27" t="s">
        <v>344</v>
      </c>
      <c r="IT229" s="27" t="s">
        <v>345</v>
      </c>
      <c r="IU229" s="27" t="s">
        <v>344</v>
      </c>
      <c r="IV229" s="27" t="s">
        <v>344</v>
      </c>
      <c r="IW229" s="27" t="s">
        <v>345</v>
      </c>
      <c r="IX229" s="27" t="s">
        <v>344</v>
      </c>
      <c r="IY229" s="27" t="s">
        <v>345</v>
      </c>
      <c r="IZ229" s="27" t="s">
        <v>344</v>
      </c>
      <c r="JA229" s="27"/>
      <c r="JB229" s="27"/>
    </row>
    <row r="230" spans="1:262" x14ac:dyDescent="0.3">
      <c r="A230" s="26" t="s">
        <v>727</v>
      </c>
      <c r="B230" s="27">
        <v>168</v>
      </c>
      <c r="C230" s="27" t="s">
        <v>1341</v>
      </c>
      <c r="D230" s="27">
        <v>14</v>
      </c>
      <c r="E230" s="27" t="s">
        <v>340</v>
      </c>
      <c r="F230" s="27">
        <v>1934275432</v>
      </c>
      <c r="G230" s="27" t="s">
        <v>1342</v>
      </c>
      <c r="H230" s="27" t="s">
        <v>1341</v>
      </c>
      <c r="I230" s="27" t="s">
        <v>1290</v>
      </c>
      <c r="J230" s="27">
        <v>17</v>
      </c>
      <c r="K230" s="27" t="s">
        <v>1282</v>
      </c>
      <c r="L230" s="27"/>
      <c r="M230" s="27" t="s">
        <v>344</v>
      </c>
      <c r="N230" s="27" t="s">
        <v>345</v>
      </c>
      <c r="O230" s="27" t="s">
        <v>344</v>
      </c>
      <c r="P230" s="27" t="s">
        <v>344</v>
      </c>
      <c r="Q230" s="27" t="s">
        <v>344</v>
      </c>
      <c r="R230" s="27"/>
      <c r="S230" s="27" t="s">
        <v>475</v>
      </c>
      <c r="T230" s="27"/>
      <c r="U230" s="27" t="s">
        <v>1256</v>
      </c>
      <c r="V230" s="27"/>
      <c r="W230" s="27" t="s">
        <v>345</v>
      </c>
      <c r="X230" s="27" t="s">
        <v>345</v>
      </c>
      <c r="Y230" s="27" t="s">
        <v>344</v>
      </c>
      <c r="Z230" s="27" t="s">
        <v>344</v>
      </c>
      <c r="AA230" s="27" t="s">
        <v>344</v>
      </c>
      <c r="AB230" s="27" t="s">
        <v>344</v>
      </c>
      <c r="AC230" s="27" t="s">
        <v>344</v>
      </c>
      <c r="AD230" s="27" t="s">
        <v>345</v>
      </c>
      <c r="AE230" s="27" t="s">
        <v>345</v>
      </c>
      <c r="AF230" s="27" t="s">
        <v>344</v>
      </c>
      <c r="AG230" s="27" t="s">
        <v>344</v>
      </c>
      <c r="AH230" s="27" t="s">
        <v>345</v>
      </c>
      <c r="AI230" s="27" t="s">
        <v>344</v>
      </c>
      <c r="AJ230" s="27" t="s">
        <v>344</v>
      </c>
      <c r="AK230" s="27" t="s">
        <v>345</v>
      </c>
      <c r="AL230" s="27" t="s">
        <v>345</v>
      </c>
      <c r="AM230" s="27" t="s">
        <v>344</v>
      </c>
      <c r="AN230" s="27" t="s">
        <v>344</v>
      </c>
      <c r="AO230" s="27" t="s">
        <v>344</v>
      </c>
      <c r="AP230" s="27" t="s">
        <v>344</v>
      </c>
      <c r="AQ230" s="27" t="s">
        <v>344</v>
      </c>
      <c r="AR230" s="27" t="s">
        <v>344</v>
      </c>
      <c r="AS230" s="27" t="s">
        <v>344</v>
      </c>
      <c r="AT230" s="27" t="s">
        <v>345</v>
      </c>
      <c r="AU230" s="27" t="s">
        <v>344</v>
      </c>
      <c r="AV230" s="27" t="s">
        <v>344</v>
      </c>
      <c r="AW230" s="27" t="s">
        <v>345</v>
      </c>
      <c r="AX230" s="27" t="s">
        <v>344</v>
      </c>
      <c r="AY230" s="27" t="s">
        <v>737</v>
      </c>
      <c r="AZ230" s="27" t="s">
        <v>731</v>
      </c>
      <c r="BA230" s="27" t="s">
        <v>732</v>
      </c>
      <c r="BB230" s="27" t="s">
        <v>733</v>
      </c>
      <c r="BC230" s="27" t="s">
        <v>737</v>
      </c>
      <c r="BD230" s="27" t="s">
        <v>731</v>
      </c>
      <c r="BE230" s="27" t="s">
        <v>348</v>
      </c>
      <c r="BF230" s="27" t="s">
        <v>350</v>
      </c>
      <c r="BG230" s="27" t="s">
        <v>349</v>
      </c>
      <c r="BH230" s="27" t="s">
        <v>350</v>
      </c>
      <c r="BI230" s="27" t="s">
        <v>350</v>
      </c>
      <c r="BJ230" s="27" t="s">
        <v>355</v>
      </c>
      <c r="BK230" s="27" t="s">
        <v>356</v>
      </c>
      <c r="BL230" s="27" t="s">
        <v>353</v>
      </c>
      <c r="BM230" s="27" t="s">
        <v>356</v>
      </c>
      <c r="BN230" s="27" t="s">
        <v>351</v>
      </c>
      <c r="BO230" s="27" t="s">
        <v>355</v>
      </c>
      <c r="BP230" s="27" t="s">
        <v>354</v>
      </c>
      <c r="BQ230" s="27" t="s">
        <v>358</v>
      </c>
      <c r="BR230" s="27" t="s">
        <v>1296</v>
      </c>
      <c r="BS230" s="27" t="s">
        <v>354</v>
      </c>
      <c r="BT230" s="27" t="s">
        <v>356</v>
      </c>
      <c r="BU230" s="27" t="s">
        <v>356</v>
      </c>
      <c r="BV230" s="27" t="s">
        <v>352</v>
      </c>
      <c r="BW230" s="27" t="s">
        <v>357</v>
      </c>
      <c r="BX230" s="27" t="s">
        <v>351</v>
      </c>
      <c r="BY230" s="27" t="s">
        <v>354</v>
      </c>
      <c r="BZ230" s="27" t="s">
        <v>353</v>
      </c>
      <c r="CA230" s="27" t="s">
        <v>356</v>
      </c>
      <c r="CB230" s="27" t="s">
        <v>351</v>
      </c>
      <c r="CC230" s="27" t="s">
        <v>353</v>
      </c>
      <c r="CD230" s="27" t="s">
        <v>354</v>
      </c>
      <c r="CE230" s="27" t="s">
        <v>357</v>
      </c>
      <c r="CF230" s="27" t="s">
        <v>352</v>
      </c>
      <c r="CG230" s="27" t="s">
        <v>420</v>
      </c>
      <c r="CH230" s="27" t="s">
        <v>420</v>
      </c>
      <c r="CI230" s="27" t="s">
        <v>420</v>
      </c>
      <c r="CJ230" s="27" t="s">
        <v>392</v>
      </c>
      <c r="CK230" s="27"/>
      <c r="CL230" s="27" t="s">
        <v>345</v>
      </c>
      <c r="CM230" s="27" t="s">
        <v>344</v>
      </c>
      <c r="CN230" s="27" t="s">
        <v>344</v>
      </c>
      <c r="CO230" s="27" t="s">
        <v>345</v>
      </c>
      <c r="CP230" s="27" t="s">
        <v>344</v>
      </c>
      <c r="CQ230" s="27" t="s">
        <v>344</v>
      </c>
      <c r="CR230" s="27" t="s">
        <v>655</v>
      </c>
      <c r="CS230" s="27">
        <v>100</v>
      </c>
      <c r="CT230" s="27">
        <v>50</v>
      </c>
      <c r="CU230" s="27">
        <v>80</v>
      </c>
      <c r="CV230" s="27">
        <v>1</v>
      </c>
      <c r="CW230" s="27" t="s">
        <v>395</v>
      </c>
      <c r="CX230" s="27" t="s">
        <v>395</v>
      </c>
      <c r="CY230" s="27" t="s">
        <v>396</v>
      </c>
      <c r="CZ230" s="27" t="s">
        <v>366</v>
      </c>
      <c r="DA230" s="27" t="s">
        <v>365</v>
      </c>
      <c r="DB230" s="27" t="s">
        <v>366</v>
      </c>
      <c r="DC230" s="27" t="s">
        <v>366</v>
      </c>
      <c r="DD230" s="27" t="s">
        <v>366</v>
      </c>
      <c r="DE230" s="27" t="s">
        <v>423</v>
      </c>
      <c r="DF230" s="27" t="s">
        <v>365</v>
      </c>
      <c r="DG230" s="27" t="s">
        <v>365</v>
      </c>
      <c r="DH230" s="27" t="s">
        <v>366</v>
      </c>
      <c r="DI230" s="27" t="s">
        <v>366</v>
      </c>
      <c r="DJ230" s="27"/>
      <c r="DK230" s="27" t="s">
        <v>344</v>
      </c>
      <c r="DL230" s="27" t="s">
        <v>368</v>
      </c>
      <c r="DM230" s="27" t="s">
        <v>368</v>
      </c>
      <c r="DN230" s="27" t="s">
        <v>368</v>
      </c>
      <c r="DO230" s="27" t="s">
        <v>368</v>
      </c>
      <c r="DP230" s="27" t="s">
        <v>345</v>
      </c>
      <c r="DQ230" s="27" t="s">
        <v>344</v>
      </c>
      <c r="DR230" s="27" t="s">
        <v>344</v>
      </c>
      <c r="DS230" s="27" t="s">
        <v>344</v>
      </c>
      <c r="DT230" s="27" t="s">
        <v>368</v>
      </c>
      <c r="DU230" s="27" t="s">
        <v>368</v>
      </c>
      <c r="DV230" s="27" t="s">
        <v>368</v>
      </c>
      <c r="DW230" s="27" t="s">
        <v>345</v>
      </c>
      <c r="DX230" s="27" t="s">
        <v>397</v>
      </c>
      <c r="DY230" s="27" t="s">
        <v>1258</v>
      </c>
      <c r="DZ230" s="27" t="s">
        <v>1272</v>
      </c>
      <c r="EA230" s="27" t="s">
        <v>397</v>
      </c>
      <c r="EB230" s="27" t="s">
        <v>1272</v>
      </c>
      <c r="EC230" s="27" t="s">
        <v>1273</v>
      </c>
      <c r="ED230" s="27" t="s">
        <v>1258</v>
      </c>
      <c r="EE230" s="27" t="s">
        <v>1258</v>
      </c>
      <c r="EF230" s="27" t="s">
        <v>1258</v>
      </c>
      <c r="EG230" s="27" t="s">
        <v>397</v>
      </c>
      <c r="EH230" s="27" t="s">
        <v>1258</v>
      </c>
      <c r="EI230" s="27" t="s">
        <v>1273</v>
      </c>
      <c r="EJ230" s="27" t="s">
        <v>1272</v>
      </c>
      <c r="EK230" s="27" t="s">
        <v>1273</v>
      </c>
      <c r="EL230" s="27" t="s">
        <v>1260</v>
      </c>
      <c r="EM230" s="27" t="s">
        <v>1276</v>
      </c>
      <c r="EN230" s="27" t="s">
        <v>1259</v>
      </c>
      <c r="EO230" s="27"/>
      <c r="EP230" s="27"/>
      <c r="EQ230" s="27" t="s">
        <v>1263</v>
      </c>
      <c r="ER230" s="27" t="s">
        <v>1263</v>
      </c>
      <c r="ES230" s="27" t="s">
        <v>1263</v>
      </c>
      <c r="ET230" s="27" t="s">
        <v>1264</v>
      </c>
      <c r="EU230" s="27" t="s">
        <v>1264</v>
      </c>
      <c r="EV230" s="27" t="s">
        <v>1265</v>
      </c>
      <c r="EW230" s="27"/>
      <c r="EX230" s="27" t="s">
        <v>368</v>
      </c>
      <c r="EY230" s="27" t="s">
        <v>368</v>
      </c>
      <c r="EZ230" s="27" t="s">
        <v>368</v>
      </c>
      <c r="FA230" s="27" t="s">
        <v>345</v>
      </c>
      <c r="FB230" s="27" t="s">
        <v>1300</v>
      </c>
      <c r="FC230" s="27"/>
      <c r="FD230" s="27" t="s">
        <v>1266</v>
      </c>
      <c r="FE230" s="27"/>
      <c r="FF230" s="27" t="s">
        <v>382</v>
      </c>
      <c r="FG230" s="27" t="s">
        <v>1292</v>
      </c>
      <c r="FH230" s="27" t="s">
        <v>1301</v>
      </c>
      <c r="FI230" s="27" t="s">
        <v>1294</v>
      </c>
      <c r="FJ230" s="27"/>
      <c r="FK230" s="27"/>
      <c r="FL230" s="27"/>
      <c r="FM230" s="27"/>
      <c r="FN230" s="27"/>
      <c r="FO230" s="27"/>
      <c r="FP230" s="27"/>
      <c r="FQ230" s="27"/>
      <c r="FR230" s="27"/>
      <c r="FS230" s="27"/>
      <c r="FT230" s="27"/>
      <c r="FU230" s="27"/>
      <c r="FV230" s="27"/>
      <c r="FW230" s="27"/>
      <c r="FX230" s="27"/>
      <c r="FY230" s="27"/>
      <c r="FZ230" s="27"/>
      <c r="GA230" s="27" t="s">
        <v>368</v>
      </c>
      <c r="GB230" s="27" t="s">
        <v>368</v>
      </c>
      <c r="GC230" s="27" t="s">
        <v>368</v>
      </c>
      <c r="GD230" s="27" t="s">
        <v>368</v>
      </c>
      <c r="GE230" s="27" t="s">
        <v>368</v>
      </c>
      <c r="GF230" s="27" t="s">
        <v>368</v>
      </c>
      <c r="GG230" s="27"/>
      <c r="GH230" s="27"/>
      <c r="GI230" s="27"/>
      <c r="GJ230" s="27"/>
      <c r="GK230" s="27"/>
      <c r="GL230" s="27" t="s">
        <v>344</v>
      </c>
      <c r="GM230" s="27" t="s">
        <v>344</v>
      </c>
      <c r="GN230" s="27" t="s">
        <v>344</v>
      </c>
      <c r="GO230" s="27" t="s">
        <v>344</v>
      </c>
      <c r="GP230" s="27" t="s">
        <v>344</v>
      </c>
      <c r="GQ230" s="27" t="s">
        <v>344</v>
      </c>
      <c r="GR230" s="27" t="s">
        <v>344</v>
      </c>
      <c r="GS230" s="27" t="s">
        <v>344</v>
      </c>
      <c r="GT230" s="27" t="s">
        <v>344</v>
      </c>
      <c r="GU230" s="27" t="s">
        <v>344</v>
      </c>
      <c r="GV230" s="27" t="s">
        <v>345</v>
      </c>
      <c r="GW230" s="27" t="s">
        <v>344</v>
      </c>
      <c r="GX230" s="27" t="s">
        <v>344</v>
      </c>
      <c r="GY230" s="27" t="s">
        <v>344</v>
      </c>
      <c r="GZ230" s="27" t="s">
        <v>344</v>
      </c>
      <c r="HA230" s="27" t="s">
        <v>344</v>
      </c>
      <c r="HB230" s="27"/>
      <c r="HC230" s="27" t="s">
        <v>344</v>
      </c>
      <c r="HD230" s="27"/>
      <c r="HE230" s="27" t="s">
        <v>344</v>
      </c>
      <c r="HF230" s="27"/>
      <c r="HG230" s="27" t="s">
        <v>344</v>
      </c>
      <c r="HH230" s="27"/>
      <c r="HI230" s="27" t="s">
        <v>344</v>
      </c>
      <c r="HJ230" s="27"/>
      <c r="HK230" s="27" t="s">
        <v>344</v>
      </c>
      <c r="HL230" s="27" t="s">
        <v>344</v>
      </c>
      <c r="HM230" s="27" t="s">
        <v>344</v>
      </c>
      <c r="HN230" s="27" t="s">
        <v>344</v>
      </c>
      <c r="HO230" s="27" t="s">
        <v>344</v>
      </c>
      <c r="HP230" s="27" t="s">
        <v>344</v>
      </c>
      <c r="HQ230" s="27" t="s">
        <v>344</v>
      </c>
      <c r="HR230" s="27" t="s">
        <v>344</v>
      </c>
      <c r="HS230" s="27" t="s">
        <v>344</v>
      </c>
      <c r="HT230" s="27" t="s">
        <v>344</v>
      </c>
      <c r="HU230" s="27" t="s">
        <v>344</v>
      </c>
      <c r="HV230" s="27" t="s">
        <v>344</v>
      </c>
      <c r="HW230" s="27" t="s">
        <v>344</v>
      </c>
      <c r="HX230" s="27" t="s">
        <v>344</v>
      </c>
      <c r="HY230" s="27" t="s">
        <v>344</v>
      </c>
      <c r="HZ230" s="27" t="s">
        <v>344</v>
      </c>
      <c r="IA230" s="27" t="s">
        <v>344</v>
      </c>
      <c r="IB230" s="27" t="s">
        <v>344</v>
      </c>
      <c r="IC230" s="27" t="s">
        <v>345</v>
      </c>
      <c r="ID230" s="27"/>
      <c r="IE230" s="27" t="s">
        <v>345</v>
      </c>
      <c r="IF230" s="27" t="s">
        <v>1343</v>
      </c>
      <c r="IG230" s="27" t="s">
        <v>344</v>
      </c>
      <c r="IH230" s="27"/>
      <c r="II230" s="27" t="s">
        <v>344</v>
      </c>
      <c r="IJ230" s="27"/>
      <c r="IK230" s="27" t="s">
        <v>344</v>
      </c>
      <c r="IL230" s="27"/>
      <c r="IM230" s="27" t="s">
        <v>345</v>
      </c>
      <c r="IN230" s="27" t="s">
        <v>344</v>
      </c>
      <c r="IO230" s="27" t="s">
        <v>344</v>
      </c>
      <c r="IP230" s="27" t="s">
        <v>344</v>
      </c>
      <c r="IQ230" s="27" t="s">
        <v>345</v>
      </c>
      <c r="IR230" s="27" t="s">
        <v>345</v>
      </c>
      <c r="IS230" s="27" t="s">
        <v>344</v>
      </c>
      <c r="IT230" s="27" t="s">
        <v>345</v>
      </c>
      <c r="IU230" s="27" t="s">
        <v>344</v>
      </c>
      <c r="IV230" s="27" t="s">
        <v>344</v>
      </c>
      <c r="IW230" s="27" t="s">
        <v>344</v>
      </c>
      <c r="IX230" s="27" t="s">
        <v>344</v>
      </c>
      <c r="IY230" s="27" t="s">
        <v>344</v>
      </c>
      <c r="IZ230" s="27" t="s">
        <v>344</v>
      </c>
      <c r="JA230" s="27"/>
      <c r="JB230" s="27"/>
    </row>
    <row r="231" spans="1:262" x14ac:dyDescent="0.3">
      <c r="A231" s="26" t="s">
        <v>727</v>
      </c>
      <c r="B231" s="27">
        <v>169</v>
      </c>
      <c r="C231" s="27" t="s">
        <v>1344</v>
      </c>
      <c r="D231" s="27">
        <v>14</v>
      </c>
      <c r="E231" s="27" t="s">
        <v>387</v>
      </c>
      <c r="F231" s="27">
        <v>1250623411</v>
      </c>
      <c r="G231" s="27" t="s">
        <v>1342</v>
      </c>
      <c r="H231" s="27" t="s">
        <v>1344</v>
      </c>
      <c r="I231" s="27" t="s">
        <v>1254</v>
      </c>
      <c r="J231" s="27">
        <v>17</v>
      </c>
      <c r="K231" s="27" t="s">
        <v>1255</v>
      </c>
      <c r="L231" s="27"/>
      <c r="M231" s="27" t="s">
        <v>345</v>
      </c>
      <c r="N231" s="27" t="s">
        <v>344</v>
      </c>
      <c r="O231" s="27" t="s">
        <v>344</v>
      </c>
      <c r="P231" s="27" t="s">
        <v>344</v>
      </c>
      <c r="Q231" s="27" t="s">
        <v>344</v>
      </c>
      <c r="R231" s="27"/>
      <c r="S231" s="27" t="s">
        <v>475</v>
      </c>
      <c r="T231" s="27"/>
      <c r="U231" s="27" t="s">
        <v>1270</v>
      </c>
      <c r="V231" s="27"/>
      <c r="W231" s="27" t="s">
        <v>344</v>
      </c>
      <c r="X231" s="27" t="s">
        <v>344</v>
      </c>
      <c r="Y231" s="27" t="s">
        <v>344</v>
      </c>
      <c r="Z231" s="27" t="s">
        <v>344</v>
      </c>
      <c r="AA231" s="27" t="s">
        <v>345</v>
      </c>
      <c r="AB231" s="27" t="s">
        <v>344</v>
      </c>
      <c r="AC231" s="27" t="s">
        <v>344</v>
      </c>
      <c r="AD231" s="27" t="s">
        <v>345</v>
      </c>
      <c r="AE231" s="27" t="s">
        <v>344</v>
      </c>
      <c r="AF231" s="27" t="s">
        <v>344</v>
      </c>
      <c r="AG231" s="27" t="s">
        <v>344</v>
      </c>
      <c r="AH231" s="27" t="s">
        <v>345</v>
      </c>
      <c r="AI231" s="27" t="s">
        <v>344</v>
      </c>
      <c r="AJ231" s="27" t="s">
        <v>344</v>
      </c>
      <c r="AK231" s="27" t="s">
        <v>344</v>
      </c>
      <c r="AL231" s="27" t="s">
        <v>344</v>
      </c>
      <c r="AM231" s="27" t="s">
        <v>345</v>
      </c>
      <c r="AN231" s="27" t="s">
        <v>344</v>
      </c>
      <c r="AO231" s="27" t="s">
        <v>344</v>
      </c>
      <c r="AP231" s="27" t="s">
        <v>345</v>
      </c>
      <c r="AQ231" s="27" t="s">
        <v>344</v>
      </c>
      <c r="AR231" s="27" t="s">
        <v>344</v>
      </c>
      <c r="AS231" s="27" t="s">
        <v>344</v>
      </c>
      <c r="AT231" s="27" t="s">
        <v>344</v>
      </c>
      <c r="AU231" s="27" t="s">
        <v>344</v>
      </c>
      <c r="AV231" s="27" t="s">
        <v>344</v>
      </c>
      <c r="AW231" s="27" t="s">
        <v>344</v>
      </c>
      <c r="AX231" s="27" t="s">
        <v>345</v>
      </c>
      <c r="AY231" s="27" t="s">
        <v>733</v>
      </c>
      <c r="AZ231" s="27" t="s">
        <v>733</v>
      </c>
      <c r="BA231" s="27" t="s">
        <v>731</v>
      </c>
      <c r="BB231" s="27" t="s">
        <v>732</v>
      </c>
      <c r="BC231" s="27" t="s">
        <v>731</v>
      </c>
      <c r="BD231" s="27" t="s">
        <v>733</v>
      </c>
      <c r="BE231" s="27" t="s">
        <v>349</v>
      </c>
      <c r="BF231" s="27" t="s">
        <v>348</v>
      </c>
      <c r="BG231" s="27" t="s">
        <v>349</v>
      </c>
      <c r="BH231" s="27" t="s">
        <v>390</v>
      </c>
      <c r="BI231" s="27" t="s">
        <v>717</v>
      </c>
      <c r="BJ231" s="27" t="s">
        <v>352</v>
      </c>
      <c r="BK231" s="27" t="s">
        <v>357</v>
      </c>
      <c r="BL231" s="27" t="s">
        <v>353</v>
      </c>
      <c r="BM231" s="27" t="s">
        <v>354</v>
      </c>
      <c r="BN231" s="27" t="s">
        <v>355</v>
      </c>
      <c r="BO231" s="27" t="s">
        <v>353</v>
      </c>
      <c r="BP231" s="27" t="s">
        <v>356</v>
      </c>
      <c r="BQ231" s="27" t="s">
        <v>358</v>
      </c>
      <c r="BR231" s="27" t="s">
        <v>344</v>
      </c>
      <c r="BS231" s="27" t="s">
        <v>354</v>
      </c>
      <c r="BT231" s="27" t="s">
        <v>356</v>
      </c>
      <c r="BU231" s="27" t="s">
        <v>356</v>
      </c>
      <c r="BV231" s="27" t="s">
        <v>357</v>
      </c>
      <c r="BW231" s="27" t="s">
        <v>351</v>
      </c>
      <c r="BX231" s="27" t="s">
        <v>351</v>
      </c>
      <c r="BY231" s="27" t="s">
        <v>353</v>
      </c>
      <c r="BZ231" s="27" t="s">
        <v>354</v>
      </c>
      <c r="CA231" s="27" t="s">
        <v>353</v>
      </c>
      <c r="CB231" s="27" t="s">
        <v>356</v>
      </c>
      <c r="CC231" s="27" t="s">
        <v>352</v>
      </c>
      <c r="CD231" s="27" t="s">
        <v>352</v>
      </c>
      <c r="CE231" s="27" t="s">
        <v>356</v>
      </c>
      <c r="CF231" s="27" t="s">
        <v>351</v>
      </c>
      <c r="CG231" s="27" t="s">
        <v>420</v>
      </c>
      <c r="CH231" s="27" t="s">
        <v>421</v>
      </c>
      <c r="CI231" s="27" t="s">
        <v>393</v>
      </c>
      <c r="CJ231" s="27" t="s">
        <v>421</v>
      </c>
      <c r="CK231" s="27" t="s">
        <v>391</v>
      </c>
      <c r="CL231" s="27" t="s">
        <v>345</v>
      </c>
      <c r="CM231" s="27" t="s">
        <v>344</v>
      </c>
      <c r="CN231" s="27" t="s">
        <v>344</v>
      </c>
      <c r="CO231" s="27" t="s">
        <v>344</v>
      </c>
      <c r="CP231" s="27" t="s">
        <v>345</v>
      </c>
      <c r="CQ231" s="27" t="s">
        <v>344</v>
      </c>
      <c r="CR231" s="27" t="s">
        <v>667</v>
      </c>
      <c r="CS231" s="27">
        <v>30</v>
      </c>
      <c r="CT231" s="27">
        <v>62</v>
      </c>
      <c r="CU231" s="27"/>
      <c r="CV231" s="27"/>
      <c r="CW231" s="27" t="s">
        <v>363</v>
      </c>
      <c r="CX231" s="27" t="s">
        <v>395</v>
      </c>
      <c r="CY231" s="27" t="s">
        <v>396</v>
      </c>
      <c r="CZ231" s="27" t="s">
        <v>397</v>
      </c>
      <c r="DA231" s="27" t="s">
        <v>397</v>
      </c>
      <c r="DB231" s="27" t="s">
        <v>397</v>
      </c>
      <c r="DC231" s="27" t="s">
        <v>397</v>
      </c>
      <c r="DD231" s="27" t="s">
        <v>397</v>
      </c>
      <c r="DE231" s="27"/>
      <c r="DF231" s="27"/>
      <c r="DG231" s="27"/>
      <c r="DH231" s="27"/>
      <c r="DI231" s="27"/>
      <c r="DJ231" s="27"/>
      <c r="DK231" s="27" t="s">
        <v>344</v>
      </c>
      <c r="DL231" s="27" t="s">
        <v>368</v>
      </c>
      <c r="DM231" s="27" t="s">
        <v>368</v>
      </c>
      <c r="DN231" s="27" t="s">
        <v>368</v>
      </c>
      <c r="DO231" s="27" t="s">
        <v>368</v>
      </c>
      <c r="DP231" s="27" t="s">
        <v>344</v>
      </c>
      <c r="DQ231" s="27" t="s">
        <v>345</v>
      </c>
      <c r="DR231" s="27" t="s">
        <v>344</v>
      </c>
      <c r="DS231" s="27" t="s">
        <v>344</v>
      </c>
      <c r="DT231" s="27" t="s">
        <v>368</v>
      </c>
      <c r="DU231" s="27" t="s">
        <v>368</v>
      </c>
      <c r="DV231" s="27" t="s">
        <v>368</v>
      </c>
      <c r="DW231" s="27" t="s">
        <v>345</v>
      </c>
      <c r="DX231" s="27" t="s">
        <v>1258</v>
      </c>
      <c r="DY231" s="27" t="s">
        <v>1258</v>
      </c>
      <c r="DZ231" s="27" t="s">
        <v>1258</v>
      </c>
      <c r="EA231" s="27" t="s">
        <v>1258</v>
      </c>
      <c r="EB231" s="27" t="s">
        <v>1258</v>
      </c>
      <c r="EC231" s="27" t="s">
        <v>1258</v>
      </c>
      <c r="ED231" s="27" t="s">
        <v>1258</v>
      </c>
      <c r="EE231" s="27" t="s">
        <v>397</v>
      </c>
      <c r="EF231" s="27" t="s">
        <v>397</v>
      </c>
      <c r="EG231" s="27" t="s">
        <v>397</v>
      </c>
      <c r="EH231" s="27" t="s">
        <v>397</v>
      </c>
      <c r="EI231" s="27" t="s">
        <v>397</v>
      </c>
      <c r="EJ231" s="27" t="s">
        <v>397</v>
      </c>
      <c r="EK231" s="27" t="s">
        <v>397</v>
      </c>
      <c r="EL231" s="27" t="s">
        <v>1260</v>
      </c>
      <c r="EM231" s="27" t="s">
        <v>1276</v>
      </c>
      <c r="EN231" s="27" t="s">
        <v>1261</v>
      </c>
      <c r="EO231" s="27"/>
      <c r="EP231" s="27"/>
      <c r="EQ231" s="27" t="s">
        <v>1264</v>
      </c>
      <c r="ER231" s="27" t="s">
        <v>1277</v>
      </c>
      <c r="ES231" s="27" t="s">
        <v>1263</v>
      </c>
      <c r="ET231" s="27" t="s">
        <v>717</v>
      </c>
      <c r="EU231" s="27" t="s">
        <v>1277</v>
      </c>
      <c r="EV231" s="27" t="s">
        <v>1265</v>
      </c>
      <c r="EW231" s="27"/>
      <c r="EX231" s="27" t="s">
        <v>368</v>
      </c>
      <c r="EY231" s="27" t="s">
        <v>368</v>
      </c>
      <c r="EZ231" s="27" t="s">
        <v>368</v>
      </c>
      <c r="FA231" s="27" t="s">
        <v>345</v>
      </c>
      <c r="FB231" s="27" t="s">
        <v>1266</v>
      </c>
      <c r="FC231" s="27"/>
      <c r="FD231" s="27" t="s">
        <v>1266</v>
      </c>
      <c r="FE231" s="27"/>
      <c r="FF231" s="27" t="s">
        <v>431</v>
      </c>
      <c r="FG231" s="27" t="s">
        <v>441</v>
      </c>
      <c r="FH231" s="27" t="s">
        <v>460</v>
      </c>
      <c r="FI231" s="27" t="s">
        <v>442</v>
      </c>
      <c r="FJ231" s="27"/>
      <c r="FK231" s="27"/>
      <c r="FL231" s="27"/>
      <c r="FM231" s="27"/>
      <c r="FN231" s="27"/>
      <c r="FO231" s="27"/>
      <c r="FP231" s="27"/>
      <c r="FQ231" s="27"/>
      <c r="FR231" s="27"/>
      <c r="FS231" s="27"/>
      <c r="FT231" s="27"/>
      <c r="FU231" s="27"/>
      <c r="FV231" s="27"/>
      <c r="FW231" s="27"/>
      <c r="FX231" s="27"/>
      <c r="FY231" s="27"/>
      <c r="FZ231" s="27"/>
      <c r="GA231" s="27" t="s">
        <v>368</v>
      </c>
      <c r="GB231" s="27" t="s">
        <v>368</v>
      </c>
      <c r="GC231" s="27" t="s">
        <v>368</v>
      </c>
      <c r="GD231" s="27" t="s">
        <v>368</v>
      </c>
      <c r="GE231" s="27" t="s">
        <v>368</v>
      </c>
      <c r="GF231" s="27" t="s">
        <v>368</v>
      </c>
      <c r="GG231" s="27"/>
      <c r="GH231" s="27"/>
      <c r="GI231" s="27"/>
      <c r="GJ231" s="27"/>
      <c r="GK231" s="27"/>
      <c r="GL231" s="27" t="s">
        <v>344</v>
      </c>
      <c r="GM231" s="27" t="s">
        <v>344</v>
      </c>
      <c r="GN231" s="27" t="s">
        <v>345</v>
      </c>
      <c r="GO231" s="27" t="s">
        <v>344</v>
      </c>
      <c r="GP231" s="27" t="s">
        <v>344</v>
      </c>
      <c r="GQ231" s="27" t="s">
        <v>344</v>
      </c>
      <c r="GR231" s="27" t="s">
        <v>344</v>
      </c>
      <c r="GS231" s="27" t="s">
        <v>344</v>
      </c>
      <c r="GT231" s="27" t="s">
        <v>345</v>
      </c>
      <c r="GU231" s="27" t="s">
        <v>344</v>
      </c>
      <c r="GV231" s="27" t="s">
        <v>344</v>
      </c>
      <c r="GW231" s="27" t="s">
        <v>345</v>
      </c>
      <c r="GX231" s="27" t="s">
        <v>344</v>
      </c>
      <c r="GY231" s="27" t="s">
        <v>344</v>
      </c>
      <c r="GZ231" s="27" t="s">
        <v>344</v>
      </c>
      <c r="HA231" s="27" t="s">
        <v>344</v>
      </c>
      <c r="HB231" s="27"/>
      <c r="HC231" s="27" t="s">
        <v>344</v>
      </c>
      <c r="HD231" s="27"/>
      <c r="HE231" s="27" t="s">
        <v>344</v>
      </c>
      <c r="HF231" s="27"/>
      <c r="HG231" s="27" t="s">
        <v>344</v>
      </c>
      <c r="HH231" s="27"/>
      <c r="HI231" s="27" t="s">
        <v>344</v>
      </c>
      <c r="HJ231" s="27"/>
      <c r="HK231" s="27" t="s">
        <v>344</v>
      </c>
      <c r="HL231" s="27" t="s">
        <v>344</v>
      </c>
      <c r="HM231" s="27" t="s">
        <v>344</v>
      </c>
      <c r="HN231" s="27" t="s">
        <v>344</v>
      </c>
      <c r="HO231" s="27" t="s">
        <v>344</v>
      </c>
      <c r="HP231" s="27" t="s">
        <v>344</v>
      </c>
      <c r="HQ231" s="27" t="s">
        <v>344</v>
      </c>
      <c r="HR231" s="27" t="s">
        <v>344</v>
      </c>
      <c r="HS231" s="27" t="s">
        <v>344</v>
      </c>
      <c r="HT231" s="27" t="s">
        <v>344</v>
      </c>
      <c r="HU231" s="27" t="s">
        <v>344</v>
      </c>
      <c r="HV231" s="27" t="s">
        <v>344</v>
      </c>
      <c r="HW231" s="27" t="s">
        <v>344</v>
      </c>
      <c r="HX231" s="27" t="s">
        <v>344</v>
      </c>
      <c r="HY231" s="27" t="s">
        <v>344</v>
      </c>
      <c r="HZ231" s="27" t="s">
        <v>344</v>
      </c>
      <c r="IA231" s="27" t="s">
        <v>344</v>
      </c>
      <c r="IB231" s="27" t="s">
        <v>344</v>
      </c>
      <c r="IC231" s="27" t="s">
        <v>345</v>
      </c>
      <c r="ID231" s="27"/>
      <c r="IE231" s="27" t="s">
        <v>344</v>
      </c>
      <c r="IF231" s="27"/>
      <c r="IG231" s="27" t="s">
        <v>344</v>
      </c>
      <c r="IH231" s="27"/>
      <c r="II231" s="27" t="s">
        <v>344</v>
      </c>
      <c r="IJ231" s="27"/>
      <c r="IK231" s="27" t="s">
        <v>344</v>
      </c>
      <c r="IL231" s="27"/>
      <c r="IM231" s="27" t="s">
        <v>344</v>
      </c>
      <c r="IN231" s="27" t="s">
        <v>345</v>
      </c>
      <c r="IO231" s="27" t="s">
        <v>344</v>
      </c>
      <c r="IP231" s="27" t="s">
        <v>344</v>
      </c>
      <c r="IQ231" s="27" t="s">
        <v>345</v>
      </c>
      <c r="IR231" s="27" t="s">
        <v>344</v>
      </c>
      <c r="IS231" s="27" t="s">
        <v>344</v>
      </c>
      <c r="IT231" s="27" t="s">
        <v>345</v>
      </c>
      <c r="IU231" s="27" t="s">
        <v>344</v>
      </c>
      <c r="IV231" s="27" t="s">
        <v>344</v>
      </c>
      <c r="IW231" s="27" t="s">
        <v>344</v>
      </c>
      <c r="IX231" s="27" t="s">
        <v>344</v>
      </c>
      <c r="IY231" s="27" t="s">
        <v>344</v>
      </c>
      <c r="IZ231" s="27" t="s">
        <v>344</v>
      </c>
      <c r="JA231" s="27"/>
      <c r="JB231" s="27"/>
    </row>
    <row r="232" spans="1:262" x14ac:dyDescent="0.3">
      <c r="A232" s="26" t="s">
        <v>727</v>
      </c>
      <c r="B232" s="27">
        <v>170</v>
      </c>
      <c r="C232" s="27" t="s">
        <v>1345</v>
      </c>
      <c r="D232" s="27">
        <v>14</v>
      </c>
      <c r="E232" s="27" t="s">
        <v>387</v>
      </c>
      <c r="F232" s="27">
        <v>721964482</v>
      </c>
      <c r="G232" s="27" t="s">
        <v>1346</v>
      </c>
      <c r="H232" s="27" t="s">
        <v>1345</v>
      </c>
      <c r="I232" s="27" t="s">
        <v>1254</v>
      </c>
      <c r="J232" s="27">
        <v>16</v>
      </c>
      <c r="K232" s="27" t="s">
        <v>1282</v>
      </c>
      <c r="L232" s="27"/>
      <c r="M232" s="27" t="s">
        <v>345</v>
      </c>
      <c r="N232" s="27" t="s">
        <v>344</v>
      </c>
      <c r="O232" s="27" t="s">
        <v>344</v>
      </c>
      <c r="P232" s="27" t="s">
        <v>344</v>
      </c>
      <c r="Q232" s="27" t="s">
        <v>344</v>
      </c>
      <c r="R232" s="27"/>
      <c r="S232" s="27" t="s">
        <v>475</v>
      </c>
      <c r="T232" s="27"/>
      <c r="U232" s="27" t="s">
        <v>1270</v>
      </c>
      <c r="V232" s="27"/>
      <c r="W232" s="27" t="s">
        <v>345</v>
      </c>
      <c r="X232" s="27" t="s">
        <v>344</v>
      </c>
      <c r="Y232" s="27" t="s">
        <v>344</v>
      </c>
      <c r="Z232" s="27" t="s">
        <v>344</v>
      </c>
      <c r="AA232" s="27" t="s">
        <v>344</v>
      </c>
      <c r="AB232" s="27" t="s">
        <v>344</v>
      </c>
      <c r="AC232" s="27" t="s">
        <v>344</v>
      </c>
      <c r="AD232" s="27" t="s">
        <v>345</v>
      </c>
      <c r="AE232" s="27" t="s">
        <v>345</v>
      </c>
      <c r="AF232" s="27" t="s">
        <v>344</v>
      </c>
      <c r="AG232" s="27" t="s">
        <v>344</v>
      </c>
      <c r="AH232" s="27" t="s">
        <v>344</v>
      </c>
      <c r="AI232" s="27" t="s">
        <v>344</v>
      </c>
      <c r="AJ232" s="27" t="s">
        <v>344</v>
      </c>
      <c r="AK232" s="27" t="s">
        <v>345</v>
      </c>
      <c r="AL232" s="27" t="s">
        <v>344</v>
      </c>
      <c r="AM232" s="27" t="s">
        <v>344</v>
      </c>
      <c r="AN232" s="27" t="s">
        <v>344</v>
      </c>
      <c r="AO232" s="27" t="s">
        <v>344</v>
      </c>
      <c r="AP232" s="27" t="s">
        <v>344</v>
      </c>
      <c r="AQ232" s="27" t="s">
        <v>344</v>
      </c>
      <c r="AR232" s="27" t="s">
        <v>345</v>
      </c>
      <c r="AS232" s="27" t="s">
        <v>345</v>
      </c>
      <c r="AT232" s="27" t="s">
        <v>345</v>
      </c>
      <c r="AU232" s="27" t="s">
        <v>345</v>
      </c>
      <c r="AV232" s="27" t="s">
        <v>345</v>
      </c>
      <c r="AW232" s="27" t="s">
        <v>344</v>
      </c>
      <c r="AX232" s="27" t="s">
        <v>344</v>
      </c>
      <c r="AY232" s="27" t="s">
        <v>391</v>
      </c>
      <c r="AZ232" s="27" t="s">
        <v>391</v>
      </c>
      <c r="BA232" s="27" t="s">
        <v>391</v>
      </c>
      <c r="BB232" s="27" t="s">
        <v>733</v>
      </c>
      <c r="BC232" s="27" t="s">
        <v>731</v>
      </c>
      <c r="BD232" s="27" t="s">
        <v>731</v>
      </c>
      <c r="BE232" s="27" t="s">
        <v>348</v>
      </c>
      <c r="BF232" s="27" t="s">
        <v>348</v>
      </c>
      <c r="BG232" s="27" t="s">
        <v>349</v>
      </c>
      <c r="BH232" s="27" t="s">
        <v>348</v>
      </c>
      <c r="BI232" s="27" t="s">
        <v>349</v>
      </c>
      <c r="BJ232" s="27" t="s">
        <v>391</v>
      </c>
      <c r="BK232" s="27" t="s">
        <v>391</v>
      </c>
      <c r="BL232" s="27" t="s">
        <v>391</v>
      </c>
      <c r="BM232" s="27" t="s">
        <v>391</v>
      </c>
      <c r="BN232" s="27" t="s">
        <v>391</v>
      </c>
      <c r="BO232" s="27" t="s">
        <v>391</v>
      </c>
      <c r="BP232" s="27" t="s">
        <v>391</v>
      </c>
      <c r="BQ232" s="27" t="s">
        <v>358</v>
      </c>
      <c r="BR232" s="27" t="s">
        <v>1257</v>
      </c>
      <c r="BS232" s="27" t="s">
        <v>391</v>
      </c>
      <c r="BT232" s="27" t="s">
        <v>391</v>
      </c>
      <c r="BU232" s="27" t="s">
        <v>391</v>
      </c>
      <c r="BV232" s="27" t="s">
        <v>391</v>
      </c>
      <c r="BW232" s="27" t="s">
        <v>391</v>
      </c>
      <c r="BX232" s="27" t="s">
        <v>351</v>
      </c>
      <c r="BY232" s="27" t="s">
        <v>352</v>
      </c>
      <c r="BZ232" s="27" t="s">
        <v>353</v>
      </c>
      <c r="CA232" s="27" t="s">
        <v>391</v>
      </c>
      <c r="CB232" s="27" t="s">
        <v>391</v>
      </c>
      <c r="CC232" s="27" t="s">
        <v>391</v>
      </c>
      <c r="CD232" s="27" t="s">
        <v>353</v>
      </c>
      <c r="CE232" s="27" t="s">
        <v>357</v>
      </c>
      <c r="CF232" s="27" t="s">
        <v>352</v>
      </c>
      <c r="CG232" s="27" t="s">
        <v>420</v>
      </c>
      <c r="CH232" s="27" t="s">
        <v>393</v>
      </c>
      <c r="CI232" s="27" t="s">
        <v>392</v>
      </c>
      <c r="CJ232" s="27" t="s">
        <v>360</v>
      </c>
      <c r="CK232" s="27" t="s">
        <v>1347</v>
      </c>
      <c r="CL232" s="27" t="s">
        <v>345</v>
      </c>
      <c r="CM232" s="27" t="s">
        <v>344</v>
      </c>
      <c r="CN232" s="27" t="s">
        <v>344</v>
      </c>
      <c r="CO232" s="27" t="s">
        <v>345</v>
      </c>
      <c r="CP232" s="27" t="s">
        <v>345</v>
      </c>
      <c r="CQ232" s="27" t="s">
        <v>344</v>
      </c>
      <c r="CR232" s="27" t="s">
        <v>655</v>
      </c>
      <c r="CS232" s="27">
        <v>75</v>
      </c>
      <c r="CT232" s="27">
        <v>80</v>
      </c>
      <c r="CU232" s="27"/>
      <c r="CV232" s="27"/>
      <c r="CW232" s="27" t="s">
        <v>363</v>
      </c>
      <c r="CX232" s="27" t="s">
        <v>396</v>
      </c>
      <c r="CY232" s="27" t="s">
        <v>395</v>
      </c>
      <c r="CZ232" s="27" t="s">
        <v>397</v>
      </c>
      <c r="DA232" s="27" t="s">
        <v>397</v>
      </c>
      <c r="DB232" s="27" t="s">
        <v>397</v>
      </c>
      <c r="DC232" s="27" t="s">
        <v>397</v>
      </c>
      <c r="DD232" s="27" t="s">
        <v>397</v>
      </c>
      <c r="DE232" s="27"/>
      <c r="DF232" s="27"/>
      <c r="DG232" s="27"/>
      <c r="DH232" s="27"/>
      <c r="DI232" s="27"/>
      <c r="DJ232" s="27"/>
      <c r="DK232" s="27" t="s">
        <v>344</v>
      </c>
      <c r="DL232" s="27" t="s">
        <v>368</v>
      </c>
      <c r="DM232" s="27" t="s">
        <v>368</v>
      </c>
      <c r="DN232" s="27" t="s">
        <v>368</v>
      </c>
      <c r="DO232" s="27" t="s">
        <v>368</v>
      </c>
      <c r="DP232" s="27" t="s">
        <v>345</v>
      </c>
      <c r="DQ232" s="27" t="s">
        <v>344</v>
      </c>
      <c r="DR232" s="27" t="s">
        <v>345</v>
      </c>
      <c r="DS232" s="27" t="s">
        <v>344</v>
      </c>
      <c r="DT232" s="27" t="s">
        <v>345</v>
      </c>
      <c r="DU232" s="27" t="s">
        <v>344</v>
      </c>
      <c r="DV232" s="27" t="s">
        <v>344</v>
      </c>
      <c r="DW232" s="27" t="s">
        <v>344</v>
      </c>
      <c r="DX232" s="27" t="s">
        <v>1258</v>
      </c>
      <c r="DY232" s="27" t="s">
        <v>1258</v>
      </c>
      <c r="DZ232" s="27" t="s">
        <v>1258</v>
      </c>
      <c r="EA232" s="27" t="s">
        <v>1258</v>
      </c>
      <c r="EB232" s="27" t="s">
        <v>1258</v>
      </c>
      <c r="EC232" s="27" t="s">
        <v>1258</v>
      </c>
      <c r="ED232" s="27" t="s">
        <v>1258</v>
      </c>
      <c r="EE232" s="27" t="s">
        <v>1273</v>
      </c>
      <c r="EF232" s="27" t="s">
        <v>1274</v>
      </c>
      <c r="EG232" s="27" t="s">
        <v>1258</v>
      </c>
      <c r="EH232" s="27" t="s">
        <v>1274</v>
      </c>
      <c r="EI232" s="27" t="s">
        <v>397</v>
      </c>
      <c r="EJ232" s="27" t="s">
        <v>397</v>
      </c>
      <c r="EK232" s="27" t="s">
        <v>1274</v>
      </c>
      <c r="EL232" s="27" t="s">
        <v>1260</v>
      </c>
      <c r="EM232" s="27" t="s">
        <v>1276</v>
      </c>
      <c r="EN232" s="27" t="s">
        <v>1259</v>
      </c>
      <c r="EO232" s="27"/>
      <c r="EP232" s="27"/>
      <c r="EQ232" s="27" t="s">
        <v>1264</v>
      </c>
      <c r="ER232" s="27" t="s">
        <v>1264</v>
      </c>
      <c r="ES232" s="27" t="s">
        <v>1277</v>
      </c>
      <c r="ET232" s="27" t="s">
        <v>1277</v>
      </c>
      <c r="EU232" s="27" t="s">
        <v>1277</v>
      </c>
      <c r="EV232" s="27" t="s">
        <v>1265</v>
      </c>
      <c r="EW232" s="27"/>
      <c r="EX232" s="27" t="s">
        <v>368</v>
      </c>
      <c r="EY232" s="27" t="s">
        <v>368</v>
      </c>
      <c r="EZ232" s="27" t="s">
        <v>368</v>
      </c>
      <c r="FA232" s="27" t="s">
        <v>345</v>
      </c>
      <c r="FB232" s="27" t="s">
        <v>1266</v>
      </c>
      <c r="FC232" s="27"/>
      <c r="FD232" s="27" t="s">
        <v>1266</v>
      </c>
      <c r="FE232" s="27"/>
      <c r="FF232" s="27" t="s">
        <v>1322</v>
      </c>
      <c r="FG232" s="27" t="s">
        <v>1292</v>
      </c>
      <c r="FH232" s="27" t="s">
        <v>1301</v>
      </c>
      <c r="FI232" s="27" t="s">
        <v>385</v>
      </c>
      <c r="FJ232" s="27"/>
      <c r="FK232" s="27"/>
      <c r="FL232" s="27"/>
      <c r="FM232" s="27"/>
      <c r="FN232" s="27"/>
      <c r="FO232" s="27"/>
      <c r="FP232" s="27"/>
      <c r="FQ232" s="27"/>
      <c r="FR232" s="27"/>
      <c r="FS232" s="27"/>
      <c r="FT232" s="27"/>
      <c r="FU232" s="27"/>
      <c r="FV232" s="27"/>
      <c r="FW232" s="27"/>
      <c r="FX232" s="27"/>
      <c r="FY232" s="27"/>
      <c r="FZ232" s="27"/>
      <c r="GA232" s="27" t="s">
        <v>368</v>
      </c>
      <c r="GB232" s="27" t="s">
        <v>368</v>
      </c>
      <c r="GC232" s="27" t="s">
        <v>368</v>
      </c>
      <c r="GD232" s="27" t="s">
        <v>368</v>
      </c>
      <c r="GE232" s="27" t="s">
        <v>368</v>
      </c>
      <c r="GF232" s="27" t="s">
        <v>368</v>
      </c>
      <c r="GG232" s="27"/>
      <c r="GH232" s="27"/>
      <c r="GI232" s="27"/>
      <c r="GJ232" s="27"/>
      <c r="GK232" s="27"/>
      <c r="GL232" s="27" t="s">
        <v>344</v>
      </c>
      <c r="GM232" s="27" t="s">
        <v>344</v>
      </c>
      <c r="GN232" s="27" t="s">
        <v>345</v>
      </c>
      <c r="GO232" s="27" t="s">
        <v>345</v>
      </c>
      <c r="GP232" s="27" t="s">
        <v>344</v>
      </c>
      <c r="GQ232" s="27" t="s">
        <v>344</v>
      </c>
      <c r="GR232" s="27" t="s">
        <v>344</v>
      </c>
      <c r="GS232" s="27" t="s">
        <v>344</v>
      </c>
      <c r="GT232" s="27" t="s">
        <v>345</v>
      </c>
      <c r="GU232" s="27" t="s">
        <v>344</v>
      </c>
      <c r="GV232" s="27" t="s">
        <v>345</v>
      </c>
      <c r="GW232" s="27" t="s">
        <v>345</v>
      </c>
      <c r="GX232" s="27" t="s">
        <v>344</v>
      </c>
      <c r="GY232" s="27" t="s">
        <v>345</v>
      </c>
      <c r="GZ232" s="27" t="s">
        <v>344</v>
      </c>
      <c r="HA232" s="27" t="s">
        <v>344</v>
      </c>
      <c r="HB232" s="27"/>
      <c r="HC232" s="27" t="s">
        <v>344</v>
      </c>
      <c r="HD232" s="27"/>
      <c r="HE232" s="27" t="s">
        <v>344</v>
      </c>
      <c r="HF232" s="27"/>
      <c r="HG232" s="27" t="s">
        <v>344</v>
      </c>
      <c r="HH232" s="27"/>
      <c r="HI232" s="27" t="s">
        <v>344</v>
      </c>
      <c r="HJ232" s="27"/>
      <c r="HK232" s="27" t="s">
        <v>345</v>
      </c>
      <c r="HL232" s="27" t="s">
        <v>344</v>
      </c>
      <c r="HM232" s="27" t="s">
        <v>344</v>
      </c>
      <c r="HN232" s="27" t="s">
        <v>345</v>
      </c>
      <c r="HO232" s="27" t="s">
        <v>344</v>
      </c>
      <c r="HP232" s="27" t="s">
        <v>344</v>
      </c>
      <c r="HQ232" s="27" t="s">
        <v>344</v>
      </c>
      <c r="HR232" s="27" t="s">
        <v>344</v>
      </c>
      <c r="HS232" s="27" t="s">
        <v>344</v>
      </c>
      <c r="HT232" s="27" t="s">
        <v>344</v>
      </c>
      <c r="HU232" s="27" t="s">
        <v>344</v>
      </c>
      <c r="HV232" s="27" t="s">
        <v>344</v>
      </c>
      <c r="HW232" s="27" t="s">
        <v>345</v>
      </c>
      <c r="HX232" s="27" t="s">
        <v>344</v>
      </c>
      <c r="HY232" s="27" t="s">
        <v>344</v>
      </c>
      <c r="HZ232" s="27" t="s">
        <v>344</v>
      </c>
      <c r="IA232" s="27" t="s">
        <v>345</v>
      </c>
      <c r="IB232" s="27" t="s">
        <v>344</v>
      </c>
      <c r="IC232" s="27" t="s">
        <v>344</v>
      </c>
      <c r="ID232" s="27"/>
      <c r="IE232" s="27" t="s">
        <v>344</v>
      </c>
      <c r="IF232" s="27"/>
      <c r="IG232" s="27" t="s">
        <v>344</v>
      </c>
      <c r="IH232" s="27"/>
      <c r="II232" s="27" t="s">
        <v>344</v>
      </c>
      <c r="IJ232" s="27"/>
      <c r="IK232" s="27" t="s">
        <v>344</v>
      </c>
      <c r="IL232" s="27"/>
      <c r="IM232" s="27" t="s">
        <v>345</v>
      </c>
      <c r="IN232" s="27" t="s">
        <v>345</v>
      </c>
      <c r="IO232" s="27" t="s">
        <v>345</v>
      </c>
      <c r="IP232" s="27" t="s">
        <v>344</v>
      </c>
      <c r="IQ232" s="27" t="s">
        <v>344</v>
      </c>
      <c r="IR232" s="27" t="s">
        <v>344</v>
      </c>
      <c r="IS232" s="27" t="s">
        <v>344</v>
      </c>
      <c r="IT232" s="27" t="s">
        <v>345</v>
      </c>
      <c r="IU232" s="27" t="s">
        <v>344</v>
      </c>
      <c r="IV232" s="27" t="s">
        <v>344</v>
      </c>
      <c r="IW232" s="27" t="s">
        <v>344</v>
      </c>
      <c r="IX232" s="27" t="s">
        <v>344</v>
      </c>
      <c r="IY232" s="27" t="s">
        <v>345</v>
      </c>
      <c r="IZ232" s="27" t="s">
        <v>344</v>
      </c>
      <c r="JA232" s="27"/>
      <c r="JB232" s="27" t="s">
        <v>1348</v>
      </c>
    </row>
    <row r="233" spans="1:262" x14ac:dyDescent="0.3">
      <c r="A233" s="26" t="s">
        <v>727</v>
      </c>
      <c r="B233" s="27">
        <v>172</v>
      </c>
      <c r="C233" s="27" t="s">
        <v>1349</v>
      </c>
      <c r="D233" s="27">
        <v>14</v>
      </c>
      <c r="E233" s="27" t="s">
        <v>387</v>
      </c>
      <c r="F233" s="27">
        <v>1324669549</v>
      </c>
      <c r="G233" s="27" t="s">
        <v>1350</v>
      </c>
      <c r="H233" s="27" t="s">
        <v>1349</v>
      </c>
      <c r="I233" s="27" t="s">
        <v>1254</v>
      </c>
      <c r="J233" s="27">
        <v>17</v>
      </c>
      <c r="K233" s="27" t="s">
        <v>1255</v>
      </c>
      <c r="L233" s="27"/>
      <c r="M233" s="27" t="s">
        <v>345</v>
      </c>
      <c r="N233" s="27" t="s">
        <v>344</v>
      </c>
      <c r="O233" s="27" t="s">
        <v>344</v>
      </c>
      <c r="P233" s="27" t="s">
        <v>344</v>
      </c>
      <c r="Q233" s="27" t="s">
        <v>344</v>
      </c>
      <c r="R233" s="27"/>
      <c r="S233" s="27" t="s">
        <v>475</v>
      </c>
      <c r="T233" s="27"/>
      <c r="U233" s="27" t="s">
        <v>1256</v>
      </c>
      <c r="V233" s="27"/>
      <c r="W233" s="27" t="s">
        <v>345</v>
      </c>
      <c r="X233" s="27" t="s">
        <v>344</v>
      </c>
      <c r="Y233" s="27" t="s">
        <v>345</v>
      </c>
      <c r="Z233" s="27" t="s">
        <v>344</v>
      </c>
      <c r="AA233" s="27" t="s">
        <v>344</v>
      </c>
      <c r="AB233" s="27" t="s">
        <v>344</v>
      </c>
      <c r="AC233" s="27" t="s">
        <v>344</v>
      </c>
      <c r="AD233" s="27" t="s">
        <v>345</v>
      </c>
      <c r="AE233" s="27" t="s">
        <v>344</v>
      </c>
      <c r="AF233" s="27" t="s">
        <v>345</v>
      </c>
      <c r="AG233" s="27" t="s">
        <v>344</v>
      </c>
      <c r="AH233" s="27" t="s">
        <v>345</v>
      </c>
      <c r="AI233" s="27" t="s">
        <v>344</v>
      </c>
      <c r="AJ233" s="27" t="s">
        <v>344</v>
      </c>
      <c r="AK233" s="27" t="s">
        <v>344</v>
      </c>
      <c r="AL233" s="27" t="s">
        <v>345</v>
      </c>
      <c r="AM233" s="27" t="s">
        <v>344</v>
      </c>
      <c r="AN233" s="27" t="s">
        <v>344</v>
      </c>
      <c r="AO233" s="27" t="s">
        <v>345</v>
      </c>
      <c r="AP233" s="27" t="s">
        <v>344</v>
      </c>
      <c r="AQ233" s="27" t="s">
        <v>344</v>
      </c>
      <c r="AR233" s="27" t="s">
        <v>345</v>
      </c>
      <c r="AS233" s="27" t="s">
        <v>345</v>
      </c>
      <c r="AT233" s="27" t="s">
        <v>344</v>
      </c>
      <c r="AU233" s="27" t="s">
        <v>345</v>
      </c>
      <c r="AV233" s="27" t="s">
        <v>344</v>
      </c>
      <c r="AW233" s="27" t="s">
        <v>344</v>
      </c>
      <c r="AX233" s="27" t="s">
        <v>344</v>
      </c>
      <c r="AY233" s="27" t="s">
        <v>732</v>
      </c>
      <c r="AZ233" s="27" t="s">
        <v>733</v>
      </c>
      <c r="BA233" s="27" t="s">
        <v>732</v>
      </c>
      <c r="BB233" s="27" t="s">
        <v>733</v>
      </c>
      <c r="BC233" s="27" t="s">
        <v>732</v>
      </c>
      <c r="BD233" s="27" t="s">
        <v>737</v>
      </c>
      <c r="BE233" s="27" t="s">
        <v>348</v>
      </c>
      <c r="BF233" s="27" t="s">
        <v>348</v>
      </c>
      <c r="BG233" s="27" t="s">
        <v>349</v>
      </c>
      <c r="BH233" s="27" t="s">
        <v>349</v>
      </c>
      <c r="BI233" s="27" t="s">
        <v>349</v>
      </c>
      <c r="BJ233" s="27" t="s">
        <v>357</v>
      </c>
      <c r="BK233" s="27" t="s">
        <v>356</v>
      </c>
      <c r="BL233" s="27" t="s">
        <v>354</v>
      </c>
      <c r="BM233" s="27" t="s">
        <v>353</v>
      </c>
      <c r="BN233" s="27" t="s">
        <v>352</v>
      </c>
      <c r="BO233" s="27" t="s">
        <v>355</v>
      </c>
      <c r="BP233" s="27" t="s">
        <v>351</v>
      </c>
      <c r="BQ233" s="27" t="s">
        <v>455</v>
      </c>
      <c r="BR233" s="27" t="s">
        <v>344</v>
      </c>
      <c r="BS233" s="27" t="s">
        <v>356</v>
      </c>
      <c r="BT233" s="27" t="s">
        <v>354</v>
      </c>
      <c r="BU233" s="27" t="s">
        <v>351</v>
      </c>
      <c r="BV233" s="27" t="s">
        <v>352</v>
      </c>
      <c r="BW233" s="27" t="s">
        <v>357</v>
      </c>
      <c r="BX233" s="27" t="s">
        <v>353</v>
      </c>
      <c r="BY233" s="27" t="s">
        <v>355</v>
      </c>
      <c r="BZ233" s="27" t="s">
        <v>351</v>
      </c>
      <c r="CA233" s="27" t="s">
        <v>356</v>
      </c>
      <c r="CB233" s="27" t="s">
        <v>352</v>
      </c>
      <c r="CC233" s="27" t="s">
        <v>354</v>
      </c>
      <c r="CD233" s="27" t="s">
        <v>355</v>
      </c>
      <c r="CE233" s="27" t="s">
        <v>353</v>
      </c>
      <c r="CF233" s="27" t="s">
        <v>357</v>
      </c>
      <c r="CG233" s="27" t="s">
        <v>420</v>
      </c>
      <c r="CH233" s="27" t="s">
        <v>420</v>
      </c>
      <c r="CI233" s="27" t="s">
        <v>392</v>
      </c>
      <c r="CJ233" s="27" t="s">
        <v>392</v>
      </c>
      <c r="CK233" s="27" t="s">
        <v>1351</v>
      </c>
      <c r="CL233" s="27" t="s">
        <v>345</v>
      </c>
      <c r="CM233" s="27" t="s">
        <v>345</v>
      </c>
      <c r="CN233" s="27" t="s">
        <v>344</v>
      </c>
      <c r="CO233" s="27" t="s">
        <v>345</v>
      </c>
      <c r="CP233" s="27" t="s">
        <v>344</v>
      </c>
      <c r="CQ233" s="27" t="s">
        <v>344</v>
      </c>
      <c r="CR233" s="27" t="s">
        <v>667</v>
      </c>
      <c r="CS233" s="27">
        <v>80</v>
      </c>
      <c r="CT233" s="27">
        <v>95</v>
      </c>
      <c r="CU233" s="27"/>
      <c r="CV233" s="27"/>
      <c r="CW233" s="27" t="s">
        <v>395</v>
      </c>
      <c r="CX233" s="27" t="s">
        <v>395</v>
      </c>
      <c r="CY233" s="27" t="s">
        <v>396</v>
      </c>
      <c r="CZ233" s="27" t="s">
        <v>397</v>
      </c>
      <c r="DA233" s="27" t="s">
        <v>366</v>
      </c>
      <c r="DB233" s="27" t="s">
        <v>366</v>
      </c>
      <c r="DC233" s="27" t="s">
        <v>366</v>
      </c>
      <c r="DD233" s="27" t="s">
        <v>365</v>
      </c>
      <c r="DE233" s="27"/>
      <c r="DF233" s="27"/>
      <c r="DG233" s="27"/>
      <c r="DH233" s="27"/>
      <c r="DI233" s="27"/>
      <c r="DJ233" s="27"/>
      <c r="DK233" s="27" t="s">
        <v>344</v>
      </c>
      <c r="DL233" s="27" t="s">
        <v>368</v>
      </c>
      <c r="DM233" s="27" t="s">
        <v>368</v>
      </c>
      <c r="DN233" s="27" t="s">
        <v>368</v>
      </c>
      <c r="DO233" s="27" t="s">
        <v>368</v>
      </c>
      <c r="DP233" s="27" t="s">
        <v>345</v>
      </c>
      <c r="DQ233" s="27" t="s">
        <v>345</v>
      </c>
      <c r="DR233" s="27" t="s">
        <v>345</v>
      </c>
      <c r="DS233" s="27" t="s">
        <v>344</v>
      </c>
      <c r="DT233" s="27" t="s">
        <v>368</v>
      </c>
      <c r="DU233" s="27" t="s">
        <v>368</v>
      </c>
      <c r="DV233" s="27" t="s">
        <v>368</v>
      </c>
      <c r="DW233" s="27" t="s">
        <v>345</v>
      </c>
      <c r="DX233" s="27" t="s">
        <v>1258</v>
      </c>
      <c r="DY233" s="27" t="s">
        <v>1258</v>
      </c>
      <c r="DZ233" s="27" t="s">
        <v>1258</v>
      </c>
      <c r="EA233" s="27" t="s">
        <v>1258</v>
      </c>
      <c r="EB233" s="27" t="s">
        <v>1258</v>
      </c>
      <c r="EC233" s="27" t="s">
        <v>1258</v>
      </c>
      <c r="ED233" s="27" t="s">
        <v>1258</v>
      </c>
      <c r="EE233" s="27" t="s">
        <v>397</v>
      </c>
      <c r="EF233" s="27" t="s">
        <v>397</v>
      </c>
      <c r="EG233" s="27" t="s">
        <v>397</v>
      </c>
      <c r="EH233" s="27" t="s">
        <v>1273</v>
      </c>
      <c r="EI233" s="27" t="s">
        <v>1273</v>
      </c>
      <c r="EJ233" s="27" t="s">
        <v>397</v>
      </c>
      <c r="EK233" s="27" t="s">
        <v>1273</v>
      </c>
      <c r="EL233" s="27" t="s">
        <v>1276</v>
      </c>
      <c r="EM233" s="27" t="s">
        <v>1259</v>
      </c>
      <c r="EN233" s="27" t="s">
        <v>1260</v>
      </c>
      <c r="EO233" s="27"/>
      <c r="EP233" s="27"/>
      <c r="EQ233" s="27" t="s">
        <v>1264</v>
      </c>
      <c r="ER233" s="27" t="s">
        <v>1263</v>
      </c>
      <c r="ES233" s="27" t="s">
        <v>1264</v>
      </c>
      <c r="ET233" s="27" t="s">
        <v>1264</v>
      </c>
      <c r="EU233" s="27" t="s">
        <v>1264</v>
      </c>
      <c r="EV233" s="27" t="s">
        <v>1265</v>
      </c>
      <c r="EW233" s="27"/>
      <c r="EX233" s="27" t="s">
        <v>368</v>
      </c>
      <c r="EY233" s="27" t="s">
        <v>368</v>
      </c>
      <c r="EZ233" s="27" t="s">
        <v>368</v>
      </c>
      <c r="FA233" s="27" t="s">
        <v>345</v>
      </c>
      <c r="FB233" s="27" t="s">
        <v>1266</v>
      </c>
      <c r="FC233" s="27"/>
      <c r="FD233" s="27" t="s">
        <v>1266</v>
      </c>
      <c r="FE233" s="27"/>
      <c r="FF233" s="27" t="s">
        <v>477</v>
      </c>
      <c r="FG233" s="27" t="s">
        <v>441</v>
      </c>
      <c r="FH233" s="27" t="s">
        <v>432</v>
      </c>
      <c r="FI233" s="27" t="s">
        <v>442</v>
      </c>
      <c r="FJ233" s="27"/>
      <c r="FK233" s="27"/>
      <c r="FL233" s="27"/>
      <c r="FM233" s="27"/>
      <c r="FN233" s="27"/>
      <c r="FO233" s="27"/>
      <c r="FP233" s="27"/>
      <c r="FQ233" s="27"/>
      <c r="FR233" s="27"/>
      <c r="FS233" s="27"/>
      <c r="FT233" s="27"/>
      <c r="FU233" s="27"/>
      <c r="FV233" s="27"/>
      <c r="FW233" s="27"/>
      <c r="FX233" s="27"/>
      <c r="FY233" s="27"/>
      <c r="FZ233" s="27"/>
      <c r="GA233" s="27" t="s">
        <v>368</v>
      </c>
      <c r="GB233" s="27" t="s">
        <v>368</v>
      </c>
      <c r="GC233" s="27" t="s">
        <v>368</v>
      </c>
      <c r="GD233" s="27" t="s">
        <v>368</v>
      </c>
      <c r="GE233" s="27" t="s">
        <v>368</v>
      </c>
      <c r="GF233" s="27" t="s">
        <v>368</v>
      </c>
      <c r="GG233" s="27"/>
      <c r="GH233" s="27"/>
      <c r="GI233" s="27"/>
      <c r="GJ233" s="27"/>
      <c r="GK233" s="27"/>
      <c r="GL233" s="27" t="s">
        <v>344</v>
      </c>
      <c r="GM233" s="27" t="s">
        <v>344</v>
      </c>
      <c r="GN233" s="27" t="s">
        <v>344</v>
      </c>
      <c r="GO233" s="27" t="s">
        <v>345</v>
      </c>
      <c r="GP233" s="27" t="s">
        <v>344</v>
      </c>
      <c r="GQ233" s="27" t="s">
        <v>344</v>
      </c>
      <c r="GR233" s="27" t="s">
        <v>344</v>
      </c>
      <c r="GS233" s="27" t="s">
        <v>344</v>
      </c>
      <c r="GT233" s="27" t="s">
        <v>344</v>
      </c>
      <c r="GU233" s="27" t="s">
        <v>344</v>
      </c>
      <c r="GV233" s="27" t="s">
        <v>345</v>
      </c>
      <c r="GW233" s="27" t="s">
        <v>345</v>
      </c>
      <c r="GX233" s="27" t="s">
        <v>344</v>
      </c>
      <c r="GY233" s="27" t="s">
        <v>345</v>
      </c>
      <c r="GZ233" s="27" t="s">
        <v>344</v>
      </c>
      <c r="HA233" s="27" t="s">
        <v>344</v>
      </c>
      <c r="HB233" s="27"/>
      <c r="HC233" s="27" t="s">
        <v>344</v>
      </c>
      <c r="HD233" s="27"/>
      <c r="HE233" s="27" t="s">
        <v>344</v>
      </c>
      <c r="HF233" s="27"/>
      <c r="HG233" s="27" t="s">
        <v>344</v>
      </c>
      <c r="HH233" s="27"/>
      <c r="HI233" s="27" t="s">
        <v>344</v>
      </c>
      <c r="HJ233" s="27"/>
      <c r="HK233" s="27" t="s">
        <v>344</v>
      </c>
      <c r="HL233" s="27" t="s">
        <v>344</v>
      </c>
      <c r="HM233" s="27" t="s">
        <v>344</v>
      </c>
      <c r="HN233" s="27" t="s">
        <v>345</v>
      </c>
      <c r="HO233" s="27" t="s">
        <v>344</v>
      </c>
      <c r="HP233" s="27" t="s">
        <v>344</v>
      </c>
      <c r="HQ233" s="27" t="s">
        <v>344</v>
      </c>
      <c r="HR233" s="27" t="s">
        <v>344</v>
      </c>
      <c r="HS233" s="27" t="s">
        <v>344</v>
      </c>
      <c r="HT233" s="27" t="s">
        <v>344</v>
      </c>
      <c r="HU233" s="27" t="s">
        <v>344</v>
      </c>
      <c r="HV233" s="27" t="s">
        <v>344</v>
      </c>
      <c r="HW233" s="27" t="s">
        <v>344</v>
      </c>
      <c r="HX233" s="27" t="s">
        <v>344</v>
      </c>
      <c r="HY233" s="27" t="s">
        <v>344</v>
      </c>
      <c r="HZ233" s="27" t="s">
        <v>344</v>
      </c>
      <c r="IA233" s="27" t="s">
        <v>345</v>
      </c>
      <c r="IB233" s="27" t="s">
        <v>344</v>
      </c>
      <c r="IC233" s="27" t="s">
        <v>344</v>
      </c>
      <c r="ID233" s="27"/>
      <c r="IE233" s="27" t="s">
        <v>344</v>
      </c>
      <c r="IF233" s="27"/>
      <c r="IG233" s="27" t="s">
        <v>344</v>
      </c>
      <c r="IH233" s="27"/>
      <c r="II233" s="27" t="s">
        <v>344</v>
      </c>
      <c r="IJ233" s="27"/>
      <c r="IK233" s="27" t="s">
        <v>344</v>
      </c>
      <c r="IL233" s="27"/>
      <c r="IM233" s="27" t="s">
        <v>345</v>
      </c>
      <c r="IN233" s="27" t="s">
        <v>344</v>
      </c>
      <c r="IO233" s="27" t="s">
        <v>344</v>
      </c>
      <c r="IP233" s="27" t="s">
        <v>344</v>
      </c>
      <c r="IQ233" s="27" t="s">
        <v>345</v>
      </c>
      <c r="IR233" s="27" t="s">
        <v>344</v>
      </c>
      <c r="IS233" s="27" t="s">
        <v>344</v>
      </c>
      <c r="IT233" s="27" t="s">
        <v>345</v>
      </c>
      <c r="IU233" s="27" t="s">
        <v>344</v>
      </c>
      <c r="IV233" s="27" t="s">
        <v>344</v>
      </c>
      <c r="IW233" s="27" t="s">
        <v>344</v>
      </c>
      <c r="IX233" s="27" t="s">
        <v>344</v>
      </c>
      <c r="IY233" s="27" t="s">
        <v>345</v>
      </c>
      <c r="IZ233" s="27" t="s">
        <v>344</v>
      </c>
      <c r="JA233" s="27"/>
      <c r="JB233" s="27" t="s">
        <v>1352</v>
      </c>
    </row>
    <row r="234" spans="1:262" x14ac:dyDescent="0.3">
      <c r="A234" s="26" t="s">
        <v>727</v>
      </c>
      <c r="B234" s="27">
        <v>179</v>
      </c>
      <c r="C234" s="27" t="s">
        <v>1353</v>
      </c>
      <c r="D234" s="27">
        <v>14</v>
      </c>
      <c r="E234" s="27" t="s">
        <v>387</v>
      </c>
      <c r="F234" s="27">
        <v>350355152</v>
      </c>
      <c r="G234" s="27" t="s">
        <v>1354</v>
      </c>
      <c r="H234" s="27" t="s">
        <v>1353</v>
      </c>
      <c r="I234" s="27" t="s">
        <v>1254</v>
      </c>
      <c r="J234" s="27">
        <v>17</v>
      </c>
      <c r="K234" s="27" t="s">
        <v>1255</v>
      </c>
      <c r="L234" s="27"/>
      <c r="M234" s="27" t="s">
        <v>345</v>
      </c>
      <c r="N234" s="27" t="s">
        <v>344</v>
      </c>
      <c r="O234" s="27" t="s">
        <v>344</v>
      </c>
      <c r="P234" s="27" t="s">
        <v>344</v>
      </c>
      <c r="Q234" s="27" t="s">
        <v>344</v>
      </c>
      <c r="R234" s="27"/>
      <c r="S234" s="27" t="s">
        <v>475</v>
      </c>
      <c r="T234" s="27"/>
      <c r="U234" s="27" t="s">
        <v>1270</v>
      </c>
      <c r="V234" s="27"/>
      <c r="W234" s="27" t="s">
        <v>345</v>
      </c>
      <c r="X234" s="27" t="s">
        <v>345</v>
      </c>
      <c r="Y234" s="27" t="s">
        <v>344</v>
      </c>
      <c r="Z234" s="27" t="s">
        <v>344</v>
      </c>
      <c r="AA234" s="27" t="s">
        <v>344</v>
      </c>
      <c r="AB234" s="27" t="s">
        <v>344</v>
      </c>
      <c r="AC234" s="27" t="s">
        <v>344</v>
      </c>
      <c r="AD234" s="27" t="s">
        <v>345</v>
      </c>
      <c r="AE234" s="27" t="s">
        <v>345</v>
      </c>
      <c r="AF234" s="27" t="s">
        <v>345</v>
      </c>
      <c r="AG234" s="27" t="s">
        <v>345</v>
      </c>
      <c r="AH234" s="27" t="s">
        <v>345</v>
      </c>
      <c r="AI234" s="27" t="s">
        <v>345</v>
      </c>
      <c r="AJ234" s="27" t="s">
        <v>344</v>
      </c>
      <c r="AK234" s="27" t="s">
        <v>344</v>
      </c>
      <c r="AL234" s="27" t="s">
        <v>344</v>
      </c>
      <c r="AM234" s="27" t="s">
        <v>344</v>
      </c>
      <c r="AN234" s="27" t="s">
        <v>345</v>
      </c>
      <c r="AO234" s="27" t="s">
        <v>344</v>
      </c>
      <c r="AP234" s="27" t="s">
        <v>345</v>
      </c>
      <c r="AQ234" s="27" t="s">
        <v>344</v>
      </c>
      <c r="AR234" s="27" t="s">
        <v>345</v>
      </c>
      <c r="AS234" s="27" t="s">
        <v>345</v>
      </c>
      <c r="AT234" s="27" t="s">
        <v>345</v>
      </c>
      <c r="AU234" s="27" t="s">
        <v>345</v>
      </c>
      <c r="AV234" s="27" t="s">
        <v>344</v>
      </c>
      <c r="AW234" s="27" t="s">
        <v>344</v>
      </c>
      <c r="AX234" s="27" t="s">
        <v>344</v>
      </c>
      <c r="AY234" s="27" t="s">
        <v>391</v>
      </c>
      <c r="AZ234" s="27" t="s">
        <v>733</v>
      </c>
      <c r="BA234" s="27" t="s">
        <v>732</v>
      </c>
      <c r="BB234" s="27" t="s">
        <v>733</v>
      </c>
      <c r="BC234" s="27" t="s">
        <v>733</v>
      </c>
      <c r="BD234" s="27" t="s">
        <v>733</v>
      </c>
      <c r="BE234" s="27" t="s">
        <v>349</v>
      </c>
      <c r="BF234" s="27" t="s">
        <v>349</v>
      </c>
      <c r="BG234" s="27" t="s">
        <v>349</v>
      </c>
      <c r="BH234" s="27" t="s">
        <v>349</v>
      </c>
      <c r="BI234" s="27" t="s">
        <v>390</v>
      </c>
      <c r="BJ234" s="27" t="s">
        <v>391</v>
      </c>
      <c r="BK234" s="27" t="s">
        <v>391</v>
      </c>
      <c r="BL234" s="27" t="s">
        <v>391</v>
      </c>
      <c r="BM234" s="27" t="s">
        <v>391</v>
      </c>
      <c r="BN234" s="27" t="s">
        <v>391</v>
      </c>
      <c r="BO234" s="27" t="s">
        <v>391</v>
      </c>
      <c r="BP234" s="27" t="s">
        <v>391</v>
      </c>
      <c r="BQ234" s="27" t="s">
        <v>358</v>
      </c>
      <c r="BR234" s="27" t="s">
        <v>1257</v>
      </c>
      <c r="BS234" s="27" t="s">
        <v>391</v>
      </c>
      <c r="BT234" s="27" t="s">
        <v>391</v>
      </c>
      <c r="BU234" s="27" t="s">
        <v>391</v>
      </c>
      <c r="BV234" s="27" t="s">
        <v>391</v>
      </c>
      <c r="BW234" s="27" t="s">
        <v>391</v>
      </c>
      <c r="BX234" s="27" t="s">
        <v>391</v>
      </c>
      <c r="BY234" s="27" t="s">
        <v>391</v>
      </c>
      <c r="BZ234" s="27" t="s">
        <v>391</v>
      </c>
      <c r="CA234" s="27" t="s">
        <v>391</v>
      </c>
      <c r="CB234" s="27" t="s">
        <v>391</v>
      </c>
      <c r="CC234" s="27" t="s">
        <v>391</v>
      </c>
      <c r="CD234" s="27" t="s">
        <v>391</v>
      </c>
      <c r="CE234" s="27" t="s">
        <v>391</v>
      </c>
      <c r="CF234" s="27" t="s">
        <v>391</v>
      </c>
      <c r="CG234" s="27" t="s">
        <v>360</v>
      </c>
      <c r="CH234" s="27" t="s">
        <v>393</v>
      </c>
      <c r="CI234" s="27" t="s">
        <v>393</v>
      </c>
      <c r="CJ234" s="27" t="s">
        <v>392</v>
      </c>
      <c r="CK234" s="27" t="s">
        <v>1355</v>
      </c>
      <c r="CL234" s="27" t="s">
        <v>345</v>
      </c>
      <c r="CM234" s="27" t="s">
        <v>344</v>
      </c>
      <c r="CN234" s="27" t="s">
        <v>345</v>
      </c>
      <c r="CO234" s="27" t="s">
        <v>345</v>
      </c>
      <c r="CP234" s="27" t="s">
        <v>345</v>
      </c>
      <c r="CQ234" s="27" t="s">
        <v>344</v>
      </c>
      <c r="CR234" s="27" t="s">
        <v>1356</v>
      </c>
      <c r="CS234" s="27">
        <v>80</v>
      </c>
      <c r="CT234" s="27">
        <v>80</v>
      </c>
      <c r="CU234" s="27"/>
      <c r="CV234" s="27"/>
      <c r="CW234" s="27" t="s">
        <v>395</v>
      </c>
      <c r="CX234" s="27" t="s">
        <v>395</v>
      </c>
      <c r="CY234" s="27" t="s">
        <v>396</v>
      </c>
      <c r="CZ234" s="27" t="s">
        <v>397</v>
      </c>
      <c r="DA234" s="27" t="s">
        <v>397</v>
      </c>
      <c r="DB234" s="27" t="s">
        <v>397</v>
      </c>
      <c r="DC234" s="27" t="s">
        <v>397</v>
      </c>
      <c r="DD234" s="27" t="s">
        <v>397</v>
      </c>
      <c r="DE234" s="27"/>
      <c r="DF234" s="27"/>
      <c r="DG234" s="27"/>
      <c r="DH234" s="27"/>
      <c r="DI234" s="27"/>
      <c r="DJ234" s="27"/>
      <c r="DK234" s="27" t="s">
        <v>1357</v>
      </c>
      <c r="DL234" s="27" t="s">
        <v>368</v>
      </c>
      <c r="DM234" s="27" t="s">
        <v>368</v>
      </c>
      <c r="DN234" s="27" t="s">
        <v>368</v>
      </c>
      <c r="DO234" s="27" t="s">
        <v>345</v>
      </c>
      <c r="DP234" s="27" t="s">
        <v>345</v>
      </c>
      <c r="DQ234" s="27" t="s">
        <v>344</v>
      </c>
      <c r="DR234" s="27" t="s">
        <v>344</v>
      </c>
      <c r="DS234" s="27" t="s">
        <v>344</v>
      </c>
      <c r="DT234" s="27" t="s">
        <v>345</v>
      </c>
      <c r="DU234" s="27" t="s">
        <v>344</v>
      </c>
      <c r="DV234" s="27" t="s">
        <v>344</v>
      </c>
      <c r="DW234" s="27" t="s">
        <v>344</v>
      </c>
      <c r="DX234" s="27" t="s">
        <v>1258</v>
      </c>
      <c r="DY234" s="27" t="s">
        <v>1258</v>
      </c>
      <c r="DZ234" s="27" t="s">
        <v>1258</v>
      </c>
      <c r="EA234" s="27" t="s">
        <v>1272</v>
      </c>
      <c r="EB234" s="27" t="s">
        <v>1258</v>
      </c>
      <c r="EC234" s="27" t="s">
        <v>1272</v>
      </c>
      <c r="ED234" s="27" t="s">
        <v>1258</v>
      </c>
      <c r="EE234" s="27" t="s">
        <v>397</v>
      </c>
      <c r="EF234" s="27" t="s">
        <v>397</v>
      </c>
      <c r="EG234" s="27" t="s">
        <v>397</v>
      </c>
      <c r="EH234" s="27" t="s">
        <v>1273</v>
      </c>
      <c r="EI234" s="27" t="s">
        <v>397</v>
      </c>
      <c r="EJ234" s="27" t="s">
        <v>1273</v>
      </c>
      <c r="EK234" s="27" t="s">
        <v>1273</v>
      </c>
      <c r="EL234" s="27" t="s">
        <v>1276</v>
      </c>
      <c r="EM234" s="27" t="s">
        <v>1260</v>
      </c>
      <c r="EN234" s="27" t="s">
        <v>1261</v>
      </c>
      <c r="EO234" s="27"/>
      <c r="EP234" s="27"/>
      <c r="EQ234" s="27" t="s">
        <v>1263</v>
      </c>
      <c r="ER234" s="27" t="s">
        <v>1263</v>
      </c>
      <c r="ES234" s="27" t="s">
        <v>1264</v>
      </c>
      <c r="ET234" s="27" t="s">
        <v>1264</v>
      </c>
      <c r="EU234" s="27" t="s">
        <v>1264</v>
      </c>
      <c r="EV234" s="27" t="s">
        <v>1265</v>
      </c>
      <c r="EW234" s="27"/>
      <c r="EX234" s="170" t="s">
        <v>345</v>
      </c>
      <c r="EY234" s="170" t="s">
        <v>344</v>
      </c>
      <c r="EZ234" s="170" t="s">
        <v>344</v>
      </c>
      <c r="FA234" s="27" t="s">
        <v>344</v>
      </c>
      <c r="FB234" s="27" t="s">
        <v>1266</v>
      </c>
      <c r="FC234" s="27"/>
      <c r="FD234" s="27" t="s">
        <v>1266</v>
      </c>
      <c r="FE234" s="27"/>
      <c r="FF234" s="27" t="s">
        <v>477</v>
      </c>
      <c r="FG234" s="27" t="s">
        <v>441</v>
      </c>
      <c r="FH234" s="27" t="s">
        <v>432</v>
      </c>
      <c r="FI234" s="27" t="s">
        <v>442</v>
      </c>
      <c r="FJ234" s="27"/>
      <c r="FK234" s="27"/>
      <c r="FL234" s="27"/>
      <c r="FM234" s="27"/>
      <c r="FN234" s="27"/>
      <c r="FO234" s="27"/>
      <c r="FP234" s="27"/>
      <c r="FQ234" s="27"/>
      <c r="FR234" s="27"/>
      <c r="FS234" s="27"/>
      <c r="FT234" s="27"/>
      <c r="FU234" s="27"/>
      <c r="FV234" s="27"/>
      <c r="FW234" s="27"/>
      <c r="FX234" s="27"/>
      <c r="FY234" s="27"/>
      <c r="FZ234" s="27"/>
      <c r="GA234" s="27" t="s">
        <v>368</v>
      </c>
      <c r="GB234" s="27" t="s">
        <v>368</v>
      </c>
      <c r="GC234" s="27" t="s">
        <v>368</v>
      </c>
      <c r="GD234" s="27" t="s">
        <v>368</v>
      </c>
      <c r="GE234" s="27" t="s">
        <v>368</v>
      </c>
      <c r="GF234" s="27" t="s">
        <v>368</v>
      </c>
      <c r="GG234" s="27"/>
      <c r="GH234" s="27"/>
      <c r="GI234" s="27"/>
      <c r="GJ234" s="27"/>
      <c r="GK234" s="27"/>
      <c r="GL234" s="27" t="s">
        <v>344</v>
      </c>
      <c r="GM234" s="27" t="s">
        <v>344</v>
      </c>
      <c r="GN234" s="27" t="s">
        <v>344</v>
      </c>
      <c r="GO234" s="27" t="s">
        <v>344</v>
      </c>
      <c r="GP234" s="27" t="s">
        <v>344</v>
      </c>
      <c r="GQ234" s="27" t="s">
        <v>344</v>
      </c>
      <c r="GR234" s="27" t="s">
        <v>344</v>
      </c>
      <c r="GS234" s="27" t="s">
        <v>344</v>
      </c>
      <c r="GT234" s="27" t="s">
        <v>344</v>
      </c>
      <c r="GU234" s="27" t="s">
        <v>344</v>
      </c>
      <c r="GV234" s="27" t="s">
        <v>344</v>
      </c>
      <c r="GW234" s="27" t="s">
        <v>345</v>
      </c>
      <c r="GX234" s="27" t="s">
        <v>344</v>
      </c>
      <c r="GY234" s="27" t="s">
        <v>344</v>
      </c>
      <c r="GZ234" s="27" t="s">
        <v>344</v>
      </c>
      <c r="HA234" s="27" t="s">
        <v>344</v>
      </c>
      <c r="HB234" s="27"/>
      <c r="HC234" s="27" t="s">
        <v>344</v>
      </c>
      <c r="HD234" s="27"/>
      <c r="HE234" s="27" t="s">
        <v>344</v>
      </c>
      <c r="HF234" s="27"/>
      <c r="HG234" s="27" t="s">
        <v>344</v>
      </c>
      <c r="HH234" s="27"/>
      <c r="HI234" s="27" t="s">
        <v>344</v>
      </c>
      <c r="HJ234" s="27"/>
      <c r="HK234" s="27" t="s">
        <v>345</v>
      </c>
      <c r="HL234" s="27" t="s">
        <v>345</v>
      </c>
      <c r="HM234" s="27" t="s">
        <v>344</v>
      </c>
      <c r="HN234" s="27" t="s">
        <v>344</v>
      </c>
      <c r="HO234" s="27" t="s">
        <v>344</v>
      </c>
      <c r="HP234" s="27" t="s">
        <v>344</v>
      </c>
      <c r="HQ234" s="27" t="s">
        <v>344</v>
      </c>
      <c r="HR234" s="27" t="s">
        <v>344</v>
      </c>
      <c r="HS234" s="27" t="s">
        <v>344</v>
      </c>
      <c r="HT234" s="27" t="s">
        <v>344</v>
      </c>
      <c r="HU234" s="27" t="s">
        <v>344</v>
      </c>
      <c r="HV234" s="27" t="s">
        <v>344</v>
      </c>
      <c r="HW234" s="27" t="s">
        <v>345</v>
      </c>
      <c r="HX234" s="27" t="s">
        <v>344</v>
      </c>
      <c r="HY234" s="27" t="s">
        <v>344</v>
      </c>
      <c r="HZ234" s="27" t="s">
        <v>344</v>
      </c>
      <c r="IA234" s="27" t="s">
        <v>344</v>
      </c>
      <c r="IB234" s="27" t="s">
        <v>344</v>
      </c>
      <c r="IC234" s="27" t="s">
        <v>344</v>
      </c>
      <c r="ID234" s="27"/>
      <c r="IE234" s="27" t="s">
        <v>345</v>
      </c>
      <c r="IF234" s="27" t="s">
        <v>780</v>
      </c>
      <c r="IG234" s="27" t="s">
        <v>344</v>
      </c>
      <c r="IH234" s="27"/>
      <c r="II234" s="27" t="s">
        <v>344</v>
      </c>
      <c r="IJ234" s="27"/>
      <c r="IK234" s="27" t="s">
        <v>344</v>
      </c>
      <c r="IL234" s="27"/>
      <c r="IM234" s="27" t="s">
        <v>345</v>
      </c>
      <c r="IN234" s="27" t="s">
        <v>344</v>
      </c>
      <c r="IO234" s="27" t="s">
        <v>344</v>
      </c>
      <c r="IP234" s="27" t="s">
        <v>344</v>
      </c>
      <c r="IQ234" s="27" t="s">
        <v>345</v>
      </c>
      <c r="IR234" s="27" t="s">
        <v>344</v>
      </c>
      <c r="IS234" s="27" t="s">
        <v>344</v>
      </c>
      <c r="IT234" s="27" t="s">
        <v>345</v>
      </c>
      <c r="IU234" s="27" t="s">
        <v>345</v>
      </c>
      <c r="IV234" s="27" t="s">
        <v>344</v>
      </c>
      <c r="IW234" s="27" t="s">
        <v>345</v>
      </c>
      <c r="IX234" s="27" t="s">
        <v>344</v>
      </c>
      <c r="IY234" s="27" t="s">
        <v>344</v>
      </c>
      <c r="IZ234" s="27" t="s">
        <v>344</v>
      </c>
      <c r="JA234" s="27" t="s">
        <v>748</v>
      </c>
      <c r="JB234" s="27" t="s">
        <v>1358</v>
      </c>
    </row>
    <row r="235" spans="1:262" x14ac:dyDescent="0.3">
      <c r="A235" s="26" t="s">
        <v>727</v>
      </c>
      <c r="B235" s="27">
        <v>180</v>
      </c>
      <c r="C235" s="27" t="s">
        <v>1359</v>
      </c>
      <c r="D235" s="27">
        <v>14</v>
      </c>
      <c r="E235" s="27" t="s">
        <v>387</v>
      </c>
      <c r="F235" s="27">
        <v>864657265</v>
      </c>
      <c r="G235" s="27" t="s">
        <v>1360</v>
      </c>
      <c r="H235" s="27" t="s">
        <v>1359</v>
      </c>
      <c r="I235" s="27" t="s">
        <v>1254</v>
      </c>
      <c r="J235" s="27">
        <v>17</v>
      </c>
      <c r="K235" s="27" t="s">
        <v>1255</v>
      </c>
      <c r="L235" s="27"/>
      <c r="M235" s="27" t="s">
        <v>345</v>
      </c>
      <c r="N235" s="27" t="s">
        <v>344</v>
      </c>
      <c r="O235" s="27" t="s">
        <v>344</v>
      </c>
      <c r="P235" s="27" t="s">
        <v>344</v>
      </c>
      <c r="Q235" s="27" t="s">
        <v>344</v>
      </c>
      <c r="R235" s="27"/>
      <c r="S235" s="27" t="s">
        <v>475</v>
      </c>
      <c r="T235" s="27"/>
      <c r="U235" s="27" t="s">
        <v>1270</v>
      </c>
      <c r="V235" s="27"/>
      <c r="W235" s="27" t="s">
        <v>345</v>
      </c>
      <c r="X235" s="27" t="s">
        <v>344</v>
      </c>
      <c r="Y235" s="27" t="s">
        <v>344</v>
      </c>
      <c r="Z235" s="27" t="s">
        <v>344</v>
      </c>
      <c r="AA235" s="27" t="s">
        <v>344</v>
      </c>
      <c r="AB235" s="27" t="s">
        <v>345</v>
      </c>
      <c r="AC235" s="27" t="s">
        <v>344</v>
      </c>
      <c r="AD235" s="27" t="s">
        <v>345</v>
      </c>
      <c r="AE235" s="27" t="s">
        <v>344</v>
      </c>
      <c r="AF235" s="27" t="s">
        <v>344</v>
      </c>
      <c r="AG235" s="27" t="s">
        <v>344</v>
      </c>
      <c r="AH235" s="27" t="s">
        <v>344</v>
      </c>
      <c r="AI235" s="27" t="s">
        <v>345</v>
      </c>
      <c r="AJ235" s="27" t="s">
        <v>344</v>
      </c>
      <c r="AK235" s="27" t="s">
        <v>345</v>
      </c>
      <c r="AL235" s="27" t="s">
        <v>344</v>
      </c>
      <c r="AM235" s="27" t="s">
        <v>344</v>
      </c>
      <c r="AN235" s="27" t="s">
        <v>344</v>
      </c>
      <c r="AO235" s="27" t="s">
        <v>344</v>
      </c>
      <c r="AP235" s="27" t="s">
        <v>344</v>
      </c>
      <c r="AQ235" s="27" t="s">
        <v>344</v>
      </c>
      <c r="AR235" s="27" t="s">
        <v>345</v>
      </c>
      <c r="AS235" s="27" t="s">
        <v>344</v>
      </c>
      <c r="AT235" s="27" t="s">
        <v>345</v>
      </c>
      <c r="AU235" s="27" t="s">
        <v>344</v>
      </c>
      <c r="AV235" s="27" t="s">
        <v>344</v>
      </c>
      <c r="AW235" s="27" t="s">
        <v>344</v>
      </c>
      <c r="AX235" s="27" t="s">
        <v>344</v>
      </c>
      <c r="AY235" s="27" t="s">
        <v>733</v>
      </c>
      <c r="AZ235" s="27" t="s">
        <v>731</v>
      </c>
      <c r="BA235" s="27" t="s">
        <v>732</v>
      </c>
      <c r="BB235" s="27" t="s">
        <v>732</v>
      </c>
      <c r="BC235" s="27" t="s">
        <v>731</v>
      </c>
      <c r="BD235" s="27" t="s">
        <v>731</v>
      </c>
      <c r="BE235" s="27" t="s">
        <v>349</v>
      </c>
      <c r="BF235" s="27" t="s">
        <v>348</v>
      </c>
      <c r="BG235" s="27" t="s">
        <v>349</v>
      </c>
      <c r="BH235" s="27" t="s">
        <v>348</v>
      </c>
      <c r="BI235" s="27" t="s">
        <v>349</v>
      </c>
      <c r="BJ235" s="27" t="s">
        <v>354</v>
      </c>
      <c r="BK235" s="27" t="s">
        <v>357</v>
      </c>
      <c r="BL235" s="27" t="s">
        <v>351</v>
      </c>
      <c r="BM235" s="27" t="s">
        <v>354</v>
      </c>
      <c r="BN235" s="27" t="s">
        <v>353</v>
      </c>
      <c r="BO235" s="27" t="s">
        <v>391</v>
      </c>
      <c r="BP235" s="27" t="s">
        <v>352</v>
      </c>
      <c r="BQ235" s="27" t="s">
        <v>455</v>
      </c>
      <c r="BR235" s="27" t="s">
        <v>1257</v>
      </c>
      <c r="BS235" s="27" t="s">
        <v>351</v>
      </c>
      <c r="BT235" s="27" t="s">
        <v>353</v>
      </c>
      <c r="BU235" s="27" t="s">
        <v>351</v>
      </c>
      <c r="BV235" s="27" t="s">
        <v>354</v>
      </c>
      <c r="BW235" s="27" t="s">
        <v>357</v>
      </c>
      <c r="BX235" s="27" t="s">
        <v>351</v>
      </c>
      <c r="BY235" s="27" t="s">
        <v>353</v>
      </c>
      <c r="BZ235" s="27" t="s">
        <v>354</v>
      </c>
      <c r="CA235" s="27" t="s">
        <v>391</v>
      </c>
      <c r="CB235" s="27" t="s">
        <v>351</v>
      </c>
      <c r="CC235" s="27" t="s">
        <v>353</v>
      </c>
      <c r="CD235" s="27" t="s">
        <v>357</v>
      </c>
      <c r="CE235" s="27" t="s">
        <v>355</v>
      </c>
      <c r="CF235" s="27" t="s">
        <v>352</v>
      </c>
      <c r="CG235" s="27" t="s">
        <v>393</v>
      </c>
      <c r="CH235" s="27" t="s">
        <v>421</v>
      </c>
      <c r="CI235" s="27" t="s">
        <v>420</v>
      </c>
      <c r="CJ235" s="27" t="s">
        <v>420</v>
      </c>
      <c r="CK235" s="27" t="s">
        <v>1361</v>
      </c>
      <c r="CL235" s="27" t="s">
        <v>344</v>
      </c>
      <c r="CM235" s="27" t="s">
        <v>344</v>
      </c>
      <c r="CN235" s="27" t="s">
        <v>344</v>
      </c>
      <c r="CO235" s="27" t="s">
        <v>345</v>
      </c>
      <c r="CP235" s="27" t="s">
        <v>345</v>
      </c>
      <c r="CQ235" s="27" t="s">
        <v>344</v>
      </c>
      <c r="CR235" s="27" t="s">
        <v>655</v>
      </c>
      <c r="CS235" s="27">
        <v>34</v>
      </c>
      <c r="CT235" s="27">
        <v>81</v>
      </c>
      <c r="CU235" s="27"/>
      <c r="CV235" s="27"/>
      <c r="CW235" s="27" t="s">
        <v>396</v>
      </c>
      <c r="CX235" s="27" t="s">
        <v>396</v>
      </c>
      <c r="CY235" s="27" t="s">
        <v>396</v>
      </c>
      <c r="CZ235" s="27" t="s">
        <v>717</v>
      </c>
      <c r="DA235" s="27" t="s">
        <v>397</v>
      </c>
      <c r="DB235" s="27" t="s">
        <v>717</v>
      </c>
      <c r="DC235" s="27" t="s">
        <v>717</v>
      </c>
      <c r="DD235" s="27" t="s">
        <v>717</v>
      </c>
      <c r="DE235" s="27"/>
      <c r="DF235" s="27"/>
      <c r="DG235" s="27"/>
      <c r="DH235" s="27"/>
      <c r="DI235" s="27"/>
      <c r="DJ235" s="27"/>
      <c r="DK235" s="27" t="s">
        <v>344</v>
      </c>
      <c r="DL235" s="27" t="s">
        <v>368</v>
      </c>
      <c r="DM235" s="27" t="s">
        <v>368</v>
      </c>
      <c r="DN235" s="27" t="s">
        <v>368</v>
      </c>
      <c r="DO235" s="27" t="s">
        <v>368</v>
      </c>
      <c r="DP235" s="27" t="s">
        <v>345</v>
      </c>
      <c r="DQ235" s="27" t="s">
        <v>344</v>
      </c>
      <c r="DR235" s="27" t="s">
        <v>344</v>
      </c>
      <c r="DS235" s="27" t="s">
        <v>344</v>
      </c>
      <c r="DT235" s="27" t="s">
        <v>368</v>
      </c>
      <c r="DU235" s="27" t="s">
        <v>368</v>
      </c>
      <c r="DV235" s="27" t="s">
        <v>368</v>
      </c>
      <c r="DW235" s="27" t="s">
        <v>345</v>
      </c>
      <c r="DX235" s="27" t="s">
        <v>1258</v>
      </c>
      <c r="DY235" s="27" t="s">
        <v>1258</v>
      </c>
      <c r="DZ235" s="27" t="s">
        <v>1258</v>
      </c>
      <c r="EA235" s="27" t="s">
        <v>1258</v>
      </c>
      <c r="EB235" s="27" t="s">
        <v>1258</v>
      </c>
      <c r="EC235" s="27" t="s">
        <v>1258</v>
      </c>
      <c r="ED235" s="27" t="s">
        <v>1258</v>
      </c>
      <c r="EE235" s="27" t="s">
        <v>397</v>
      </c>
      <c r="EF235" s="27" t="s">
        <v>397</v>
      </c>
      <c r="EG235" s="27" t="s">
        <v>397</v>
      </c>
      <c r="EH235" s="27" t="s">
        <v>397</v>
      </c>
      <c r="EI235" s="27" t="s">
        <v>397</v>
      </c>
      <c r="EJ235" s="27" t="s">
        <v>397</v>
      </c>
      <c r="EK235" s="27" t="s">
        <v>397</v>
      </c>
      <c r="EL235" s="27" t="s">
        <v>1260</v>
      </c>
      <c r="EM235" s="27" t="s">
        <v>1259</v>
      </c>
      <c r="EN235" s="27" t="s">
        <v>1275</v>
      </c>
      <c r="EO235" s="27"/>
      <c r="EP235" s="27"/>
      <c r="EQ235" s="27" t="s">
        <v>1263</v>
      </c>
      <c r="ER235" s="27" t="s">
        <v>1263</v>
      </c>
      <c r="ES235" s="27" t="s">
        <v>1264</v>
      </c>
      <c r="ET235" s="27" t="s">
        <v>1263</v>
      </c>
      <c r="EU235" s="27" t="s">
        <v>1264</v>
      </c>
      <c r="EV235" s="27" t="s">
        <v>1265</v>
      </c>
      <c r="EW235" s="27"/>
      <c r="EX235" s="27" t="s">
        <v>368</v>
      </c>
      <c r="EY235" s="27" t="s">
        <v>368</v>
      </c>
      <c r="EZ235" s="27" t="s">
        <v>368</v>
      </c>
      <c r="FA235" s="27" t="s">
        <v>345</v>
      </c>
      <c r="FB235" s="27" t="s">
        <v>1266</v>
      </c>
      <c r="FC235" s="27"/>
      <c r="FD235" s="27" t="s">
        <v>401</v>
      </c>
      <c r="FE235" s="27"/>
      <c r="FF235" s="27" t="s">
        <v>431</v>
      </c>
      <c r="FG235" s="27" t="s">
        <v>441</v>
      </c>
      <c r="FH235" s="27" t="s">
        <v>432</v>
      </c>
      <c r="FI235" s="27" t="s">
        <v>442</v>
      </c>
      <c r="FJ235" s="27"/>
      <c r="FK235" s="27"/>
      <c r="FL235" s="27"/>
      <c r="FM235" s="27"/>
      <c r="FN235" s="27"/>
      <c r="FO235" s="27"/>
      <c r="FP235" s="27"/>
      <c r="FQ235" s="27"/>
      <c r="FR235" s="27"/>
      <c r="FS235" s="27"/>
      <c r="FT235" s="27"/>
      <c r="FU235" s="27"/>
      <c r="FV235" s="27"/>
      <c r="FW235" s="27"/>
      <c r="FX235" s="27"/>
      <c r="FY235" s="27"/>
      <c r="FZ235" s="27"/>
      <c r="GA235" s="27" t="s">
        <v>368</v>
      </c>
      <c r="GB235" s="27" t="s">
        <v>368</v>
      </c>
      <c r="GC235" s="27" t="s">
        <v>368</v>
      </c>
      <c r="GD235" s="27" t="s">
        <v>368</v>
      </c>
      <c r="GE235" s="27" t="s">
        <v>368</v>
      </c>
      <c r="GF235" s="27" t="s">
        <v>368</v>
      </c>
      <c r="GG235" s="27"/>
      <c r="GH235" s="27"/>
      <c r="GI235" s="27"/>
      <c r="GJ235" s="27"/>
      <c r="GK235" s="27"/>
      <c r="GL235" s="27" t="s">
        <v>344</v>
      </c>
      <c r="GM235" s="27" t="s">
        <v>344</v>
      </c>
      <c r="GN235" s="27" t="s">
        <v>344</v>
      </c>
      <c r="GO235" s="27" t="s">
        <v>344</v>
      </c>
      <c r="GP235" s="27" t="s">
        <v>344</v>
      </c>
      <c r="GQ235" s="27" t="s">
        <v>344</v>
      </c>
      <c r="GR235" s="27" t="s">
        <v>344</v>
      </c>
      <c r="GS235" s="27" t="s">
        <v>344</v>
      </c>
      <c r="GT235" s="27" t="s">
        <v>345</v>
      </c>
      <c r="GU235" s="27" t="s">
        <v>344</v>
      </c>
      <c r="GV235" s="27" t="s">
        <v>345</v>
      </c>
      <c r="GW235" s="27" t="s">
        <v>344</v>
      </c>
      <c r="GX235" s="27" t="s">
        <v>344</v>
      </c>
      <c r="GY235" s="27" t="s">
        <v>344</v>
      </c>
      <c r="GZ235" s="27" t="s">
        <v>344</v>
      </c>
      <c r="HA235" s="27" t="s">
        <v>344</v>
      </c>
      <c r="HB235" s="27"/>
      <c r="HC235" s="27" t="s">
        <v>344</v>
      </c>
      <c r="HD235" s="27"/>
      <c r="HE235" s="27" t="s">
        <v>344</v>
      </c>
      <c r="HF235" s="27"/>
      <c r="HG235" s="27" t="s">
        <v>344</v>
      </c>
      <c r="HH235" s="27"/>
      <c r="HI235" s="27" t="s">
        <v>344</v>
      </c>
      <c r="HJ235" s="27"/>
      <c r="HK235" s="27" t="s">
        <v>344</v>
      </c>
      <c r="HL235" s="27" t="s">
        <v>344</v>
      </c>
      <c r="HM235" s="27" t="s">
        <v>344</v>
      </c>
      <c r="HN235" s="27" t="s">
        <v>344</v>
      </c>
      <c r="HO235" s="27" t="s">
        <v>344</v>
      </c>
      <c r="HP235" s="27" t="s">
        <v>344</v>
      </c>
      <c r="HQ235" s="27" t="s">
        <v>344</v>
      </c>
      <c r="HR235" s="27" t="s">
        <v>344</v>
      </c>
      <c r="HS235" s="27" t="s">
        <v>344</v>
      </c>
      <c r="HT235" s="27" t="s">
        <v>344</v>
      </c>
      <c r="HU235" s="27" t="s">
        <v>344</v>
      </c>
      <c r="HV235" s="27" t="s">
        <v>344</v>
      </c>
      <c r="HW235" s="27" t="s">
        <v>344</v>
      </c>
      <c r="HX235" s="27" t="s">
        <v>344</v>
      </c>
      <c r="HY235" s="27" t="s">
        <v>344</v>
      </c>
      <c r="HZ235" s="27" t="s">
        <v>344</v>
      </c>
      <c r="IA235" s="27" t="s">
        <v>344</v>
      </c>
      <c r="IB235" s="27" t="s">
        <v>344</v>
      </c>
      <c r="IC235" s="27" t="s">
        <v>345</v>
      </c>
      <c r="ID235" s="27"/>
      <c r="IE235" s="27" t="s">
        <v>344</v>
      </c>
      <c r="IF235" s="27"/>
      <c r="IG235" s="27" t="s">
        <v>344</v>
      </c>
      <c r="IH235" s="27"/>
      <c r="II235" s="27" t="s">
        <v>344</v>
      </c>
      <c r="IJ235" s="27"/>
      <c r="IK235" s="27" t="s">
        <v>344</v>
      </c>
      <c r="IL235" s="27"/>
      <c r="IM235" s="27" t="s">
        <v>345</v>
      </c>
      <c r="IN235" s="27" t="s">
        <v>345</v>
      </c>
      <c r="IO235" s="27" t="s">
        <v>344</v>
      </c>
      <c r="IP235" s="27" t="s">
        <v>344</v>
      </c>
      <c r="IQ235" s="27" t="s">
        <v>345</v>
      </c>
      <c r="IR235" s="27" t="s">
        <v>344</v>
      </c>
      <c r="IS235" s="27" t="s">
        <v>344</v>
      </c>
      <c r="IT235" s="27" t="s">
        <v>345</v>
      </c>
      <c r="IU235" s="27" t="s">
        <v>345</v>
      </c>
      <c r="IV235" s="27" t="s">
        <v>344</v>
      </c>
      <c r="IW235" s="27" t="s">
        <v>344</v>
      </c>
      <c r="IX235" s="27" t="s">
        <v>344</v>
      </c>
      <c r="IY235" s="27" t="s">
        <v>345</v>
      </c>
      <c r="IZ235" s="27" t="s">
        <v>344</v>
      </c>
      <c r="JA235" s="27"/>
      <c r="JB235" s="27" t="s">
        <v>1362</v>
      </c>
    </row>
    <row r="236" spans="1:262" x14ac:dyDescent="0.3">
      <c r="A236" s="26" t="s">
        <v>727</v>
      </c>
      <c r="B236" s="27">
        <v>181</v>
      </c>
      <c r="C236" s="27" t="s">
        <v>1363</v>
      </c>
      <c r="D236" s="27">
        <v>14</v>
      </c>
      <c r="E236" s="27" t="s">
        <v>340</v>
      </c>
      <c r="F236" s="27">
        <v>207341340</v>
      </c>
      <c r="G236" s="27" t="s">
        <v>1364</v>
      </c>
      <c r="H236" s="27" t="s">
        <v>1363</v>
      </c>
      <c r="I236" s="27" t="s">
        <v>1290</v>
      </c>
      <c r="J236" s="27">
        <v>17</v>
      </c>
      <c r="K236" s="27" t="s">
        <v>1282</v>
      </c>
      <c r="L236" s="27"/>
      <c r="M236" s="27" t="s">
        <v>344</v>
      </c>
      <c r="N236" s="27" t="s">
        <v>345</v>
      </c>
      <c r="O236" s="27" t="s">
        <v>344</v>
      </c>
      <c r="P236" s="27" t="s">
        <v>344</v>
      </c>
      <c r="Q236" s="27" t="s">
        <v>344</v>
      </c>
      <c r="R236" s="27"/>
      <c r="S236" s="27" t="s">
        <v>475</v>
      </c>
      <c r="T236" s="27"/>
      <c r="U236" s="27" t="s">
        <v>1256</v>
      </c>
      <c r="V236" s="27"/>
      <c r="W236" s="27" t="s">
        <v>345</v>
      </c>
      <c r="X236" s="27" t="s">
        <v>344</v>
      </c>
      <c r="Y236" s="27" t="s">
        <v>345</v>
      </c>
      <c r="Z236" s="27" t="s">
        <v>345</v>
      </c>
      <c r="AA236" s="27" t="s">
        <v>344</v>
      </c>
      <c r="AB236" s="27" t="s">
        <v>345</v>
      </c>
      <c r="AC236" s="27" t="s">
        <v>344</v>
      </c>
      <c r="AD236" s="27" t="s">
        <v>345</v>
      </c>
      <c r="AE236" s="27" t="s">
        <v>345</v>
      </c>
      <c r="AF236" s="27" t="s">
        <v>344</v>
      </c>
      <c r="AG236" s="27" t="s">
        <v>344</v>
      </c>
      <c r="AH236" s="27" t="s">
        <v>345</v>
      </c>
      <c r="AI236" s="27" t="s">
        <v>344</v>
      </c>
      <c r="AJ236" s="27" t="s">
        <v>344</v>
      </c>
      <c r="AK236" s="27" t="s">
        <v>344</v>
      </c>
      <c r="AL236" s="27" t="s">
        <v>344</v>
      </c>
      <c r="AM236" s="27" t="s">
        <v>344</v>
      </c>
      <c r="AN236" s="27" t="s">
        <v>344</v>
      </c>
      <c r="AO236" s="27" t="s">
        <v>344</v>
      </c>
      <c r="AP236" s="27" t="s">
        <v>345</v>
      </c>
      <c r="AQ236" s="27" t="s">
        <v>344</v>
      </c>
      <c r="AR236" s="27" t="s">
        <v>344</v>
      </c>
      <c r="AS236" s="27" t="s">
        <v>345</v>
      </c>
      <c r="AT236" s="27" t="s">
        <v>345</v>
      </c>
      <c r="AU236" s="27" t="s">
        <v>344</v>
      </c>
      <c r="AV236" s="27" t="s">
        <v>345</v>
      </c>
      <c r="AW236" s="27" t="s">
        <v>344</v>
      </c>
      <c r="AX236" s="27" t="s">
        <v>344</v>
      </c>
      <c r="AY236" s="27" t="s">
        <v>731</v>
      </c>
      <c r="AZ236" s="27" t="s">
        <v>737</v>
      </c>
      <c r="BA236" s="27" t="s">
        <v>737</v>
      </c>
      <c r="BB236" s="27" t="s">
        <v>733</v>
      </c>
      <c r="BC236" s="27" t="s">
        <v>731</v>
      </c>
      <c r="BD236" s="27" t="s">
        <v>737</v>
      </c>
      <c r="BE236" s="27" t="s">
        <v>390</v>
      </c>
      <c r="BF236" s="27" t="s">
        <v>349</v>
      </c>
      <c r="BG236" s="27" t="s">
        <v>390</v>
      </c>
      <c r="BH236" s="27" t="s">
        <v>390</v>
      </c>
      <c r="BI236" s="27" t="s">
        <v>390</v>
      </c>
      <c r="BJ236" s="27" t="s">
        <v>391</v>
      </c>
      <c r="BK236" s="27" t="s">
        <v>391</v>
      </c>
      <c r="BL236" s="27" t="s">
        <v>391</v>
      </c>
      <c r="BM236" s="27" t="s">
        <v>391</v>
      </c>
      <c r="BN236" s="27" t="s">
        <v>391</v>
      </c>
      <c r="BO236" s="27" t="s">
        <v>391</v>
      </c>
      <c r="BP236" s="27" t="s">
        <v>391</v>
      </c>
      <c r="BQ236" s="27" t="s">
        <v>689</v>
      </c>
      <c r="BR236" s="27" t="s">
        <v>1296</v>
      </c>
      <c r="BS236" s="27" t="s">
        <v>391</v>
      </c>
      <c r="BT236" s="27" t="s">
        <v>391</v>
      </c>
      <c r="BU236" s="27" t="s">
        <v>391</v>
      </c>
      <c r="BV236" s="27" t="s">
        <v>391</v>
      </c>
      <c r="BW236" s="27" t="s">
        <v>391</v>
      </c>
      <c r="BX236" s="27" t="s">
        <v>391</v>
      </c>
      <c r="BY236" s="27" t="s">
        <v>391</v>
      </c>
      <c r="BZ236" s="27" t="s">
        <v>391</v>
      </c>
      <c r="CA236" s="27" t="s">
        <v>391</v>
      </c>
      <c r="CB236" s="27" t="s">
        <v>391</v>
      </c>
      <c r="CC236" s="27" t="s">
        <v>391</v>
      </c>
      <c r="CD236" s="27" t="s">
        <v>391</v>
      </c>
      <c r="CE236" s="27" t="s">
        <v>391</v>
      </c>
      <c r="CF236" s="27" t="s">
        <v>391</v>
      </c>
      <c r="CG236" s="27" t="s">
        <v>393</v>
      </c>
      <c r="CH236" s="27" t="s">
        <v>393</v>
      </c>
      <c r="CI236" s="27" t="s">
        <v>393</v>
      </c>
      <c r="CJ236" s="27" t="s">
        <v>393</v>
      </c>
      <c r="CK236" s="27" t="s">
        <v>510</v>
      </c>
      <c r="CL236" s="27" t="s">
        <v>344</v>
      </c>
      <c r="CM236" s="27" t="s">
        <v>344</v>
      </c>
      <c r="CN236" s="27" t="s">
        <v>344</v>
      </c>
      <c r="CO236" s="27" t="s">
        <v>344</v>
      </c>
      <c r="CP236" s="27" t="s">
        <v>345</v>
      </c>
      <c r="CQ236" s="27" t="s">
        <v>344</v>
      </c>
      <c r="CR236" s="27" t="s">
        <v>655</v>
      </c>
      <c r="CS236" s="27">
        <v>80</v>
      </c>
      <c r="CT236" s="27">
        <v>1</v>
      </c>
      <c r="CU236" s="27">
        <v>100</v>
      </c>
      <c r="CV236" s="27">
        <v>1</v>
      </c>
      <c r="CW236" s="27" t="s">
        <v>364</v>
      </c>
      <c r="CX236" s="27" t="s">
        <v>363</v>
      </c>
      <c r="CY236" s="27" t="s">
        <v>396</v>
      </c>
      <c r="CZ236" s="27" t="s">
        <v>366</v>
      </c>
      <c r="DA236" s="27" t="s">
        <v>366</v>
      </c>
      <c r="DB236" s="27" t="s">
        <v>366</v>
      </c>
      <c r="DC236" s="27" t="s">
        <v>366</v>
      </c>
      <c r="DD236" s="27" t="s">
        <v>366</v>
      </c>
      <c r="DE236" s="27" t="s">
        <v>423</v>
      </c>
      <c r="DF236" s="27" t="s">
        <v>423</v>
      </c>
      <c r="DG236" s="27" t="s">
        <v>366</v>
      </c>
      <c r="DH236" s="27" t="s">
        <v>366</v>
      </c>
      <c r="DI236" s="27" t="s">
        <v>365</v>
      </c>
      <c r="DJ236" s="27" t="s">
        <v>1365</v>
      </c>
      <c r="DK236" s="27" t="s">
        <v>344</v>
      </c>
      <c r="DL236" s="27" t="s">
        <v>368</v>
      </c>
      <c r="DM236" s="27" t="s">
        <v>368</v>
      </c>
      <c r="DN236" s="27" t="s">
        <v>368</v>
      </c>
      <c r="DO236" s="27" t="s">
        <v>368</v>
      </c>
      <c r="DP236" s="27" t="s">
        <v>344</v>
      </c>
      <c r="DQ236" s="27" t="s">
        <v>344</v>
      </c>
      <c r="DR236" s="27" t="s">
        <v>345</v>
      </c>
      <c r="DS236" s="27" t="s">
        <v>344</v>
      </c>
      <c r="DT236" s="27" t="s">
        <v>344</v>
      </c>
      <c r="DU236" s="27" t="s">
        <v>344</v>
      </c>
      <c r="DV236" s="27" t="s">
        <v>345</v>
      </c>
      <c r="DW236" s="27" t="s">
        <v>344</v>
      </c>
      <c r="DX236" s="27" t="s">
        <v>397</v>
      </c>
      <c r="DY236" s="27" t="s">
        <v>397</v>
      </c>
      <c r="DZ236" s="27" t="s">
        <v>397</v>
      </c>
      <c r="EA236" s="27" t="s">
        <v>397</v>
      </c>
      <c r="EB236" s="27" t="s">
        <v>397</v>
      </c>
      <c r="EC236" s="27" t="s">
        <v>397</v>
      </c>
      <c r="ED236" s="27" t="s">
        <v>1274</v>
      </c>
      <c r="EE236" s="27" t="s">
        <v>1258</v>
      </c>
      <c r="EF236" s="27" t="s">
        <v>1258</v>
      </c>
      <c r="EG236" s="27" t="s">
        <v>1258</v>
      </c>
      <c r="EH236" s="27" t="s">
        <v>1258</v>
      </c>
      <c r="EI236" s="27" t="s">
        <v>1258</v>
      </c>
      <c r="EJ236" s="27" t="s">
        <v>1258</v>
      </c>
      <c r="EK236" s="27" t="s">
        <v>1258</v>
      </c>
      <c r="EL236" s="27" t="s">
        <v>1261</v>
      </c>
      <c r="EM236" s="27" t="s">
        <v>1275</v>
      </c>
      <c r="EN236" s="27" t="s">
        <v>1260</v>
      </c>
      <c r="EO236" s="27"/>
      <c r="EP236" s="27"/>
      <c r="EQ236" s="27" t="s">
        <v>1277</v>
      </c>
      <c r="ER236" s="27" t="s">
        <v>1277</v>
      </c>
      <c r="ES236" s="27" t="s">
        <v>1277</v>
      </c>
      <c r="ET236" s="27" t="s">
        <v>1277</v>
      </c>
      <c r="EU236" s="27" t="s">
        <v>1277</v>
      </c>
      <c r="EV236" s="27" t="s">
        <v>1265</v>
      </c>
      <c r="EW236" s="27"/>
      <c r="EX236" s="27" t="s">
        <v>368</v>
      </c>
      <c r="EY236" s="27" t="s">
        <v>368</v>
      </c>
      <c r="EZ236" s="27" t="s">
        <v>368</v>
      </c>
      <c r="FA236" s="27" t="s">
        <v>345</v>
      </c>
      <c r="FB236" s="27" t="s">
        <v>1300</v>
      </c>
      <c r="FC236" s="27"/>
      <c r="FD236" s="27" t="s">
        <v>1266</v>
      </c>
      <c r="FE236" s="27"/>
      <c r="FF236" s="27" t="s">
        <v>477</v>
      </c>
      <c r="FG236" s="27" t="s">
        <v>402</v>
      </c>
      <c r="FH236" s="27" t="s">
        <v>1293</v>
      </c>
      <c r="FI236" s="27" t="s">
        <v>1294</v>
      </c>
      <c r="FJ236" s="27"/>
      <c r="FK236" s="27"/>
      <c r="FL236" s="27"/>
      <c r="FM236" s="27"/>
      <c r="FN236" s="27"/>
      <c r="FO236" s="27"/>
      <c r="FP236" s="27"/>
      <c r="FQ236" s="27"/>
      <c r="FR236" s="27"/>
      <c r="FS236" s="27"/>
      <c r="FT236" s="27"/>
      <c r="FU236" s="27"/>
      <c r="FV236" s="27"/>
      <c r="FW236" s="27"/>
      <c r="FX236" s="27"/>
      <c r="FY236" s="27"/>
      <c r="FZ236" s="27"/>
      <c r="GA236" s="27" t="s">
        <v>368</v>
      </c>
      <c r="GB236" s="27" t="s">
        <v>368</v>
      </c>
      <c r="GC236" s="27" t="s">
        <v>368</v>
      </c>
      <c r="GD236" s="27" t="s">
        <v>368</v>
      </c>
      <c r="GE236" s="27" t="s">
        <v>368</v>
      </c>
      <c r="GF236" s="27" t="s">
        <v>368</v>
      </c>
      <c r="GG236" s="27"/>
      <c r="GH236" s="27"/>
      <c r="GI236" s="27"/>
      <c r="GJ236" s="27"/>
      <c r="GK236" s="27"/>
      <c r="GL236" s="27" t="s">
        <v>344</v>
      </c>
      <c r="GM236" s="27" t="s">
        <v>344</v>
      </c>
      <c r="GN236" s="27" t="s">
        <v>344</v>
      </c>
      <c r="GO236" s="27" t="s">
        <v>344</v>
      </c>
      <c r="GP236" s="27" t="s">
        <v>344</v>
      </c>
      <c r="GQ236" s="27" t="s">
        <v>344</v>
      </c>
      <c r="GR236" s="27" t="s">
        <v>345</v>
      </c>
      <c r="GS236" s="27" t="s">
        <v>344</v>
      </c>
      <c r="GT236" s="27" t="s">
        <v>344</v>
      </c>
      <c r="GU236" s="27" t="s">
        <v>345</v>
      </c>
      <c r="GV236" s="27" t="s">
        <v>344</v>
      </c>
      <c r="GW236" s="27" t="s">
        <v>344</v>
      </c>
      <c r="GX236" s="27" t="s">
        <v>344</v>
      </c>
      <c r="GY236" s="27" t="s">
        <v>344</v>
      </c>
      <c r="GZ236" s="27" t="s">
        <v>344</v>
      </c>
      <c r="HA236" s="27" t="s">
        <v>344</v>
      </c>
      <c r="HB236" s="27"/>
      <c r="HC236" s="27" t="s">
        <v>344</v>
      </c>
      <c r="HD236" s="27"/>
      <c r="HE236" s="27" t="s">
        <v>344</v>
      </c>
      <c r="HF236" s="27"/>
      <c r="HG236" s="27" t="s">
        <v>344</v>
      </c>
      <c r="HH236" s="27"/>
      <c r="HI236" s="27" t="s">
        <v>344</v>
      </c>
      <c r="HJ236" s="27"/>
      <c r="HK236" s="27" t="s">
        <v>344</v>
      </c>
      <c r="HL236" s="27" t="s">
        <v>344</v>
      </c>
      <c r="HM236" s="27" t="s">
        <v>344</v>
      </c>
      <c r="HN236" s="27" t="s">
        <v>344</v>
      </c>
      <c r="HO236" s="27" t="s">
        <v>344</v>
      </c>
      <c r="HP236" s="27" t="s">
        <v>344</v>
      </c>
      <c r="HQ236" s="27" t="s">
        <v>344</v>
      </c>
      <c r="HR236" s="27" t="s">
        <v>344</v>
      </c>
      <c r="HS236" s="27" t="s">
        <v>344</v>
      </c>
      <c r="HT236" s="27" t="s">
        <v>344</v>
      </c>
      <c r="HU236" s="27" t="s">
        <v>344</v>
      </c>
      <c r="HV236" s="27" t="s">
        <v>344</v>
      </c>
      <c r="HW236" s="27" t="s">
        <v>344</v>
      </c>
      <c r="HX236" s="27" t="s">
        <v>345</v>
      </c>
      <c r="HY236" s="27" t="s">
        <v>344</v>
      </c>
      <c r="HZ236" s="27" t="s">
        <v>344</v>
      </c>
      <c r="IA236" s="27" t="s">
        <v>344</v>
      </c>
      <c r="IB236" s="27" t="s">
        <v>344</v>
      </c>
      <c r="IC236" s="27" t="s">
        <v>344</v>
      </c>
      <c r="ID236" s="27"/>
      <c r="IE236" s="27" t="s">
        <v>344</v>
      </c>
      <c r="IF236" s="27"/>
      <c r="IG236" s="27" t="s">
        <v>344</v>
      </c>
      <c r="IH236" s="27"/>
      <c r="II236" s="27" t="s">
        <v>344</v>
      </c>
      <c r="IJ236" s="27"/>
      <c r="IK236" s="27" t="s">
        <v>344</v>
      </c>
      <c r="IL236" s="27"/>
      <c r="IM236" s="27" t="s">
        <v>345</v>
      </c>
      <c r="IN236" s="27" t="s">
        <v>345</v>
      </c>
      <c r="IO236" s="27" t="s">
        <v>345</v>
      </c>
      <c r="IP236" s="27" t="s">
        <v>345</v>
      </c>
      <c r="IQ236" s="27" t="s">
        <v>345</v>
      </c>
      <c r="IR236" s="27" t="s">
        <v>345</v>
      </c>
      <c r="IS236" s="27" t="s">
        <v>344</v>
      </c>
      <c r="IT236" s="27" t="s">
        <v>345</v>
      </c>
      <c r="IU236" s="27" t="s">
        <v>344</v>
      </c>
      <c r="IV236" s="27" t="s">
        <v>344</v>
      </c>
      <c r="IW236" s="27" t="s">
        <v>344</v>
      </c>
      <c r="IX236" s="27" t="s">
        <v>344</v>
      </c>
      <c r="IY236" s="27" t="s">
        <v>344</v>
      </c>
      <c r="IZ236" s="27" t="s">
        <v>344</v>
      </c>
      <c r="JA236" s="27"/>
      <c r="JB236" s="27"/>
    </row>
    <row r="237" spans="1:262" x14ac:dyDescent="0.3">
      <c r="A237" s="26" t="s">
        <v>727</v>
      </c>
      <c r="B237" s="27">
        <v>184</v>
      </c>
      <c r="C237" s="27" t="s">
        <v>1366</v>
      </c>
      <c r="D237" s="27">
        <v>14</v>
      </c>
      <c r="E237" s="27" t="s">
        <v>340</v>
      </c>
      <c r="F237" s="27">
        <v>1142518920</v>
      </c>
      <c r="G237" s="27" t="s">
        <v>1367</v>
      </c>
      <c r="H237" s="27" t="s">
        <v>1366</v>
      </c>
      <c r="I237" s="27" t="s">
        <v>1254</v>
      </c>
      <c r="J237" s="27">
        <v>18</v>
      </c>
      <c r="K237" s="27" t="s">
        <v>1255</v>
      </c>
      <c r="L237" s="27"/>
      <c r="M237" s="27" t="s">
        <v>344</v>
      </c>
      <c r="N237" s="27" t="s">
        <v>344</v>
      </c>
      <c r="O237" s="28" t="s">
        <v>345</v>
      </c>
      <c r="P237" s="27" t="s">
        <v>344</v>
      </c>
      <c r="Q237" s="27" t="s">
        <v>344</v>
      </c>
      <c r="R237" s="27"/>
      <c r="S237" s="27" t="s">
        <v>343</v>
      </c>
      <c r="T237" s="27" t="s">
        <v>1368</v>
      </c>
      <c r="U237" s="27" t="s">
        <v>343</v>
      </c>
      <c r="V237" s="27" t="s">
        <v>1369</v>
      </c>
      <c r="W237" s="27" t="s">
        <v>345</v>
      </c>
      <c r="X237" s="27" t="s">
        <v>345</v>
      </c>
      <c r="Y237" s="27" t="s">
        <v>344</v>
      </c>
      <c r="Z237" s="27" t="s">
        <v>344</v>
      </c>
      <c r="AA237" s="27" t="s">
        <v>345</v>
      </c>
      <c r="AB237" s="27" t="s">
        <v>344</v>
      </c>
      <c r="AC237" s="27" t="s">
        <v>344</v>
      </c>
      <c r="AD237" s="27" t="s">
        <v>345</v>
      </c>
      <c r="AE237" s="27" t="s">
        <v>344</v>
      </c>
      <c r="AF237" s="27" t="s">
        <v>345</v>
      </c>
      <c r="AG237" s="27" t="s">
        <v>344</v>
      </c>
      <c r="AH237" s="27" t="s">
        <v>345</v>
      </c>
      <c r="AI237" s="27" t="s">
        <v>344</v>
      </c>
      <c r="AJ237" s="27" t="s">
        <v>344</v>
      </c>
      <c r="AK237" s="27" t="s">
        <v>345</v>
      </c>
      <c r="AL237" s="27" t="s">
        <v>344</v>
      </c>
      <c r="AM237" s="27" t="s">
        <v>345</v>
      </c>
      <c r="AN237" s="27" t="s">
        <v>344</v>
      </c>
      <c r="AO237" s="27" t="s">
        <v>344</v>
      </c>
      <c r="AP237" s="27" t="s">
        <v>345</v>
      </c>
      <c r="AQ237" s="27" t="s">
        <v>344</v>
      </c>
      <c r="AR237" s="27" t="s">
        <v>344</v>
      </c>
      <c r="AS237" s="27" t="s">
        <v>344</v>
      </c>
      <c r="AT237" s="27" t="s">
        <v>345</v>
      </c>
      <c r="AU237" s="27" t="s">
        <v>345</v>
      </c>
      <c r="AV237" s="27" t="s">
        <v>345</v>
      </c>
      <c r="AW237" s="27" t="s">
        <v>345</v>
      </c>
      <c r="AX237" s="27" t="s">
        <v>344</v>
      </c>
      <c r="AY237" s="27" t="s">
        <v>737</v>
      </c>
      <c r="AZ237" s="27" t="s">
        <v>731</v>
      </c>
      <c r="BA237" s="27" t="s">
        <v>731</v>
      </c>
      <c r="BB237" s="27" t="s">
        <v>731</v>
      </c>
      <c r="BC237" s="27" t="s">
        <v>731</v>
      </c>
      <c r="BD237" s="27" t="s">
        <v>731</v>
      </c>
      <c r="BE237" s="27" t="s">
        <v>350</v>
      </c>
      <c r="BF237" s="27" t="s">
        <v>350</v>
      </c>
      <c r="BG237" s="27" t="s">
        <v>348</v>
      </c>
      <c r="BH237" s="27" t="s">
        <v>348</v>
      </c>
      <c r="BI237" s="27" t="s">
        <v>348</v>
      </c>
      <c r="BJ237" s="27" t="s">
        <v>391</v>
      </c>
      <c r="BK237" s="27" t="s">
        <v>391</v>
      </c>
      <c r="BL237" s="27" t="s">
        <v>391</v>
      </c>
      <c r="BM237" s="27" t="s">
        <v>391</v>
      </c>
      <c r="BN237" s="27" t="s">
        <v>391</v>
      </c>
      <c r="BO237" s="27" t="s">
        <v>391</v>
      </c>
      <c r="BP237" s="27" t="s">
        <v>391</v>
      </c>
      <c r="BQ237" s="27" t="s">
        <v>419</v>
      </c>
      <c r="BR237" s="27" t="s">
        <v>1296</v>
      </c>
      <c r="BS237" s="27" t="s">
        <v>391</v>
      </c>
      <c r="BT237" s="27" t="s">
        <v>391</v>
      </c>
      <c r="BU237" s="27" t="s">
        <v>391</v>
      </c>
      <c r="BV237" s="27" t="s">
        <v>391</v>
      </c>
      <c r="BW237" s="27" t="s">
        <v>391</v>
      </c>
      <c r="BX237" s="27" t="s">
        <v>391</v>
      </c>
      <c r="BY237" s="27" t="s">
        <v>391</v>
      </c>
      <c r="BZ237" s="27" t="s">
        <v>391</v>
      </c>
      <c r="CA237" s="27" t="s">
        <v>391</v>
      </c>
      <c r="CB237" s="27" t="s">
        <v>391</v>
      </c>
      <c r="CC237" s="27" t="s">
        <v>391</v>
      </c>
      <c r="CD237" s="27" t="s">
        <v>391</v>
      </c>
      <c r="CE237" s="27" t="s">
        <v>391</v>
      </c>
      <c r="CF237" s="27" t="s">
        <v>391</v>
      </c>
      <c r="CG237" s="27" t="s">
        <v>420</v>
      </c>
      <c r="CH237" s="27" t="s">
        <v>421</v>
      </c>
      <c r="CI237" s="27" t="s">
        <v>420</v>
      </c>
      <c r="CJ237" s="27" t="s">
        <v>420</v>
      </c>
      <c r="CK237" s="27" t="s">
        <v>1370</v>
      </c>
      <c r="CL237" s="27" t="s">
        <v>368</v>
      </c>
      <c r="CM237" s="27" t="s">
        <v>368</v>
      </c>
      <c r="CN237" s="27" t="s">
        <v>368</v>
      </c>
      <c r="CO237" s="27" t="s">
        <v>368</v>
      </c>
      <c r="CP237" s="27" t="s">
        <v>368</v>
      </c>
      <c r="CQ237" s="27" t="s">
        <v>368</v>
      </c>
      <c r="CR237" s="27"/>
      <c r="CS237" s="27"/>
      <c r="CT237" s="27"/>
      <c r="CU237" s="27"/>
      <c r="CV237" s="27"/>
      <c r="CW237" s="27"/>
      <c r="CX237" s="27"/>
      <c r="CY237" s="27"/>
      <c r="CZ237" s="27"/>
      <c r="DA237" s="27"/>
      <c r="DB237" s="27"/>
      <c r="DC237" s="27"/>
      <c r="DD237" s="27"/>
      <c r="DE237" s="27"/>
      <c r="DF237" s="27"/>
      <c r="DG237" s="27"/>
      <c r="DH237" s="27"/>
      <c r="DI237" s="27"/>
      <c r="DJ237" s="27"/>
      <c r="DK237" s="27" t="s">
        <v>344</v>
      </c>
      <c r="DL237" s="27" t="s">
        <v>368</v>
      </c>
      <c r="DM237" s="27" t="s">
        <v>368</v>
      </c>
      <c r="DN237" s="27" t="s">
        <v>368</v>
      </c>
      <c r="DO237" s="27" t="s">
        <v>368</v>
      </c>
      <c r="DP237" s="27" t="s">
        <v>368</v>
      </c>
      <c r="DQ237" s="27" t="s">
        <v>368</v>
      </c>
      <c r="DR237" s="27" t="s">
        <v>368</v>
      </c>
      <c r="DS237" s="27" t="s">
        <v>345</v>
      </c>
      <c r="DT237" s="27" t="s">
        <v>368</v>
      </c>
      <c r="DU237" s="27" t="s">
        <v>368</v>
      </c>
      <c r="DV237" s="27" t="s">
        <v>368</v>
      </c>
      <c r="DW237" s="27" t="s">
        <v>345</v>
      </c>
      <c r="DX237" s="27"/>
      <c r="DY237" s="27"/>
      <c r="DZ237" s="27"/>
      <c r="EA237" s="27"/>
      <c r="EB237" s="27"/>
      <c r="EC237" s="27"/>
      <c r="ED237" s="27"/>
      <c r="EE237" s="27"/>
      <c r="EF237" s="27"/>
      <c r="EG237" s="27"/>
      <c r="EH237" s="27"/>
      <c r="EI237" s="27"/>
      <c r="EJ237" s="27"/>
      <c r="EK237" s="27"/>
      <c r="EL237" s="27" t="s">
        <v>1259</v>
      </c>
      <c r="EM237" s="27" t="s">
        <v>1276</v>
      </c>
      <c r="EN237" s="27" t="s">
        <v>1261</v>
      </c>
      <c r="EO237" s="27"/>
      <c r="EP237" s="27"/>
      <c r="EQ237" s="27" t="s">
        <v>1263</v>
      </c>
      <c r="ER237" s="27" t="s">
        <v>1262</v>
      </c>
      <c r="ES237" s="27" t="s">
        <v>1263</v>
      </c>
      <c r="ET237" s="27" t="s">
        <v>1263</v>
      </c>
      <c r="EU237" s="27" t="s">
        <v>1263</v>
      </c>
      <c r="EV237" s="27" t="s">
        <v>1299</v>
      </c>
      <c r="EW237" s="27"/>
      <c r="EX237" s="170" t="s">
        <v>344</v>
      </c>
      <c r="EY237" s="170" t="s">
        <v>344</v>
      </c>
      <c r="EZ237" s="170" t="s">
        <v>345</v>
      </c>
      <c r="FA237" s="27" t="s">
        <v>344</v>
      </c>
      <c r="FB237" s="27" t="s">
        <v>343</v>
      </c>
      <c r="FC237" s="27" t="s">
        <v>1371</v>
      </c>
      <c r="FD237" s="27" t="s">
        <v>343</v>
      </c>
      <c r="FE237" s="27" t="s">
        <v>1371</v>
      </c>
      <c r="FF237" s="27"/>
      <c r="FG237" s="27"/>
      <c r="FH237" s="27"/>
      <c r="FI237" s="27"/>
      <c r="FJ237" s="27" t="s">
        <v>477</v>
      </c>
      <c r="FK237" s="27" t="s">
        <v>1238</v>
      </c>
      <c r="FL237" s="27" t="s">
        <v>1293</v>
      </c>
      <c r="FM237" s="27" t="s">
        <v>1294</v>
      </c>
      <c r="FN237" s="27" t="s">
        <v>365</v>
      </c>
      <c r="FO237" s="27" t="s">
        <v>365</v>
      </c>
      <c r="FP237" s="27" t="s">
        <v>397</v>
      </c>
      <c r="FQ237" s="27" t="s">
        <v>397</v>
      </c>
      <c r="FR237" s="27" t="s">
        <v>366</v>
      </c>
      <c r="FS237" s="27" t="s">
        <v>423</v>
      </c>
      <c r="FT237" s="27" t="s">
        <v>423</v>
      </c>
      <c r="FU237" s="27" t="s">
        <v>423</v>
      </c>
      <c r="FV237" s="27" t="s">
        <v>423</v>
      </c>
      <c r="FW237" s="27" t="s">
        <v>423</v>
      </c>
      <c r="FX237" s="27" t="s">
        <v>1372</v>
      </c>
      <c r="FY237" s="27"/>
      <c r="FZ237" s="27" t="s">
        <v>1373</v>
      </c>
      <c r="GA237" s="27" t="s">
        <v>344</v>
      </c>
      <c r="GB237" s="27" t="s">
        <v>345</v>
      </c>
      <c r="GC237" s="27" t="s">
        <v>344</v>
      </c>
      <c r="GD237" s="27" t="s">
        <v>344</v>
      </c>
      <c r="GE237" s="27" t="s">
        <v>344</v>
      </c>
      <c r="GF237" s="27" t="s">
        <v>344</v>
      </c>
      <c r="GG237" s="27">
        <v>87</v>
      </c>
      <c r="GH237" s="27">
        <v>1</v>
      </c>
      <c r="GI237" s="27"/>
      <c r="GJ237" s="27"/>
      <c r="GK237" s="27" t="s">
        <v>1374</v>
      </c>
      <c r="GL237" s="27" t="s">
        <v>344</v>
      </c>
      <c r="GM237" s="27" t="s">
        <v>344</v>
      </c>
      <c r="GN237" s="27" t="s">
        <v>344</v>
      </c>
      <c r="GO237" s="27" t="s">
        <v>344</v>
      </c>
      <c r="GP237" s="27" t="s">
        <v>344</v>
      </c>
      <c r="GQ237" s="27" t="s">
        <v>344</v>
      </c>
      <c r="GR237" s="27" t="s">
        <v>344</v>
      </c>
      <c r="GS237" s="27" t="s">
        <v>344</v>
      </c>
      <c r="GT237" s="27" t="s">
        <v>344</v>
      </c>
      <c r="GU237" s="27" t="s">
        <v>344</v>
      </c>
      <c r="GV237" s="27" t="s">
        <v>344</v>
      </c>
      <c r="GW237" s="27" t="s">
        <v>344</v>
      </c>
      <c r="GX237" s="27" t="s">
        <v>344</v>
      </c>
      <c r="GY237" s="27" t="s">
        <v>344</v>
      </c>
      <c r="GZ237" s="27" t="s">
        <v>344</v>
      </c>
      <c r="HA237" s="27" t="s">
        <v>345</v>
      </c>
      <c r="HB237" s="27"/>
      <c r="HC237" s="27" t="s">
        <v>344</v>
      </c>
      <c r="HD237" s="27"/>
      <c r="HE237" s="27" t="s">
        <v>344</v>
      </c>
      <c r="HF237" s="27"/>
      <c r="HG237" s="27" t="s">
        <v>344</v>
      </c>
      <c r="HH237" s="27"/>
      <c r="HI237" s="27" t="s">
        <v>344</v>
      </c>
      <c r="HJ237" s="27"/>
      <c r="HK237" s="27" t="s">
        <v>344</v>
      </c>
      <c r="HL237" s="27" t="s">
        <v>344</v>
      </c>
      <c r="HM237" s="27" t="s">
        <v>344</v>
      </c>
      <c r="HN237" s="27" t="s">
        <v>344</v>
      </c>
      <c r="HO237" s="27" t="s">
        <v>344</v>
      </c>
      <c r="HP237" s="27" t="s">
        <v>344</v>
      </c>
      <c r="HQ237" s="27" t="s">
        <v>344</v>
      </c>
      <c r="HR237" s="27" t="s">
        <v>344</v>
      </c>
      <c r="HS237" s="27" t="s">
        <v>344</v>
      </c>
      <c r="HT237" s="27" t="s">
        <v>344</v>
      </c>
      <c r="HU237" s="27" t="s">
        <v>344</v>
      </c>
      <c r="HV237" s="27" t="s">
        <v>344</v>
      </c>
      <c r="HW237" s="27" t="s">
        <v>344</v>
      </c>
      <c r="HX237" s="27" t="s">
        <v>344</v>
      </c>
      <c r="HY237" s="27" t="s">
        <v>344</v>
      </c>
      <c r="HZ237" s="27" t="s">
        <v>344</v>
      </c>
      <c r="IA237" s="27" t="s">
        <v>344</v>
      </c>
      <c r="IB237" s="27" t="s">
        <v>344</v>
      </c>
      <c r="IC237" s="27" t="s">
        <v>345</v>
      </c>
      <c r="ID237" s="27"/>
      <c r="IE237" s="27" t="s">
        <v>344</v>
      </c>
      <c r="IF237" s="27"/>
      <c r="IG237" s="27" t="s">
        <v>344</v>
      </c>
      <c r="IH237" s="27"/>
      <c r="II237" s="27" t="s">
        <v>344</v>
      </c>
      <c r="IJ237" s="27"/>
      <c r="IK237" s="27" t="s">
        <v>344</v>
      </c>
      <c r="IL237" s="27"/>
      <c r="IM237" s="27" t="s">
        <v>345</v>
      </c>
      <c r="IN237" s="27" t="s">
        <v>344</v>
      </c>
      <c r="IO237" s="27" t="s">
        <v>344</v>
      </c>
      <c r="IP237" s="27" t="s">
        <v>344</v>
      </c>
      <c r="IQ237" s="27" t="s">
        <v>345</v>
      </c>
      <c r="IR237" s="27" t="s">
        <v>345</v>
      </c>
      <c r="IS237" s="27" t="s">
        <v>344</v>
      </c>
      <c r="IT237" s="27" t="s">
        <v>344</v>
      </c>
      <c r="IU237" s="27" t="s">
        <v>344</v>
      </c>
      <c r="IV237" s="27" t="s">
        <v>344</v>
      </c>
      <c r="IW237" s="27" t="s">
        <v>344</v>
      </c>
      <c r="IX237" s="27" t="s">
        <v>344</v>
      </c>
      <c r="IY237" s="27" t="s">
        <v>344</v>
      </c>
      <c r="IZ237" s="27" t="s">
        <v>344</v>
      </c>
      <c r="JA237" s="27"/>
      <c r="JB237" s="27"/>
    </row>
    <row r="238" spans="1:262" x14ac:dyDescent="0.3">
      <c r="A238" s="26" t="s">
        <v>727</v>
      </c>
      <c r="B238" s="27">
        <v>185</v>
      </c>
      <c r="C238" s="27" t="s">
        <v>1375</v>
      </c>
      <c r="D238" s="27">
        <v>14</v>
      </c>
      <c r="E238" s="27" t="s">
        <v>387</v>
      </c>
      <c r="F238" s="27">
        <v>827550823</v>
      </c>
      <c r="G238" s="27" t="s">
        <v>1376</v>
      </c>
      <c r="H238" s="27" t="s">
        <v>1375</v>
      </c>
      <c r="I238" s="27" t="s">
        <v>1254</v>
      </c>
      <c r="J238" s="27">
        <v>17</v>
      </c>
      <c r="K238" s="27" t="s">
        <v>1255</v>
      </c>
      <c r="L238" s="27"/>
      <c r="M238" s="27" t="s">
        <v>345</v>
      </c>
      <c r="N238" s="27" t="s">
        <v>344</v>
      </c>
      <c r="O238" s="27" t="s">
        <v>344</v>
      </c>
      <c r="P238" s="27" t="s">
        <v>344</v>
      </c>
      <c r="Q238" s="27" t="s">
        <v>344</v>
      </c>
      <c r="R238" s="27"/>
      <c r="S238" s="27" t="s">
        <v>475</v>
      </c>
      <c r="T238" s="27"/>
      <c r="U238" s="27" t="s">
        <v>347</v>
      </c>
      <c r="V238" s="29"/>
      <c r="W238" s="27" t="s">
        <v>345</v>
      </c>
      <c r="X238" s="27" t="s">
        <v>344</v>
      </c>
      <c r="Y238" s="27" t="s">
        <v>344</v>
      </c>
      <c r="Z238" s="27" t="s">
        <v>344</v>
      </c>
      <c r="AA238" s="27" t="s">
        <v>344</v>
      </c>
      <c r="AB238" s="27" t="s">
        <v>344</v>
      </c>
      <c r="AC238" s="27" t="s">
        <v>344</v>
      </c>
      <c r="AD238" s="27" t="s">
        <v>344</v>
      </c>
      <c r="AE238" s="27" t="s">
        <v>344</v>
      </c>
      <c r="AF238" s="27" t="s">
        <v>344</v>
      </c>
      <c r="AG238" s="27" t="s">
        <v>344</v>
      </c>
      <c r="AH238" s="27" t="s">
        <v>345</v>
      </c>
      <c r="AI238" s="27" t="s">
        <v>344</v>
      </c>
      <c r="AJ238" s="27" t="s">
        <v>344</v>
      </c>
      <c r="AK238" s="27" t="s">
        <v>344</v>
      </c>
      <c r="AL238" s="27" t="s">
        <v>344</v>
      </c>
      <c r="AM238" s="27" t="s">
        <v>344</v>
      </c>
      <c r="AN238" s="27" t="s">
        <v>344</v>
      </c>
      <c r="AO238" s="27" t="s">
        <v>345</v>
      </c>
      <c r="AP238" s="27" t="s">
        <v>344</v>
      </c>
      <c r="AQ238" s="27" t="s">
        <v>344</v>
      </c>
      <c r="AR238" s="27" t="s">
        <v>344</v>
      </c>
      <c r="AS238" s="27" t="s">
        <v>345</v>
      </c>
      <c r="AT238" s="27" t="s">
        <v>344</v>
      </c>
      <c r="AU238" s="27" t="s">
        <v>344</v>
      </c>
      <c r="AV238" s="27" t="s">
        <v>344</v>
      </c>
      <c r="AW238" s="27" t="s">
        <v>344</v>
      </c>
      <c r="AX238" s="27" t="s">
        <v>344</v>
      </c>
      <c r="AY238" s="27" t="s">
        <v>732</v>
      </c>
      <c r="AZ238" s="27" t="s">
        <v>733</v>
      </c>
      <c r="BA238" s="27" t="s">
        <v>733</v>
      </c>
      <c r="BB238" s="27" t="s">
        <v>391</v>
      </c>
      <c r="BC238" s="27" t="s">
        <v>731</v>
      </c>
      <c r="BD238" s="27" t="s">
        <v>733</v>
      </c>
      <c r="BE238" s="27" t="s">
        <v>717</v>
      </c>
      <c r="BF238" s="27" t="s">
        <v>349</v>
      </c>
      <c r="BG238" s="27" t="s">
        <v>349</v>
      </c>
      <c r="BH238" s="27" t="s">
        <v>349</v>
      </c>
      <c r="BI238" s="27" t="s">
        <v>348</v>
      </c>
      <c r="BJ238" s="27" t="s">
        <v>391</v>
      </c>
      <c r="BK238" s="27" t="s">
        <v>391</v>
      </c>
      <c r="BL238" s="27" t="s">
        <v>354</v>
      </c>
      <c r="BM238" s="27" t="s">
        <v>357</v>
      </c>
      <c r="BN238" s="27" t="s">
        <v>357</v>
      </c>
      <c r="BO238" s="27" t="s">
        <v>391</v>
      </c>
      <c r="BP238" s="27" t="s">
        <v>357</v>
      </c>
      <c r="BQ238" s="27" t="s">
        <v>358</v>
      </c>
      <c r="BR238" s="27" t="s">
        <v>1257</v>
      </c>
      <c r="BS238" s="27" t="s">
        <v>351</v>
      </c>
      <c r="BT238" s="27" t="s">
        <v>352</v>
      </c>
      <c r="BU238" s="27" t="s">
        <v>353</v>
      </c>
      <c r="BV238" s="27" t="s">
        <v>391</v>
      </c>
      <c r="BW238" s="27" t="s">
        <v>355</v>
      </c>
      <c r="BX238" s="27" t="s">
        <v>351</v>
      </c>
      <c r="BY238" s="27" t="s">
        <v>354</v>
      </c>
      <c r="BZ238" s="27" t="s">
        <v>357</v>
      </c>
      <c r="CA238" s="27" t="s">
        <v>356</v>
      </c>
      <c r="CB238" s="27" t="s">
        <v>355</v>
      </c>
      <c r="CC238" s="27" t="s">
        <v>391</v>
      </c>
      <c r="CD238" s="27" t="s">
        <v>353</v>
      </c>
      <c r="CE238" s="27" t="s">
        <v>354</v>
      </c>
      <c r="CF238" s="27" t="s">
        <v>391</v>
      </c>
      <c r="CG238" s="27" t="s">
        <v>420</v>
      </c>
      <c r="CH238" s="27" t="s">
        <v>421</v>
      </c>
      <c r="CI238" s="27" t="s">
        <v>420</v>
      </c>
      <c r="CJ238" s="27" t="s">
        <v>392</v>
      </c>
      <c r="CK238" s="27" t="s">
        <v>1377</v>
      </c>
      <c r="CL238" s="27" t="s">
        <v>344</v>
      </c>
      <c r="CM238" s="27" t="s">
        <v>344</v>
      </c>
      <c r="CN238" s="27" t="s">
        <v>345</v>
      </c>
      <c r="CO238" s="27" t="s">
        <v>344</v>
      </c>
      <c r="CP238" s="27" t="s">
        <v>344</v>
      </c>
      <c r="CQ238" s="27" t="s">
        <v>344</v>
      </c>
      <c r="CR238" s="27" t="s">
        <v>667</v>
      </c>
      <c r="CS238" s="27">
        <v>59</v>
      </c>
      <c r="CT238" s="27">
        <v>50</v>
      </c>
      <c r="CU238" s="27"/>
      <c r="CV238" s="27"/>
      <c r="CW238" s="27" t="s">
        <v>395</v>
      </c>
      <c r="CX238" s="27" t="s">
        <v>396</v>
      </c>
      <c r="CY238" s="27" t="s">
        <v>396</v>
      </c>
      <c r="CZ238" s="27" t="s">
        <v>397</v>
      </c>
      <c r="DA238" s="27" t="s">
        <v>397</v>
      </c>
      <c r="DB238" s="27" t="s">
        <v>397</v>
      </c>
      <c r="DC238" s="27" t="s">
        <v>397</v>
      </c>
      <c r="DD238" s="27" t="s">
        <v>397</v>
      </c>
      <c r="DE238" s="27"/>
      <c r="DF238" s="27"/>
      <c r="DG238" s="27"/>
      <c r="DH238" s="27"/>
      <c r="DI238" s="27"/>
      <c r="DJ238" s="27"/>
      <c r="DK238" s="27" t="s">
        <v>344</v>
      </c>
      <c r="DL238" s="27" t="s">
        <v>368</v>
      </c>
      <c r="DM238" s="27" t="s">
        <v>368</v>
      </c>
      <c r="DN238" s="27" t="s">
        <v>368</v>
      </c>
      <c r="DO238" s="27" t="s">
        <v>368</v>
      </c>
      <c r="DP238" s="27" t="s">
        <v>368</v>
      </c>
      <c r="DQ238" s="27" t="s">
        <v>368</v>
      </c>
      <c r="DR238" s="27" t="s">
        <v>368</v>
      </c>
      <c r="DS238" s="27" t="s">
        <v>345</v>
      </c>
      <c r="DT238" s="27" t="s">
        <v>345</v>
      </c>
      <c r="DU238" s="27" t="s">
        <v>344</v>
      </c>
      <c r="DV238" s="27" t="s">
        <v>344</v>
      </c>
      <c r="DW238" s="27" t="s">
        <v>344</v>
      </c>
      <c r="DX238" s="27" t="s">
        <v>1258</v>
      </c>
      <c r="DY238" s="27" t="s">
        <v>1258</v>
      </c>
      <c r="DZ238" s="27" t="s">
        <v>1258</v>
      </c>
      <c r="EA238" s="27" t="s">
        <v>1272</v>
      </c>
      <c r="EB238" s="27" t="s">
        <v>1258</v>
      </c>
      <c r="EC238" s="27" t="s">
        <v>397</v>
      </c>
      <c r="ED238" s="27" t="s">
        <v>1258</v>
      </c>
      <c r="EE238" s="27" t="s">
        <v>1272</v>
      </c>
      <c r="EF238" s="27" t="s">
        <v>1272</v>
      </c>
      <c r="EG238" s="27" t="s">
        <v>1258</v>
      </c>
      <c r="EH238" s="27" t="s">
        <v>397</v>
      </c>
      <c r="EI238" s="27" t="s">
        <v>1273</v>
      </c>
      <c r="EJ238" s="27" t="s">
        <v>1273</v>
      </c>
      <c r="EK238" s="27" t="s">
        <v>1273</v>
      </c>
      <c r="EL238" s="27" t="s">
        <v>1259</v>
      </c>
      <c r="EM238" s="27" t="s">
        <v>1261</v>
      </c>
      <c r="EN238" s="27" t="s">
        <v>1260</v>
      </c>
      <c r="EO238" s="27"/>
      <c r="EP238" s="27"/>
      <c r="EQ238" s="27" t="s">
        <v>1263</v>
      </c>
      <c r="ER238" s="27" t="s">
        <v>1264</v>
      </c>
      <c r="ES238" s="27" t="s">
        <v>1263</v>
      </c>
      <c r="ET238" s="27" t="s">
        <v>717</v>
      </c>
      <c r="EU238" s="27" t="s">
        <v>1262</v>
      </c>
      <c r="EV238" s="27" t="s">
        <v>1265</v>
      </c>
      <c r="EW238" s="27"/>
      <c r="EX238" s="27" t="s">
        <v>368</v>
      </c>
      <c r="EY238" s="27" t="s">
        <v>368</v>
      </c>
      <c r="EZ238" s="27" t="s">
        <v>368</v>
      </c>
      <c r="FA238" s="27" t="s">
        <v>345</v>
      </c>
      <c r="FB238" s="27" t="s">
        <v>1266</v>
      </c>
      <c r="FC238" s="27"/>
      <c r="FD238" s="27" t="s">
        <v>1266</v>
      </c>
      <c r="FE238" s="27"/>
      <c r="FF238" s="27" t="s">
        <v>1322</v>
      </c>
      <c r="FG238" s="27" t="s">
        <v>1292</v>
      </c>
      <c r="FH238" s="27" t="s">
        <v>1301</v>
      </c>
      <c r="FI238" s="27" t="s">
        <v>1294</v>
      </c>
      <c r="FJ238" s="27"/>
      <c r="FK238" s="27"/>
      <c r="FL238" s="27"/>
      <c r="FM238" s="27"/>
      <c r="FN238" s="27"/>
      <c r="FO238" s="27"/>
      <c r="FP238" s="27"/>
      <c r="FQ238" s="27"/>
      <c r="FR238" s="27"/>
      <c r="FS238" s="27"/>
      <c r="FT238" s="27"/>
      <c r="FU238" s="27"/>
      <c r="FV238" s="27"/>
      <c r="FW238" s="27"/>
      <c r="FX238" s="27"/>
      <c r="FY238" s="27"/>
      <c r="FZ238" s="27"/>
      <c r="GA238" s="27" t="s">
        <v>368</v>
      </c>
      <c r="GB238" s="27" t="s">
        <v>368</v>
      </c>
      <c r="GC238" s="27" t="s">
        <v>368</v>
      </c>
      <c r="GD238" s="27" t="s">
        <v>368</v>
      </c>
      <c r="GE238" s="27" t="s">
        <v>368</v>
      </c>
      <c r="GF238" s="27" t="s">
        <v>368</v>
      </c>
      <c r="GG238" s="27"/>
      <c r="GH238" s="27"/>
      <c r="GI238" s="27"/>
      <c r="GJ238" s="27"/>
      <c r="GK238" s="27"/>
      <c r="GL238" s="27" t="s">
        <v>344</v>
      </c>
      <c r="GM238" s="27" t="s">
        <v>344</v>
      </c>
      <c r="GN238" s="27" t="s">
        <v>344</v>
      </c>
      <c r="GO238" s="27" t="s">
        <v>344</v>
      </c>
      <c r="GP238" s="27" t="s">
        <v>344</v>
      </c>
      <c r="GQ238" s="27" t="s">
        <v>344</v>
      </c>
      <c r="GR238" s="27" t="s">
        <v>344</v>
      </c>
      <c r="GS238" s="27" t="s">
        <v>344</v>
      </c>
      <c r="GT238" s="27" t="s">
        <v>344</v>
      </c>
      <c r="GU238" s="27" t="s">
        <v>344</v>
      </c>
      <c r="GV238" s="27" t="s">
        <v>344</v>
      </c>
      <c r="GW238" s="27" t="s">
        <v>344</v>
      </c>
      <c r="GX238" s="27" t="s">
        <v>344</v>
      </c>
      <c r="GY238" s="27" t="s">
        <v>344</v>
      </c>
      <c r="GZ238" s="27" t="s">
        <v>344</v>
      </c>
      <c r="HA238" s="27" t="s">
        <v>345</v>
      </c>
      <c r="HB238" s="27"/>
      <c r="HC238" s="27" t="s">
        <v>344</v>
      </c>
      <c r="HD238" s="27"/>
      <c r="HE238" s="27" t="s">
        <v>344</v>
      </c>
      <c r="HF238" s="27"/>
      <c r="HG238" s="27" t="s">
        <v>344</v>
      </c>
      <c r="HH238" s="27"/>
      <c r="HI238" s="27" t="s">
        <v>344</v>
      </c>
      <c r="HJ238" s="27"/>
      <c r="HK238" s="27" t="s">
        <v>344</v>
      </c>
      <c r="HL238" s="27" t="s">
        <v>344</v>
      </c>
      <c r="HM238" s="27" t="s">
        <v>344</v>
      </c>
      <c r="HN238" s="27" t="s">
        <v>344</v>
      </c>
      <c r="HO238" s="27" t="s">
        <v>344</v>
      </c>
      <c r="HP238" s="27" t="s">
        <v>344</v>
      </c>
      <c r="HQ238" s="27" t="s">
        <v>344</v>
      </c>
      <c r="HR238" s="27" t="s">
        <v>344</v>
      </c>
      <c r="HS238" s="27" t="s">
        <v>344</v>
      </c>
      <c r="HT238" s="27" t="s">
        <v>344</v>
      </c>
      <c r="HU238" s="27" t="s">
        <v>344</v>
      </c>
      <c r="HV238" s="27" t="s">
        <v>344</v>
      </c>
      <c r="HW238" s="27" t="s">
        <v>344</v>
      </c>
      <c r="HX238" s="27" t="s">
        <v>344</v>
      </c>
      <c r="HY238" s="27" t="s">
        <v>344</v>
      </c>
      <c r="HZ238" s="27" t="s">
        <v>344</v>
      </c>
      <c r="IA238" s="27" t="s">
        <v>345</v>
      </c>
      <c r="IB238" s="27" t="s">
        <v>344</v>
      </c>
      <c r="IC238" s="27" t="s">
        <v>344</v>
      </c>
      <c r="ID238" s="27"/>
      <c r="IE238" s="27" t="s">
        <v>344</v>
      </c>
      <c r="IF238" s="27"/>
      <c r="IG238" s="27" t="s">
        <v>344</v>
      </c>
      <c r="IH238" s="27"/>
      <c r="II238" s="27" t="s">
        <v>344</v>
      </c>
      <c r="IJ238" s="27"/>
      <c r="IK238" s="27" t="s">
        <v>344</v>
      </c>
      <c r="IL238" s="27"/>
      <c r="IM238" s="27" t="s">
        <v>345</v>
      </c>
      <c r="IN238" s="27" t="s">
        <v>344</v>
      </c>
      <c r="IO238" s="27" t="s">
        <v>345</v>
      </c>
      <c r="IP238" s="27" t="s">
        <v>344</v>
      </c>
      <c r="IQ238" s="27" t="s">
        <v>345</v>
      </c>
      <c r="IR238" s="27" t="s">
        <v>344</v>
      </c>
      <c r="IS238" s="27" t="s">
        <v>344</v>
      </c>
      <c r="IT238" s="27" t="s">
        <v>344</v>
      </c>
      <c r="IU238" s="27" t="s">
        <v>344</v>
      </c>
      <c r="IV238" s="27" t="s">
        <v>344</v>
      </c>
      <c r="IW238" s="27" t="s">
        <v>344</v>
      </c>
      <c r="IX238" s="27" t="s">
        <v>344</v>
      </c>
      <c r="IY238" s="27" t="s">
        <v>344</v>
      </c>
      <c r="IZ238" s="27" t="s">
        <v>344</v>
      </c>
      <c r="JA238" s="27"/>
      <c r="JB238" s="27"/>
    </row>
    <row r="239" spans="1:262" x14ac:dyDescent="0.3">
      <c r="A239" s="26" t="s">
        <v>727</v>
      </c>
      <c r="B239" s="27">
        <v>188</v>
      </c>
      <c r="C239" s="27" t="s">
        <v>1378</v>
      </c>
      <c r="D239" s="27">
        <v>14</v>
      </c>
      <c r="E239" s="27" t="s">
        <v>387</v>
      </c>
      <c r="F239" s="27">
        <v>382316171</v>
      </c>
      <c r="G239" s="27" t="s">
        <v>1379</v>
      </c>
      <c r="H239" s="27" t="s">
        <v>1378</v>
      </c>
      <c r="I239" s="27" t="s">
        <v>1254</v>
      </c>
      <c r="J239" s="27">
        <v>17</v>
      </c>
      <c r="K239" s="27" t="s">
        <v>1255</v>
      </c>
      <c r="L239" s="27"/>
      <c r="M239" s="27" t="s">
        <v>345</v>
      </c>
      <c r="N239" s="27" t="s">
        <v>344</v>
      </c>
      <c r="O239" s="27" t="s">
        <v>344</v>
      </c>
      <c r="P239" s="27" t="s">
        <v>345</v>
      </c>
      <c r="Q239" s="27" t="s">
        <v>344</v>
      </c>
      <c r="R239" s="27"/>
      <c r="S239" s="27" t="s">
        <v>475</v>
      </c>
      <c r="T239" s="27"/>
      <c r="U239" s="27" t="s">
        <v>343</v>
      </c>
      <c r="V239" s="27" t="s">
        <v>391</v>
      </c>
      <c r="W239" s="27" t="s">
        <v>344</v>
      </c>
      <c r="X239" s="27" t="s">
        <v>345</v>
      </c>
      <c r="Y239" s="27" t="s">
        <v>344</v>
      </c>
      <c r="Z239" s="27" t="s">
        <v>344</v>
      </c>
      <c r="AA239" s="27" t="s">
        <v>344</v>
      </c>
      <c r="AB239" s="27" t="s">
        <v>344</v>
      </c>
      <c r="AC239" s="27" t="s">
        <v>344</v>
      </c>
      <c r="AD239" s="27" t="s">
        <v>344</v>
      </c>
      <c r="AE239" s="27" t="s">
        <v>345</v>
      </c>
      <c r="AF239" s="27" t="s">
        <v>344</v>
      </c>
      <c r="AG239" s="27" t="s">
        <v>344</v>
      </c>
      <c r="AH239" s="27" t="s">
        <v>344</v>
      </c>
      <c r="AI239" s="27" t="s">
        <v>345</v>
      </c>
      <c r="AJ239" s="27" t="s">
        <v>344</v>
      </c>
      <c r="AK239" s="27" t="s">
        <v>344</v>
      </c>
      <c r="AL239" s="27" t="s">
        <v>345</v>
      </c>
      <c r="AM239" s="27" t="s">
        <v>344</v>
      </c>
      <c r="AN239" s="27" t="s">
        <v>344</v>
      </c>
      <c r="AO239" s="27" t="s">
        <v>344</v>
      </c>
      <c r="AP239" s="27" t="s">
        <v>344</v>
      </c>
      <c r="AQ239" s="27" t="s">
        <v>344</v>
      </c>
      <c r="AR239" s="27" t="s">
        <v>344</v>
      </c>
      <c r="AS239" s="27" t="s">
        <v>344</v>
      </c>
      <c r="AT239" s="27" t="s">
        <v>345</v>
      </c>
      <c r="AU239" s="27" t="s">
        <v>344</v>
      </c>
      <c r="AV239" s="27" t="s">
        <v>344</v>
      </c>
      <c r="AW239" s="27" t="s">
        <v>344</v>
      </c>
      <c r="AX239" s="27" t="s">
        <v>344</v>
      </c>
      <c r="AY239" s="27" t="s">
        <v>733</v>
      </c>
      <c r="AZ239" s="27" t="s">
        <v>732</v>
      </c>
      <c r="BA239" s="27" t="s">
        <v>391</v>
      </c>
      <c r="BB239" s="27" t="s">
        <v>731</v>
      </c>
      <c r="BC239" s="27" t="s">
        <v>737</v>
      </c>
      <c r="BD239" s="27" t="s">
        <v>733</v>
      </c>
      <c r="BE239" s="27" t="s">
        <v>349</v>
      </c>
      <c r="BF239" s="27" t="s">
        <v>348</v>
      </c>
      <c r="BG239" s="27" t="s">
        <v>349</v>
      </c>
      <c r="BH239" s="27" t="s">
        <v>390</v>
      </c>
      <c r="BI239" s="27" t="s">
        <v>717</v>
      </c>
      <c r="BJ239" s="27" t="s">
        <v>391</v>
      </c>
      <c r="BK239" s="27" t="s">
        <v>391</v>
      </c>
      <c r="BL239" s="27" t="s">
        <v>391</v>
      </c>
      <c r="BM239" s="27" t="s">
        <v>391</v>
      </c>
      <c r="BN239" s="27" t="s">
        <v>391</v>
      </c>
      <c r="BO239" s="27" t="s">
        <v>391</v>
      </c>
      <c r="BP239" s="27" t="s">
        <v>391</v>
      </c>
      <c r="BQ239" s="27" t="s">
        <v>455</v>
      </c>
      <c r="BR239" s="27" t="s">
        <v>1296</v>
      </c>
      <c r="BS239" s="27" t="s">
        <v>391</v>
      </c>
      <c r="BT239" s="27" t="s">
        <v>391</v>
      </c>
      <c r="BU239" s="27" t="s">
        <v>391</v>
      </c>
      <c r="BV239" s="27" t="s">
        <v>391</v>
      </c>
      <c r="BW239" s="27" t="s">
        <v>391</v>
      </c>
      <c r="BX239" s="27" t="s">
        <v>391</v>
      </c>
      <c r="BY239" s="27" t="s">
        <v>391</v>
      </c>
      <c r="BZ239" s="27" t="s">
        <v>391</v>
      </c>
      <c r="CA239" s="27" t="s">
        <v>391</v>
      </c>
      <c r="CB239" s="27" t="s">
        <v>391</v>
      </c>
      <c r="CC239" s="27" t="s">
        <v>391</v>
      </c>
      <c r="CD239" s="27" t="s">
        <v>391</v>
      </c>
      <c r="CE239" s="27" t="s">
        <v>391</v>
      </c>
      <c r="CF239" s="27" t="s">
        <v>391</v>
      </c>
      <c r="CG239" s="27" t="s">
        <v>421</v>
      </c>
      <c r="CH239" s="27" t="s">
        <v>421</v>
      </c>
      <c r="CI239" s="27" t="s">
        <v>420</v>
      </c>
      <c r="CJ239" s="27" t="s">
        <v>393</v>
      </c>
      <c r="CK239" s="27" t="s">
        <v>391</v>
      </c>
      <c r="CL239" s="27" t="s">
        <v>344</v>
      </c>
      <c r="CM239" s="27" t="s">
        <v>344</v>
      </c>
      <c r="CN239" s="27" t="s">
        <v>344</v>
      </c>
      <c r="CO239" s="27" t="s">
        <v>344</v>
      </c>
      <c r="CP239" s="27" t="s">
        <v>345</v>
      </c>
      <c r="CQ239" s="27" t="s">
        <v>344</v>
      </c>
      <c r="CR239" s="27" t="s">
        <v>667</v>
      </c>
      <c r="CS239" s="27">
        <v>75</v>
      </c>
      <c r="CT239" s="27">
        <v>95</v>
      </c>
      <c r="CU239" s="27"/>
      <c r="CV239" s="27"/>
      <c r="CW239" s="27" t="s">
        <v>395</v>
      </c>
      <c r="CX239" s="27" t="s">
        <v>396</v>
      </c>
      <c r="CY239" s="27" t="s">
        <v>396</v>
      </c>
      <c r="CZ239" s="27" t="s">
        <v>397</v>
      </c>
      <c r="DA239" s="27" t="s">
        <v>397</v>
      </c>
      <c r="DB239" s="27" t="s">
        <v>397</v>
      </c>
      <c r="DC239" s="27" t="s">
        <v>397</v>
      </c>
      <c r="DD239" s="27" t="s">
        <v>397</v>
      </c>
      <c r="DE239" s="27"/>
      <c r="DF239" s="27"/>
      <c r="DG239" s="27"/>
      <c r="DH239" s="27"/>
      <c r="DI239" s="27"/>
      <c r="DJ239" s="27"/>
      <c r="DK239" s="27" t="s">
        <v>344</v>
      </c>
      <c r="DL239" s="27" t="s">
        <v>368</v>
      </c>
      <c r="DM239" s="27" t="s">
        <v>368</v>
      </c>
      <c r="DN239" s="27" t="s">
        <v>368</v>
      </c>
      <c r="DO239" s="27" t="s">
        <v>368</v>
      </c>
      <c r="DP239" s="27" t="s">
        <v>368</v>
      </c>
      <c r="DQ239" s="27" t="s">
        <v>368</v>
      </c>
      <c r="DR239" s="27" t="s">
        <v>368</v>
      </c>
      <c r="DS239" s="27" t="s">
        <v>345</v>
      </c>
      <c r="DT239" s="27" t="s">
        <v>345</v>
      </c>
      <c r="DU239" s="27" t="s">
        <v>344</v>
      </c>
      <c r="DV239" s="27" t="s">
        <v>344</v>
      </c>
      <c r="DW239" s="27" t="s">
        <v>344</v>
      </c>
      <c r="DX239" s="27" t="s">
        <v>1258</v>
      </c>
      <c r="DY239" s="27" t="s">
        <v>1258</v>
      </c>
      <c r="DZ239" s="27" t="s">
        <v>1258</v>
      </c>
      <c r="EA239" s="27" t="s">
        <v>1258</v>
      </c>
      <c r="EB239" s="27" t="s">
        <v>1258</v>
      </c>
      <c r="EC239" s="27" t="s">
        <v>1258</v>
      </c>
      <c r="ED239" s="27" t="s">
        <v>1258</v>
      </c>
      <c r="EE239" s="27" t="s">
        <v>397</v>
      </c>
      <c r="EF239" s="27" t="s">
        <v>397</v>
      </c>
      <c r="EG239" s="27" t="s">
        <v>397</v>
      </c>
      <c r="EH239" s="27" t="s">
        <v>397</v>
      </c>
      <c r="EI239" s="27" t="s">
        <v>397</v>
      </c>
      <c r="EJ239" s="27" t="s">
        <v>397</v>
      </c>
      <c r="EK239" s="27" t="s">
        <v>397</v>
      </c>
      <c r="EL239" s="27" t="s">
        <v>1276</v>
      </c>
      <c r="EM239" s="27" t="s">
        <v>1259</v>
      </c>
      <c r="EN239" s="27" t="s">
        <v>1260</v>
      </c>
      <c r="EO239" s="27"/>
      <c r="EP239" s="27"/>
      <c r="EQ239" s="27" t="s">
        <v>1278</v>
      </c>
      <c r="ER239" s="27" t="s">
        <v>1263</v>
      </c>
      <c r="ES239" s="27" t="s">
        <v>717</v>
      </c>
      <c r="ET239" s="27" t="s">
        <v>717</v>
      </c>
      <c r="EU239" s="27" t="s">
        <v>717</v>
      </c>
      <c r="EV239" s="27" t="s">
        <v>1265</v>
      </c>
      <c r="EW239" s="27"/>
      <c r="EX239" s="27" t="s">
        <v>368</v>
      </c>
      <c r="EY239" s="27" t="s">
        <v>368</v>
      </c>
      <c r="EZ239" s="27" t="s">
        <v>368</v>
      </c>
      <c r="FA239" s="27" t="s">
        <v>345</v>
      </c>
      <c r="FB239" s="27" t="s">
        <v>1266</v>
      </c>
      <c r="FC239" s="27"/>
      <c r="FD239" s="27" t="s">
        <v>1266</v>
      </c>
      <c r="FE239" s="27"/>
      <c r="FF239" s="27" t="s">
        <v>431</v>
      </c>
      <c r="FG239" s="27" t="s">
        <v>402</v>
      </c>
      <c r="FH239" s="27" t="s">
        <v>432</v>
      </c>
      <c r="FI239" s="27" t="s">
        <v>1294</v>
      </c>
      <c r="FJ239" s="27"/>
      <c r="FK239" s="27"/>
      <c r="FL239" s="27"/>
      <c r="FM239" s="27"/>
      <c r="FN239" s="27"/>
      <c r="FO239" s="27"/>
      <c r="FP239" s="27"/>
      <c r="FQ239" s="27"/>
      <c r="FR239" s="27"/>
      <c r="FS239" s="27"/>
      <c r="FT239" s="27"/>
      <c r="FU239" s="27"/>
      <c r="FV239" s="27"/>
      <c r="FW239" s="27"/>
      <c r="FX239" s="27"/>
      <c r="FY239" s="27"/>
      <c r="FZ239" s="27"/>
      <c r="GA239" s="27" t="s">
        <v>368</v>
      </c>
      <c r="GB239" s="27" t="s">
        <v>368</v>
      </c>
      <c r="GC239" s="27" t="s">
        <v>368</v>
      </c>
      <c r="GD239" s="27" t="s">
        <v>368</v>
      </c>
      <c r="GE239" s="27" t="s">
        <v>368</v>
      </c>
      <c r="GF239" s="27" t="s">
        <v>368</v>
      </c>
      <c r="GG239" s="27"/>
      <c r="GH239" s="27"/>
      <c r="GI239" s="27"/>
      <c r="GJ239" s="27"/>
      <c r="GK239" s="27"/>
      <c r="GL239" s="27" t="s">
        <v>344</v>
      </c>
      <c r="GM239" s="27" t="s">
        <v>344</v>
      </c>
      <c r="GN239" s="27" t="s">
        <v>344</v>
      </c>
      <c r="GO239" s="27" t="s">
        <v>345</v>
      </c>
      <c r="GP239" s="27" t="s">
        <v>344</v>
      </c>
      <c r="GQ239" s="27" t="s">
        <v>344</v>
      </c>
      <c r="GR239" s="27" t="s">
        <v>344</v>
      </c>
      <c r="GS239" s="27" t="s">
        <v>344</v>
      </c>
      <c r="GT239" s="27" t="s">
        <v>344</v>
      </c>
      <c r="GU239" s="27" t="s">
        <v>344</v>
      </c>
      <c r="GV239" s="27" t="s">
        <v>345</v>
      </c>
      <c r="GW239" s="27" t="s">
        <v>345</v>
      </c>
      <c r="GX239" s="27" t="s">
        <v>344</v>
      </c>
      <c r="GY239" s="27" t="s">
        <v>344</v>
      </c>
      <c r="GZ239" s="27" t="s">
        <v>344</v>
      </c>
      <c r="HA239" s="27" t="s">
        <v>344</v>
      </c>
      <c r="HB239" s="27"/>
      <c r="HC239" s="27" t="s">
        <v>344</v>
      </c>
      <c r="HD239" s="27"/>
      <c r="HE239" s="27" t="s">
        <v>344</v>
      </c>
      <c r="HF239" s="27"/>
      <c r="HG239" s="27" t="s">
        <v>344</v>
      </c>
      <c r="HH239" s="27"/>
      <c r="HI239" s="27" t="s">
        <v>344</v>
      </c>
      <c r="HJ239" s="27"/>
      <c r="HK239" s="27" t="s">
        <v>344</v>
      </c>
      <c r="HL239" s="27" t="s">
        <v>344</v>
      </c>
      <c r="HM239" s="27" t="s">
        <v>344</v>
      </c>
      <c r="HN239" s="27" t="s">
        <v>344</v>
      </c>
      <c r="HO239" s="27" t="s">
        <v>344</v>
      </c>
      <c r="HP239" s="27" t="s">
        <v>344</v>
      </c>
      <c r="HQ239" s="27" t="s">
        <v>344</v>
      </c>
      <c r="HR239" s="27" t="s">
        <v>344</v>
      </c>
      <c r="HS239" s="27" t="s">
        <v>344</v>
      </c>
      <c r="HT239" s="27" t="s">
        <v>344</v>
      </c>
      <c r="HU239" s="27" t="s">
        <v>344</v>
      </c>
      <c r="HV239" s="27" t="s">
        <v>344</v>
      </c>
      <c r="HW239" s="27" t="s">
        <v>344</v>
      </c>
      <c r="HX239" s="27" t="s">
        <v>344</v>
      </c>
      <c r="HY239" s="27" t="s">
        <v>344</v>
      </c>
      <c r="HZ239" s="27" t="s">
        <v>344</v>
      </c>
      <c r="IA239" s="27" t="s">
        <v>344</v>
      </c>
      <c r="IB239" s="27" t="s">
        <v>344</v>
      </c>
      <c r="IC239" s="27" t="s">
        <v>345</v>
      </c>
      <c r="ID239" s="27"/>
      <c r="IE239" s="27" t="s">
        <v>344</v>
      </c>
      <c r="IF239" s="27"/>
      <c r="IG239" s="27" t="s">
        <v>344</v>
      </c>
      <c r="IH239" s="27"/>
      <c r="II239" s="27" t="s">
        <v>344</v>
      </c>
      <c r="IJ239" s="27"/>
      <c r="IK239" s="27" t="s">
        <v>344</v>
      </c>
      <c r="IL239" s="27"/>
      <c r="IM239" s="27" t="s">
        <v>345</v>
      </c>
      <c r="IN239" s="27" t="s">
        <v>345</v>
      </c>
      <c r="IO239" s="27" t="s">
        <v>345</v>
      </c>
      <c r="IP239" s="27" t="s">
        <v>344</v>
      </c>
      <c r="IQ239" s="27" t="s">
        <v>345</v>
      </c>
      <c r="IR239" s="27" t="s">
        <v>344</v>
      </c>
      <c r="IS239" s="27" t="s">
        <v>344</v>
      </c>
      <c r="IT239" s="27" t="s">
        <v>345</v>
      </c>
      <c r="IU239" s="27" t="s">
        <v>344</v>
      </c>
      <c r="IV239" s="27" t="s">
        <v>344</v>
      </c>
      <c r="IW239" s="27" t="s">
        <v>344</v>
      </c>
      <c r="IX239" s="27" t="s">
        <v>344</v>
      </c>
      <c r="IY239" s="27" t="s">
        <v>345</v>
      </c>
      <c r="IZ239" s="27" t="s">
        <v>344</v>
      </c>
      <c r="JA239" s="27"/>
      <c r="JB239" s="27"/>
    </row>
    <row r="240" spans="1:262" x14ac:dyDescent="0.3">
      <c r="A240" s="26" t="s">
        <v>727</v>
      </c>
      <c r="B240" s="27">
        <v>189</v>
      </c>
      <c r="C240" s="27" t="s">
        <v>1380</v>
      </c>
      <c r="D240" s="27">
        <v>14</v>
      </c>
      <c r="E240" s="27" t="s">
        <v>387</v>
      </c>
      <c r="F240" s="27">
        <v>192272517</v>
      </c>
      <c r="G240" s="27" t="s">
        <v>1381</v>
      </c>
      <c r="H240" s="27" t="s">
        <v>1380</v>
      </c>
      <c r="I240" s="27" t="s">
        <v>1254</v>
      </c>
      <c r="J240" s="27">
        <v>17</v>
      </c>
      <c r="K240" s="27" t="s">
        <v>1255</v>
      </c>
      <c r="L240" s="27"/>
      <c r="M240" s="27" t="s">
        <v>345</v>
      </c>
      <c r="N240" s="27" t="s">
        <v>344</v>
      </c>
      <c r="O240" s="27" t="s">
        <v>344</v>
      </c>
      <c r="P240" s="27" t="s">
        <v>344</v>
      </c>
      <c r="Q240" s="27" t="s">
        <v>344</v>
      </c>
      <c r="R240" s="27"/>
      <c r="S240" s="27" t="s">
        <v>475</v>
      </c>
      <c r="T240" s="27"/>
      <c r="U240" s="27" t="s">
        <v>1270</v>
      </c>
      <c r="V240" s="27"/>
      <c r="W240" s="27" t="s">
        <v>368</v>
      </c>
      <c r="X240" s="27" t="s">
        <v>368</v>
      </c>
      <c r="Y240" s="27" t="s">
        <v>368</v>
      </c>
      <c r="Z240" s="27" t="s">
        <v>368</v>
      </c>
      <c r="AA240" s="27" t="s">
        <v>368</v>
      </c>
      <c r="AB240" s="27" t="s">
        <v>368</v>
      </c>
      <c r="AC240" s="27" t="s">
        <v>345</v>
      </c>
      <c r="AD240" s="27" t="s">
        <v>345</v>
      </c>
      <c r="AE240" s="27" t="s">
        <v>344</v>
      </c>
      <c r="AF240" s="27" t="s">
        <v>344</v>
      </c>
      <c r="AG240" s="27" t="s">
        <v>344</v>
      </c>
      <c r="AH240" s="27" t="s">
        <v>344</v>
      </c>
      <c r="AI240" s="27" t="s">
        <v>344</v>
      </c>
      <c r="AJ240" s="27" t="s">
        <v>344</v>
      </c>
      <c r="AK240" s="27" t="s">
        <v>344</v>
      </c>
      <c r="AL240" s="27" t="s">
        <v>345</v>
      </c>
      <c r="AM240" s="27" t="s">
        <v>344</v>
      </c>
      <c r="AN240" s="27" t="s">
        <v>344</v>
      </c>
      <c r="AO240" s="27" t="s">
        <v>344</v>
      </c>
      <c r="AP240" s="27" t="s">
        <v>344</v>
      </c>
      <c r="AQ240" s="27" t="s">
        <v>344</v>
      </c>
      <c r="AR240" s="27" t="s">
        <v>368</v>
      </c>
      <c r="AS240" s="27" t="s">
        <v>368</v>
      </c>
      <c r="AT240" s="27" t="s">
        <v>368</v>
      </c>
      <c r="AU240" s="27" t="s">
        <v>368</v>
      </c>
      <c r="AV240" s="27" t="s">
        <v>368</v>
      </c>
      <c r="AW240" s="27" t="s">
        <v>368</v>
      </c>
      <c r="AX240" s="27" t="s">
        <v>345</v>
      </c>
      <c r="AY240" s="27" t="s">
        <v>391</v>
      </c>
      <c r="AZ240" s="27" t="s">
        <v>391</v>
      </c>
      <c r="BA240" s="27" t="s">
        <v>391</v>
      </c>
      <c r="BB240" s="27" t="s">
        <v>732</v>
      </c>
      <c r="BC240" s="27" t="s">
        <v>732</v>
      </c>
      <c r="BD240" s="27" t="s">
        <v>391</v>
      </c>
      <c r="BE240" s="27" t="s">
        <v>390</v>
      </c>
      <c r="BF240" s="27" t="s">
        <v>390</v>
      </c>
      <c r="BG240" s="27" t="s">
        <v>390</v>
      </c>
      <c r="BH240" s="27" t="s">
        <v>390</v>
      </c>
      <c r="BI240" s="27" t="s">
        <v>390</v>
      </c>
      <c r="BJ240" s="27" t="s">
        <v>391</v>
      </c>
      <c r="BK240" s="27" t="s">
        <v>391</v>
      </c>
      <c r="BL240" s="27" t="s">
        <v>391</v>
      </c>
      <c r="BM240" s="27" t="s">
        <v>391</v>
      </c>
      <c r="BN240" s="27" t="s">
        <v>391</v>
      </c>
      <c r="BO240" s="27" t="s">
        <v>391</v>
      </c>
      <c r="BP240" s="27" t="s">
        <v>391</v>
      </c>
      <c r="BQ240" s="27" t="s">
        <v>407</v>
      </c>
      <c r="BR240" s="27" t="s">
        <v>1296</v>
      </c>
      <c r="BS240" s="27" t="s">
        <v>391</v>
      </c>
      <c r="BT240" s="27" t="s">
        <v>391</v>
      </c>
      <c r="BU240" s="27" t="s">
        <v>391</v>
      </c>
      <c r="BV240" s="27" t="s">
        <v>391</v>
      </c>
      <c r="BW240" s="27" t="s">
        <v>391</v>
      </c>
      <c r="BX240" s="27" t="s">
        <v>391</v>
      </c>
      <c r="BY240" s="27" t="s">
        <v>391</v>
      </c>
      <c r="BZ240" s="27" t="s">
        <v>391</v>
      </c>
      <c r="CA240" s="27" t="s">
        <v>391</v>
      </c>
      <c r="CB240" s="27" t="s">
        <v>391</v>
      </c>
      <c r="CC240" s="27" t="s">
        <v>391</v>
      </c>
      <c r="CD240" s="27" t="s">
        <v>391</v>
      </c>
      <c r="CE240" s="27" t="s">
        <v>391</v>
      </c>
      <c r="CF240" s="27" t="s">
        <v>391</v>
      </c>
      <c r="CG240" s="27" t="s">
        <v>393</v>
      </c>
      <c r="CH240" s="27" t="s">
        <v>393</v>
      </c>
      <c r="CI240" s="27" t="s">
        <v>393</v>
      </c>
      <c r="CJ240" s="27" t="s">
        <v>393</v>
      </c>
      <c r="CK240" s="27" t="s">
        <v>1382</v>
      </c>
      <c r="CL240" s="27" t="s">
        <v>344</v>
      </c>
      <c r="CM240" s="27" t="s">
        <v>344</v>
      </c>
      <c r="CN240" s="27" t="s">
        <v>345</v>
      </c>
      <c r="CO240" s="27" t="s">
        <v>345</v>
      </c>
      <c r="CP240" s="27" t="s">
        <v>344</v>
      </c>
      <c r="CQ240" s="27" t="s">
        <v>344</v>
      </c>
      <c r="CR240" s="27" t="s">
        <v>655</v>
      </c>
      <c r="CS240" s="27">
        <v>50</v>
      </c>
      <c r="CT240" s="27">
        <v>50</v>
      </c>
      <c r="CU240" s="27"/>
      <c r="CV240" s="27"/>
      <c r="CW240" s="27" t="s">
        <v>396</v>
      </c>
      <c r="CX240" s="27" t="s">
        <v>396</v>
      </c>
      <c r="CY240" s="27" t="s">
        <v>396</v>
      </c>
      <c r="CZ240" s="27" t="s">
        <v>717</v>
      </c>
      <c r="DA240" s="27" t="s">
        <v>717</v>
      </c>
      <c r="DB240" s="27" t="s">
        <v>717</v>
      </c>
      <c r="DC240" s="27" t="s">
        <v>717</v>
      </c>
      <c r="DD240" s="27" t="s">
        <v>717</v>
      </c>
      <c r="DE240" s="27"/>
      <c r="DF240" s="27"/>
      <c r="DG240" s="27"/>
      <c r="DH240" s="27"/>
      <c r="DI240" s="27"/>
      <c r="DJ240" s="27"/>
      <c r="DK240" s="27" t="s">
        <v>344</v>
      </c>
      <c r="DL240" s="27" t="s">
        <v>368</v>
      </c>
      <c r="DM240" s="27" t="s">
        <v>368</v>
      </c>
      <c r="DN240" s="27" t="s">
        <v>368</v>
      </c>
      <c r="DO240" s="27" t="s">
        <v>368</v>
      </c>
      <c r="DP240" s="27" t="s">
        <v>368</v>
      </c>
      <c r="DQ240" s="27" t="s">
        <v>368</v>
      </c>
      <c r="DR240" s="27" t="s">
        <v>368</v>
      </c>
      <c r="DS240" s="27" t="s">
        <v>345</v>
      </c>
      <c r="DT240" s="27" t="s">
        <v>368</v>
      </c>
      <c r="DU240" s="27" t="s">
        <v>368</v>
      </c>
      <c r="DV240" s="27" t="s">
        <v>368</v>
      </c>
      <c r="DW240" s="27" t="s">
        <v>345</v>
      </c>
      <c r="DX240" s="27" t="s">
        <v>1258</v>
      </c>
      <c r="DY240" s="27" t="s">
        <v>1272</v>
      </c>
      <c r="DZ240" s="27" t="s">
        <v>1272</v>
      </c>
      <c r="EA240" s="27" t="s">
        <v>1272</v>
      </c>
      <c r="EB240" s="27" t="s">
        <v>1272</v>
      </c>
      <c r="EC240" s="27" t="s">
        <v>397</v>
      </c>
      <c r="ED240" s="27" t="s">
        <v>1258</v>
      </c>
      <c r="EE240" s="27" t="s">
        <v>397</v>
      </c>
      <c r="EF240" s="27" t="s">
        <v>1272</v>
      </c>
      <c r="EG240" s="27" t="s">
        <v>1272</v>
      </c>
      <c r="EH240" s="27" t="s">
        <v>1272</v>
      </c>
      <c r="EI240" s="27" t="s">
        <v>397</v>
      </c>
      <c r="EJ240" s="27" t="s">
        <v>1273</v>
      </c>
      <c r="EK240" s="27" t="s">
        <v>1274</v>
      </c>
      <c r="EL240" s="27" t="s">
        <v>1276</v>
      </c>
      <c r="EM240" s="27" t="s">
        <v>1259</v>
      </c>
      <c r="EN240" s="27" t="s">
        <v>1260</v>
      </c>
      <c r="EO240" s="27"/>
      <c r="EP240" s="27"/>
      <c r="EQ240" s="27" t="s">
        <v>717</v>
      </c>
      <c r="ER240" s="27" t="s">
        <v>717</v>
      </c>
      <c r="ES240" s="27" t="s">
        <v>717</v>
      </c>
      <c r="ET240" s="27" t="s">
        <v>717</v>
      </c>
      <c r="EU240" s="27" t="s">
        <v>717</v>
      </c>
      <c r="EV240" s="27" t="s">
        <v>400</v>
      </c>
      <c r="EW240" s="27"/>
      <c r="EX240" s="27" t="s">
        <v>368</v>
      </c>
      <c r="EY240" s="27" t="s">
        <v>368</v>
      </c>
      <c r="EZ240" s="27" t="s">
        <v>368</v>
      </c>
      <c r="FA240" s="27" t="s">
        <v>345</v>
      </c>
      <c r="FB240" s="27" t="s">
        <v>1266</v>
      </c>
      <c r="FC240" s="27"/>
      <c r="FD240" s="27" t="s">
        <v>1321</v>
      </c>
      <c r="FE240" s="27"/>
      <c r="FF240" s="27" t="s">
        <v>1322</v>
      </c>
      <c r="FG240" s="27" t="s">
        <v>402</v>
      </c>
      <c r="FH240" s="27" t="s">
        <v>1301</v>
      </c>
      <c r="FI240" s="27" t="s">
        <v>1294</v>
      </c>
      <c r="FJ240" s="27"/>
      <c r="FK240" s="27"/>
      <c r="FL240" s="27"/>
      <c r="FM240" s="27"/>
      <c r="FN240" s="27"/>
      <c r="FO240" s="27"/>
      <c r="FP240" s="27"/>
      <c r="FQ240" s="27"/>
      <c r="FR240" s="27"/>
      <c r="FS240" s="27"/>
      <c r="FT240" s="27"/>
      <c r="FU240" s="27"/>
      <c r="FV240" s="27"/>
      <c r="FW240" s="27"/>
      <c r="FX240" s="27"/>
      <c r="FY240" s="27"/>
      <c r="FZ240" s="27"/>
      <c r="GA240" s="27" t="s">
        <v>368</v>
      </c>
      <c r="GB240" s="27" t="s">
        <v>368</v>
      </c>
      <c r="GC240" s="27" t="s">
        <v>368</v>
      </c>
      <c r="GD240" s="27" t="s">
        <v>368</v>
      </c>
      <c r="GE240" s="27" t="s">
        <v>368</v>
      </c>
      <c r="GF240" s="27" t="s">
        <v>368</v>
      </c>
      <c r="GG240" s="27"/>
      <c r="GH240" s="27"/>
      <c r="GI240" s="27"/>
      <c r="GJ240" s="27"/>
      <c r="GK240" s="27"/>
      <c r="GL240" s="27" t="s">
        <v>344</v>
      </c>
      <c r="GM240" s="27" t="s">
        <v>344</v>
      </c>
      <c r="GN240" s="27" t="s">
        <v>344</v>
      </c>
      <c r="GO240" s="27" t="s">
        <v>344</v>
      </c>
      <c r="GP240" s="27" t="s">
        <v>344</v>
      </c>
      <c r="GQ240" s="27" t="s">
        <v>344</v>
      </c>
      <c r="GR240" s="27" t="s">
        <v>344</v>
      </c>
      <c r="GS240" s="27" t="s">
        <v>344</v>
      </c>
      <c r="GT240" s="27" t="s">
        <v>344</v>
      </c>
      <c r="GU240" s="27" t="s">
        <v>344</v>
      </c>
      <c r="GV240" s="27" t="s">
        <v>344</v>
      </c>
      <c r="GW240" s="27" t="s">
        <v>345</v>
      </c>
      <c r="GX240" s="27" t="s">
        <v>344</v>
      </c>
      <c r="GY240" s="27" t="s">
        <v>344</v>
      </c>
      <c r="GZ240" s="27" t="s">
        <v>344</v>
      </c>
      <c r="HA240" s="27" t="s">
        <v>344</v>
      </c>
      <c r="HB240" s="27"/>
      <c r="HC240" s="27" t="s">
        <v>344</v>
      </c>
      <c r="HD240" s="27"/>
      <c r="HE240" s="27" t="s">
        <v>344</v>
      </c>
      <c r="HF240" s="27"/>
      <c r="HG240" s="27" t="s">
        <v>344</v>
      </c>
      <c r="HH240" s="27"/>
      <c r="HI240" s="27" t="s">
        <v>344</v>
      </c>
      <c r="HJ240" s="27"/>
      <c r="HK240" s="27" t="s">
        <v>344</v>
      </c>
      <c r="HL240" s="27" t="s">
        <v>344</v>
      </c>
      <c r="HM240" s="27" t="s">
        <v>344</v>
      </c>
      <c r="HN240" s="27" t="s">
        <v>344</v>
      </c>
      <c r="HO240" s="27" t="s">
        <v>344</v>
      </c>
      <c r="HP240" s="27" t="s">
        <v>344</v>
      </c>
      <c r="HQ240" s="27" t="s">
        <v>344</v>
      </c>
      <c r="HR240" s="27" t="s">
        <v>344</v>
      </c>
      <c r="HS240" s="27" t="s">
        <v>344</v>
      </c>
      <c r="HT240" s="27" t="s">
        <v>344</v>
      </c>
      <c r="HU240" s="27" t="s">
        <v>344</v>
      </c>
      <c r="HV240" s="27" t="s">
        <v>344</v>
      </c>
      <c r="HW240" s="27" t="s">
        <v>344</v>
      </c>
      <c r="HX240" s="27" t="s">
        <v>344</v>
      </c>
      <c r="HY240" s="27" t="s">
        <v>344</v>
      </c>
      <c r="HZ240" s="27" t="s">
        <v>344</v>
      </c>
      <c r="IA240" s="27" t="s">
        <v>344</v>
      </c>
      <c r="IB240" s="27" t="s">
        <v>344</v>
      </c>
      <c r="IC240" s="27" t="s">
        <v>345</v>
      </c>
      <c r="ID240" s="27"/>
      <c r="IE240" s="27" t="s">
        <v>344</v>
      </c>
      <c r="IF240" s="27"/>
      <c r="IG240" s="27" t="s">
        <v>344</v>
      </c>
      <c r="IH240" s="27"/>
      <c r="II240" s="27" t="s">
        <v>344</v>
      </c>
      <c r="IJ240" s="27"/>
      <c r="IK240" s="27" t="s">
        <v>344</v>
      </c>
      <c r="IL240" s="27"/>
      <c r="IM240" s="27" t="s">
        <v>345</v>
      </c>
      <c r="IN240" s="27" t="s">
        <v>344</v>
      </c>
      <c r="IO240" s="27" t="s">
        <v>344</v>
      </c>
      <c r="IP240" s="27" t="s">
        <v>344</v>
      </c>
      <c r="IQ240" s="27" t="s">
        <v>345</v>
      </c>
      <c r="IR240" s="27" t="s">
        <v>344</v>
      </c>
      <c r="IS240" s="27" t="s">
        <v>344</v>
      </c>
      <c r="IT240" s="27" t="s">
        <v>345</v>
      </c>
      <c r="IU240" s="27" t="s">
        <v>345</v>
      </c>
      <c r="IV240" s="27" t="s">
        <v>344</v>
      </c>
      <c r="IW240" s="27" t="s">
        <v>345</v>
      </c>
      <c r="IX240" s="27" t="s">
        <v>344</v>
      </c>
      <c r="IY240" s="27" t="s">
        <v>344</v>
      </c>
      <c r="IZ240" s="27" t="s">
        <v>344</v>
      </c>
      <c r="JA240" s="27"/>
      <c r="JB240" s="27"/>
    </row>
    <row r="241" spans="1:262" x14ac:dyDescent="0.3">
      <c r="A241" s="26" t="s">
        <v>727</v>
      </c>
      <c r="B241" s="27">
        <v>190</v>
      </c>
      <c r="C241" s="27" t="s">
        <v>1383</v>
      </c>
      <c r="D241" s="27">
        <v>14</v>
      </c>
      <c r="E241" s="27" t="s">
        <v>387</v>
      </c>
      <c r="F241" s="27">
        <v>175149449</v>
      </c>
      <c r="G241" s="27" t="s">
        <v>1384</v>
      </c>
      <c r="H241" s="27" t="s">
        <v>1383</v>
      </c>
      <c r="I241" s="27" t="s">
        <v>1254</v>
      </c>
      <c r="J241" s="27">
        <v>17</v>
      </c>
      <c r="K241" s="27" t="s">
        <v>1255</v>
      </c>
      <c r="L241" s="27"/>
      <c r="M241" s="27" t="s">
        <v>345</v>
      </c>
      <c r="N241" s="27" t="s">
        <v>344</v>
      </c>
      <c r="O241" s="27" t="s">
        <v>344</v>
      </c>
      <c r="P241" s="27" t="s">
        <v>344</v>
      </c>
      <c r="Q241" s="27" t="s">
        <v>344</v>
      </c>
      <c r="R241" s="27"/>
      <c r="S241" s="27" t="s">
        <v>475</v>
      </c>
      <c r="T241" s="27"/>
      <c r="U241" s="27" t="s">
        <v>347</v>
      </c>
      <c r="V241" s="29"/>
      <c r="W241" s="27" t="s">
        <v>344</v>
      </c>
      <c r="X241" s="27" t="s">
        <v>344</v>
      </c>
      <c r="Y241" s="27" t="s">
        <v>345</v>
      </c>
      <c r="Z241" s="27" t="s">
        <v>344</v>
      </c>
      <c r="AA241" s="27" t="s">
        <v>344</v>
      </c>
      <c r="AB241" s="27" t="s">
        <v>344</v>
      </c>
      <c r="AC241" s="27" t="s">
        <v>344</v>
      </c>
      <c r="AD241" s="27" t="s">
        <v>344</v>
      </c>
      <c r="AE241" s="27" t="s">
        <v>345</v>
      </c>
      <c r="AF241" s="27" t="s">
        <v>345</v>
      </c>
      <c r="AG241" s="27" t="s">
        <v>344</v>
      </c>
      <c r="AH241" s="27" t="s">
        <v>344</v>
      </c>
      <c r="AI241" s="27" t="s">
        <v>344</v>
      </c>
      <c r="AJ241" s="27" t="s">
        <v>344</v>
      </c>
      <c r="AK241" s="27" t="s">
        <v>344</v>
      </c>
      <c r="AL241" s="27" t="s">
        <v>344</v>
      </c>
      <c r="AM241" s="27" t="s">
        <v>344</v>
      </c>
      <c r="AN241" s="27" t="s">
        <v>344</v>
      </c>
      <c r="AO241" s="27" t="s">
        <v>345</v>
      </c>
      <c r="AP241" s="27" t="s">
        <v>344</v>
      </c>
      <c r="AQ241" s="27" t="s">
        <v>344</v>
      </c>
      <c r="AR241" s="27" t="s">
        <v>344</v>
      </c>
      <c r="AS241" s="27" t="s">
        <v>344</v>
      </c>
      <c r="AT241" s="27" t="s">
        <v>345</v>
      </c>
      <c r="AU241" s="27" t="s">
        <v>344</v>
      </c>
      <c r="AV241" s="27" t="s">
        <v>344</v>
      </c>
      <c r="AW241" s="27" t="s">
        <v>344</v>
      </c>
      <c r="AX241" s="27" t="s">
        <v>344</v>
      </c>
      <c r="AY241" s="27" t="s">
        <v>737</v>
      </c>
      <c r="AZ241" s="27" t="s">
        <v>737</v>
      </c>
      <c r="BA241" s="27" t="s">
        <v>732</v>
      </c>
      <c r="BB241" s="27" t="s">
        <v>732</v>
      </c>
      <c r="BC241" s="27" t="s">
        <v>733</v>
      </c>
      <c r="BD241" s="27" t="s">
        <v>733</v>
      </c>
      <c r="BE241" s="27" t="s">
        <v>390</v>
      </c>
      <c r="BF241" s="27" t="s">
        <v>348</v>
      </c>
      <c r="BG241" s="27" t="s">
        <v>349</v>
      </c>
      <c r="BH241" s="27" t="s">
        <v>349</v>
      </c>
      <c r="BI241" s="27" t="s">
        <v>348</v>
      </c>
      <c r="BJ241" s="27" t="s">
        <v>356</v>
      </c>
      <c r="BK241" s="27" t="s">
        <v>354</v>
      </c>
      <c r="BL241" s="27" t="s">
        <v>351</v>
      </c>
      <c r="BM241" s="27" t="s">
        <v>357</v>
      </c>
      <c r="BN241" s="27" t="s">
        <v>351</v>
      </c>
      <c r="BO241" s="27" t="s">
        <v>355</v>
      </c>
      <c r="BP241" s="27" t="s">
        <v>357</v>
      </c>
      <c r="BQ241" s="27" t="s">
        <v>689</v>
      </c>
      <c r="BR241" s="27" t="s">
        <v>1296</v>
      </c>
      <c r="BS241" s="27" t="s">
        <v>354</v>
      </c>
      <c r="BT241" s="27" t="s">
        <v>356</v>
      </c>
      <c r="BU241" s="27" t="s">
        <v>352</v>
      </c>
      <c r="BV241" s="27" t="s">
        <v>353</v>
      </c>
      <c r="BW241" s="27" t="s">
        <v>357</v>
      </c>
      <c r="BX241" s="27" t="s">
        <v>351</v>
      </c>
      <c r="BY241" s="27" t="s">
        <v>357</v>
      </c>
      <c r="BZ241" s="27" t="s">
        <v>391</v>
      </c>
      <c r="CA241" s="27" t="s">
        <v>353</v>
      </c>
      <c r="CB241" s="27" t="s">
        <v>351</v>
      </c>
      <c r="CC241" s="27" t="s">
        <v>357</v>
      </c>
      <c r="CD241" s="27" t="s">
        <v>351</v>
      </c>
      <c r="CE241" s="27" t="s">
        <v>357</v>
      </c>
      <c r="CF241" s="27" t="s">
        <v>354</v>
      </c>
      <c r="CG241" s="27" t="s">
        <v>420</v>
      </c>
      <c r="CH241" s="27" t="s">
        <v>421</v>
      </c>
      <c r="CI241" s="27" t="s">
        <v>420</v>
      </c>
      <c r="CJ241" s="27" t="s">
        <v>393</v>
      </c>
      <c r="CK241" s="27" t="s">
        <v>391</v>
      </c>
      <c r="CL241" s="27" t="s">
        <v>344</v>
      </c>
      <c r="CM241" s="27" t="s">
        <v>344</v>
      </c>
      <c r="CN241" s="27" t="s">
        <v>344</v>
      </c>
      <c r="CO241" s="27" t="s">
        <v>345</v>
      </c>
      <c r="CP241" s="27" t="s">
        <v>345</v>
      </c>
      <c r="CQ241" s="27" t="s">
        <v>344</v>
      </c>
      <c r="CR241" s="27" t="s">
        <v>655</v>
      </c>
      <c r="CS241" s="27">
        <v>35</v>
      </c>
      <c r="CT241" s="27">
        <v>100</v>
      </c>
      <c r="CU241" s="27"/>
      <c r="CV241" s="27"/>
      <c r="CW241" s="27" t="s">
        <v>395</v>
      </c>
      <c r="CX241" s="27" t="s">
        <v>396</v>
      </c>
      <c r="CY241" s="27" t="s">
        <v>395</v>
      </c>
      <c r="CZ241" s="27" t="s">
        <v>397</v>
      </c>
      <c r="DA241" s="27" t="s">
        <v>366</v>
      </c>
      <c r="DB241" s="27" t="s">
        <v>365</v>
      </c>
      <c r="DC241" s="27" t="s">
        <v>397</v>
      </c>
      <c r="DD241" s="27" t="s">
        <v>365</v>
      </c>
      <c r="DE241" s="27"/>
      <c r="DF241" s="27"/>
      <c r="DG241" s="27"/>
      <c r="DH241" s="27"/>
      <c r="DI241" s="27"/>
      <c r="DJ241" s="27" t="s">
        <v>1385</v>
      </c>
      <c r="DK241" s="27" t="s">
        <v>344</v>
      </c>
      <c r="DL241" s="27" t="s">
        <v>368</v>
      </c>
      <c r="DM241" s="27" t="s">
        <v>368</v>
      </c>
      <c r="DN241" s="27" t="s">
        <v>368</v>
      </c>
      <c r="DO241" s="27" t="s">
        <v>368</v>
      </c>
      <c r="DP241" s="27" t="s">
        <v>368</v>
      </c>
      <c r="DQ241" s="27" t="s">
        <v>368</v>
      </c>
      <c r="DR241" s="27" t="s">
        <v>368</v>
      </c>
      <c r="DS241" s="27" t="s">
        <v>345</v>
      </c>
      <c r="DT241" s="27" t="s">
        <v>368</v>
      </c>
      <c r="DU241" s="27" t="s">
        <v>368</v>
      </c>
      <c r="DV241" s="27" t="s">
        <v>368</v>
      </c>
      <c r="DW241" s="27" t="s">
        <v>345</v>
      </c>
      <c r="DX241" s="27" t="s">
        <v>1258</v>
      </c>
      <c r="DY241" s="27" t="s">
        <v>1258</v>
      </c>
      <c r="DZ241" s="27" t="s">
        <v>1258</v>
      </c>
      <c r="EA241" s="27" t="s">
        <v>1258</v>
      </c>
      <c r="EB241" s="27" t="s">
        <v>1258</v>
      </c>
      <c r="EC241" s="27" t="s">
        <v>1258</v>
      </c>
      <c r="ED241" s="27" t="s">
        <v>1258</v>
      </c>
      <c r="EE241" s="27" t="s">
        <v>397</v>
      </c>
      <c r="EF241" s="27" t="s">
        <v>1273</v>
      </c>
      <c r="EG241" s="27" t="s">
        <v>397</v>
      </c>
      <c r="EH241" s="27" t="s">
        <v>1273</v>
      </c>
      <c r="EI241" s="27" t="s">
        <v>1273</v>
      </c>
      <c r="EJ241" s="27" t="s">
        <v>397</v>
      </c>
      <c r="EK241" s="27" t="s">
        <v>1274</v>
      </c>
      <c r="EL241" s="27" t="s">
        <v>1276</v>
      </c>
      <c r="EM241" s="27" t="s">
        <v>1260</v>
      </c>
      <c r="EN241" s="27" t="s">
        <v>1259</v>
      </c>
      <c r="EO241" s="27"/>
      <c r="EP241" s="27"/>
      <c r="EQ241" s="27" t="s">
        <v>1263</v>
      </c>
      <c r="ER241" s="27" t="s">
        <v>1262</v>
      </c>
      <c r="ES241" s="27" t="s">
        <v>1263</v>
      </c>
      <c r="ET241" s="27" t="s">
        <v>1264</v>
      </c>
      <c r="EU241" s="27" t="s">
        <v>1264</v>
      </c>
      <c r="EV241" s="27" t="s">
        <v>1265</v>
      </c>
      <c r="EW241" s="27"/>
      <c r="EX241" s="27" t="s">
        <v>368</v>
      </c>
      <c r="EY241" s="27" t="s">
        <v>368</v>
      </c>
      <c r="EZ241" s="27" t="s">
        <v>368</v>
      </c>
      <c r="FA241" s="27" t="s">
        <v>345</v>
      </c>
      <c r="FB241" s="27" t="s">
        <v>1266</v>
      </c>
      <c r="FC241" s="27"/>
      <c r="FD241" s="27" t="s">
        <v>1266</v>
      </c>
      <c r="FE241" s="27"/>
      <c r="FF241" s="27" t="s">
        <v>431</v>
      </c>
      <c r="FG241" s="27" t="s">
        <v>441</v>
      </c>
      <c r="FH241" s="27" t="s">
        <v>432</v>
      </c>
      <c r="FI241" s="27" t="s">
        <v>442</v>
      </c>
      <c r="FJ241" s="27"/>
      <c r="FK241" s="27"/>
      <c r="FL241" s="27"/>
      <c r="FM241" s="27"/>
      <c r="FN241" s="27"/>
      <c r="FO241" s="27"/>
      <c r="FP241" s="27"/>
      <c r="FQ241" s="27"/>
      <c r="FR241" s="27"/>
      <c r="FS241" s="27"/>
      <c r="FT241" s="27"/>
      <c r="FU241" s="27"/>
      <c r="FV241" s="27"/>
      <c r="FW241" s="27"/>
      <c r="FX241" s="27"/>
      <c r="FY241" s="27"/>
      <c r="FZ241" s="27"/>
      <c r="GA241" s="27" t="s">
        <v>368</v>
      </c>
      <c r="GB241" s="27" t="s">
        <v>368</v>
      </c>
      <c r="GC241" s="27" t="s">
        <v>368</v>
      </c>
      <c r="GD241" s="27" t="s">
        <v>368</v>
      </c>
      <c r="GE241" s="27" t="s">
        <v>368</v>
      </c>
      <c r="GF241" s="27" t="s">
        <v>368</v>
      </c>
      <c r="GG241" s="27"/>
      <c r="GH241" s="27"/>
      <c r="GI241" s="27"/>
      <c r="GJ241" s="27"/>
      <c r="GK241" s="27"/>
      <c r="GL241" s="27" t="s">
        <v>344</v>
      </c>
      <c r="GM241" s="27" t="s">
        <v>344</v>
      </c>
      <c r="GN241" s="27" t="s">
        <v>344</v>
      </c>
      <c r="GO241" s="27" t="s">
        <v>344</v>
      </c>
      <c r="GP241" s="27" t="s">
        <v>344</v>
      </c>
      <c r="GQ241" s="27" t="s">
        <v>344</v>
      </c>
      <c r="GR241" s="27" t="s">
        <v>344</v>
      </c>
      <c r="GS241" s="27" t="s">
        <v>344</v>
      </c>
      <c r="GT241" s="27" t="s">
        <v>344</v>
      </c>
      <c r="GU241" s="27" t="s">
        <v>344</v>
      </c>
      <c r="GV241" s="27" t="s">
        <v>344</v>
      </c>
      <c r="GW241" s="27" t="s">
        <v>345</v>
      </c>
      <c r="GX241" s="27" t="s">
        <v>344</v>
      </c>
      <c r="GY241" s="27" t="s">
        <v>344</v>
      </c>
      <c r="GZ241" s="27" t="s">
        <v>344</v>
      </c>
      <c r="HA241" s="27" t="s">
        <v>344</v>
      </c>
      <c r="HB241" s="27"/>
      <c r="HC241" s="27" t="s">
        <v>345</v>
      </c>
      <c r="HD241" s="27"/>
      <c r="HE241" s="27" t="s">
        <v>345</v>
      </c>
      <c r="HF241" s="27"/>
      <c r="HG241" s="27" t="s">
        <v>344</v>
      </c>
      <c r="HH241" s="27"/>
      <c r="HI241" s="27" t="s">
        <v>344</v>
      </c>
      <c r="HJ241" s="27"/>
      <c r="HK241" s="27" t="s">
        <v>344</v>
      </c>
      <c r="HL241" s="27" t="s">
        <v>344</v>
      </c>
      <c r="HM241" s="27" t="s">
        <v>344</v>
      </c>
      <c r="HN241" s="27" t="s">
        <v>344</v>
      </c>
      <c r="HO241" s="27" t="s">
        <v>344</v>
      </c>
      <c r="HP241" s="27" t="s">
        <v>344</v>
      </c>
      <c r="HQ241" s="27" t="s">
        <v>344</v>
      </c>
      <c r="HR241" s="27" t="s">
        <v>344</v>
      </c>
      <c r="HS241" s="27" t="s">
        <v>344</v>
      </c>
      <c r="HT241" s="27" t="s">
        <v>344</v>
      </c>
      <c r="HU241" s="27" t="s">
        <v>344</v>
      </c>
      <c r="HV241" s="27" t="s">
        <v>344</v>
      </c>
      <c r="HW241" s="27" t="s">
        <v>345</v>
      </c>
      <c r="HX241" s="27" t="s">
        <v>344</v>
      </c>
      <c r="HY241" s="27" t="s">
        <v>344</v>
      </c>
      <c r="HZ241" s="27" t="s">
        <v>344</v>
      </c>
      <c r="IA241" s="27" t="s">
        <v>344</v>
      </c>
      <c r="IB241" s="27" t="s">
        <v>344</v>
      </c>
      <c r="IC241" s="27" t="s">
        <v>344</v>
      </c>
      <c r="ID241" s="27"/>
      <c r="IE241" s="27" t="s">
        <v>345</v>
      </c>
      <c r="IF241" s="27"/>
      <c r="IG241" s="27" t="s">
        <v>344</v>
      </c>
      <c r="IH241" s="27"/>
      <c r="II241" s="27" t="s">
        <v>344</v>
      </c>
      <c r="IJ241" s="27"/>
      <c r="IK241" s="27" t="s">
        <v>344</v>
      </c>
      <c r="IL241" s="27"/>
      <c r="IM241" s="27" t="s">
        <v>345</v>
      </c>
      <c r="IN241" s="27" t="s">
        <v>345</v>
      </c>
      <c r="IO241" s="27" t="s">
        <v>344</v>
      </c>
      <c r="IP241" s="27" t="s">
        <v>344</v>
      </c>
      <c r="IQ241" s="27" t="s">
        <v>345</v>
      </c>
      <c r="IR241" s="27" t="s">
        <v>344</v>
      </c>
      <c r="IS241" s="27" t="s">
        <v>344</v>
      </c>
      <c r="IT241" s="27" t="s">
        <v>344</v>
      </c>
      <c r="IU241" s="27" t="s">
        <v>344</v>
      </c>
      <c r="IV241" s="27" t="s">
        <v>344</v>
      </c>
      <c r="IW241" s="27" t="s">
        <v>344</v>
      </c>
      <c r="IX241" s="27" t="s">
        <v>344</v>
      </c>
      <c r="IY241" s="27" t="s">
        <v>345</v>
      </c>
      <c r="IZ241" s="27" t="s">
        <v>344</v>
      </c>
      <c r="JA241" s="27"/>
      <c r="JB241" s="27"/>
    </row>
    <row r="242" spans="1:262" x14ac:dyDescent="0.3">
      <c r="A242" s="26" t="s">
        <v>727</v>
      </c>
      <c r="B242" s="27">
        <v>191</v>
      </c>
      <c r="C242" s="27" t="s">
        <v>1386</v>
      </c>
      <c r="D242" s="27">
        <v>14</v>
      </c>
      <c r="E242" s="27" t="s">
        <v>340</v>
      </c>
      <c r="F242" s="27">
        <v>1443384328</v>
      </c>
      <c r="G242" s="27" t="s">
        <v>1387</v>
      </c>
      <c r="H242" s="27" t="s">
        <v>1386</v>
      </c>
      <c r="I242" s="27" t="s">
        <v>1290</v>
      </c>
      <c r="J242" s="27">
        <v>17</v>
      </c>
      <c r="K242" s="27" t="s">
        <v>1255</v>
      </c>
      <c r="L242" s="27"/>
      <c r="M242" s="27" t="s">
        <v>344</v>
      </c>
      <c r="N242" s="27" t="s">
        <v>345</v>
      </c>
      <c r="O242" s="27" t="s">
        <v>344</v>
      </c>
      <c r="P242" s="27" t="s">
        <v>344</v>
      </c>
      <c r="Q242" s="27" t="s">
        <v>344</v>
      </c>
      <c r="R242" s="27"/>
      <c r="S242" s="27" t="s">
        <v>475</v>
      </c>
      <c r="T242" s="27"/>
      <c r="U242" s="27" t="s">
        <v>1256</v>
      </c>
      <c r="V242" s="27"/>
      <c r="W242" s="27" t="s">
        <v>368</v>
      </c>
      <c r="X242" s="27" t="s">
        <v>368</v>
      </c>
      <c r="Y242" s="27" t="s">
        <v>368</v>
      </c>
      <c r="Z242" s="27" t="s">
        <v>368</v>
      </c>
      <c r="AA242" s="27" t="s">
        <v>368</v>
      </c>
      <c r="AB242" s="27" t="s">
        <v>368</v>
      </c>
      <c r="AC242" s="27" t="s">
        <v>345</v>
      </c>
      <c r="AD242" s="27" t="s">
        <v>368</v>
      </c>
      <c r="AE242" s="27" t="s">
        <v>368</v>
      </c>
      <c r="AF242" s="27" t="s">
        <v>368</v>
      </c>
      <c r="AG242" s="27" t="s">
        <v>368</v>
      </c>
      <c r="AH242" s="27" t="s">
        <v>368</v>
      </c>
      <c r="AI242" s="27" t="s">
        <v>368</v>
      </c>
      <c r="AJ242" s="27" t="s">
        <v>345</v>
      </c>
      <c r="AK242" s="27" t="s">
        <v>368</v>
      </c>
      <c r="AL242" s="27" t="s">
        <v>368</v>
      </c>
      <c r="AM242" s="27" t="s">
        <v>368</v>
      </c>
      <c r="AN242" s="27" t="s">
        <v>368</v>
      </c>
      <c r="AO242" s="27" t="s">
        <v>368</v>
      </c>
      <c r="AP242" s="27" t="s">
        <v>368</v>
      </c>
      <c r="AQ242" s="27" t="s">
        <v>345</v>
      </c>
      <c r="AR242" s="27" t="s">
        <v>368</v>
      </c>
      <c r="AS242" s="27" t="s">
        <v>368</v>
      </c>
      <c r="AT242" s="27" t="s">
        <v>368</v>
      </c>
      <c r="AU242" s="27" t="s">
        <v>368</v>
      </c>
      <c r="AV242" s="27" t="s">
        <v>368</v>
      </c>
      <c r="AW242" s="27" t="s">
        <v>368</v>
      </c>
      <c r="AX242" s="27" t="s">
        <v>345</v>
      </c>
      <c r="AY242" s="27" t="s">
        <v>732</v>
      </c>
      <c r="AZ242" s="27" t="s">
        <v>732</v>
      </c>
      <c r="BA242" s="27" t="s">
        <v>391</v>
      </c>
      <c r="BB242" s="27" t="s">
        <v>731</v>
      </c>
      <c r="BC242" s="27" t="s">
        <v>391</v>
      </c>
      <c r="BD242" s="27" t="s">
        <v>391</v>
      </c>
      <c r="BE242" s="27" t="s">
        <v>349</v>
      </c>
      <c r="BF242" s="27" t="s">
        <v>349</v>
      </c>
      <c r="BG242" s="27" t="s">
        <v>390</v>
      </c>
      <c r="BH242" s="27" t="s">
        <v>717</v>
      </c>
      <c r="BI242" s="27" t="s">
        <v>717</v>
      </c>
      <c r="BJ242" s="27" t="s">
        <v>391</v>
      </c>
      <c r="BK242" s="27" t="s">
        <v>391</v>
      </c>
      <c r="BL242" s="27" t="s">
        <v>391</v>
      </c>
      <c r="BM242" s="27" t="s">
        <v>391</v>
      </c>
      <c r="BN242" s="27" t="s">
        <v>391</v>
      </c>
      <c r="BO242" s="27" t="s">
        <v>391</v>
      </c>
      <c r="BP242" s="27" t="s">
        <v>391</v>
      </c>
      <c r="BQ242" s="27" t="s">
        <v>419</v>
      </c>
      <c r="BR242" s="27" t="s">
        <v>1296</v>
      </c>
      <c r="BS242" s="27" t="s">
        <v>391</v>
      </c>
      <c r="BT242" s="27" t="s">
        <v>391</v>
      </c>
      <c r="BU242" s="27" t="s">
        <v>391</v>
      </c>
      <c r="BV242" s="27" t="s">
        <v>391</v>
      </c>
      <c r="BW242" s="27" t="s">
        <v>391</v>
      </c>
      <c r="BX242" s="27" t="s">
        <v>391</v>
      </c>
      <c r="BY242" s="27" t="s">
        <v>391</v>
      </c>
      <c r="BZ242" s="27" t="s">
        <v>391</v>
      </c>
      <c r="CA242" s="27" t="s">
        <v>391</v>
      </c>
      <c r="CB242" s="27" t="s">
        <v>391</v>
      </c>
      <c r="CC242" s="27" t="s">
        <v>391</v>
      </c>
      <c r="CD242" s="27" t="s">
        <v>391</v>
      </c>
      <c r="CE242" s="27" t="s">
        <v>391</v>
      </c>
      <c r="CF242" s="27" t="s">
        <v>391</v>
      </c>
      <c r="CG242" s="27" t="s">
        <v>420</v>
      </c>
      <c r="CH242" s="27" t="s">
        <v>421</v>
      </c>
      <c r="CI242" s="27" t="s">
        <v>393</v>
      </c>
      <c r="CJ242" s="27" t="s">
        <v>421</v>
      </c>
      <c r="CK242" s="27" t="s">
        <v>510</v>
      </c>
      <c r="CL242" s="27" t="s">
        <v>344</v>
      </c>
      <c r="CM242" s="27" t="s">
        <v>345</v>
      </c>
      <c r="CN242" s="27" t="s">
        <v>345</v>
      </c>
      <c r="CO242" s="27" t="s">
        <v>345</v>
      </c>
      <c r="CP242" s="27" t="s">
        <v>345</v>
      </c>
      <c r="CQ242" s="27" t="s">
        <v>344</v>
      </c>
      <c r="CR242" s="27" t="s">
        <v>655</v>
      </c>
      <c r="CS242" s="27">
        <v>65</v>
      </c>
      <c r="CT242" s="27">
        <v>45</v>
      </c>
      <c r="CU242" s="27">
        <v>56</v>
      </c>
      <c r="CV242" s="27">
        <v>80</v>
      </c>
      <c r="CW242" s="27" t="s">
        <v>363</v>
      </c>
      <c r="CX242" s="27" t="s">
        <v>395</v>
      </c>
      <c r="CY242" s="27" t="s">
        <v>396</v>
      </c>
      <c r="CZ242" s="27" t="s">
        <v>717</v>
      </c>
      <c r="DA242" s="27" t="s">
        <v>397</v>
      </c>
      <c r="DB242" s="27" t="s">
        <v>717</v>
      </c>
      <c r="DC242" s="27" t="s">
        <v>717</v>
      </c>
      <c r="DD242" s="27" t="s">
        <v>397</v>
      </c>
      <c r="DE242" s="27" t="s">
        <v>717</v>
      </c>
      <c r="DF242" s="27" t="s">
        <v>397</v>
      </c>
      <c r="DG242" s="27" t="s">
        <v>717</v>
      </c>
      <c r="DH242" s="27" t="s">
        <v>717</v>
      </c>
      <c r="DI242" s="27" t="s">
        <v>366</v>
      </c>
      <c r="DJ242" s="27" t="s">
        <v>1388</v>
      </c>
      <c r="DK242" s="27" t="s">
        <v>344</v>
      </c>
      <c r="DL242" s="27" t="s">
        <v>368</v>
      </c>
      <c r="DM242" s="27" t="s">
        <v>368</v>
      </c>
      <c r="DN242" s="27" t="s">
        <v>368</v>
      </c>
      <c r="DO242" s="27" t="s">
        <v>368</v>
      </c>
      <c r="DP242" s="27" t="s">
        <v>368</v>
      </c>
      <c r="DQ242" s="27" t="s">
        <v>368</v>
      </c>
      <c r="DR242" s="27" t="s">
        <v>368</v>
      </c>
      <c r="DS242" s="27" t="s">
        <v>345</v>
      </c>
      <c r="DT242" s="27" t="s">
        <v>368</v>
      </c>
      <c r="DU242" s="27" t="s">
        <v>368</v>
      </c>
      <c r="DV242" s="27" t="s">
        <v>368</v>
      </c>
      <c r="DW242" s="27" t="s">
        <v>345</v>
      </c>
      <c r="DX242" s="27" t="s">
        <v>397</v>
      </c>
      <c r="DY242" s="27" t="s">
        <v>1258</v>
      </c>
      <c r="DZ242" s="27" t="s">
        <v>397</v>
      </c>
      <c r="EA242" s="27" t="s">
        <v>1274</v>
      </c>
      <c r="EB242" s="27" t="s">
        <v>397</v>
      </c>
      <c r="EC242" s="27" t="s">
        <v>397</v>
      </c>
      <c r="ED242" s="27" t="s">
        <v>1258</v>
      </c>
      <c r="EE242" s="27" t="s">
        <v>1258</v>
      </c>
      <c r="EF242" s="27" t="s">
        <v>1272</v>
      </c>
      <c r="EG242" s="27" t="s">
        <v>397</v>
      </c>
      <c r="EH242" s="27" t="s">
        <v>1258</v>
      </c>
      <c r="EI242" s="27" t="s">
        <v>397</v>
      </c>
      <c r="EJ242" s="27" t="s">
        <v>1258</v>
      </c>
      <c r="EK242" s="27" t="s">
        <v>1272</v>
      </c>
      <c r="EL242" s="27" t="s">
        <v>1261</v>
      </c>
      <c r="EM242" s="27" t="s">
        <v>1276</v>
      </c>
      <c r="EN242" s="27" t="s">
        <v>1275</v>
      </c>
      <c r="EO242" s="27"/>
      <c r="EP242" s="27"/>
      <c r="EQ242" s="27" t="s">
        <v>1264</v>
      </c>
      <c r="ER242" s="27" t="s">
        <v>1264</v>
      </c>
      <c r="ES242" s="27" t="s">
        <v>1262</v>
      </c>
      <c r="ET242" s="27" t="s">
        <v>1264</v>
      </c>
      <c r="EU242" s="27" t="s">
        <v>1277</v>
      </c>
      <c r="EV242" s="27" t="s">
        <v>400</v>
      </c>
      <c r="EW242" s="27"/>
      <c r="EX242" s="27" t="s">
        <v>368</v>
      </c>
      <c r="EY242" s="27" t="s">
        <v>368</v>
      </c>
      <c r="EZ242" s="27" t="s">
        <v>368</v>
      </c>
      <c r="FA242" s="27" t="s">
        <v>345</v>
      </c>
      <c r="FB242" s="27" t="s">
        <v>1266</v>
      </c>
      <c r="FC242" s="27"/>
      <c r="FD242" s="27" t="s">
        <v>1266</v>
      </c>
      <c r="FE242" s="27"/>
      <c r="FF242" s="27" t="s">
        <v>1322</v>
      </c>
      <c r="FG242" s="27" t="s">
        <v>1323</v>
      </c>
      <c r="FH242" s="27" t="s">
        <v>1293</v>
      </c>
      <c r="FI242" s="27" t="s">
        <v>385</v>
      </c>
      <c r="FJ242" s="27"/>
      <c r="FK242" s="27"/>
      <c r="FL242" s="27"/>
      <c r="FM242" s="27"/>
      <c r="FN242" s="27"/>
      <c r="FO242" s="27"/>
      <c r="FP242" s="27"/>
      <c r="FQ242" s="27"/>
      <c r="FR242" s="27"/>
      <c r="FS242" s="27"/>
      <c r="FT242" s="27"/>
      <c r="FU242" s="27"/>
      <c r="FV242" s="27"/>
      <c r="FW242" s="27"/>
      <c r="FX242" s="27"/>
      <c r="FY242" s="27"/>
      <c r="FZ242" s="27"/>
      <c r="GA242" s="27" t="s">
        <v>368</v>
      </c>
      <c r="GB242" s="27" t="s">
        <v>368</v>
      </c>
      <c r="GC242" s="27" t="s">
        <v>368</v>
      </c>
      <c r="GD242" s="27" t="s">
        <v>368</v>
      </c>
      <c r="GE242" s="27" t="s">
        <v>368</v>
      </c>
      <c r="GF242" s="27" t="s">
        <v>368</v>
      </c>
      <c r="GG242" s="27"/>
      <c r="GH242" s="27"/>
      <c r="GI242" s="27"/>
      <c r="GJ242" s="27"/>
      <c r="GK242" s="27"/>
      <c r="GL242" s="27" t="s">
        <v>344</v>
      </c>
      <c r="GM242" s="27" t="s">
        <v>344</v>
      </c>
      <c r="GN242" s="27" t="s">
        <v>344</v>
      </c>
      <c r="GO242" s="27" t="s">
        <v>344</v>
      </c>
      <c r="GP242" s="27" t="s">
        <v>344</v>
      </c>
      <c r="GQ242" s="27" t="s">
        <v>344</v>
      </c>
      <c r="GR242" s="27" t="s">
        <v>344</v>
      </c>
      <c r="GS242" s="27" t="s">
        <v>344</v>
      </c>
      <c r="GT242" s="27" t="s">
        <v>344</v>
      </c>
      <c r="GU242" s="27" t="s">
        <v>344</v>
      </c>
      <c r="GV242" s="27" t="s">
        <v>344</v>
      </c>
      <c r="GW242" s="27" t="s">
        <v>344</v>
      </c>
      <c r="GX242" s="27" t="s">
        <v>344</v>
      </c>
      <c r="GY242" s="27" t="s">
        <v>344</v>
      </c>
      <c r="GZ242" s="27" t="s">
        <v>344</v>
      </c>
      <c r="HA242" s="27" t="s">
        <v>345</v>
      </c>
      <c r="HB242" s="27"/>
      <c r="HC242" s="27" t="s">
        <v>344</v>
      </c>
      <c r="HD242" s="27"/>
      <c r="HE242" s="27" t="s">
        <v>344</v>
      </c>
      <c r="HF242" s="27"/>
      <c r="HG242" s="27" t="s">
        <v>344</v>
      </c>
      <c r="HH242" s="27"/>
      <c r="HI242" s="27" t="s">
        <v>344</v>
      </c>
      <c r="HJ242" s="27"/>
      <c r="HK242" s="27" t="s">
        <v>345</v>
      </c>
      <c r="HL242" s="27" t="s">
        <v>345</v>
      </c>
      <c r="HM242" s="27" t="s">
        <v>344</v>
      </c>
      <c r="HN242" s="27" t="s">
        <v>344</v>
      </c>
      <c r="HO242" s="27" t="s">
        <v>344</v>
      </c>
      <c r="HP242" s="27" t="s">
        <v>344</v>
      </c>
      <c r="HQ242" s="27" t="s">
        <v>344</v>
      </c>
      <c r="HR242" s="27" t="s">
        <v>344</v>
      </c>
      <c r="HS242" s="27" t="s">
        <v>344</v>
      </c>
      <c r="HT242" s="27" t="s">
        <v>345</v>
      </c>
      <c r="HU242" s="27" t="s">
        <v>344</v>
      </c>
      <c r="HV242" s="27" t="s">
        <v>344</v>
      </c>
      <c r="HW242" s="27" t="s">
        <v>344</v>
      </c>
      <c r="HX242" s="27" t="s">
        <v>345</v>
      </c>
      <c r="HY242" s="27" t="s">
        <v>344</v>
      </c>
      <c r="HZ242" s="27" t="s">
        <v>344</v>
      </c>
      <c r="IA242" s="27" t="s">
        <v>344</v>
      </c>
      <c r="IB242" s="27" t="s">
        <v>344</v>
      </c>
      <c r="IC242" s="27" t="s">
        <v>344</v>
      </c>
      <c r="ID242" s="27"/>
      <c r="IE242" s="27" t="s">
        <v>344</v>
      </c>
      <c r="IF242" s="27"/>
      <c r="IG242" s="27" t="s">
        <v>344</v>
      </c>
      <c r="IH242" s="27"/>
      <c r="II242" s="27" t="s">
        <v>344</v>
      </c>
      <c r="IJ242" s="27"/>
      <c r="IK242" s="27" t="s">
        <v>344</v>
      </c>
      <c r="IL242" s="27"/>
      <c r="IM242" s="27" t="s">
        <v>345</v>
      </c>
      <c r="IN242" s="27" t="s">
        <v>344</v>
      </c>
      <c r="IO242" s="27" t="s">
        <v>344</v>
      </c>
      <c r="IP242" s="27" t="s">
        <v>344</v>
      </c>
      <c r="IQ242" s="27" t="s">
        <v>345</v>
      </c>
      <c r="IR242" s="27" t="s">
        <v>345</v>
      </c>
      <c r="IS242" s="27" t="s">
        <v>344</v>
      </c>
      <c r="IT242" s="27" t="s">
        <v>345</v>
      </c>
      <c r="IU242" s="27" t="s">
        <v>344</v>
      </c>
      <c r="IV242" s="27" t="s">
        <v>344</v>
      </c>
      <c r="IW242" s="27" t="s">
        <v>344</v>
      </c>
      <c r="IX242" s="27" t="s">
        <v>344</v>
      </c>
      <c r="IY242" s="27" t="s">
        <v>344</v>
      </c>
      <c r="IZ242" s="27" t="s">
        <v>344</v>
      </c>
      <c r="JA242" s="27" t="s">
        <v>748</v>
      </c>
      <c r="JB242" s="27"/>
    </row>
    <row r="243" spans="1:262" x14ac:dyDescent="0.3">
      <c r="A243" s="26" t="s">
        <v>727</v>
      </c>
      <c r="B243" s="27">
        <v>192</v>
      </c>
      <c r="C243" s="27" t="s">
        <v>1389</v>
      </c>
      <c r="D243" s="27">
        <v>14</v>
      </c>
      <c r="E243" s="27" t="s">
        <v>387</v>
      </c>
      <c r="F243" s="27">
        <v>357615941</v>
      </c>
      <c r="G243" s="27" t="s">
        <v>1390</v>
      </c>
      <c r="H243" s="27" t="s">
        <v>1389</v>
      </c>
      <c r="I243" s="27" t="s">
        <v>1254</v>
      </c>
      <c r="J243" s="27">
        <v>17</v>
      </c>
      <c r="K243" s="27" t="s">
        <v>1255</v>
      </c>
      <c r="L243" s="27"/>
      <c r="M243" s="27" t="s">
        <v>345</v>
      </c>
      <c r="N243" s="27" t="s">
        <v>344</v>
      </c>
      <c r="O243" s="27" t="s">
        <v>344</v>
      </c>
      <c r="P243" s="27" t="s">
        <v>344</v>
      </c>
      <c r="Q243" s="27" t="s">
        <v>344</v>
      </c>
      <c r="R243" s="27"/>
      <c r="S243" s="27" t="s">
        <v>475</v>
      </c>
      <c r="T243" s="27"/>
      <c r="U243" s="27" t="s">
        <v>1256</v>
      </c>
      <c r="V243" s="27"/>
      <c r="W243" s="27" t="s">
        <v>345</v>
      </c>
      <c r="X243" s="27" t="s">
        <v>345</v>
      </c>
      <c r="Y243" s="27" t="s">
        <v>344</v>
      </c>
      <c r="Z243" s="27" t="s">
        <v>344</v>
      </c>
      <c r="AA243" s="27" t="s">
        <v>344</v>
      </c>
      <c r="AB243" s="27" t="s">
        <v>344</v>
      </c>
      <c r="AC243" s="27" t="s">
        <v>344</v>
      </c>
      <c r="AD243" s="27" t="s">
        <v>344</v>
      </c>
      <c r="AE243" s="27" t="s">
        <v>345</v>
      </c>
      <c r="AF243" s="27" t="s">
        <v>344</v>
      </c>
      <c r="AG243" s="27" t="s">
        <v>345</v>
      </c>
      <c r="AH243" s="27" t="s">
        <v>344</v>
      </c>
      <c r="AI243" s="27" t="s">
        <v>344</v>
      </c>
      <c r="AJ243" s="27" t="s">
        <v>344</v>
      </c>
      <c r="AK243" s="27" t="s">
        <v>345</v>
      </c>
      <c r="AL243" s="27" t="s">
        <v>344</v>
      </c>
      <c r="AM243" s="27" t="s">
        <v>344</v>
      </c>
      <c r="AN243" s="27" t="s">
        <v>344</v>
      </c>
      <c r="AO243" s="27" t="s">
        <v>344</v>
      </c>
      <c r="AP243" s="27" t="s">
        <v>344</v>
      </c>
      <c r="AQ243" s="27" t="s">
        <v>344</v>
      </c>
      <c r="AR243" s="27" t="s">
        <v>345</v>
      </c>
      <c r="AS243" s="27" t="s">
        <v>344</v>
      </c>
      <c r="AT243" s="27" t="s">
        <v>344</v>
      </c>
      <c r="AU243" s="27" t="s">
        <v>344</v>
      </c>
      <c r="AV243" s="27" t="s">
        <v>344</v>
      </c>
      <c r="AW243" s="27" t="s">
        <v>345</v>
      </c>
      <c r="AX243" s="27" t="s">
        <v>344</v>
      </c>
      <c r="AY243" s="27" t="s">
        <v>732</v>
      </c>
      <c r="AZ243" s="27" t="s">
        <v>391</v>
      </c>
      <c r="BA243" s="27" t="s">
        <v>731</v>
      </c>
      <c r="BB243" s="27" t="s">
        <v>732</v>
      </c>
      <c r="BC243" s="27" t="s">
        <v>733</v>
      </c>
      <c r="BD243" s="27" t="s">
        <v>731</v>
      </c>
      <c r="BE243" s="27" t="s">
        <v>390</v>
      </c>
      <c r="BF243" s="27" t="s">
        <v>350</v>
      </c>
      <c r="BG243" s="27" t="s">
        <v>390</v>
      </c>
      <c r="BH243" s="27" t="s">
        <v>390</v>
      </c>
      <c r="BI243" s="27" t="s">
        <v>348</v>
      </c>
      <c r="BJ243" s="27" t="s">
        <v>391</v>
      </c>
      <c r="BK243" s="27" t="s">
        <v>354</v>
      </c>
      <c r="BL243" s="27" t="s">
        <v>351</v>
      </c>
      <c r="BM243" s="27" t="s">
        <v>354</v>
      </c>
      <c r="BN243" s="27" t="s">
        <v>352</v>
      </c>
      <c r="BO243" s="27" t="s">
        <v>354</v>
      </c>
      <c r="BP243" s="27" t="s">
        <v>391</v>
      </c>
      <c r="BQ243" s="27" t="s">
        <v>407</v>
      </c>
      <c r="BR243" s="27" t="s">
        <v>1257</v>
      </c>
      <c r="BS243" s="27" t="s">
        <v>354</v>
      </c>
      <c r="BT243" s="27" t="s">
        <v>357</v>
      </c>
      <c r="BU243" s="27" t="s">
        <v>351</v>
      </c>
      <c r="BV243" s="27" t="s">
        <v>355</v>
      </c>
      <c r="BW243" s="27" t="s">
        <v>353</v>
      </c>
      <c r="BX243" s="27" t="s">
        <v>352</v>
      </c>
      <c r="BY243" s="27" t="s">
        <v>356</v>
      </c>
      <c r="BZ243" s="27" t="s">
        <v>355</v>
      </c>
      <c r="CA243" s="27" t="s">
        <v>353</v>
      </c>
      <c r="CB243" s="27" t="s">
        <v>352</v>
      </c>
      <c r="CC243" s="27" t="s">
        <v>351</v>
      </c>
      <c r="CD243" s="27" t="s">
        <v>354</v>
      </c>
      <c r="CE243" s="27" t="s">
        <v>357</v>
      </c>
      <c r="CF243" s="27" t="s">
        <v>356</v>
      </c>
      <c r="CG243" s="27" t="s">
        <v>420</v>
      </c>
      <c r="CH243" s="27" t="s">
        <v>420</v>
      </c>
      <c r="CI243" s="27" t="s">
        <v>360</v>
      </c>
      <c r="CJ243" s="27" t="s">
        <v>360</v>
      </c>
      <c r="CK243" s="27" t="s">
        <v>391</v>
      </c>
      <c r="CL243" s="27" t="s">
        <v>345</v>
      </c>
      <c r="CM243" s="27" t="s">
        <v>344</v>
      </c>
      <c r="CN243" s="27" t="s">
        <v>344</v>
      </c>
      <c r="CO243" s="27" t="s">
        <v>345</v>
      </c>
      <c r="CP243" s="27" t="s">
        <v>344</v>
      </c>
      <c r="CQ243" s="27" t="s">
        <v>345</v>
      </c>
      <c r="CR243" s="27" t="s">
        <v>667</v>
      </c>
      <c r="CS243" s="27">
        <v>68</v>
      </c>
      <c r="CT243" s="27">
        <v>50</v>
      </c>
      <c r="CU243" s="27"/>
      <c r="CV243" s="27"/>
      <c r="CW243" s="27" t="s">
        <v>396</v>
      </c>
      <c r="CX243" s="27" t="s">
        <v>396</v>
      </c>
      <c r="CY243" s="27" t="s">
        <v>363</v>
      </c>
      <c r="CZ243" s="27" t="s">
        <v>397</v>
      </c>
      <c r="DA243" s="27" t="s">
        <v>397</v>
      </c>
      <c r="DB243" s="27" t="s">
        <v>397</v>
      </c>
      <c r="DC243" s="27" t="s">
        <v>397</v>
      </c>
      <c r="DD243" s="27" t="s">
        <v>397</v>
      </c>
      <c r="DE243" s="27"/>
      <c r="DF243" s="27"/>
      <c r="DG243" s="27"/>
      <c r="DH243" s="27"/>
      <c r="DI243" s="27"/>
      <c r="DJ243" s="27"/>
      <c r="DK243" s="27" t="s">
        <v>344</v>
      </c>
      <c r="DL243" s="27" t="s">
        <v>368</v>
      </c>
      <c r="DM243" s="27" t="s">
        <v>368</v>
      </c>
      <c r="DN243" s="27" t="s">
        <v>368</v>
      </c>
      <c r="DO243" s="27" t="s">
        <v>368</v>
      </c>
      <c r="DP243" s="27" t="s">
        <v>368</v>
      </c>
      <c r="DQ243" s="27" t="s">
        <v>368</v>
      </c>
      <c r="DR243" s="27" t="s">
        <v>368</v>
      </c>
      <c r="DS243" s="27" t="s">
        <v>345</v>
      </c>
      <c r="DT243" s="27" t="s">
        <v>368</v>
      </c>
      <c r="DU243" s="27" t="s">
        <v>368</v>
      </c>
      <c r="DV243" s="27" t="s">
        <v>368</v>
      </c>
      <c r="DW243" s="27" t="s">
        <v>345</v>
      </c>
      <c r="DX243" s="27" t="s">
        <v>1258</v>
      </c>
      <c r="DY243" s="27" t="s">
        <v>1258</v>
      </c>
      <c r="DZ243" s="27" t="s">
        <v>1258</v>
      </c>
      <c r="EA243" s="27" t="s">
        <v>1258</v>
      </c>
      <c r="EB243" s="27" t="s">
        <v>1258</v>
      </c>
      <c r="EC243" s="27" t="s">
        <v>1258</v>
      </c>
      <c r="ED243" s="27" t="s">
        <v>1258</v>
      </c>
      <c r="EE243" s="27" t="s">
        <v>397</v>
      </c>
      <c r="EF243" s="27" t="s">
        <v>1272</v>
      </c>
      <c r="EG243" s="27" t="s">
        <v>1258</v>
      </c>
      <c r="EH243" s="27" t="s">
        <v>397</v>
      </c>
      <c r="EI243" s="27" t="s">
        <v>397</v>
      </c>
      <c r="EJ243" s="27" t="s">
        <v>397</v>
      </c>
      <c r="EK243" s="27" t="s">
        <v>397</v>
      </c>
      <c r="EL243" s="27" t="s">
        <v>1259</v>
      </c>
      <c r="EM243" s="27" t="s">
        <v>1276</v>
      </c>
      <c r="EN243" s="27" t="s">
        <v>1275</v>
      </c>
      <c r="EO243" s="27"/>
      <c r="EP243" s="27"/>
      <c r="EQ243" s="27" t="s">
        <v>1277</v>
      </c>
      <c r="ER243" s="27" t="s">
        <v>1264</v>
      </c>
      <c r="ES243" s="27" t="s">
        <v>1262</v>
      </c>
      <c r="ET243" s="27" t="s">
        <v>1262</v>
      </c>
      <c r="EU243" s="27" t="s">
        <v>1262</v>
      </c>
      <c r="EV243" s="127" t="s">
        <v>400</v>
      </c>
      <c r="EW243" s="27"/>
      <c r="EX243" s="27" t="s">
        <v>368</v>
      </c>
      <c r="EY243" s="27" t="s">
        <v>368</v>
      </c>
      <c r="EZ243" s="27" t="s">
        <v>368</v>
      </c>
      <c r="FA243" s="27" t="s">
        <v>345</v>
      </c>
      <c r="FB243" s="27" t="s">
        <v>1266</v>
      </c>
      <c r="FC243" s="27"/>
      <c r="FD243" s="27" t="s">
        <v>1266</v>
      </c>
      <c r="FE243" s="27"/>
      <c r="FF243" s="27" t="s">
        <v>1322</v>
      </c>
      <c r="FG243" s="27" t="s">
        <v>441</v>
      </c>
      <c r="FH243" s="27" t="s">
        <v>1301</v>
      </c>
      <c r="FI243" s="27" t="s">
        <v>442</v>
      </c>
      <c r="FJ243" s="27"/>
      <c r="FK243" s="27"/>
      <c r="FL243" s="27"/>
      <c r="FM243" s="27"/>
      <c r="FN243" s="27"/>
      <c r="FO243" s="27"/>
      <c r="FP243" s="27"/>
      <c r="FQ243" s="27"/>
      <c r="FR243" s="27"/>
      <c r="FS243" s="27"/>
      <c r="FT243" s="27"/>
      <c r="FU243" s="27"/>
      <c r="FV243" s="27"/>
      <c r="FW243" s="27"/>
      <c r="FX243" s="27"/>
      <c r="FY243" s="27"/>
      <c r="FZ243" s="27"/>
      <c r="GA243" s="27" t="s">
        <v>368</v>
      </c>
      <c r="GB243" s="27" t="s">
        <v>368</v>
      </c>
      <c r="GC243" s="27" t="s">
        <v>368</v>
      </c>
      <c r="GD243" s="27" t="s">
        <v>368</v>
      </c>
      <c r="GE243" s="27" t="s">
        <v>368</v>
      </c>
      <c r="GF243" s="27" t="s">
        <v>368</v>
      </c>
      <c r="GG243" s="27"/>
      <c r="GH243" s="27"/>
      <c r="GI243" s="27"/>
      <c r="GJ243" s="27"/>
      <c r="GK243" s="27"/>
      <c r="GL243" s="27" t="s">
        <v>344</v>
      </c>
      <c r="GM243" s="27" t="s">
        <v>344</v>
      </c>
      <c r="GN243" s="27" t="s">
        <v>345</v>
      </c>
      <c r="GO243" s="27" t="s">
        <v>344</v>
      </c>
      <c r="GP243" s="27" t="s">
        <v>344</v>
      </c>
      <c r="GQ243" s="27" t="s">
        <v>344</v>
      </c>
      <c r="GR243" s="27" t="s">
        <v>344</v>
      </c>
      <c r="GS243" s="27" t="s">
        <v>344</v>
      </c>
      <c r="GT243" s="27" t="s">
        <v>344</v>
      </c>
      <c r="GU243" s="27" t="s">
        <v>344</v>
      </c>
      <c r="GV243" s="27" t="s">
        <v>344</v>
      </c>
      <c r="GW243" s="27" t="s">
        <v>345</v>
      </c>
      <c r="GX243" s="27" t="s">
        <v>344</v>
      </c>
      <c r="GY243" s="27" t="s">
        <v>344</v>
      </c>
      <c r="GZ243" s="27" t="s">
        <v>344</v>
      </c>
      <c r="HA243" s="27" t="s">
        <v>344</v>
      </c>
      <c r="HB243" s="27"/>
      <c r="HC243" s="27" t="s">
        <v>344</v>
      </c>
      <c r="HD243" s="27"/>
      <c r="HE243" s="27" t="s">
        <v>344</v>
      </c>
      <c r="HF243" s="27"/>
      <c r="HG243" s="27" t="s">
        <v>344</v>
      </c>
      <c r="HH243" s="27"/>
      <c r="HI243" s="27" t="s">
        <v>344</v>
      </c>
      <c r="HJ243" s="27"/>
      <c r="HK243" s="27" t="s">
        <v>345</v>
      </c>
      <c r="HL243" s="27" t="s">
        <v>344</v>
      </c>
      <c r="HM243" s="27" t="s">
        <v>344</v>
      </c>
      <c r="HN243" s="27" t="s">
        <v>344</v>
      </c>
      <c r="HO243" s="27" t="s">
        <v>344</v>
      </c>
      <c r="HP243" s="27" t="s">
        <v>344</v>
      </c>
      <c r="HQ243" s="27" t="s">
        <v>344</v>
      </c>
      <c r="HR243" s="27" t="s">
        <v>344</v>
      </c>
      <c r="HS243" s="27" t="s">
        <v>344</v>
      </c>
      <c r="HT243" s="27" t="s">
        <v>344</v>
      </c>
      <c r="HU243" s="27" t="s">
        <v>344</v>
      </c>
      <c r="HV243" s="27" t="s">
        <v>344</v>
      </c>
      <c r="HW243" s="27" t="s">
        <v>345</v>
      </c>
      <c r="HX243" s="27" t="s">
        <v>344</v>
      </c>
      <c r="HY243" s="27" t="s">
        <v>344</v>
      </c>
      <c r="HZ243" s="27" t="s">
        <v>344</v>
      </c>
      <c r="IA243" s="27" t="s">
        <v>345</v>
      </c>
      <c r="IB243" s="27" t="s">
        <v>344</v>
      </c>
      <c r="IC243" s="27" t="s">
        <v>344</v>
      </c>
      <c r="ID243" s="27"/>
      <c r="IE243" s="27" t="s">
        <v>344</v>
      </c>
      <c r="IF243" s="27"/>
      <c r="IG243" s="27" t="s">
        <v>344</v>
      </c>
      <c r="IH243" s="27"/>
      <c r="II243" s="27" t="s">
        <v>344</v>
      </c>
      <c r="IJ243" s="27"/>
      <c r="IK243" s="27" t="s">
        <v>344</v>
      </c>
      <c r="IL243" s="27"/>
      <c r="IM243" s="27" t="s">
        <v>345</v>
      </c>
      <c r="IN243" s="27" t="s">
        <v>345</v>
      </c>
      <c r="IO243" s="27" t="s">
        <v>344</v>
      </c>
      <c r="IP243" s="27" t="s">
        <v>344</v>
      </c>
      <c r="IQ243" s="27" t="s">
        <v>345</v>
      </c>
      <c r="IR243" s="27" t="s">
        <v>344</v>
      </c>
      <c r="IS243" s="27" t="s">
        <v>344</v>
      </c>
      <c r="IT243" s="27" t="s">
        <v>344</v>
      </c>
      <c r="IU243" s="27" t="s">
        <v>345</v>
      </c>
      <c r="IV243" s="27" t="s">
        <v>344</v>
      </c>
      <c r="IW243" s="27" t="s">
        <v>345</v>
      </c>
      <c r="IX243" s="27" t="s">
        <v>344</v>
      </c>
      <c r="IY243" s="27" t="s">
        <v>345</v>
      </c>
      <c r="IZ243" s="27" t="s">
        <v>344</v>
      </c>
      <c r="JA243" s="27"/>
      <c r="JB243" s="27"/>
    </row>
    <row r="244" spans="1:262" x14ac:dyDescent="0.3">
      <c r="A244" s="26" t="s">
        <v>727</v>
      </c>
      <c r="B244" s="27">
        <v>193</v>
      </c>
      <c r="C244" s="27" t="s">
        <v>1391</v>
      </c>
      <c r="D244" s="27">
        <v>14</v>
      </c>
      <c r="E244" s="27" t="s">
        <v>387</v>
      </c>
      <c r="F244" s="27">
        <v>849616456</v>
      </c>
      <c r="G244" s="27" t="s">
        <v>1392</v>
      </c>
      <c r="H244" s="27" t="s">
        <v>1391</v>
      </c>
      <c r="I244" s="27" t="s">
        <v>1254</v>
      </c>
      <c r="J244" s="27">
        <v>17</v>
      </c>
      <c r="K244" s="27" t="s">
        <v>1255</v>
      </c>
      <c r="L244" s="27"/>
      <c r="M244" s="27" t="s">
        <v>345</v>
      </c>
      <c r="N244" s="27" t="s">
        <v>344</v>
      </c>
      <c r="O244" s="27" t="s">
        <v>344</v>
      </c>
      <c r="P244" s="27" t="s">
        <v>344</v>
      </c>
      <c r="Q244" s="27" t="s">
        <v>344</v>
      </c>
      <c r="R244" s="27"/>
      <c r="S244" s="27" t="s">
        <v>475</v>
      </c>
      <c r="T244" s="27"/>
      <c r="U244" s="27" t="s">
        <v>1256</v>
      </c>
      <c r="V244" s="27"/>
      <c r="W244" s="27" t="s">
        <v>344</v>
      </c>
      <c r="X244" s="27" t="s">
        <v>345</v>
      </c>
      <c r="Y244" s="27" t="s">
        <v>344</v>
      </c>
      <c r="Z244" s="27" t="s">
        <v>344</v>
      </c>
      <c r="AA244" s="27" t="s">
        <v>344</v>
      </c>
      <c r="AB244" s="27" t="s">
        <v>344</v>
      </c>
      <c r="AC244" s="27" t="s">
        <v>344</v>
      </c>
      <c r="AD244" s="27" t="s">
        <v>345</v>
      </c>
      <c r="AE244" s="27" t="s">
        <v>344</v>
      </c>
      <c r="AF244" s="27" t="s">
        <v>344</v>
      </c>
      <c r="AG244" s="27" t="s">
        <v>344</v>
      </c>
      <c r="AH244" s="27" t="s">
        <v>344</v>
      </c>
      <c r="AI244" s="27" t="s">
        <v>344</v>
      </c>
      <c r="AJ244" s="27" t="s">
        <v>344</v>
      </c>
      <c r="AK244" s="27" t="s">
        <v>344</v>
      </c>
      <c r="AL244" s="27" t="s">
        <v>344</v>
      </c>
      <c r="AM244" s="27" t="s">
        <v>344</v>
      </c>
      <c r="AN244" s="27" t="s">
        <v>345</v>
      </c>
      <c r="AO244" s="27" t="s">
        <v>344</v>
      </c>
      <c r="AP244" s="27" t="s">
        <v>344</v>
      </c>
      <c r="AQ244" s="27" t="s">
        <v>344</v>
      </c>
      <c r="AR244" s="27" t="s">
        <v>345</v>
      </c>
      <c r="AS244" s="27" t="s">
        <v>344</v>
      </c>
      <c r="AT244" s="27" t="s">
        <v>344</v>
      </c>
      <c r="AU244" s="27" t="s">
        <v>344</v>
      </c>
      <c r="AV244" s="27" t="s">
        <v>344</v>
      </c>
      <c r="AW244" s="27" t="s">
        <v>344</v>
      </c>
      <c r="AX244" s="27" t="s">
        <v>344</v>
      </c>
      <c r="AY244" s="27" t="s">
        <v>391</v>
      </c>
      <c r="AZ244" s="27" t="s">
        <v>391</v>
      </c>
      <c r="BA244" s="27" t="s">
        <v>391</v>
      </c>
      <c r="BB244" s="27" t="s">
        <v>391</v>
      </c>
      <c r="BC244" s="27" t="s">
        <v>391</v>
      </c>
      <c r="BD244" s="27" t="s">
        <v>391</v>
      </c>
      <c r="BE244" s="27" t="s">
        <v>390</v>
      </c>
      <c r="BF244" s="27" t="s">
        <v>350</v>
      </c>
      <c r="BG244" s="27" t="s">
        <v>390</v>
      </c>
      <c r="BH244" s="27" t="s">
        <v>390</v>
      </c>
      <c r="BI244" s="27" t="s">
        <v>390</v>
      </c>
      <c r="BJ244" s="27" t="s">
        <v>354</v>
      </c>
      <c r="BK244" s="27" t="s">
        <v>391</v>
      </c>
      <c r="BL244" s="27" t="s">
        <v>391</v>
      </c>
      <c r="BM244" s="27" t="s">
        <v>391</v>
      </c>
      <c r="BN244" s="27" t="s">
        <v>391</v>
      </c>
      <c r="BO244" s="27" t="s">
        <v>391</v>
      </c>
      <c r="BP244" s="27" t="s">
        <v>391</v>
      </c>
      <c r="BQ244" s="27" t="s">
        <v>455</v>
      </c>
      <c r="BR244" s="27" t="s">
        <v>1339</v>
      </c>
      <c r="BS244" s="27" t="s">
        <v>391</v>
      </c>
      <c r="BT244" s="27" t="s">
        <v>391</v>
      </c>
      <c r="BU244" s="27" t="s">
        <v>391</v>
      </c>
      <c r="BV244" s="27" t="s">
        <v>391</v>
      </c>
      <c r="BW244" s="27" t="s">
        <v>391</v>
      </c>
      <c r="BX244" s="27" t="s">
        <v>391</v>
      </c>
      <c r="BY244" s="27" t="s">
        <v>391</v>
      </c>
      <c r="BZ244" s="27" t="s">
        <v>391</v>
      </c>
      <c r="CA244" s="27" t="s">
        <v>391</v>
      </c>
      <c r="CB244" s="27" t="s">
        <v>391</v>
      </c>
      <c r="CC244" s="27" t="s">
        <v>391</v>
      </c>
      <c r="CD244" s="27" t="s">
        <v>391</v>
      </c>
      <c r="CE244" s="27" t="s">
        <v>391</v>
      </c>
      <c r="CF244" s="27" t="s">
        <v>391</v>
      </c>
      <c r="CG244" s="27" t="s">
        <v>421</v>
      </c>
      <c r="CH244" s="27" t="s">
        <v>421</v>
      </c>
      <c r="CI244" s="27" t="s">
        <v>421</v>
      </c>
      <c r="CJ244" s="27" t="s">
        <v>421</v>
      </c>
      <c r="CK244" s="27" t="s">
        <v>717</v>
      </c>
      <c r="CL244" s="27" t="s">
        <v>344</v>
      </c>
      <c r="CM244" s="27" t="s">
        <v>345</v>
      </c>
      <c r="CN244" s="27" t="s">
        <v>344</v>
      </c>
      <c r="CO244" s="27" t="s">
        <v>344</v>
      </c>
      <c r="CP244" s="27" t="s">
        <v>344</v>
      </c>
      <c r="CQ244" s="27" t="s">
        <v>344</v>
      </c>
      <c r="CR244" s="27" t="s">
        <v>655</v>
      </c>
      <c r="CS244" s="27">
        <v>100</v>
      </c>
      <c r="CT244" s="27">
        <v>100</v>
      </c>
      <c r="CU244" s="27"/>
      <c r="CV244" s="27"/>
      <c r="CW244" s="27" t="s">
        <v>471</v>
      </c>
      <c r="CX244" s="27" t="s">
        <v>471</v>
      </c>
      <c r="CY244" s="27" t="s">
        <v>396</v>
      </c>
      <c r="CZ244" s="27" t="s">
        <v>397</v>
      </c>
      <c r="DA244" s="27" t="s">
        <v>397</v>
      </c>
      <c r="DB244" s="27" t="s">
        <v>397</v>
      </c>
      <c r="DC244" s="27" t="s">
        <v>397</v>
      </c>
      <c r="DD244" s="27" t="s">
        <v>397</v>
      </c>
      <c r="DE244" s="27"/>
      <c r="DF244" s="27"/>
      <c r="DG244" s="27"/>
      <c r="DH244" s="27"/>
      <c r="DI244" s="27"/>
      <c r="DJ244" s="27"/>
      <c r="DK244" s="27" t="s">
        <v>344</v>
      </c>
      <c r="DL244" s="27" t="s">
        <v>368</v>
      </c>
      <c r="DM244" s="27" t="s">
        <v>368</v>
      </c>
      <c r="DN244" s="27" t="s">
        <v>368</v>
      </c>
      <c r="DO244" s="27" t="s">
        <v>368</v>
      </c>
      <c r="DP244" s="27" t="s">
        <v>368</v>
      </c>
      <c r="DQ244" s="27" t="s">
        <v>368</v>
      </c>
      <c r="DR244" s="27" t="s">
        <v>368</v>
      </c>
      <c r="DS244" s="27" t="s">
        <v>345</v>
      </c>
      <c r="DT244" s="27" t="s">
        <v>368</v>
      </c>
      <c r="DU244" s="27" t="s">
        <v>368</v>
      </c>
      <c r="DV244" s="27" t="s">
        <v>368</v>
      </c>
      <c r="DW244" s="27" t="s">
        <v>345</v>
      </c>
      <c r="DX244" s="27" t="s">
        <v>397</v>
      </c>
      <c r="DY244" s="27" t="s">
        <v>397</v>
      </c>
      <c r="DZ244" s="27" t="s">
        <v>397</v>
      </c>
      <c r="EA244" s="27" t="s">
        <v>397</v>
      </c>
      <c r="EB244" s="27" t="s">
        <v>397</v>
      </c>
      <c r="EC244" s="27" t="s">
        <v>397</v>
      </c>
      <c r="ED244" s="27" t="s">
        <v>397</v>
      </c>
      <c r="EE244" s="27" t="s">
        <v>397</v>
      </c>
      <c r="EF244" s="27" t="s">
        <v>397</v>
      </c>
      <c r="EG244" s="27" t="s">
        <v>397</v>
      </c>
      <c r="EH244" s="27" t="s">
        <v>397</v>
      </c>
      <c r="EI244" s="27" t="s">
        <v>397</v>
      </c>
      <c r="EJ244" s="27" t="s">
        <v>397</v>
      </c>
      <c r="EK244" s="27" t="s">
        <v>397</v>
      </c>
      <c r="EL244" s="27" t="s">
        <v>1259</v>
      </c>
      <c r="EM244" s="27" t="s">
        <v>1260</v>
      </c>
      <c r="EN244" s="27" t="s">
        <v>1261</v>
      </c>
      <c r="EO244" s="27"/>
      <c r="EP244" s="27"/>
      <c r="EQ244" s="27" t="s">
        <v>717</v>
      </c>
      <c r="ER244" s="27" t="s">
        <v>717</v>
      </c>
      <c r="ES244" s="27" t="s">
        <v>717</v>
      </c>
      <c r="ET244" s="27" t="s">
        <v>717</v>
      </c>
      <c r="EU244" s="27" t="s">
        <v>717</v>
      </c>
      <c r="EV244" s="127" t="s">
        <v>400</v>
      </c>
      <c r="EW244" s="27"/>
      <c r="EX244" s="27" t="s">
        <v>368</v>
      </c>
      <c r="EY244" s="27" t="s">
        <v>368</v>
      </c>
      <c r="EZ244" s="27" t="s">
        <v>368</v>
      </c>
      <c r="FA244" s="27" t="s">
        <v>345</v>
      </c>
      <c r="FB244" s="27" t="s">
        <v>1266</v>
      </c>
      <c r="FC244" s="27"/>
      <c r="FD244" s="27" t="s">
        <v>1266</v>
      </c>
      <c r="FE244" s="27"/>
      <c r="FF244" s="27" t="s">
        <v>431</v>
      </c>
      <c r="FG244" s="27" t="s">
        <v>441</v>
      </c>
      <c r="FH244" s="27" t="s">
        <v>460</v>
      </c>
      <c r="FI244" s="27" t="s">
        <v>442</v>
      </c>
      <c r="FJ244" s="27"/>
      <c r="FK244" s="27"/>
      <c r="FL244" s="27"/>
      <c r="FM244" s="27"/>
      <c r="FN244" s="27"/>
      <c r="FO244" s="27"/>
      <c r="FP244" s="27"/>
      <c r="FQ244" s="27"/>
      <c r="FR244" s="27"/>
      <c r="FS244" s="27"/>
      <c r="FT244" s="27"/>
      <c r="FU244" s="27"/>
      <c r="FV244" s="27"/>
      <c r="FW244" s="27"/>
      <c r="FX244" s="27"/>
      <c r="FY244" s="27"/>
      <c r="FZ244" s="27"/>
      <c r="GA244" s="27" t="s">
        <v>368</v>
      </c>
      <c r="GB244" s="27" t="s">
        <v>368</v>
      </c>
      <c r="GC244" s="27" t="s">
        <v>368</v>
      </c>
      <c r="GD244" s="27" t="s">
        <v>368</v>
      </c>
      <c r="GE244" s="27" t="s">
        <v>368</v>
      </c>
      <c r="GF244" s="27" t="s">
        <v>368</v>
      </c>
      <c r="GG244" s="27"/>
      <c r="GH244" s="27"/>
      <c r="GI244" s="27"/>
      <c r="GJ244" s="27"/>
      <c r="GK244" s="27"/>
      <c r="GL244" s="27" t="s">
        <v>344</v>
      </c>
      <c r="GM244" s="27" t="s">
        <v>344</v>
      </c>
      <c r="GN244" s="27" t="s">
        <v>344</v>
      </c>
      <c r="GO244" s="27" t="s">
        <v>344</v>
      </c>
      <c r="GP244" s="27" t="s">
        <v>344</v>
      </c>
      <c r="GQ244" s="27" t="s">
        <v>344</v>
      </c>
      <c r="GR244" s="27" t="s">
        <v>344</v>
      </c>
      <c r="GS244" s="27" t="s">
        <v>344</v>
      </c>
      <c r="GT244" s="27" t="s">
        <v>344</v>
      </c>
      <c r="GU244" s="27" t="s">
        <v>344</v>
      </c>
      <c r="GV244" s="27" t="s">
        <v>344</v>
      </c>
      <c r="GW244" s="27" t="s">
        <v>344</v>
      </c>
      <c r="GX244" s="27" t="s">
        <v>344</v>
      </c>
      <c r="GY244" s="27" t="s">
        <v>344</v>
      </c>
      <c r="GZ244" s="27" t="s">
        <v>344</v>
      </c>
      <c r="HA244" s="27" t="s">
        <v>345</v>
      </c>
      <c r="HB244" s="27"/>
      <c r="HC244" s="27" t="s">
        <v>344</v>
      </c>
      <c r="HD244" s="27"/>
      <c r="HE244" s="27" t="s">
        <v>344</v>
      </c>
      <c r="HF244" s="27"/>
      <c r="HG244" s="27" t="s">
        <v>344</v>
      </c>
      <c r="HH244" s="27"/>
      <c r="HI244" s="27" t="s">
        <v>344</v>
      </c>
      <c r="HJ244" s="27"/>
      <c r="HK244" s="27" t="s">
        <v>344</v>
      </c>
      <c r="HL244" s="27" t="s">
        <v>344</v>
      </c>
      <c r="HM244" s="27" t="s">
        <v>344</v>
      </c>
      <c r="HN244" s="27" t="s">
        <v>344</v>
      </c>
      <c r="HO244" s="27" t="s">
        <v>344</v>
      </c>
      <c r="HP244" s="27" t="s">
        <v>344</v>
      </c>
      <c r="HQ244" s="27" t="s">
        <v>344</v>
      </c>
      <c r="HR244" s="27" t="s">
        <v>344</v>
      </c>
      <c r="HS244" s="27" t="s">
        <v>344</v>
      </c>
      <c r="HT244" s="27" t="s">
        <v>344</v>
      </c>
      <c r="HU244" s="27" t="s">
        <v>344</v>
      </c>
      <c r="HV244" s="27" t="s">
        <v>344</v>
      </c>
      <c r="HW244" s="27" t="s">
        <v>344</v>
      </c>
      <c r="HX244" s="27" t="s">
        <v>344</v>
      </c>
      <c r="HY244" s="27" t="s">
        <v>344</v>
      </c>
      <c r="HZ244" s="27" t="s">
        <v>344</v>
      </c>
      <c r="IA244" s="27" t="s">
        <v>344</v>
      </c>
      <c r="IB244" s="27" t="s">
        <v>344</v>
      </c>
      <c r="IC244" s="27" t="s">
        <v>345</v>
      </c>
      <c r="ID244" s="27"/>
      <c r="IE244" s="27" t="s">
        <v>344</v>
      </c>
      <c r="IF244" s="27"/>
      <c r="IG244" s="27" t="s">
        <v>344</v>
      </c>
      <c r="IH244" s="27"/>
      <c r="II244" s="27" t="s">
        <v>344</v>
      </c>
      <c r="IJ244" s="27"/>
      <c r="IK244" s="27" t="s">
        <v>344</v>
      </c>
      <c r="IL244" s="27"/>
      <c r="IM244" s="27" t="s">
        <v>344</v>
      </c>
      <c r="IN244" s="27" t="s">
        <v>344</v>
      </c>
      <c r="IO244" s="27" t="s">
        <v>344</v>
      </c>
      <c r="IP244" s="27" t="s">
        <v>344</v>
      </c>
      <c r="IQ244" s="27" t="s">
        <v>344</v>
      </c>
      <c r="IR244" s="27" t="s">
        <v>344</v>
      </c>
      <c r="IS244" s="27" t="s">
        <v>344</v>
      </c>
      <c r="IT244" s="27" t="s">
        <v>344</v>
      </c>
      <c r="IU244" s="27" t="s">
        <v>344</v>
      </c>
      <c r="IV244" s="27" t="s">
        <v>344</v>
      </c>
      <c r="IW244" s="27" t="s">
        <v>344</v>
      </c>
      <c r="IX244" s="27" t="s">
        <v>344</v>
      </c>
      <c r="IY244" s="27" t="s">
        <v>344</v>
      </c>
      <c r="IZ244" s="27" t="s">
        <v>345</v>
      </c>
      <c r="JA244" s="27"/>
      <c r="JB244" s="27"/>
    </row>
    <row r="245" spans="1:262" x14ac:dyDescent="0.3">
      <c r="A245" s="26" t="s">
        <v>727</v>
      </c>
      <c r="B245" s="27">
        <v>195</v>
      </c>
      <c r="C245" s="27" t="s">
        <v>1393</v>
      </c>
      <c r="D245" s="27">
        <v>14</v>
      </c>
      <c r="E245" s="27" t="s">
        <v>340</v>
      </c>
      <c r="F245" s="27">
        <v>1876053566</v>
      </c>
      <c r="G245" s="27" t="s">
        <v>1394</v>
      </c>
      <c r="H245" s="27" t="s">
        <v>1393</v>
      </c>
      <c r="I245" s="27" t="s">
        <v>1290</v>
      </c>
      <c r="J245" s="27">
        <v>17</v>
      </c>
      <c r="K245" s="27" t="s">
        <v>1255</v>
      </c>
      <c r="L245" s="27"/>
      <c r="M245" s="27" t="s">
        <v>345</v>
      </c>
      <c r="N245" s="27" t="s">
        <v>345</v>
      </c>
      <c r="O245" s="27" t="s">
        <v>344</v>
      </c>
      <c r="P245" s="27" t="s">
        <v>344</v>
      </c>
      <c r="Q245" s="27" t="s">
        <v>344</v>
      </c>
      <c r="R245" s="27"/>
      <c r="S245" s="27" t="s">
        <v>475</v>
      </c>
      <c r="T245" s="27"/>
      <c r="U245" s="27" t="s">
        <v>1270</v>
      </c>
      <c r="V245" s="27"/>
      <c r="W245" s="27" t="s">
        <v>344</v>
      </c>
      <c r="X245" s="27" t="s">
        <v>344</v>
      </c>
      <c r="Y245" s="27" t="s">
        <v>344</v>
      </c>
      <c r="Z245" s="27" t="s">
        <v>344</v>
      </c>
      <c r="AA245" s="27" t="s">
        <v>345</v>
      </c>
      <c r="AB245" s="27" t="s">
        <v>344</v>
      </c>
      <c r="AC245" s="27" t="s">
        <v>344</v>
      </c>
      <c r="AD245" s="27" t="s">
        <v>345</v>
      </c>
      <c r="AE245" s="27" t="s">
        <v>345</v>
      </c>
      <c r="AF245" s="27" t="s">
        <v>344</v>
      </c>
      <c r="AG245" s="27" t="s">
        <v>344</v>
      </c>
      <c r="AH245" s="27" t="s">
        <v>344</v>
      </c>
      <c r="AI245" s="27" t="s">
        <v>344</v>
      </c>
      <c r="AJ245" s="27" t="s">
        <v>344</v>
      </c>
      <c r="AK245" s="27" t="s">
        <v>344</v>
      </c>
      <c r="AL245" s="27" t="s">
        <v>344</v>
      </c>
      <c r="AM245" s="27" t="s">
        <v>344</v>
      </c>
      <c r="AN245" s="27" t="s">
        <v>344</v>
      </c>
      <c r="AO245" s="27" t="s">
        <v>345</v>
      </c>
      <c r="AP245" s="27" t="s">
        <v>345</v>
      </c>
      <c r="AQ245" s="27" t="s">
        <v>344</v>
      </c>
      <c r="AR245" s="27" t="s">
        <v>344</v>
      </c>
      <c r="AS245" s="27" t="s">
        <v>344</v>
      </c>
      <c r="AT245" s="27" t="s">
        <v>344</v>
      </c>
      <c r="AU245" s="27" t="s">
        <v>344</v>
      </c>
      <c r="AV245" s="27" t="s">
        <v>345</v>
      </c>
      <c r="AW245" s="27" t="s">
        <v>344</v>
      </c>
      <c r="AX245" s="27" t="s">
        <v>344</v>
      </c>
      <c r="AY245" s="27" t="s">
        <v>731</v>
      </c>
      <c r="AZ245" s="27" t="s">
        <v>731</v>
      </c>
      <c r="BA245" s="27" t="s">
        <v>737</v>
      </c>
      <c r="BB245" s="27" t="s">
        <v>733</v>
      </c>
      <c r="BC245" s="27" t="s">
        <v>731</v>
      </c>
      <c r="BD245" s="27" t="s">
        <v>733</v>
      </c>
      <c r="BE245" s="27" t="s">
        <v>390</v>
      </c>
      <c r="BF245" s="27" t="s">
        <v>390</v>
      </c>
      <c r="BG245" s="27" t="s">
        <v>390</v>
      </c>
      <c r="BH245" s="27" t="s">
        <v>349</v>
      </c>
      <c r="BI245" s="27" t="s">
        <v>390</v>
      </c>
      <c r="BJ245" s="27" t="s">
        <v>353</v>
      </c>
      <c r="BK245" s="27" t="s">
        <v>357</v>
      </c>
      <c r="BL245" s="27" t="s">
        <v>355</v>
      </c>
      <c r="BM245" s="27" t="s">
        <v>351</v>
      </c>
      <c r="BN245" s="27" t="s">
        <v>352</v>
      </c>
      <c r="BO245" s="27" t="s">
        <v>355</v>
      </c>
      <c r="BP245" s="27" t="s">
        <v>353</v>
      </c>
      <c r="BQ245" s="27" t="s">
        <v>419</v>
      </c>
      <c r="BR245" s="27" t="s">
        <v>344</v>
      </c>
      <c r="BS245" s="27" t="s">
        <v>357</v>
      </c>
      <c r="BT245" s="27" t="s">
        <v>356</v>
      </c>
      <c r="BU245" s="27" t="s">
        <v>355</v>
      </c>
      <c r="BV245" s="27" t="s">
        <v>353</v>
      </c>
      <c r="BW245" s="27" t="s">
        <v>356</v>
      </c>
      <c r="BX245" s="27" t="s">
        <v>357</v>
      </c>
      <c r="BY245" s="27" t="s">
        <v>351</v>
      </c>
      <c r="BZ245" s="27" t="s">
        <v>354</v>
      </c>
      <c r="CA245" s="27" t="s">
        <v>354</v>
      </c>
      <c r="CB245" s="27" t="s">
        <v>352</v>
      </c>
      <c r="CC245" s="27" t="s">
        <v>357</v>
      </c>
      <c r="CD245" s="27" t="s">
        <v>351</v>
      </c>
      <c r="CE245" s="27" t="s">
        <v>353</v>
      </c>
      <c r="CF245" s="27" t="s">
        <v>357</v>
      </c>
      <c r="CG245" s="27" t="s">
        <v>392</v>
      </c>
      <c r="CH245" s="27" t="s">
        <v>421</v>
      </c>
      <c r="CI245" s="27" t="s">
        <v>392</v>
      </c>
      <c r="CJ245" s="27" t="s">
        <v>421</v>
      </c>
      <c r="CK245" s="27" t="s">
        <v>1395</v>
      </c>
      <c r="CL245" s="27" t="s">
        <v>344</v>
      </c>
      <c r="CM245" s="27" t="s">
        <v>344</v>
      </c>
      <c r="CN245" s="27" t="s">
        <v>344</v>
      </c>
      <c r="CO245" s="27" t="s">
        <v>344</v>
      </c>
      <c r="CP245" s="27" t="s">
        <v>345</v>
      </c>
      <c r="CQ245" s="27" t="s">
        <v>344</v>
      </c>
      <c r="CR245" s="27" t="s">
        <v>655</v>
      </c>
      <c r="CS245" s="27">
        <v>1</v>
      </c>
      <c r="CT245" s="27">
        <v>81</v>
      </c>
      <c r="CU245" s="27">
        <v>100</v>
      </c>
      <c r="CV245" s="27">
        <v>90</v>
      </c>
      <c r="CW245" s="27" t="s">
        <v>395</v>
      </c>
      <c r="CX245" s="27" t="s">
        <v>396</v>
      </c>
      <c r="CY245" s="27" t="s">
        <v>396</v>
      </c>
      <c r="CZ245" s="27" t="s">
        <v>397</v>
      </c>
      <c r="DA245" s="27" t="s">
        <v>397</v>
      </c>
      <c r="DB245" s="27" t="s">
        <v>397</v>
      </c>
      <c r="DC245" s="27" t="s">
        <v>397</v>
      </c>
      <c r="DD245" s="27" t="s">
        <v>397</v>
      </c>
      <c r="DE245" s="27" t="s">
        <v>366</v>
      </c>
      <c r="DF245" s="27" t="s">
        <v>365</v>
      </c>
      <c r="DG245" s="27" t="s">
        <v>366</v>
      </c>
      <c r="DH245" s="27" t="s">
        <v>365</v>
      </c>
      <c r="DI245" s="27" t="s">
        <v>365</v>
      </c>
      <c r="DJ245" s="27"/>
      <c r="DK245" s="27" t="s">
        <v>344</v>
      </c>
      <c r="DL245" s="27" t="s">
        <v>368</v>
      </c>
      <c r="DM245" s="27" t="s">
        <v>368</v>
      </c>
      <c r="DN245" s="27" t="s">
        <v>368</v>
      </c>
      <c r="DO245" s="27" t="s">
        <v>368</v>
      </c>
      <c r="DP245" s="27" t="s">
        <v>344</v>
      </c>
      <c r="DQ245" s="27" t="s">
        <v>344</v>
      </c>
      <c r="DR245" s="27" t="s">
        <v>345</v>
      </c>
      <c r="DS245" s="27" t="s">
        <v>344</v>
      </c>
      <c r="DT245" s="27" t="s">
        <v>368</v>
      </c>
      <c r="DU245" s="27" t="s">
        <v>368</v>
      </c>
      <c r="DV245" s="27" t="s">
        <v>368</v>
      </c>
      <c r="DW245" s="27" t="s">
        <v>345</v>
      </c>
      <c r="DX245" s="27" t="s">
        <v>397</v>
      </c>
      <c r="DY245" s="27" t="s">
        <v>1258</v>
      </c>
      <c r="DZ245" s="27" t="s">
        <v>1274</v>
      </c>
      <c r="EA245" s="27" t="s">
        <v>397</v>
      </c>
      <c r="EB245" s="27" t="s">
        <v>397</v>
      </c>
      <c r="EC245" s="27" t="s">
        <v>397</v>
      </c>
      <c r="ED245" s="27" t="s">
        <v>1272</v>
      </c>
      <c r="EE245" s="27" t="s">
        <v>1258</v>
      </c>
      <c r="EF245" s="27" t="s">
        <v>1258</v>
      </c>
      <c r="EG245" s="27" t="s">
        <v>1258</v>
      </c>
      <c r="EH245" s="27" t="s">
        <v>1258</v>
      </c>
      <c r="EI245" s="27" t="s">
        <v>1258</v>
      </c>
      <c r="EJ245" s="27" t="s">
        <v>1258</v>
      </c>
      <c r="EK245" s="27" t="s">
        <v>1258</v>
      </c>
      <c r="EL245" s="27" t="s">
        <v>1259</v>
      </c>
      <c r="EM245" s="27" t="s">
        <v>1276</v>
      </c>
      <c r="EN245" s="27" t="s">
        <v>1261</v>
      </c>
      <c r="EO245" s="27"/>
      <c r="EP245" s="27"/>
      <c r="EQ245" s="27" t="s">
        <v>1277</v>
      </c>
      <c r="ER245" s="27" t="s">
        <v>1277</v>
      </c>
      <c r="ES245" s="27" t="s">
        <v>1277</v>
      </c>
      <c r="ET245" s="27" t="s">
        <v>1264</v>
      </c>
      <c r="EU245" s="27" t="s">
        <v>1277</v>
      </c>
      <c r="EV245" s="27" t="s">
        <v>400</v>
      </c>
      <c r="EW245" s="27"/>
      <c r="EX245" s="27" t="s">
        <v>368</v>
      </c>
      <c r="EY245" s="27" t="s">
        <v>368</v>
      </c>
      <c r="EZ245" s="27" t="s">
        <v>368</v>
      </c>
      <c r="FA245" s="27" t="s">
        <v>345</v>
      </c>
      <c r="FB245" s="27" t="s">
        <v>1266</v>
      </c>
      <c r="FC245" s="27"/>
      <c r="FD245" s="27" t="s">
        <v>1266</v>
      </c>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t="s">
        <v>368</v>
      </c>
      <c r="GB245" s="27" t="s">
        <v>368</v>
      </c>
      <c r="GC245" s="27" t="s">
        <v>368</v>
      </c>
      <c r="GD245" s="27" t="s">
        <v>368</v>
      </c>
      <c r="GE245" s="27" t="s">
        <v>368</v>
      </c>
      <c r="GF245" s="27" t="s">
        <v>368</v>
      </c>
      <c r="GG245" s="27"/>
      <c r="GH245" s="27"/>
      <c r="GI245" s="27"/>
      <c r="GJ245" s="27"/>
      <c r="GK245" s="27"/>
      <c r="GL245" s="27" t="s">
        <v>344</v>
      </c>
      <c r="GM245" s="27" t="s">
        <v>344</v>
      </c>
      <c r="GN245" s="27" t="s">
        <v>344</v>
      </c>
      <c r="GO245" s="27" t="s">
        <v>344</v>
      </c>
      <c r="GP245" s="27" t="s">
        <v>344</v>
      </c>
      <c r="GQ245" s="27" t="s">
        <v>344</v>
      </c>
      <c r="GR245" s="27" t="s">
        <v>344</v>
      </c>
      <c r="GS245" s="27" t="s">
        <v>344</v>
      </c>
      <c r="GT245" s="27" t="s">
        <v>344</v>
      </c>
      <c r="GU245" s="27" t="s">
        <v>344</v>
      </c>
      <c r="GV245" s="27" t="s">
        <v>344</v>
      </c>
      <c r="GW245" s="27" t="s">
        <v>344</v>
      </c>
      <c r="GX245" s="27" t="s">
        <v>344</v>
      </c>
      <c r="GY245" s="27" t="s">
        <v>344</v>
      </c>
      <c r="GZ245" s="27" t="s">
        <v>344</v>
      </c>
      <c r="HA245" s="27" t="s">
        <v>345</v>
      </c>
      <c r="HB245" s="27"/>
      <c r="HC245" s="27" t="s">
        <v>344</v>
      </c>
      <c r="HD245" s="27"/>
      <c r="HE245" s="27" t="s">
        <v>344</v>
      </c>
      <c r="HF245" s="27"/>
      <c r="HG245" s="27" t="s">
        <v>344</v>
      </c>
      <c r="HH245" s="27"/>
      <c r="HI245" s="27" t="s">
        <v>344</v>
      </c>
      <c r="HJ245" s="27"/>
      <c r="HK245" s="27" t="s">
        <v>344</v>
      </c>
      <c r="HL245" s="27" t="s">
        <v>344</v>
      </c>
      <c r="HM245" s="27" t="s">
        <v>344</v>
      </c>
      <c r="HN245" s="27" t="s">
        <v>344</v>
      </c>
      <c r="HO245" s="27" t="s">
        <v>344</v>
      </c>
      <c r="HP245" s="27" t="s">
        <v>344</v>
      </c>
      <c r="HQ245" s="27" t="s">
        <v>344</v>
      </c>
      <c r="HR245" s="27" t="s">
        <v>344</v>
      </c>
      <c r="HS245" s="27" t="s">
        <v>344</v>
      </c>
      <c r="HT245" s="27" t="s">
        <v>344</v>
      </c>
      <c r="HU245" s="27" t="s">
        <v>344</v>
      </c>
      <c r="HV245" s="27" t="s">
        <v>344</v>
      </c>
      <c r="HW245" s="27" t="s">
        <v>344</v>
      </c>
      <c r="HX245" s="27" t="s">
        <v>344</v>
      </c>
      <c r="HY245" s="27" t="s">
        <v>344</v>
      </c>
      <c r="HZ245" s="27" t="s">
        <v>344</v>
      </c>
      <c r="IA245" s="27" t="s">
        <v>344</v>
      </c>
      <c r="IB245" s="27" t="s">
        <v>344</v>
      </c>
      <c r="IC245" s="27" t="s">
        <v>344</v>
      </c>
      <c r="ID245" s="27" t="s">
        <v>1396</v>
      </c>
      <c r="IE245" s="27" t="s">
        <v>344</v>
      </c>
      <c r="IF245" s="27"/>
      <c r="IG245" s="27" t="s">
        <v>344</v>
      </c>
      <c r="IH245" s="27"/>
      <c r="II245" s="27" t="s">
        <v>345</v>
      </c>
      <c r="IJ245" s="27" t="s">
        <v>1397</v>
      </c>
      <c r="IK245" s="27" t="s">
        <v>344</v>
      </c>
      <c r="IL245" s="27"/>
      <c r="IM245" s="27" t="s">
        <v>345</v>
      </c>
      <c r="IN245" s="27" t="s">
        <v>344</v>
      </c>
      <c r="IO245" s="27" t="s">
        <v>345</v>
      </c>
      <c r="IP245" s="27" t="s">
        <v>344</v>
      </c>
      <c r="IQ245" s="27" t="s">
        <v>345</v>
      </c>
      <c r="IR245" s="27" t="s">
        <v>345</v>
      </c>
      <c r="IS245" s="27" t="s">
        <v>344</v>
      </c>
      <c r="IT245" s="27" t="s">
        <v>345</v>
      </c>
      <c r="IU245" s="27" t="s">
        <v>344</v>
      </c>
      <c r="IV245" s="27" t="s">
        <v>344</v>
      </c>
      <c r="IW245" s="27" t="s">
        <v>344</v>
      </c>
      <c r="IX245" s="27" t="s">
        <v>344</v>
      </c>
      <c r="IY245" s="27" t="s">
        <v>345</v>
      </c>
      <c r="IZ245" s="27" t="s">
        <v>344</v>
      </c>
      <c r="JA245" s="27"/>
      <c r="JB245" s="27"/>
    </row>
    <row r="246" spans="1:262" x14ac:dyDescent="0.3">
      <c r="A246" s="30" t="s">
        <v>727</v>
      </c>
      <c r="B246" s="31">
        <v>197</v>
      </c>
      <c r="C246" s="31" t="s">
        <v>1398</v>
      </c>
      <c r="D246" s="31">
        <v>14</v>
      </c>
      <c r="E246" s="31" t="s">
        <v>387</v>
      </c>
      <c r="F246" s="31">
        <v>106073575</v>
      </c>
      <c r="G246" s="31" t="s">
        <v>1399</v>
      </c>
      <c r="H246" s="31" t="s">
        <v>1398</v>
      </c>
      <c r="I246" s="31" t="s">
        <v>1400</v>
      </c>
      <c r="J246" s="31">
        <v>17</v>
      </c>
      <c r="K246" s="31" t="s">
        <v>1282</v>
      </c>
      <c r="L246" s="31"/>
      <c r="M246" s="31" t="s">
        <v>345</v>
      </c>
      <c r="N246" s="31" t="s">
        <v>344</v>
      </c>
      <c r="O246" s="31" t="s">
        <v>344</v>
      </c>
      <c r="P246" s="31" t="s">
        <v>345</v>
      </c>
      <c r="Q246" s="31" t="s">
        <v>344</v>
      </c>
      <c r="R246" s="31"/>
      <c r="S246" s="31" t="s">
        <v>475</v>
      </c>
      <c r="T246" s="31"/>
      <c r="U246" s="31" t="s">
        <v>1270</v>
      </c>
      <c r="V246" s="31"/>
      <c r="W246" s="31" t="s">
        <v>345</v>
      </c>
      <c r="X246" s="31" t="s">
        <v>345</v>
      </c>
      <c r="Y246" s="31" t="s">
        <v>344</v>
      </c>
      <c r="Z246" s="31" t="s">
        <v>344</v>
      </c>
      <c r="AA246" s="31" t="s">
        <v>344</v>
      </c>
      <c r="AB246" s="31" t="s">
        <v>344</v>
      </c>
      <c r="AC246" s="31" t="s">
        <v>344</v>
      </c>
      <c r="AD246" s="31" t="s">
        <v>344</v>
      </c>
      <c r="AE246" s="31" t="s">
        <v>344</v>
      </c>
      <c r="AF246" s="31" t="s">
        <v>344</v>
      </c>
      <c r="AG246" s="31" t="s">
        <v>344</v>
      </c>
      <c r="AH246" s="31" t="s">
        <v>344</v>
      </c>
      <c r="AI246" s="31" t="s">
        <v>345</v>
      </c>
      <c r="AJ246" s="31" t="s">
        <v>344</v>
      </c>
      <c r="AK246" s="31" t="s">
        <v>345</v>
      </c>
      <c r="AL246" s="31" t="s">
        <v>344</v>
      </c>
      <c r="AM246" s="31" t="s">
        <v>344</v>
      </c>
      <c r="AN246" s="31" t="s">
        <v>344</v>
      </c>
      <c r="AO246" s="31" t="s">
        <v>344</v>
      </c>
      <c r="AP246" s="31" t="s">
        <v>344</v>
      </c>
      <c r="AQ246" s="31" t="s">
        <v>344</v>
      </c>
      <c r="AR246" s="31" t="s">
        <v>344</v>
      </c>
      <c r="AS246" s="31" t="s">
        <v>345</v>
      </c>
      <c r="AT246" s="31" t="s">
        <v>345</v>
      </c>
      <c r="AU246" s="31" t="s">
        <v>344</v>
      </c>
      <c r="AV246" s="31" t="s">
        <v>345</v>
      </c>
      <c r="AW246" s="31" t="s">
        <v>344</v>
      </c>
      <c r="AX246" s="31" t="s">
        <v>344</v>
      </c>
      <c r="AY246" s="31" t="s">
        <v>391</v>
      </c>
      <c r="AZ246" s="31" t="s">
        <v>732</v>
      </c>
      <c r="BA246" s="31" t="s">
        <v>391</v>
      </c>
      <c r="BB246" s="31" t="s">
        <v>731</v>
      </c>
      <c r="BC246" s="31" t="s">
        <v>732</v>
      </c>
      <c r="BD246" s="31" t="s">
        <v>731</v>
      </c>
      <c r="BE246" s="31" t="s">
        <v>349</v>
      </c>
      <c r="BF246" s="31" t="s">
        <v>390</v>
      </c>
      <c r="BG246" s="31" t="s">
        <v>390</v>
      </c>
      <c r="BH246" s="31" t="s">
        <v>390</v>
      </c>
      <c r="BI246" s="31" t="s">
        <v>390</v>
      </c>
      <c r="BJ246" s="31" t="s">
        <v>354</v>
      </c>
      <c r="BK246" s="31" t="s">
        <v>357</v>
      </c>
      <c r="BL246" s="31" t="s">
        <v>391</v>
      </c>
      <c r="BM246" s="31" t="s">
        <v>351</v>
      </c>
      <c r="BN246" s="31" t="s">
        <v>356</v>
      </c>
      <c r="BO246" s="31" t="s">
        <v>391</v>
      </c>
      <c r="BP246" s="31" t="s">
        <v>391</v>
      </c>
      <c r="BQ246" s="31" t="s">
        <v>455</v>
      </c>
      <c r="BR246" s="31" t="s">
        <v>1339</v>
      </c>
      <c r="BS246" s="31" t="s">
        <v>353</v>
      </c>
      <c r="BT246" s="31" t="s">
        <v>391</v>
      </c>
      <c r="BU246" s="31" t="s">
        <v>356</v>
      </c>
      <c r="BV246" s="31" t="s">
        <v>391</v>
      </c>
      <c r="BW246" s="31" t="s">
        <v>354</v>
      </c>
      <c r="BX246" s="31" t="s">
        <v>351</v>
      </c>
      <c r="BY246" s="31" t="s">
        <v>352</v>
      </c>
      <c r="BZ246" s="31" t="s">
        <v>355</v>
      </c>
      <c r="CA246" s="31" t="s">
        <v>357</v>
      </c>
      <c r="CB246" s="31" t="s">
        <v>354</v>
      </c>
      <c r="CC246" s="31" t="s">
        <v>391</v>
      </c>
      <c r="CD246" s="31" t="s">
        <v>356</v>
      </c>
      <c r="CE246" s="31" t="s">
        <v>353</v>
      </c>
      <c r="CF246" s="31" t="s">
        <v>352</v>
      </c>
      <c r="CG246" s="31" t="s">
        <v>420</v>
      </c>
      <c r="CH246" s="31" t="s">
        <v>420</v>
      </c>
      <c r="CI246" s="31" t="s">
        <v>421</v>
      </c>
      <c r="CJ246" s="31" t="s">
        <v>360</v>
      </c>
      <c r="CK246" s="31" t="s">
        <v>1401</v>
      </c>
      <c r="CL246" s="31" t="s">
        <v>344</v>
      </c>
      <c r="CM246" s="31" t="s">
        <v>344</v>
      </c>
      <c r="CN246" s="31" t="s">
        <v>344</v>
      </c>
      <c r="CO246" s="31" t="s">
        <v>344</v>
      </c>
      <c r="CP246" s="31" t="s">
        <v>345</v>
      </c>
      <c r="CQ246" s="31" t="s">
        <v>344</v>
      </c>
      <c r="CR246" s="31" t="s">
        <v>655</v>
      </c>
      <c r="CS246" s="31">
        <v>40</v>
      </c>
      <c r="CT246" s="31">
        <v>70</v>
      </c>
      <c r="CU246" s="31"/>
      <c r="CV246" s="31"/>
      <c r="CW246" s="31" t="s">
        <v>363</v>
      </c>
      <c r="CX246" s="31" t="s">
        <v>395</v>
      </c>
      <c r="CY246" s="31" t="s">
        <v>395</v>
      </c>
      <c r="CZ246" s="31" t="s">
        <v>366</v>
      </c>
      <c r="DA246" s="31" t="s">
        <v>397</v>
      </c>
      <c r="DB246" s="31" t="s">
        <v>397</v>
      </c>
      <c r="DC246" s="31" t="s">
        <v>397</v>
      </c>
      <c r="DD246" s="31" t="s">
        <v>397</v>
      </c>
      <c r="DE246" s="31"/>
      <c r="DF246" s="31"/>
      <c r="DG246" s="31"/>
      <c r="DH246" s="31"/>
      <c r="DI246" s="31"/>
      <c r="DJ246" s="31" t="s">
        <v>1402</v>
      </c>
      <c r="DK246" s="31" t="s">
        <v>1403</v>
      </c>
      <c r="DL246" s="31" t="s">
        <v>368</v>
      </c>
      <c r="DM246" s="31" t="s">
        <v>368</v>
      </c>
      <c r="DN246" s="31" t="s">
        <v>368</v>
      </c>
      <c r="DO246" s="31" t="s">
        <v>345</v>
      </c>
      <c r="DP246" s="31" t="s">
        <v>368</v>
      </c>
      <c r="DQ246" s="31" t="s">
        <v>368</v>
      </c>
      <c r="DR246" s="31" t="s">
        <v>368</v>
      </c>
      <c r="DS246" s="31" t="s">
        <v>345</v>
      </c>
      <c r="DT246" s="31" t="s">
        <v>368</v>
      </c>
      <c r="DU246" s="31" t="s">
        <v>368</v>
      </c>
      <c r="DV246" s="31" t="s">
        <v>368</v>
      </c>
      <c r="DW246" s="31" t="s">
        <v>345</v>
      </c>
      <c r="DX246" s="31" t="s">
        <v>1273</v>
      </c>
      <c r="DY246" s="31" t="s">
        <v>1273</v>
      </c>
      <c r="DZ246" s="31" t="s">
        <v>1273</v>
      </c>
      <c r="EA246" s="31" t="s">
        <v>1273</v>
      </c>
      <c r="EB246" s="31" t="s">
        <v>1273</v>
      </c>
      <c r="EC246" s="31" t="s">
        <v>1273</v>
      </c>
      <c r="ED246" s="31" t="s">
        <v>1273</v>
      </c>
      <c r="EE246" s="31" t="s">
        <v>397</v>
      </c>
      <c r="EF246" s="31" t="s">
        <v>397</v>
      </c>
      <c r="EG246" s="31" t="s">
        <v>397</v>
      </c>
      <c r="EH246" s="31" t="s">
        <v>397</v>
      </c>
      <c r="EI246" s="31" t="s">
        <v>397</v>
      </c>
      <c r="EJ246" s="31" t="s">
        <v>397</v>
      </c>
      <c r="EK246" s="31" t="s">
        <v>397</v>
      </c>
      <c r="EL246" s="31" t="s">
        <v>1260</v>
      </c>
      <c r="EM246" s="31" t="s">
        <v>1276</v>
      </c>
      <c r="EN246" s="31" t="s">
        <v>1275</v>
      </c>
      <c r="EO246" s="31"/>
      <c r="EP246" s="31"/>
      <c r="EQ246" s="31" t="s">
        <v>1263</v>
      </c>
      <c r="ER246" s="31" t="s">
        <v>1264</v>
      </c>
      <c r="ES246" s="31" t="s">
        <v>1263</v>
      </c>
      <c r="ET246" s="31" t="s">
        <v>1264</v>
      </c>
      <c r="EU246" s="31" t="s">
        <v>1264</v>
      </c>
      <c r="EV246" s="31" t="s">
        <v>1265</v>
      </c>
      <c r="EW246" s="31"/>
      <c r="EX246" s="31" t="s">
        <v>368</v>
      </c>
      <c r="EY246" s="31" t="s">
        <v>368</v>
      </c>
      <c r="EZ246" s="31" t="s">
        <v>368</v>
      </c>
      <c r="FA246" s="31" t="s">
        <v>345</v>
      </c>
      <c r="FB246" s="31" t="s">
        <v>1266</v>
      </c>
      <c r="FC246" s="31"/>
      <c r="FD246" s="31" t="s">
        <v>1266</v>
      </c>
      <c r="FE246" s="31"/>
      <c r="FF246" s="31" t="s">
        <v>431</v>
      </c>
      <c r="FG246" s="31" t="s">
        <v>402</v>
      </c>
      <c r="FH246" s="31" t="s">
        <v>432</v>
      </c>
      <c r="FI246" s="31" t="s">
        <v>1286</v>
      </c>
      <c r="FJ246" s="31"/>
      <c r="FK246" s="31"/>
      <c r="FL246" s="31"/>
      <c r="FM246" s="31"/>
      <c r="FN246" s="31"/>
      <c r="FO246" s="31"/>
      <c r="FP246" s="31"/>
      <c r="FQ246" s="31"/>
      <c r="FR246" s="31"/>
      <c r="FS246" s="31"/>
      <c r="FT246" s="31"/>
      <c r="FU246" s="31"/>
      <c r="FV246" s="31"/>
      <c r="FW246" s="31"/>
      <c r="FX246" s="31"/>
      <c r="FY246" s="31"/>
      <c r="FZ246" s="31"/>
      <c r="GA246" s="31" t="s">
        <v>368</v>
      </c>
      <c r="GB246" s="31" t="s">
        <v>368</v>
      </c>
      <c r="GC246" s="31" t="s">
        <v>368</v>
      </c>
      <c r="GD246" s="31" t="s">
        <v>368</v>
      </c>
      <c r="GE246" s="31" t="s">
        <v>368</v>
      </c>
      <c r="GF246" s="31" t="s">
        <v>368</v>
      </c>
      <c r="GG246" s="31"/>
      <c r="GH246" s="31"/>
      <c r="GI246" s="31"/>
      <c r="GJ246" s="31"/>
      <c r="GK246" s="31"/>
      <c r="GL246" s="31" t="s">
        <v>344</v>
      </c>
      <c r="GM246" s="31" t="s">
        <v>344</v>
      </c>
      <c r="GN246" s="31" t="s">
        <v>344</v>
      </c>
      <c r="GO246" s="31" t="s">
        <v>344</v>
      </c>
      <c r="GP246" s="31" t="s">
        <v>344</v>
      </c>
      <c r="GQ246" s="31" t="s">
        <v>344</v>
      </c>
      <c r="GR246" s="31" t="s">
        <v>344</v>
      </c>
      <c r="GS246" s="31" t="s">
        <v>344</v>
      </c>
      <c r="GT246" s="31" t="s">
        <v>344</v>
      </c>
      <c r="GU246" s="31" t="s">
        <v>344</v>
      </c>
      <c r="GV246" s="31" t="s">
        <v>344</v>
      </c>
      <c r="GW246" s="31" t="s">
        <v>344</v>
      </c>
      <c r="GX246" s="31" t="s">
        <v>344</v>
      </c>
      <c r="GY246" s="31" t="s">
        <v>344</v>
      </c>
      <c r="GZ246" s="31" t="s">
        <v>344</v>
      </c>
      <c r="HA246" s="31" t="s">
        <v>344</v>
      </c>
      <c r="HB246" s="31" t="s">
        <v>1404</v>
      </c>
      <c r="HC246" s="31" t="s">
        <v>344</v>
      </c>
      <c r="HD246" s="31"/>
      <c r="HE246" s="31" t="s">
        <v>344</v>
      </c>
      <c r="HF246" s="31"/>
      <c r="HG246" s="31" t="s">
        <v>344</v>
      </c>
      <c r="HH246" s="31"/>
      <c r="HI246" s="31" t="s">
        <v>344</v>
      </c>
      <c r="HJ246" s="31"/>
      <c r="HK246" s="31" t="s">
        <v>344</v>
      </c>
      <c r="HL246" s="31" t="s">
        <v>344</v>
      </c>
      <c r="HM246" s="31" t="s">
        <v>344</v>
      </c>
      <c r="HN246" s="31" t="s">
        <v>344</v>
      </c>
      <c r="HO246" s="31" t="s">
        <v>344</v>
      </c>
      <c r="HP246" s="31" t="s">
        <v>344</v>
      </c>
      <c r="HQ246" s="31" t="s">
        <v>344</v>
      </c>
      <c r="HR246" s="31" t="s">
        <v>344</v>
      </c>
      <c r="HS246" s="31" t="s">
        <v>344</v>
      </c>
      <c r="HT246" s="31" t="s">
        <v>344</v>
      </c>
      <c r="HU246" s="31" t="s">
        <v>344</v>
      </c>
      <c r="HV246" s="31" t="s">
        <v>344</v>
      </c>
      <c r="HW246" s="31" t="s">
        <v>344</v>
      </c>
      <c r="HX246" s="31" t="s">
        <v>344</v>
      </c>
      <c r="HY246" s="31" t="s">
        <v>344</v>
      </c>
      <c r="HZ246" s="31" t="s">
        <v>344</v>
      </c>
      <c r="IA246" s="31" t="s">
        <v>344</v>
      </c>
      <c r="IB246" s="31" t="s">
        <v>344</v>
      </c>
      <c r="IC246" s="31" t="s">
        <v>345</v>
      </c>
      <c r="ID246" s="31"/>
      <c r="IE246" s="31" t="s">
        <v>344</v>
      </c>
      <c r="IF246" s="31"/>
      <c r="IG246" s="31" t="s">
        <v>344</v>
      </c>
      <c r="IH246" s="31"/>
      <c r="II246" s="31" t="s">
        <v>344</v>
      </c>
      <c r="IJ246" s="31"/>
      <c r="IK246" s="31" t="s">
        <v>344</v>
      </c>
      <c r="IL246" s="31"/>
      <c r="IM246" s="31" t="s">
        <v>345</v>
      </c>
      <c r="IN246" s="31" t="s">
        <v>345</v>
      </c>
      <c r="IO246" s="31" t="s">
        <v>344</v>
      </c>
      <c r="IP246" s="31" t="s">
        <v>344</v>
      </c>
      <c r="IQ246" s="31" t="s">
        <v>344</v>
      </c>
      <c r="IR246" s="31" t="s">
        <v>345</v>
      </c>
      <c r="IS246" s="31" t="s">
        <v>344</v>
      </c>
      <c r="IT246" s="31" t="s">
        <v>345</v>
      </c>
      <c r="IU246" s="31" t="s">
        <v>344</v>
      </c>
      <c r="IV246" s="31" t="s">
        <v>344</v>
      </c>
      <c r="IW246" s="31" t="s">
        <v>344</v>
      </c>
      <c r="IX246" s="31" t="s">
        <v>344</v>
      </c>
      <c r="IY246" s="31" t="s">
        <v>345</v>
      </c>
      <c r="IZ246" s="31" t="s">
        <v>344</v>
      </c>
      <c r="JA246" s="31"/>
      <c r="JB246" s="31"/>
    </row>
    <row r="247" spans="1:262" x14ac:dyDescent="0.3">
      <c r="A247" s="30" t="s">
        <v>727</v>
      </c>
      <c r="B247" s="31">
        <v>198</v>
      </c>
      <c r="C247" s="31" t="s">
        <v>1405</v>
      </c>
      <c r="D247" s="31">
        <v>14</v>
      </c>
      <c r="E247" s="31" t="s">
        <v>387</v>
      </c>
      <c r="F247" s="31">
        <v>447539026</v>
      </c>
      <c r="G247" s="31" t="s">
        <v>1406</v>
      </c>
      <c r="H247" s="31" t="s">
        <v>1405</v>
      </c>
      <c r="I247" s="31" t="s">
        <v>1400</v>
      </c>
      <c r="J247" s="31">
        <v>17</v>
      </c>
      <c r="K247" s="31" t="s">
        <v>1282</v>
      </c>
      <c r="L247" s="31"/>
      <c r="M247" s="31" t="s">
        <v>345</v>
      </c>
      <c r="N247" s="31" t="s">
        <v>344</v>
      </c>
      <c r="O247" s="31" t="s">
        <v>344</v>
      </c>
      <c r="P247" s="31" t="s">
        <v>344</v>
      </c>
      <c r="Q247" s="31" t="s">
        <v>344</v>
      </c>
      <c r="R247" s="31"/>
      <c r="S247" s="31" t="s">
        <v>475</v>
      </c>
      <c r="T247" s="31"/>
      <c r="U247" s="31" t="s">
        <v>1256</v>
      </c>
      <c r="V247" s="31"/>
      <c r="W247" s="31" t="s">
        <v>345</v>
      </c>
      <c r="X247" s="31" t="s">
        <v>344</v>
      </c>
      <c r="Y247" s="31" t="s">
        <v>345</v>
      </c>
      <c r="Z247" s="31" t="s">
        <v>344</v>
      </c>
      <c r="AA247" s="31" t="s">
        <v>344</v>
      </c>
      <c r="AB247" s="31" t="s">
        <v>344</v>
      </c>
      <c r="AC247" s="31" t="s">
        <v>344</v>
      </c>
      <c r="AD247" s="31" t="s">
        <v>344</v>
      </c>
      <c r="AE247" s="31" t="s">
        <v>345</v>
      </c>
      <c r="AF247" s="31" t="s">
        <v>344</v>
      </c>
      <c r="AG247" s="31" t="s">
        <v>344</v>
      </c>
      <c r="AH247" s="31" t="s">
        <v>345</v>
      </c>
      <c r="AI247" s="31" t="s">
        <v>344</v>
      </c>
      <c r="AJ247" s="31" t="s">
        <v>344</v>
      </c>
      <c r="AK247" s="31" t="s">
        <v>344</v>
      </c>
      <c r="AL247" s="31" t="s">
        <v>344</v>
      </c>
      <c r="AM247" s="31" t="s">
        <v>345</v>
      </c>
      <c r="AN247" s="31" t="s">
        <v>344</v>
      </c>
      <c r="AO247" s="31" t="s">
        <v>344</v>
      </c>
      <c r="AP247" s="31" t="s">
        <v>345</v>
      </c>
      <c r="AQ247" s="31" t="s">
        <v>344</v>
      </c>
      <c r="AR247" s="31" t="s">
        <v>345</v>
      </c>
      <c r="AS247" s="31" t="s">
        <v>344</v>
      </c>
      <c r="AT247" s="31" t="s">
        <v>345</v>
      </c>
      <c r="AU247" s="31" t="s">
        <v>344</v>
      </c>
      <c r="AV247" s="31" t="s">
        <v>345</v>
      </c>
      <c r="AW247" s="31" t="s">
        <v>344</v>
      </c>
      <c r="AX247" s="31" t="s">
        <v>344</v>
      </c>
      <c r="AY247" s="31" t="s">
        <v>731</v>
      </c>
      <c r="AZ247" s="31" t="s">
        <v>732</v>
      </c>
      <c r="BA247" s="31" t="s">
        <v>732</v>
      </c>
      <c r="BB247" s="31" t="s">
        <v>733</v>
      </c>
      <c r="BC247" s="31" t="s">
        <v>731</v>
      </c>
      <c r="BD247" s="31" t="s">
        <v>731</v>
      </c>
      <c r="BE247" s="31" t="s">
        <v>390</v>
      </c>
      <c r="BF247" s="31" t="s">
        <v>350</v>
      </c>
      <c r="BG247" s="31" t="s">
        <v>349</v>
      </c>
      <c r="BH247" s="31" t="s">
        <v>717</v>
      </c>
      <c r="BI247" s="31" t="s">
        <v>350</v>
      </c>
      <c r="BJ247" s="31" t="s">
        <v>354</v>
      </c>
      <c r="BK247" s="31" t="s">
        <v>356</v>
      </c>
      <c r="BL247" s="31" t="s">
        <v>355</v>
      </c>
      <c r="BM247" s="31" t="s">
        <v>352</v>
      </c>
      <c r="BN247" s="31" t="s">
        <v>357</v>
      </c>
      <c r="BO247" s="31" t="s">
        <v>356</v>
      </c>
      <c r="BP247" s="31" t="s">
        <v>391</v>
      </c>
      <c r="BQ247" s="31" t="s">
        <v>358</v>
      </c>
      <c r="BR247" s="31" t="s">
        <v>1296</v>
      </c>
      <c r="BS247" s="31" t="s">
        <v>354</v>
      </c>
      <c r="BT247" s="31" t="s">
        <v>357</v>
      </c>
      <c r="BU247" s="31" t="s">
        <v>352</v>
      </c>
      <c r="BV247" s="31" t="s">
        <v>353</v>
      </c>
      <c r="BW247" s="31" t="s">
        <v>391</v>
      </c>
      <c r="BX247" s="31" t="s">
        <v>353</v>
      </c>
      <c r="BY247" s="31" t="s">
        <v>391</v>
      </c>
      <c r="BZ247" s="31" t="s">
        <v>354</v>
      </c>
      <c r="CA247" s="31" t="s">
        <v>357</v>
      </c>
      <c r="CB247" s="31" t="s">
        <v>351</v>
      </c>
      <c r="CC247" s="31" t="s">
        <v>352</v>
      </c>
      <c r="CD247" s="31" t="s">
        <v>353</v>
      </c>
      <c r="CE247" s="31" t="s">
        <v>352</v>
      </c>
      <c r="CF247" s="31" t="s">
        <v>356</v>
      </c>
      <c r="CG247" s="31" t="s">
        <v>393</v>
      </c>
      <c r="CH247" s="31" t="s">
        <v>421</v>
      </c>
      <c r="CI247" s="31" t="s">
        <v>420</v>
      </c>
      <c r="CJ247" s="31" t="s">
        <v>392</v>
      </c>
      <c r="CK247" s="31" t="s">
        <v>391</v>
      </c>
      <c r="CL247" s="31" t="s">
        <v>344</v>
      </c>
      <c r="CM247" s="31" t="s">
        <v>344</v>
      </c>
      <c r="CN247" s="31" t="s">
        <v>345</v>
      </c>
      <c r="CO247" s="31" t="s">
        <v>345</v>
      </c>
      <c r="CP247" s="31" t="s">
        <v>345</v>
      </c>
      <c r="CQ247" s="31" t="s">
        <v>344</v>
      </c>
      <c r="CR247" s="31" t="s">
        <v>667</v>
      </c>
      <c r="CS247" s="31">
        <v>100</v>
      </c>
      <c r="CT247" s="31">
        <v>100</v>
      </c>
      <c r="CU247" s="31"/>
      <c r="CV247" s="31"/>
      <c r="CW247" s="31" t="s">
        <v>395</v>
      </c>
      <c r="CX247" s="31" t="s">
        <v>363</v>
      </c>
      <c r="CY247" s="31" t="s">
        <v>395</v>
      </c>
      <c r="CZ247" s="31" t="s">
        <v>365</v>
      </c>
      <c r="DA247" s="31" t="s">
        <v>423</v>
      </c>
      <c r="DB247" s="31" t="s">
        <v>397</v>
      </c>
      <c r="DC247" s="31" t="s">
        <v>717</v>
      </c>
      <c r="DD247" s="31" t="s">
        <v>423</v>
      </c>
      <c r="DE247" s="31"/>
      <c r="DF247" s="31"/>
      <c r="DG247" s="31"/>
      <c r="DH247" s="31"/>
      <c r="DI247" s="31"/>
      <c r="DJ247" s="31" t="s">
        <v>1407</v>
      </c>
      <c r="DK247" s="31" t="s">
        <v>344</v>
      </c>
      <c r="DL247" s="31" t="s">
        <v>368</v>
      </c>
      <c r="DM247" s="31" t="s">
        <v>368</v>
      </c>
      <c r="DN247" s="31" t="s">
        <v>368</v>
      </c>
      <c r="DO247" s="31" t="s">
        <v>368</v>
      </c>
      <c r="DP247" s="31" t="s">
        <v>368</v>
      </c>
      <c r="DQ247" s="31" t="s">
        <v>368</v>
      </c>
      <c r="DR247" s="31" t="s">
        <v>368</v>
      </c>
      <c r="DS247" s="31" t="s">
        <v>345</v>
      </c>
      <c r="DT247" s="31" t="s">
        <v>344</v>
      </c>
      <c r="DU247" s="31" t="s">
        <v>344</v>
      </c>
      <c r="DV247" s="31" t="s">
        <v>345</v>
      </c>
      <c r="DW247" s="31" t="s">
        <v>344</v>
      </c>
      <c r="DX247" s="31" t="s">
        <v>1258</v>
      </c>
      <c r="DY247" s="31" t="s">
        <v>1258</v>
      </c>
      <c r="DZ247" s="31" t="s">
        <v>1258</v>
      </c>
      <c r="EA247" s="31" t="s">
        <v>1258</v>
      </c>
      <c r="EB247" s="31" t="s">
        <v>1258</v>
      </c>
      <c r="EC247" s="31" t="s">
        <v>1258</v>
      </c>
      <c r="ED247" s="31" t="s">
        <v>1258</v>
      </c>
      <c r="EE247" s="31" t="s">
        <v>397</v>
      </c>
      <c r="EF247" s="31" t="s">
        <v>1274</v>
      </c>
      <c r="EG247" s="31" t="s">
        <v>397</v>
      </c>
      <c r="EH247" s="31" t="s">
        <v>1272</v>
      </c>
      <c r="EI247" s="31" t="s">
        <v>397</v>
      </c>
      <c r="EJ247" s="31" t="s">
        <v>397</v>
      </c>
      <c r="EK247" s="31" t="s">
        <v>1273</v>
      </c>
      <c r="EL247" s="31" t="s">
        <v>1259</v>
      </c>
      <c r="EM247" s="31" t="s">
        <v>1260</v>
      </c>
      <c r="EN247" s="31" t="s">
        <v>1276</v>
      </c>
      <c r="EO247" s="31"/>
      <c r="EP247" s="31"/>
      <c r="EQ247" s="31" t="s">
        <v>1263</v>
      </c>
      <c r="ER247" s="31" t="s">
        <v>1263</v>
      </c>
      <c r="ES247" s="31" t="s">
        <v>1262</v>
      </c>
      <c r="ET247" s="31" t="s">
        <v>1264</v>
      </c>
      <c r="EU247" s="31" t="s">
        <v>1263</v>
      </c>
      <c r="EV247" s="31" t="s">
        <v>1265</v>
      </c>
      <c r="EW247" s="31"/>
      <c r="EX247" s="31" t="s">
        <v>368</v>
      </c>
      <c r="EY247" s="31" t="s">
        <v>368</v>
      </c>
      <c r="EZ247" s="31" t="s">
        <v>368</v>
      </c>
      <c r="FA247" s="31" t="s">
        <v>345</v>
      </c>
      <c r="FB247" s="31" t="s">
        <v>1266</v>
      </c>
      <c r="FC247" s="31"/>
      <c r="FD247" s="31" t="s">
        <v>1266</v>
      </c>
      <c r="FE247" s="31"/>
      <c r="FF247" s="31" t="s">
        <v>431</v>
      </c>
      <c r="FG247" s="31" t="s">
        <v>441</v>
      </c>
      <c r="FH247" s="31" t="s">
        <v>432</v>
      </c>
      <c r="FI247" s="31" t="s">
        <v>442</v>
      </c>
      <c r="FJ247" s="31"/>
      <c r="FK247" s="31"/>
      <c r="FL247" s="31"/>
      <c r="FM247" s="31"/>
      <c r="FN247" s="31"/>
      <c r="FO247" s="31"/>
      <c r="FP247" s="31"/>
      <c r="FQ247" s="31"/>
      <c r="FR247" s="31"/>
      <c r="FS247" s="31"/>
      <c r="FT247" s="31"/>
      <c r="FU247" s="31"/>
      <c r="FV247" s="31"/>
      <c r="FW247" s="31"/>
      <c r="FX247" s="31"/>
      <c r="FY247" s="31"/>
      <c r="FZ247" s="31"/>
      <c r="GA247" s="31" t="s">
        <v>368</v>
      </c>
      <c r="GB247" s="31" t="s">
        <v>368</v>
      </c>
      <c r="GC247" s="31" t="s">
        <v>368</v>
      </c>
      <c r="GD247" s="31" t="s">
        <v>368</v>
      </c>
      <c r="GE247" s="31" t="s">
        <v>368</v>
      </c>
      <c r="GF247" s="31" t="s">
        <v>368</v>
      </c>
      <c r="GG247" s="31"/>
      <c r="GH247" s="31"/>
      <c r="GI247" s="31"/>
      <c r="GJ247" s="31"/>
      <c r="GK247" s="31"/>
      <c r="GL247" s="31" t="s">
        <v>344</v>
      </c>
      <c r="GM247" s="31" t="s">
        <v>344</v>
      </c>
      <c r="GN247" s="31" t="s">
        <v>344</v>
      </c>
      <c r="GO247" s="31" t="s">
        <v>345</v>
      </c>
      <c r="GP247" s="31" t="s">
        <v>344</v>
      </c>
      <c r="GQ247" s="31" t="s">
        <v>344</v>
      </c>
      <c r="GR247" s="31" t="s">
        <v>344</v>
      </c>
      <c r="GS247" s="31" t="s">
        <v>344</v>
      </c>
      <c r="GT247" s="31" t="s">
        <v>344</v>
      </c>
      <c r="GU247" s="31" t="s">
        <v>344</v>
      </c>
      <c r="GV247" s="31" t="s">
        <v>344</v>
      </c>
      <c r="GW247" s="31" t="s">
        <v>344</v>
      </c>
      <c r="GX247" s="31" t="s">
        <v>344</v>
      </c>
      <c r="GY247" s="31" t="s">
        <v>344</v>
      </c>
      <c r="GZ247" s="31" t="s">
        <v>344</v>
      </c>
      <c r="HA247" s="31" t="s">
        <v>344</v>
      </c>
      <c r="HB247" s="31"/>
      <c r="HC247" s="31" t="s">
        <v>345</v>
      </c>
      <c r="HD247" s="31" t="s">
        <v>557</v>
      </c>
      <c r="HE247" s="31" t="s">
        <v>344</v>
      </c>
      <c r="HF247" s="31"/>
      <c r="HG247" s="31" t="s">
        <v>344</v>
      </c>
      <c r="HH247" s="31"/>
      <c r="HI247" s="31" t="s">
        <v>344</v>
      </c>
      <c r="HJ247" s="31"/>
      <c r="HK247" s="31" t="s">
        <v>344</v>
      </c>
      <c r="HL247" s="31" t="s">
        <v>344</v>
      </c>
      <c r="HM247" s="31" t="s">
        <v>344</v>
      </c>
      <c r="HN247" s="31" t="s">
        <v>344</v>
      </c>
      <c r="HO247" s="31" t="s">
        <v>344</v>
      </c>
      <c r="HP247" s="31" t="s">
        <v>344</v>
      </c>
      <c r="HQ247" s="31" t="s">
        <v>344</v>
      </c>
      <c r="HR247" s="31" t="s">
        <v>344</v>
      </c>
      <c r="HS247" s="31" t="s">
        <v>344</v>
      </c>
      <c r="HT247" s="31" t="s">
        <v>344</v>
      </c>
      <c r="HU247" s="31" t="s">
        <v>344</v>
      </c>
      <c r="HV247" s="31" t="s">
        <v>344</v>
      </c>
      <c r="HW247" s="31" t="s">
        <v>344</v>
      </c>
      <c r="HX247" s="31" t="s">
        <v>344</v>
      </c>
      <c r="HY247" s="31" t="s">
        <v>344</v>
      </c>
      <c r="HZ247" s="31" t="s">
        <v>344</v>
      </c>
      <c r="IA247" s="31" t="s">
        <v>344</v>
      </c>
      <c r="IB247" s="31" t="s">
        <v>344</v>
      </c>
      <c r="IC247" s="31" t="s">
        <v>345</v>
      </c>
      <c r="ID247" s="31"/>
      <c r="IE247" s="31" t="s">
        <v>344</v>
      </c>
      <c r="IF247" s="31"/>
      <c r="IG247" s="31" t="s">
        <v>344</v>
      </c>
      <c r="IH247" s="31"/>
      <c r="II247" s="31" t="s">
        <v>344</v>
      </c>
      <c r="IJ247" s="31"/>
      <c r="IK247" s="31" t="s">
        <v>344</v>
      </c>
      <c r="IL247" s="31"/>
      <c r="IM247" s="31" t="s">
        <v>345</v>
      </c>
      <c r="IN247" s="31" t="s">
        <v>344</v>
      </c>
      <c r="IO247" s="31" t="s">
        <v>344</v>
      </c>
      <c r="IP247" s="31" t="s">
        <v>344</v>
      </c>
      <c r="IQ247" s="31" t="s">
        <v>345</v>
      </c>
      <c r="IR247" s="31" t="s">
        <v>344</v>
      </c>
      <c r="IS247" s="31" t="s">
        <v>344</v>
      </c>
      <c r="IT247" s="31" t="s">
        <v>345</v>
      </c>
      <c r="IU247" s="31" t="s">
        <v>344</v>
      </c>
      <c r="IV247" s="31" t="s">
        <v>344</v>
      </c>
      <c r="IW247" s="31" t="s">
        <v>344</v>
      </c>
      <c r="IX247" s="31" t="s">
        <v>344</v>
      </c>
      <c r="IY247" s="31" t="s">
        <v>345</v>
      </c>
      <c r="IZ247" s="31" t="s">
        <v>344</v>
      </c>
      <c r="JA247" s="31"/>
      <c r="JB247" s="31"/>
    </row>
    <row r="248" spans="1:262" x14ac:dyDescent="0.3">
      <c r="A248" s="30" t="s">
        <v>727</v>
      </c>
      <c r="B248" s="31">
        <v>199</v>
      </c>
      <c r="C248" s="31" t="s">
        <v>1408</v>
      </c>
      <c r="D248" s="31">
        <v>14</v>
      </c>
      <c r="E248" s="31" t="s">
        <v>387</v>
      </c>
      <c r="F248" s="31">
        <v>1254056029</v>
      </c>
      <c r="G248" s="31" t="s">
        <v>1409</v>
      </c>
      <c r="H248" s="31" t="s">
        <v>1408</v>
      </c>
      <c r="I248" s="31" t="s">
        <v>1400</v>
      </c>
      <c r="J248" s="31">
        <v>17</v>
      </c>
      <c r="K248" s="31" t="s">
        <v>1282</v>
      </c>
      <c r="L248" s="31"/>
      <c r="M248" s="31" t="s">
        <v>345</v>
      </c>
      <c r="N248" s="31" t="s">
        <v>345</v>
      </c>
      <c r="O248" s="31" t="s">
        <v>344</v>
      </c>
      <c r="P248" s="31" t="s">
        <v>344</v>
      </c>
      <c r="Q248" s="31" t="s">
        <v>344</v>
      </c>
      <c r="R248" s="31"/>
      <c r="S248" s="31" t="s">
        <v>475</v>
      </c>
      <c r="T248" s="31"/>
      <c r="U248" s="31" t="s">
        <v>347</v>
      </c>
      <c r="V248" s="32"/>
      <c r="W248" s="31" t="s">
        <v>344</v>
      </c>
      <c r="X248" s="31" t="s">
        <v>345</v>
      </c>
      <c r="Y248" s="31" t="s">
        <v>344</v>
      </c>
      <c r="Z248" s="31" t="s">
        <v>344</v>
      </c>
      <c r="AA248" s="31" t="s">
        <v>344</v>
      </c>
      <c r="AB248" s="31" t="s">
        <v>344</v>
      </c>
      <c r="AC248" s="31" t="s">
        <v>344</v>
      </c>
      <c r="AD248" s="31" t="s">
        <v>345</v>
      </c>
      <c r="AE248" s="31" t="s">
        <v>344</v>
      </c>
      <c r="AF248" s="31" t="s">
        <v>344</v>
      </c>
      <c r="AG248" s="31" t="s">
        <v>344</v>
      </c>
      <c r="AH248" s="31" t="s">
        <v>344</v>
      </c>
      <c r="AI248" s="31" t="s">
        <v>345</v>
      </c>
      <c r="AJ248" s="31" t="s">
        <v>344</v>
      </c>
      <c r="AK248" s="31" t="s">
        <v>345</v>
      </c>
      <c r="AL248" s="31" t="s">
        <v>344</v>
      </c>
      <c r="AM248" s="31" t="s">
        <v>344</v>
      </c>
      <c r="AN248" s="31" t="s">
        <v>344</v>
      </c>
      <c r="AO248" s="31" t="s">
        <v>344</v>
      </c>
      <c r="AP248" s="31" t="s">
        <v>344</v>
      </c>
      <c r="AQ248" s="31" t="s">
        <v>344</v>
      </c>
      <c r="AR248" s="31" t="s">
        <v>345</v>
      </c>
      <c r="AS248" s="31" t="s">
        <v>344</v>
      </c>
      <c r="AT248" s="31" t="s">
        <v>344</v>
      </c>
      <c r="AU248" s="31" t="s">
        <v>345</v>
      </c>
      <c r="AV248" s="31" t="s">
        <v>344</v>
      </c>
      <c r="AW248" s="31" t="s">
        <v>344</v>
      </c>
      <c r="AX248" s="31" t="s">
        <v>344</v>
      </c>
      <c r="AY248" s="31" t="s">
        <v>737</v>
      </c>
      <c r="AZ248" s="31" t="s">
        <v>733</v>
      </c>
      <c r="BA248" s="31" t="s">
        <v>737</v>
      </c>
      <c r="BB248" s="31" t="s">
        <v>733</v>
      </c>
      <c r="BC248" s="31" t="s">
        <v>731</v>
      </c>
      <c r="BD248" s="31" t="s">
        <v>731</v>
      </c>
      <c r="BE248" s="31" t="s">
        <v>349</v>
      </c>
      <c r="BF248" s="31" t="s">
        <v>348</v>
      </c>
      <c r="BG248" s="31" t="s">
        <v>349</v>
      </c>
      <c r="BH248" s="31" t="s">
        <v>349</v>
      </c>
      <c r="BI248" s="31" t="s">
        <v>348</v>
      </c>
      <c r="BJ248" s="31" t="s">
        <v>391</v>
      </c>
      <c r="BK248" s="31" t="s">
        <v>353</v>
      </c>
      <c r="BL248" s="31" t="s">
        <v>354</v>
      </c>
      <c r="BM248" s="31" t="s">
        <v>391</v>
      </c>
      <c r="BN248" s="31" t="s">
        <v>357</v>
      </c>
      <c r="BO248" s="31" t="s">
        <v>391</v>
      </c>
      <c r="BP248" s="31" t="s">
        <v>391</v>
      </c>
      <c r="BQ248" s="31" t="s">
        <v>358</v>
      </c>
      <c r="BR248" s="31" t="s">
        <v>1296</v>
      </c>
      <c r="BS248" s="31" t="s">
        <v>391</v>
      </c>
      <c r="BT248" s="31" t="s">
        <v>391</v>
      </c>
      <c r="BU248" s="31" t="s">
        <v>351</v>
      </c>
      <c r="BV248" s="31" t="s">
        <v>391</v>
      </c>
      <c r="BW248" s="31" t="s">
        <v>391</v>
      </c>
      <c r="BX248" s="31" t="s">
        <v>351</v>
      </c>
      <c r="BY248" s="31" t="s">
        <v>357</v>
      </c>
      <c r="BZ248" s="31" t="s">
        <v>391</v>
      </c>
      <c r="CA248" s="31" t="s">
        <v>352</v>
      </c>
      <c r="CB248" s="31" t="s">
        <v>357</v>
      </c>
      <c r="CC248" s="31" t="s">
        <v>391</v>
      </c>
      <c r="CD248" s="31" t="s">
        <v>391</v>
      </c>
      <c r="CE248" s="31" t="s">
        <v>391</v>
      </c>
      <c r="CF248" s="31" t="s">
        <v>391</v>
      </c>
      <c r="CG248" s="31" t="s">
        <v>420</v>
      </c>
      <c r="CH248" s="31" t="s">
        <v>392</v>
      </c>
      <c r="CI248" s="31" t="s">
        <v>420</v>
      </c>
      <c r="CJ248" s="31" t="s">
        <v>392</v>
      </c>
      <c r="CK248" s="31" t="s">
        <v>1410</v>
      </c>
      <c r="CL248" s="31" t="s">
        <v>344</v>
      </c>
      <c r="CM248" s="31" t="s">
        <v>344</v>
      </c>
      <c r="CN248" s="31" t="s">
        <v>344</v>
      </c>
      <c r="CO248" s="31" t="s">
        <v>345</v>
      </c>
      <c r="CP248" s="31" t="s">
        <v>345</v>
      </c>
      <c r="CQ248" s="31" t="s">
        <v>344</v>
      </c>
      <c r="CR248" s="31" t="s">
        <v>667</v>
      </c>
      <c r="CS248" s="31">
        <v>65</v>
      </c>
      <c r="CT248" s="31">
        <v>90</v>
      </c>
      <c r="CU248" s="31">
        <v>69</v>
      </c>
      <c r="CV248" s="31">
        <v>10</v>
      </c>
      <c r="CW248" s="31" t="s">
        <v>363</v>
      </c>
      <c r="CX248" s="31" t="s">
        <v>396</v>
      </c>
      <c r="CY248" s="31" t="s">
        <v>396</v>
      </c>
      <c r="CZ248" s="31" t="s">
        <v>397</v>
      </c>
      <c r="DA248" s="31" t="s">
        <v>397</v>
      </c>
      <c r="DB248" s="31" t="s">
        <v>397</v>
      </c>
      <c r="DC248" s="31" t="s">
        <v>397</v>
      </c>
      <c r="DD248" s="31" t="s">
        <v>366</v>
      </c>
      <c r="DE248" s="31" t="s">
        <v>397</v>
      </c>
      <c r="DF248" s="31" t="s">
        <v>366</v>
      </c>
      <c r="DG248" s="31" t="s">
        <v>397</v>
      </c>
      <c r="DH248" s="31" t="s">
        <v>366</v>
      </c>
      <c r="DI248" s="31" t="s">
        <v>365</v>
      </c>
      <c r="DJ248" s="31" t="s">
        <v>1411</v>
      </c>
      <c r="DK248" s="31" t="s">
        <v>344</v>
      </c>
      <c r="DL248" s="31" t="s">
        <v>368</v>
      </c>
      <c r="DM248" s="31" t="s">
        <v>368</v>
      </c>
      <c r="DN248" s="31" t="s">
        <v>368</v>
      </c>
      <c r="DO248" s="31" t="s">
        <v>368</v>
      </c>
      <c r="DP248" s="31" t="s">
        <v>345</v>
      </c>
      <c r="DQ248" s="31" t="s">
        <v>344</v>
      </c>
      <c r="DR248" s="31" t="s">
        <v>344</v>
      </c>
      <c r="DS248" s="31" t="s">
        <v>344</v>
      </c>
      <c r="DT248" s="31" t="s">
        <v>345</v>
      </c>
      <c r="DU248" s="31" t="s">
        <v>345</v>
      </c>
      <c r="DV248" s="31" t="s">
        <v>344</v>
      </c>
      <c r="DW248" s="31" t="s">
        <v>344</v>
      </c>
      <c r="DX248" s="31" t="s">
        <v>1258</v>
      </c>
      <c r="DY248" s="31" t="s">
        <v>1258</v>
      </c>
      <c r="DZ248" s="31" t="s">
        <v>1258</v>
      </c>
      <c r="EA248" s="31" t="s">
        <v>1258</v>
      </c>
      <c r="EB248" s="31" t="s">
        <v>1258</v>
      </c>
      <c r="EC248" s="31" t="s">
        <v>1258</v>
      </c>
      <c r="ED248" s="31" t="s">
        <v>1258</v>
      </c>
      <c r="EE248" s="31" t="s">
        <v>1258</v>
      </c>
      <c r="EF248" s="31" t="s">
        <v>1258</v>
      </c>
      <c r="EG248" s="31" t="s">
        <v>1258</v>
      </c>
      <c r="EH248" s="31" t="s">
        <v>1258</v>
      </c>
      <c r="EI248" s="31" t="s">
        <v>1258</v>
      </c>
      <c r="EJ248" s="31" t="s">
        <v>1258</v>
      </c>
      <c r="EK248" s="31" t="s">
        <v>1258</v>
      </c>
      <c r="EL248" s="31" t="s">
        <v>1276</v>
      </c>
      <c r="EM248" s="31" t="s">
        <v>1260</v>
      </c>
      <c r="EN248" s="31" t="s">
        <v>1259</v>
      </c>
      <c r="EO248" s="31"/>
      <c r="EP248" s="31"/>
      <c r="EQ248" s="31" t="s">
        <v>1264</v>
      </c>
      <c r="ER248" s="31" t="s">
        <v>1264</v>
      </c>
      <c r="ES248" s="31" t="s">
        <v>1264</v>
      </c>
      <c r="ET248" s="31" t="s">
        <v>1277</v>
      </c>
      <c r="EU248" s="31" t="s">
        <v>1264</v>
      </c>
      <c r="EV248" s="31" t="s">
        <v>1265</v>
      </c>
      <c r="EW248" s="31"/>
      <c r="EX248" s="33" t="s">
        <v>344</v>
      </c>
      <c r="EY248" s="33" t="s">
        <v>345</v>
      </c>
      <c r="EZ248" s="33" t="s">
        <v>344</v>
      </c>
      <c r="FA248" s="31" t="s">
        <v>344</v>
      </c>
      <c r="FB248" s="31" t="s">
        <v>1266</v>
      </c>
      <c r="FC248" s="31"/>
      <c r="FD248" s="31" t="s">
        <v>1266</v>
      </c>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t="s">
        <v>368</v>
      </c>
      <c r="GB248" s="31" t="s">
        <v>368</v>
      </c>
      <c r="GC248" s="31" t="s">
        <v>368</v>
      </c>
      <c r="GD248" s="31" t="s">
        <v>368</v>
      </c>
      <c r="GE248" s="31" t="s">
        <v>368</v>
      </c>
      <c r="GF248" s="31" t="s">
        <v>368</v>
      </c>
      <c r="GG248" s="31"/>
      <c r="GH248" s="31"/>
      <c r="GI248" s="31"/>
      <c r="GJ248" s="31"/>
      <c r="GK248" s="31"/>
      <c r="GL248" s="31" t="s">
        <v>344</v>
      </c>
      <c r="GM248" s="31" t="s">
        <v>344</v>
      </c>
      <c r="GN248" s="31" t="s">
        <v>344</v>
      </c>
      <c r="GO248" s="31" t="s">
        <v>344</v>
      </c>
      <c r="GP248" s="31" t="s">
        <v>344</v>
      </c>
      <c r="GQ248" s="31" t="s">
        <v>344</v>
      </c>
      <c r="GR248" s="31" t="s">
        <v>344</v>
      </c>
      <c r="GS248" s="31" t="s">
        <v>344</v>
      </c>
      <c r="GT248" s="31" t="s">
        <v>344</v>
      </c>
      <c r="GU248" s="31" t="s">
        <v>344</v>
      </c>
      <c r="GV248" s="31" t="s">
        <v>344</v>
      </c>
      <c r="GW248" s="31" t="s">
        <v>344</v>
      </c>
      <c r="GX248" s="31" t="s">
        <v>344</v>
      </c>
      <c r="GY248" s="31" t="s">
        <v>344</v>
      </c>
      <c r="GZ248" s="31" t="s">
        <v>344</v>
      </c>
      <c r="HA248" s="31" t="s">
        <v>345</v>
      </c>
      <c r="HB248" s="31"/>
      <c r="HC248" s="31" t="s">
        <v>344</v>
      </c>
      <c r="HD248" s="31"/>
      <c r="HE248" s="31" t="s">
        <v>344</v>
      </c>
      <c r="HF248" s="31"/>
      <c r="HG248" s="31" t="s">
        <v>344</v>
      </c>
      <c r="HH248" s="31"/>
      <c r="HI248" s="31" t="s">
        <v>344</v>
      </c>
      <c r="HJ248" s="31"/>
      <c r="HK248" s="31" t="s">
        <v>344</v>
      </c>
      <c r="HL248" s="31" t="s">
        <v>344</v>
      </c>
      <c r="HM248" s="31" t="s">
        <v>344</v>
      </c>
      <c r="HN248" s="31" t="s">
        <v>344</v>
      </c>
      <c r="HO248" s="31" t="s">
        <v>344</v>
      </c>
      <c r="HP248" s="31" t="s">
        <v>344</v>
      </c>
      <c r="HQ248" s="31" t="s">
        <v>344</v>
      </c>
      <c r="HR248" s="31" t="s">
        <v>344</v>
      </c>
      <c r="HS248" s="31" t="s">
        <v>344</v>
      </c>
      <c r="HT248" s="31" t="s">
        <v>344</v>
      </c>
      <c r="HU248" s="31" t="s">
        <v>344</v>
      </c>
      <c r="HV248" s="31" t="s">
        <v>344</v>
      </c>
      <c r="HW248" s="31" t="s">
        <v>344</v>
      </c>
      <c r="HX248" s="31" t="s">
        <v>344</v>
      </c>
      <c r="HY248" s="31" t="s">
        <v>344</v>
      </c>
      <c r="HZ248" s="31" t="s">
        <v>344</v>
      </c>
      <c r="IA248" s="31" t="s">
        <v>345</v>
      </c>
      <c r="IB248" s="31" t="s">
        <v>344</v>
      </c>
      <c r="IC248" s="31" t="s">
        <v>344</v>
      </c>
      <c r="ID248" s="31"/>
      <c r="IE248" s="31" t="s">
        <v>344</v>
      </c>
      <c r="IF248" s="31"/>
      <c r="IG248" s="31" t="s">
        <v>344</v>
      </c>
      <c r="IH248" s="31"/>
      <c r="II248" s="31" t="s">
        <v>344</v>
      </c>
      <c r="IJ248" s="31"/>
      <c r="IK248" s="31" t="s">
        <v>344</v>
      </c>
      <c r="IL248" s="31"/>
      <c r="IM248" s="31" t="s">
        <v>345</v>
      </c>
      <c r="IN248" s="31" t="s">
        <v>345</v>
      </c>
      <c r="IO248" s="31" t="s">
        <v>344</v>
      </c>
      <c r="IP248" s="31" t="s">
        <v>344</v>
      </c>
      <c r="IQ248" s="31" t="s">
        <v>345</v>
      </c>
      <c r="IR248" s="31" t="s">
        <v>344</v>
      </c>
      <c r="IS248" s="31" t="s">
        <v>345</v>
      </c>
      <c r="IT248" s="31" t="s">
        <v>345</v>
      </c>
      <c r="IU248" s="31" t="s">
        <v>344</v>
      </c>
      <c r="IV248" s="31" t="s">
        <v>344</v>
      </c>
      <c r="IW248" s="31" t="s">
        <v>344</v>
      </c>
      <c r="IX248" s="31" t="s">
        <v>344</v>
      </c>
      <c r="IY248" s="31" t="s">
        <v>345</v>
      </c>
      <c r="IZ248" s="31" t="s">
        <v>344</v>
      </c>
      <c r="JA248" s="31"/>
      <c r="JB248" s="31"/>
    </row>
    <row r="249" spans="1:262" ht="15" customHeight="1" x14ac:dyDescent="0.3">
      <c r="A249" s="30" t="s">
        <v>727</v>
      </c>
      <c r="B249" s="31">
        <v>200</v>
      </c>
      <c r="C249" s="31" t="s">
        <v>1412</v>
      </c>
      <c r="D249" s="31">
        <v>14</v>
      </c>
      <c r="E249" s="31" t="s">
        <v>387</v>
      </c>
      <c r="F249" s="31">
        <v>1610984850</v>
      </c>
      <c r="G249" s="31" t="s">
        <v>1413</v>
      </c>
      <c r="H249" s="31" t="s">
        <v>1412</v>
      </c>
      <c r="I249" s="31" t="s">
        <v>1400</v>
      </c>
      <c r="J249" s="31">
        <v>17</v>
      </c>
      <c r="K249" s="31" t="s">
        <v>1282</v>
      </c>
      <c r="L249" s="31"/>
      <c r="M249" s="31" t="s">
        <v>345</v>
      </c>
      <c r="N249" s="31" t="s">
        <v>344</v>
      </c>
      <c r="O249" s="31" t="s">
        <v>344</v>
      </c>
      <c r="P249" s="31" t="s">
        <v>344</v>
      </c>
      <c r="Q249" s="31" t="s">
        <v>344</v>
      </c>
      <c r="R249" s="31"/>
      <c r="S249" s="31" t="s">
        <v>475</v>
      </c>
      <c r="T249" s="31"/>
      <c r="U249" s="31" t="s">
        <v>1270</v>
      </c>
      <c r="V249" s="31"/>
      <c r="W249" s="31" t="s">
        <v>345</v>
      </c>
      <c r="X249" s="31" t="s">
        <v>344</v>
      </c>
      <c r="Y249" s="31" t="s">
        <v>344</v>
      </c>
      <c r="Z249" s="31" t="s">
        <v>344</v>
      </c>
      <c r="AA249" s="31" t="s">
        <v>344</v>
      </c>
      <c r="AB249" s="31" t="s">
        <v>344</v>
      </c>
      <c r="AC249" s="31" t="s">
        <v>344</v>
      </c>
      <c r="AD249" s="31" t="s">
        <v>344</v>
      </c>
      <c r="AE249" s="31" t="s">
        <v>345</v>
      </c>
      <c r="AF249" s="31" t="s">
        <v>344</v>
      </c>
      <c r="AG249" s="31" t="s">
        <v>344</v>
      </c>
      <c r="AH249" s="31" t="s">
        <v>344</v>
      </c>
      <c r="AI249" s="31" t="s">
        <v>345</v>
      </c>
      <c r="AJ249" s="31" t="s">
        <v>344</v>
      </c>
      <c r="AK249" s="31" t="s">
        <v>345</v>
      </c>
      <c r="AL249" s="31" t="s">
        <v>344</v>
      </c>
      <c r="AM249" s="31" t="s">
        <v>344</v>
      </c>
      <c r="AN249" s="31" t="s">
        <v>344</v>
      </c>
      <c r="AO249" s="31" t="s">
        <v>344</v>
      </c>
      <c r="AP249" s="31" t="s">
        <v>344</v>
      </c>
      <c r="AQ249" s="31" t="s">
        <v>344</v>
      </c>
      <c r="AR249" s="31" t="s">
        <v>345</v>
      </c>
      <c r="AS249" s="31" t="s">
        <v>345</v>
      </c>
      <c r="AT249" s="31" t="s">
        <v>345</v>
      </c>
      <c r="AU249" s="31" t="s">
        <v>345</v>
      </c>
      <c r="AV249" s="31" t="s">
        <v>344</v>
      </c>
      <c r="AW249" s="31" t="s">
        <v>345</v>
      </c>
      <c r="AX249" s="31" t="s">
        <v>344</v>
      </c>
      <c r="AY249" s="31" t="s">
        <v>732</v>
      </c>
      <c r="AZ249" s="31" t="s">
        <v>731</v>
      </c>
      <c r="BA249" s="31" t="s">
        <v>733</v>
      </c>
      <c r="BB249" s="31" t="s">
        <v>733</v>
      </c>
      <c r="BC249" s="31" t="s">
        <v>733</v>
      </c>
      <c r="BD249" s="31" t="s">
        <v>733</v>
      </c>
      <c r="BE249" s="31" t="s">
        <v>350</v>
      </c>
      <c r="BF249" s="31" t="s">
        <v>349</v>
      </c>
      <c r="BG249" s="31" t="s">
        <v>349</v>
      </c>
      <c r="BH249" s="31" t="s">
        <v>390</v>
      </c>
      <c r="BI249" s="31" t="s">
        <v>348</v>
      </c>
      <c r="BJ249" s="31" t="s">
        <v>391</v>
      </c>
      <c r="BK249" s="31" t="s">
        <v>391</v>
      </c>
      <c r="BL249" s="31" t="s">
        <v>391</v>
      </c>
      <c r="BM249" s="31" t="s">
        <v>391</v>
      </c>
      <c r="BN249" s="31" t="s">
        <v>391</v>
      </c>
      <c r="BO249" s="31" t="s">
        <v>391</v>
      </c>
      <c r="BP249" s="31" t="s">
        <v>391</v>
      </c>
      <c r="BQ249" s="31" t="s">
        <v>358</v>
      </c>
      <c r="BR249" s="31" t="s">
        <v>1296</v>
      </c>
      <c r="BS249" s="31" t="s">
        <v>351</v>
      </c>
      <c r="BT249" s="31" t="s">
        <v>354</v>
      </c>
      <c r="BU249" s="31" t="s">
        <v>391</v>
      </c>
      <c r="BV249" s="31" t="s">
        <v>391</v>
      </c>
      <c r="BW249" s="31" t="s">
        <v>391</v>
      </c>
      <c r="BX249" s="31" t="s">
        <v>391</v>
      </c>
      <c r="BY249" s="31" t="s">
        <v>391</v>
      </c>
      <c r="BZ249" s="31" t="s">
        <v>391</v>
      </c>
      <c r="CA249" s="31" t="s">
        <v>391</v>
      </c>
      <c r="CB249" s="31" t="s">
        <v>391</v>
      </c>
      <c r="CC249" s="31" t="s">
        <v>391</v>
      </c>
      <c r="CD249" s="31" t="s">
        <v>391</v>
      </c>
      <c r="CE249" s="31" t="s">
        <v>391</v>
      </c>
      <c r="CF249" s="31" t="s">
        <v>391</v>
      </c>
      <c r="CG249" s="31" t="s">
        <v>420</v>
      </c>
      <c r="CH249" s="31" t="s">
        <v>420</v>
      </c>
      <c r="CI249" s="31" t="s">
        <v>392</v>
      </c>
      <c r="CJ249" s="31" t="s">
        <v>360</v>
      </c>
      <c r="CK249" s="31" t="s">
        <v>717</v>
      </c>
      <c r="CL249" s="31" t="s">
        <v>344</v>
      </c>
      <c r="CM249" s="31" t="s">
        <v>345</v>
      </c>
      <c r="CN249" s="31" t="s">
        <v>344</v>
      </c>
      <c r="CO249" s="31" t="s">
        <v>344</v>
      </c>
      <c r="CP249" s="31" t="s">
        <v>344</v>
      </c>
      <c r="CQ249" s="31" t="s">
        <v>344</v>
      </c>
      <c r="CR249" s="31" t="s">
        <v>667</v>
      </c>
      <c r="CS249" s="31">
        <v>18</v>
      </c>
      <c r="CT249" s="31">
        <v>73</v>
      </c>
      <c r="CU249" s="31"/>
      <c r="CV249" s="31"/>
      <c r="CW249" s="31" t="s">
        <v>363</v>
      </c>
      <c r="CX249" s="31" t="s">
        <v>395</v>
      </c>
      <c r="CY249" s="31" t="s">
        <v>396</v>
      </c>
      <c r="CZ249" s="31" t="s">
        <v>397</v>
      </c>
      <c r="DA249" s="31" t="s">
        <v>366</v>
      </c>
      <c r="DB249" s="31" t="s">
        <v>397</v>
      </c>
      <c r="DC249" s="31" t="s">
        <v>366</v>
      </c>
      <c r="DD249" s="31" t="s">
        <v>365</v>
      </c>
      <c r="DE249" s="31"/>
      <c r="DF249" s="31"/>
      <c r="DG249" s="31"/>
      <c r="DH249" s="31"/>
      <c r="DI249" s="31"/>
      <c r="DJ249" s="31" t="s">
        <v>1414</v>
      </c>
      <c r="DK249" s="31" t="s">
        <v>344</v>
      </c>
      <c r="DL249" s="31" t="s">
        <v>368</v>
      </c>
      <c r="DM249" s="31" t="s">
        <v>368</v>
      </c>
      <c r="DN249" s="31" t="s">
        <v>368</v>
      </c>
      <c r="DO249" s="31" t="s">
        <v>368</v>
      </c>
      <c r="DP249" s="31" t="s">
        <v>345</v>
      </c>
      <c r="DQ249" s="31" t="s">
        <v>344</v>
      </c>
      <c r="DR249" s="31" t="s">
        <v>345</v>
      </c>
      <c r="DS249" s="31" t="s">
        <v>344</v>
      </c>
      <c r="DT249" s="31" t="s">
        <v>345</v>
      </c>
      <c r="DU249" s="31" t="s">
        <v>344</v>
      </c>
      <c r="DV249" s="31" t="s">
        <v>345</v>
      </c>
      <c r="DW249" s="31" t="s">
        <v>344</v>
      </c>
      <c r="DX249" s="31" t="s">
        <v>1258</v>
      </c>
      <c r="DY249" s="31" t="s">
        <v>1258</v>
      </c>
      <c r="DZ249" s="31" t="s">
        <v>1258</v>
      </c>
      <c r="EA249" s="31" t="s">
        <v>1258</v>
      </c>
      <c r="EB249" s="31" t="s">
        <v>1258</v>
      </c>
      <c r="EC249" s="31" t="s">
        <v>1258</v>
      </c>
      <c r="ED249" s="31" t="s">
        <v>1258</v>
      </c>
      <c r="EE249" s="31" t="s">
        <v>1273</v>
      </c>
      <c r="EF249" s="31" t="s">
        <v>1273</v>
      </c>
      <c r="EG249" s="31" t="s">
        <v>397</v>
      </c>
      <c r="EH249" s="31" t="s">
        <v>1273</v>
      </c>
      <c r="EI249" s="31" t="s">
        <v>397</v>
      </c>
      <c r="EJ249" s="31" t="s">
        <v>1273</v>
      </c>
      <c r="EK249" s="31" t="s">
        <v>397</v>
      </c>
      <c r="EL249" s="31" t="s">
        <v>1276</v>
      </c>
      <c r="EM249" s="31" t="s">
        <v>1275</v>
      </c>
      <c r="EN249" s="31" t="s">
        <v>1259</v>
      </c>
      <c r="EO249" s="31"/>
      <c r="EP249" s="31"/>
      <c r="EQ249" s="31" t="s">
        <v>1263</v>
      </c>
      <c r="ER249" s="31" t="s">
        <v>1264</v>
      </c>
      <c r="ES249" s="31" t="s">
        <v>1264</v>
      </c>
      <c r="ET249" s="31" t="s">
        <v>1263</v>
      </c>
      <c r="EU249" s="31" t="s">
        <v>1262</v>
      </c>
      <c r="EV249" s="31" t="s">
        <v>1265</v>
      </c>
      <c r="EW249" s="31"/>
      <c r="EX249" s="31" t="s">
        <v>368</v>
      </c>
      <c r="EY249" s="31" t="s">
        <v>368</v>
      </c>
      <c r="EZ249" s="31" t="s">
        <v>368</v>
      </c>
      <c r="FA249" s="31" t="s">
        <v>345</v>
      </c>
      <c r="FB249" s="31" t="s">
        <v>1266</v>
      </c>
      <c r="FC249" s="31"/>
      <c r="FD249" s="31" t="s">
        <v>1266</v>
      </c>
      <c r="FE249" s="31"/>
      <c r="FF249" s="31" t="s">
        <v>477</v>
      </c>
      <c r="FG249" s="31" t="s">
        <v>402</v>
      </c>
      <c r="FH249" s="31" t="s">
        <v>1301</v>
      </c>
      <c r="FI249" s="31" t="s">
        <v>1294</v>
      </c>
      <c r="FJ249" s="31"/>
      <c r="FK249" s="31"/>
      <c r="FL249" s="31"/>
      <c r="FM249" s="31"/>
      <c r="FN249" s="31"/>
      <c r="FO249" s="31"/>
      <c r="FP249" s="31"/>
      <c r="FQ249" s="31"/>
      <c r="FR249" s="31"/>
      <c r="FS249" s="31"/>
      <c r="FT249" s="31"/>
      <c r="FU249" s="31"/>
      <c r="FV249" s="31"/>
      <c r="FW249" s="31"/>
      <c r="FX249" s="31"/>
      <c r="FY249" s="31"/>
      <c r="FZ249" s="31"/>
      <c r="GA249" s="31" t="s">
        <v>368</v>
      </c>
      <c r="GB249" s="31" t="s">
        <v>368</v>
      </c>
      <c r="GC249" s="31" t="s">
        <v>368</v>
      </c>
      <c r="GD249" s="31" t="s">
        <v>368</v>
      </c>
      <c r="GE249" s="31" t="s">
        <v>368</v>
      </c>
      <c r="GF249" s="31" t="s">
        <v>368</v>
      </c>
      <c r="GG249" s="31"/>
      <c r="GH249" s="31"/>
      <c r="GI249" s="31"/>
      <c r="GJ249" s="31"/>
      <c r="GK249" s="31"/>
      <c r="GL249" s="31" t="s">
        <v>344</v>
      </c>
      <c r="GM249" s="31" t="s">
        <v>344</v>
      </c>
      <c r="GN249" s="31" t="s">
        <v>344</v>
      </c>
      <c r="GO249" s="31" t="s">
        <v>344</v>
      </c>
      <c r="GP249" s="31" t="s">
        <v>344</v>
      </c>
      <c r="GQ249" s="31" t="s">
        <v>344</v>
      </c>
      <c r="GR249" s="31" t="s">
        <v>344</v>
      </c>
      <c r="GS249" s="31" t="s">
        <v>344</v>
      </c>
      <c r="GT249" s="31" t="s">
        <v>344</v>
      </c>
      <c r="GU249" s="31" t="s">
        <v>344</v>
      </c>
      <c r="GV249" s="31" t="s">
        <v>345</v>
      </c>
      <c r="GW249" s="31" t="s">
        <v>345</v>
      </c>
      <c r="GX249" s="31" t="s">
        <v>344</v>
      </c>
      <c r="GY249" s="31" t="s">
        <v>344</v>
      </c>
      <c r="GZ249" s="31" t="s">
        <v>344</v>
      </c>
      <c r="HA249" s="31" t="s">
        <v>344</v>
      </c>
      <c r="HB249" s="31"/>
      <c r="HC249" s="31" t="s">
        <v>344</v>
      </c>
      <c r="HD249" s="31"/>
      <c r="HE249" s="31" t="s">
        <v>344</v>
      </c>
      <c r="HF249" s="31"/>
      <c r="HG249" s="31" t="s">
        <v>344</v>
      </c>
      <c r="HH249" s="31"/>
      <c r="HI249" s="31" t="s">
        <v>344</v>
      </c>
      <c r="HJ249" s="31"/>
      <c r="HK249" s="31" t="s">
        <v>344</v>
      </c>
      <c r="HL249" s="31" t="s">
        <v>344</v>
      </c>
      <c r="HM249" s="31" t="s">
        <v>344</v>
      </c>
      <c r="HN249" s="31" t="s">
        <v>345</v>
      </c>
      <c r="HO249" s="31" t="s">
        <v>344</v>
      </c>
      <c r="HP249" s="31" t="s">
        <v>344</v>
      </c>
      <c r="HQ249" s="31" t="s">
        <v>344</v>
      </c>
      <c r="HR249" s="31" t="s">
        <v>344</v>
      </c>
      <c r="HS249" s="31" t="s">
        <v>344</v>
      </c>
      <c r="HT249" s="31" t="s">
        <v>344</v>
      </c>
      <c r="HU249" s="31" t="s">
        <v>344</v>
      </c>
      <c r="HV249" s="31" t="s">
        <v>344</v>
      </c>
      <c r="HW249" s="31" t="s">
        <v>344</v>
      </c>
      <c r="HX249" s="31" t="s">
        <v>344</v>
      </c>
      <c r="HY249" s="31" t="s">
        <v>344</v>
      </c>
      <c r="HZ249" s="31" t="s">
        <v>344</v>
      </c>
      <c r="IA249" s="31" t="s">
        <v>345</v>
      </c>
      <c r="IB249" s="31" t="s">
        <v>344</v>
      </c>
      <c r="IC249" s="31" t="s">
        <v>344</v>
      </c>
      <c r="ID249" s="31"/>
      <c r="IE249" s="31" t="s">
        <v>344</v>
      </c>
      <c r="IF249" s="31"/>
      <c r="IG249" s="31" t="s">
        <v>344</v>
      </c>
      <c r="IH249" s="31"/>
      <c r="II249" s="31" t="s">
        <v>344</v>
      </c>
      <c r="IJ249" s="31"/>
      <c r="IK249" s="31" t="s">
        <v>344</v>
      </c>
      <c r="IL249" s="31"/>
      <c r="IM249" s="31" t="s">
        <v>345</v>
      </c>
      <c r="IN249" s="31" t="s">
        <v>345</v>
      </c>
      <c r="IO249" s="31" t="s">
        <v>345</v>
      </c>
      <c r="IP249" s="31" t="s">
        <v>344</v>
      </c>
      <c r="IQ249" s="31" t="s">
        <v>345</v>
      </c>
      <c r="IR249" s="31" t="s">
        <v>344</v>
      </c>
      <c r="IS249" s="31" t="s">
        <v>344</v>
      </c>
      <c r="IT249" s="31" t="s">
        <v>345</v>
      </c>
      <c r="IU249" s="31" t="s">
        <v>344</v>
      </c>
      <c r="IV249" s="31" t="s">
        <v>344</v>
      </c>
      <c r="IW249" s="31" t="s">
        <v>345</v>
      </c>
      <c r="IX249" s="31" t="s">
        <v>344</v>
      </c>
      <c r="IY249" s="31" t="s">
        <v>345</v>
      </c>
      <c r="IZ249" s="31" t="s">
        <v>344</v>
      </c>
      <c r="JA249" s="31"/>
      <c r="JB249" s="31"/>
    </row>
    <row r="250" spans="1:262" x14ac:dyDescent="0.3">
      <c r="A250" s="30" t="s">
        <v>727</v>
      </c>
      <c r="B250" s="31">
        <v>202</v>
      </c>
      <c r="C250" s="31" t="s">
        <v>1415</v>
      </c>
      <c r="D250" s="31">
        <v>14</v>
      </c>
      <c r="E250" s="31" t="s">
        <v>387</v>
      </c>
      <c r="F250" s="31">
        <v>470314007</v>
      </c>
      <c r="G250" s="31" t="s">
        <v>1416</v>
      </c>
      <c r="H250" s="31" t="s">
        <v>1415</v>
      </c>
      <c r="I250" s="31" t="s">
        <v>1400</v>
      </c>
      <c r="J250" s="31">
        <v>17</v>
      </c>
      <c r="K250" s="31" t="s">
        <v>1282</v>
      </c>
      <c r="L250" s="31"/>
      <c r="M250" s="31" t="s">
        <v>345</v>
      </c>
      <c r="N250" s="31" t="s">
        <v>344</v>
      </c>
      <c r="O250" s="31" t="s">
        <v>344</v>
      </c>
      <c r="P250" s="31" t="s">
        <v>344</v>
      </c>
      <c r="Q250" s="31" t="s">
        <v>344</v>
      </c>
      <c r="R250" s="31"/>
      <c r="S250" s="31" t="s">
        <v>475</v>
      </c>
      <c r="T250" s="31"/>
      <c r="U250" s="31" t="s">
        <v>1488</v>
      </c>
      <c r="V250" s="33"/>
      <c r="W250" s="31" t="s">
        <v>368</v>
      </c>
      <c r="X250" s="31" t="s">
        <v>368</v>
      </c>
      <c r="Y250" s="31" t="s">
        <v>368</v>
      </c>
      <c r="Z250" s="31" t="s">
        <v>368</v>
      </c>
      <c r="AA250" s="31" t="s">
        <v>368</v>
      </c>
      <c r="AB250" s="31" t="s">
        <v>368</v>
      </c>
      <c r="AC250" s="31" t="s">
        <v>345</v>
      </c>
      <c r="AD250" s="31" t="s">
        <v>368</v>
      </c>
      <c r="AE250" s="31" t="s">
        <v>368</v>
      </c>
      <c r="AF250" s="31" t="s">
        <v>368</v>
      </c>
      <c r="AG250" s="31" t="s">
        <v>368</v>
      </c>
      <c r="AH250" s="31" t="s">
        <v>368</v>
      </c>
      <c r="AI250" s="31" t="s">
        <v>368</v>
      </c>
      <c r="AJ250" s="31" t="s">
        <v>345</v>
      </c>
      <c r="AK250" s="31" t="s">
        <v>368</v>
      </c>
      <c r="AL250" s="31" t="s">
        <v>368</v>
      </c>
      <c r="AM250" s="31" t="s">
        <v>368</v>
      </c>
      <c r="AN250" s="31" t="s">
        <v>368</v>
      </c>
      <c r="AO250" s="31" t="s">
        <v>368</v>
      </c>
      <c r="AP250" s="31" t="s">
        <v>368</v>
      </c>
      <c r="AQ250" s="31" t="s">
        <v>345</v>
      </c>
      <c r="AR250" s="31" t="s">
        <v>345</v>
      </c>
      <c r="AS250" s="31" t="s">
        <v>344</v>
      </c>
      <c r="AT250" s="31" t="s">
        <v>344</v>
      </c>
      <c r="AU250" s="31" t="s">
        <v>344</v>
      </c>
      <c r="AV250" s="31" t="s">
        <v>344</v>
      </c>
      <c r="AW250" s="31" t="s">
        <v>344</v>
      </c>
      <c r="AX250" s="31" t="s">
        <v>344</v>
      </c>
      <c r="AY250" s="31" t="s">
        <v>391</v>
      </c>
      <c r="AZ250" s="31" t="s">
        <v>391</v>
      </c>
      <c r="BA250" s="31" t="s">
        <v>391</v>
      </c>
      <c r="BB250" s="31" t="s">
        <v>391</v>
      </c>
      <c r="BC250" s="31" t="s">
        <v>737</v>
      </c>
      <c r="BD250" s="31" t="s">
        <v>391</v>
      </c>
      <c r="BE250" s="31" t="s">
        <v>349</v>
      </c>
      <c r="BF250" s="31" t="s">
        <v>349</v>
      </c>
      <c r="BG250" s="31" t="s">
        <v>349</v>
      </c>
      <c r="BH250" s="31" t="s">
        <v>717</v>
      </c>
      <c r="BI250" s="31" t="s">
        <v>348</v>
      </c>
      <c r="BJ250" s="31" t="s">
        <v>391</v>
      </c>
      <c r="BK250" s="31" t="s">
        <v>391</v>
      </c>
      <c r="BL250" s="31" t="s">
        <v>354</v>
      </c>
      <c r="BM250" s="31" t="s">
        <v>352</v>
      </c>
      <c r="BN250" s="31" t="s">
        <v>357</v>
      </c>
      <c r="BO250" s="31" t="s">
        <v>353</v>
      </c>
      <c r="BP250" s="31" t="s">
        <v>352</v>
      </c>
      <c r="BQ250" s="31" t="s">
        <v>419</v>
      </c>
      <c r="BR250" s="31" t="s">
        <v>344</v>
      </c>
      <c r="BS250" s="31" t="s">
        <v>391</v>
      </c>
      <c r="BT250" s="31" t="s">
        <v>391</v>
      </c>
      <c r="BU250" s="31" t="s">
        <v>351</v>
      </c>
      <c r="BV250" s="31" t="s">
        <v>351</v>
      </c>
      <c r="BW250" s="31" t="s">
        <v>356</v>
      </c>
      <c r="BX250" s="31" t="s">
        <v>351</v>
      </c>
      <c r="BY250" s="31" t="s">
        <v>391</v>
      </c>
      <c r="BZ250" s="31" t="s">
        <v>391</v>
      </c>
      <c r="CA250" s="31" t="s">
        <v>391</v>
      </c>
      <c r="CB250" s="31" t="s">
        <v>391</v>
      </c>
      <c r="CC250" s="31" t="s">
        <v>391</v>
      </c>
      <c r="CD250" s="31" t="s">
        <v>391</v>
      </c>
      <c r="CE250" s="31" t="s">
        <v>391</v>
      </c>
      <c r="CF250" s="31" t="s">
        <v>391</v>
      </c>
      <c r="CG250" s="31" t="s">
        <v>393</v>
      </c>
      <c r="CH250" s="31" t="s">
        <v>421</v>
      </c>
      <c r="CI250" s="31" t="s">
        <v>420</v>
      </c>
      <c r="CJ250" s="31" t="s">
        <v>393</v>
      </c>
      <c r="CK250" s="31" t="s">
        <v>717</v>
      </c>
      <c r="CL250" s="31" t="s">
        <v>344</v>
      </c>
      <c r="CM250" s="31" t="s">
        <v>344</v>
      </c>
      <c r="CN250" s="31" t="s">
        <v>344</v>
      </c>
      <c r="CO250" s="31" t="s">
        <v>345</v>
      </c>
      <c r="CP250" s="31" t="s">
        <v>345</v>
      </c>
      <c r="CQ250" s="31" t="s">
        <v>344</v>
      </c>
      <c r="CR250" s="31" t="s">
        <v>667</v>
      </c>
      <c r="CS250" s="31">
        <v>80</v>
      </c>
      <c r="CT250" s="31">
        <v>50</v>
      </c>
      <c r="CU250" s="31"/>
      <c r="CV250" s="31"/>
      <c r="CW250" s="31" t="s">
        <v>395</v>
      </c>
      <c r="CX250" s="31" t="s">
        <v>396</v>
      </c>
      <c r="CY250" s="31" t="s">
        <v>395</v>
      </c>
      <c r="CZ250" s="31" t="s">
        <v>717</v>
      </c>
      <c r="DA250" s="31" t="s">
        <v>717</v>
      </c>
      <c r="DB250" s="31" t="s">
        <v>717</v>
      </c>
      <c r="DC250" s="31" t="s">
        <v>717</v>
      </c>
      <c r="DD250" s="31" t="s">
        <v>717</v>
      </c>
      <c r="DE250" s="31"/>
      <c r="DF250" s="31"/>
      <c r="DG250" s="31"/>
      <c r="DH250" s="31"/>
      <c r="DI250" s="31"/>
      <c r="DJ250" s="31"/>
      <c r="DK250" s="31" t="s">
        <v>344</v>
      </c>
      <c r="DL250" s="31" t="s">
        <v>368</v>
      </c>
      <c r="DM250" s="31" t="s">
        <v>368</v>
      </c>
      <c r="DN250" s="31" t="s">
        <v>368</v>
      </c>
      <c r="DO250" s="31" t="s">
        <v>368</v>
      </c>
      <c r="DP250" s="31" t="s">
        <v>368</v>
      </c>
      <c r="DQ250" s="31" t="s">
        <v>368</v>
      </c>
      <c r="DR250" s="31" t="s">
        <v>368</v>
      </c>
      <c r="DS250" s="31" t="s">
        <v>345</v>
      </c>
      <c r="DT250" s="31" t="s">
        <v>345</v>
      </c>
      <c r="DU250" s="31" t="s">
        <v>344</v>
      </c>
      <c r="DV250" s="31" t="s">
        <v>344</v>
      </c>
      <c r="DW250" s="31" t="s">
        <v>344</v>
      </c>
      <c r="DX250" s="31" t="s">
        <v>1258</v>
      </c>
      <c r="DY250" s="31" t="s">
        <v>1258</v>
      </c>
      <c r="DZ250" s="31" t="s">
        <v>1258</v>
      </c>
      <c r="EA250" s="31" t="s">
        <v>1258</v>
      </c>
      <c r="EB250" s="31" t="s">
        <v>1258</v>
      </c>
      <c r="EC250" s="31" t="s">
        <v>1258</v>
      </c>
      <c r="ED250" s="31" t="s">
        <v>1258</v>
      </c>
      <c r="EE250" s="31" t="s">
        <v>397</v>
      </c>
      <c r="EF250" s="31" t="s">
        <v>397</v>
      </c>
      <c r="EG250" s="31" t="s">
        <v>397</v>
      </c>
      <c r="EH250" s="31" t="s">
        <v>397</v>
      </c>
      <c r="EI250" s="31" t="s">
        <v>397</v>
      </c>
      <c r="EJ250" s="31" t="s">
        <v>397</v>
      </c>
      <c r="EK250" s="31" t="s">
        <v>397</v>
      </c>
      <c r="EL250" s="31" t="s">
        <v>1276</v>
      </c>
      <c r="EM250" s="31" t="s">
        <v>1259</v>
      </c>
      <c r="EN250" s="31" t="s">
        <v>1260</v>
      </c>
      <c r="EO250" s="31"/>
      <c r="EP250" s="31"/>
      <c r="EQ250" s="31" t="s">
        <v>1264</v>
      </c>
      <c r="ER250" s="31" t="s">
        <v>1263</v>
      </c>
      <c r="ES250" s="31" t="s">
        <v>1263</v>
      </c>
      <c r="ET250" s="31" t="s">
        <v>1263</v>
      </c>
      <c r="EU250" s="31" t="s">
        <v>1264</v>
      </c>
      <c r="EV250" s="31" t="s">
        <v>1265</v>
      </c>
      <c r="EW250" s="31"/>
      <c r="EX250" s="31" t="s">
        <v>368</v>
      </c>
      <c r="EY250" s="31" t="s">
        <v>368</v>
      </c>
      <c r="EZ250" s="31" t="s">
        <v>368</v>
      </c>
      <c r="FA250" s="31" t="s">
        <v>345</v>
      </c>
      <c r="FB250" s="31" t="s">
        <v>1266</v>
      </c>
      <c r="FC250" s="31"/>
      <c r="FD250" s="31" t="s">
        <v>1266</v>
      </c>
      <c r="FE250" s="31"/>
      <c r="FF250" s="31" t="s">
        <v>477</v>
      </c>
      <c r="FG250" s="31" t="s">
        <v>402</v>
      </c>
      <c r="FH250" s="31" t="s">
        <v>432</v>
      </c>
      <c r="FI250" s="31" t="s">
        <v>1294</v>
      </c>
      <c r="FJ250" s="31"/>
      <c r="FK250" s="31"/>
      <c r="FL250" s="31"/>
      <c r="FM250" s="31"/>
      <c r="FN250" s="31"/>
      <c r="FO250" s="31"/>
      <c r="FP250" s="31"/>
      <c r="FQ250" s="31"/>
      <c r="FR250" s="31"/>
      <c r="FS250" s="31"/>
      <c r="FT250" s="31"/>
      <c r="FU250" s="31"/>
      <c r="FV250" s="31"/>
      <c r="FW250" s="31"/>
      <c r="FX250" s="31"/>
      <c r="FY250" s="31"/>
      <c r="FZ250" s="31"/>
      <c r="GA250" s="31" t="s">
        <v>368</v>
      </c>
      <c r="GB250" s="31" t="s">
        <v>368</v>
      </c>
      <c r="GC250" s="31" t="s">
        <v>368</v>
      </c>
      <c r="GD250" s="31" t="s">
        <v>368</v>
      </c>
      <c r="GE250" s="31" t="s">
        <v>368</v>
      </c>
      <c r="GF250" s="31" t="s">
        <v>368</v>
      </c>
      <c r="GG250" s="31"/>
      <c r="GH250" s="31"/>
      <c r="GI250" s="31"/>
      <c r="GJ250" s="31"/>
      <c r="GK250" s="31"/>
      <c r="GL250" s="31" t="s">
        <v>344</v>
      </c>
      <c r="GM250" s="31" t="s">
        <v>344</v>
      </c>
      <c r="GN250" s="31" t="s">
        <v>344</v>
      </c>
      <c r="GO250" s="31" t="s">
        <v>344</v>
      </c>
      <c r="GP250" s="31" t="s">
        <v>344</v>
      </c>
      <c r="GQ250" s="31" t="s">
        <v>344</v>
      </c>
      <c r="GR250" s="31" t="s">
        <v>344</v>
      </c>
      <c r="GS250" s="31" t="s">
        <v>344</v>
      </c>
      <c r="GT250" s="31" t="s">
        <v>345</v>
      </c>
      <c r="GU250" s="31" t="s">
        <v>344</v>
      </c>
      <c r="GV250" s="31" t="s">
        <v>344</v>
      </c>
      <c r="GW250" s="31" t="s">
        <v>344</v>
      </c>
      <c r="GX250" s="31" t="s">
        <v>344</v>
      </c>
      <c r="GY250" s="31" t="s">
        <v>344</v>
      </c>
      <c r="GZ250" s="31" t="s">
        <v>344</v>
      </c>
      <c r="HA250" s="31" t="s">
        <v>344</v>
      </c>
      <c r="HB250" s="31"/>
      <c r="HC250" s="31" t="s">
        <v>345</v>
      </c>
      <c r="HD250" s="31" t="s">
        <v>1417</v>
      </c>
      <c r="HE250" s="31" t="s">
        <v>344</v>
      </c>
      <c r="HF250" s="31"/>
      <c r="HG250" s="31" t="s">
        <v>344</v>
      </c>
      <c r="HH250" s="31"/>
      <c r="HI250" s="31" t="s">
        <v>344</v>
      </c>
      <c r="HJ250" s="31"/>
      <c r="HK250" s="31" t="s">
        <v>344</v>
      </c>
      <c r="HL250" s="31" t="s">
        <v>344</v>
      </c>
      <c r="HM250" s="31" t="s">
        <v>344</v>
      </c>
      <c r="HN250" s="31" t="s">
        <v>344</v>
      </c>
      <c r="HO250" s="31" t="s">
        <v>344</v>
      </c>
      <c r="HP250" s="31" t="s">
        <v>344</v>
      </c>
      <c r="HQ250" s="31" t="s">
        <v>344</v>
      </c>
      <c r="HR250" s="31" t="s">
        <v>344</v>
      </c>
      <c r="HS250" s="31" t="s">
        <v>344</v>
      </c>
      <c r="HT250" s="31" t="s">
        <v>344</v>
      </c>
      <c r="HU250" s="31" t="s">
        <v>344</v>
      </c>
      <c r="HV250" s="31" t="s">
        <v>344</v>
      </c>
      <c r="HW250" s="31" t="s">
        <v>344</v>
      </c>
      <c r="HX250" s="31" t="s">
        <v>344</v>
      </c>
      <c r="HY250" s="31" t="s">
        <v>344</v>
      </c>
      <c r="HZ250" s="31" t="s">
        <v>344</v>
      </c>
      <c r="IA250" s="31" t="s">
        <v>344</v>
      </c>
      <c r="IB250" s="31" t="s">
        <v>344</v>
      </c>
      <c r="IC250" s="31" t="s">
        <v>345</v>
      </c>
      <c r="ID250" s="31"/>
      <c r="IE250" s="31" t="s">
        <v>345</v>
      </c>
      <c r="IF250" s="31" t="s">
        <v>717</v>
      </c>
      <c r="IG250" s="31" t="s">
        <v>344</v>
      </c>
      <c r="IH250" s="31"/>
      <c r="II250" s="31" t="s">
        <v>344</v>
      </c>
      <c r="IJ250" s="31"/>
      <c r="IK250" s="31" t="s">
        <v>344</v>
      </c>
      <c r="IL250" s="31"/>
      <c r="IM250" s="31" t="s">
        <v>345</v>
      </c>
      <c r="IN250" s="31" t="s">
        <v>345</v>
      </c>
      <c r="IO250" s="31" t="s">
        <v>344</v>
      </c>
      <c r="IP250" s="31" t="s">
        <v>344</v>
      </c>
      <c r="IQ250" s="31" t="s">
        <v>345</v>
      </c>
      <c r="IR250" s="31" t="s">
        <v>344</v>
      </c>
      <c r="IS250" s="31" t="s">
        <v>344</v>
      </c>
      <c r="IT250" s="31" t="s">
        <v>345</v>
      </c>
      <c r="IU250" s="31" t="s">
        <v>344</v>
      </c>
      <c r="IV250" s="31" t="s">
        <v>344</v>
      </c>
      <c r="IW250" s="31" t="s">
        <v>344</v>
      </c>
      <c r="IX250" s="31" t="s">
        <v>344</v>
      </c>
      <c r="IY250" s="31" t="s">
        <v>345</v>
      </c>
      <c r="IZ250" s="31" t="s">
        <v>344</v>
      </c>
      <c r="JA250" s="31"/>
      <c r="JB250" s="31" t="s">
        <v>1418</v>
      </c>
    </row>
    <row r="251" spans="1:262" x14ac:dyDescent="0.3">
      <c r="A251" s="30" t="s">
        <v>727</v>
      </c>
      <c r="B251" s="31">
        <v>207</v>
      </c>
      <c r="C251" s="31" t="s">
        <v>1419</v>
      </c>
      <c r="D251" s="31">
        <v>14</v>
      </c>
      <c r="E251" s="31" t="s">
        <v>387</v>
      </c>
      <c r="F251" s="31">
        <v>1045904379</v>
      </c>
      <c r="G251" s="31" t="s">
        <v>1420</v>
      </c>
      <c r="H251" s="31" t="s">
        <v>1419</v>
      </c>
      <c r="I251" s="31" t="s">
        <v>1400</v>
      </c>
      <c r="J251" s="31">
        <v>17</v>
      </c>
      <c r="K251" s="31" t="s">
        <v>1255</v>
      </c>
      <c r="L251" s="31"/>
      <c r="M251" s="31" t="s">
        <v>345</v>
      </c>
      <c r="N251" s="31" t="s">
        <v>344</v>
      </c>
      <c r="O251" s="31" t="s">
        <v>344</v>
      </c>
      <c r="P251" s="31" t="s">
        <v>344</v>
      </c>
      <c r="Q251" s="31" t="s">
        <v>344</v>
      </c>
      <c r="R251" s="31"/>
      <c r="S251" s="31" t="s">
        <v>475</v>
      </c>
      <c r="T251" s="31"/>
      <c r="U251" s="31" t="s">
        <v>1256</v>
      </c>
      <c r="V251" s="31"/>
      <c r="W251" s="31" t="s">
        <v>345</v>
      </c>
      <c r="X251" s="31" t="s">
        <v>345</v>
      </c>
      <c r="Y251" s="31" t="s">
        <v>345</v>
      </c>
      <c r="Z251" s="31" t="s">
        <v>345</v>
      </c>
      <c r="AA251" s="31" t="s">
        <v>344</v>
      </c>
      <c r="AB251" s="31" t="s">
        <v>345</v>
      </c>
      <c r="AC251" s="31" t="s">
        <v>344</v>
      </c>
      <c r="AD251" s="31" t="s">
        <v>345</v>
      </c>
      <c r="AE251" s="31" t="s">
        <v>345</v>
      </c>
      <c r="AF251" s="31" t="s">
        <v>344</v>
      </c>
      <c r="AG251" s="31" t="s">
        <v>344</v>
      </c>
      <c r="AH251" s="31" t="s">
        <v>345</v>
      </c>
      <c r="AI251" s="31" t="s">
        <v>344</v>
      </c>
      <c r="AJ251" s="31" t="s">
        <v>344</v>
      </c>
      <c r="AK251" s="31" t="s">
        <v>345</v>
      </c>
      <c r="AL251" s="31" t="s">
        <v>345</v>
      </c>
      <c r="AM251" s="31" t="s">
        <v>345</v>
      </c>
      <c r="AN251" s="31" t="s">
        <v>344</v>
      </c>
      <c r="AO251" s="31" t="s">
        <v>344</v>
      </c>
      <c r="AP251" s="31" t="s">
        <v>344</v>
      </c>
      <c r="AQ251" s="31" t="s">
        <v>344</v>
      </c>
      <c r="AR251" s="31" t="s">
        <v>345</v>
      </c>
      <c r="AS251" s="31" t="s">
        <v>345</v>
      </c>
      <c r="AT251" s="31" t="s">
        <v>345</v>
      </c>
      <c r="AU251" s="31" t="s">
        <v>345</v>
      </c>
      <c r="AV251" s="31" t="s">
        <v>345</v>
      </c>
      <c r="AW251" s="31" t="s">
        <v>345</v>
      </c>
      <c r="AX251" s="31" t="s">
        <v>344</v>
      </c>
      <c r="AY251" s="31" t="s">
        <v>391</v>
      </c>
      <c r="AZ251" s="31" t="s">
        <v>391</v>
      </c>
      <c r="BA251" s="31" t="s">
        <v>391</v>
      </c>
      <c r="BB251" s="31" t="s">
        <v>391</v>
      </c>
      <c r="BC251" s="31" t="s">
        <v>391</v>
      </c>
      <c r="BD251" s="31" t="s">
        <v>391</v>
      </c>
      <c r="BE251" s="31" t="s">
        <v>349</v>
      </c>
      <c r="BF251" s="31" t="s">
        <v>349</v>
      </c>
      <c r="BG251" s="31" t="s">
        <v>349</v>
      </c>
      <c r="BH251" s="31" t="s">
        <v>350</v>
      </c>
      <c r="BI251" s="31" t="s">
        <v>348</v>
      </c>
      <c r="BJ251" s="31" t="s">
        <v>391</v>
      </c>
      <c r="BK251" s="31" t="s">
        <v>391</v>
      </c>
      <c r="BL251" s="31" t="s">
        <v>391</v>
      </c>
      <c r="BM251" s="31" t="s">
        <v>391</v>
      </c>
      <c r="BN251" s="31" t="s">
        <v>391</v>
      </c>
      <c r="BO251" s="31" t="s">
        <v>391</v>
      </c>
      <c r="BP251" s="31" t="s">
        <v>391</v>
      </c>
      <c r="BQ251" s="31" t="s">
        <v>358</v>
      </c>
      <c r="BR251" s="31" t="s">
        <v>1296</v>
      </c>
      <c r="BS251" s="31" t="s">
        <v>391</v>
      </c>
      <c r="BT251" s="31" t="s">
        <v>391</v>
      </c>
      <c r="BU251" s="31" t="s">
        <v>391</v>
      </c>
      <c r="BV251" s="31" t="s">
        <v>391</v>
      </c>
      <c r="BW251" s="31" t="s">
        <v>391</v>
      </c>
      <c r="BX251" s="31" t="s">
        <v>391</v>
      </c>
      <c r="BY251" s="31" t="s">
        <v>391</v>
      </c>
      <c r="BZ251" s="31" t="s">
        <v>391</v>
      </c>
      <c r="CA251" s="31" t="s">
        <v>391</v>
      </c>
      <c r="CB251" s="31" t="s">
        <v>391</v>
      </c>
      <c r="CC251" s="31" t="s">
        <v>391</v>
      </c>
      <c r="CD251" s="31" t="s">
        <v>391</v>
      </c>
      <c r="CE251" s="31" t="s">
        <v>391</v>
      </c>
      <c r="CF251" s="31" t="s">
        <v>391</v>
      </c>
      <c r="CG251" s="31" t="s">
        <v>421</v>
      </c>
      <c r="CH251" s="31" t="s">
        <v>420</v>
      </c>
      <c r="CI251" s="31" t="s">
        <v>420</v>
      </c>
      <c r="CJ251" s="31" t="s">
        <v>420</v>
      </c>
      <c r="CK251" s="31" t="s">
        <v>1421</v>
      </c>
      <c r="CL251" s="31" t="s">
        <v>344</v>
      </c>
      <c r="CM251" s="31" t="s">
        <v>344</v>
      </c>
      <c r="CN251" s="31" t="s">
        <v>344</v>
      </c>
      <c r="CO251" s="31" t="s">
        <v>345</v>
      </c>
      <c r="CP251" s="31" t="s">
        <v>345</v>
      </c>
      <c r="CQ251" s="31" t="s">
        <v>344</v>
      </c>
      <c r="CR251" s="31" t="s">
        <v>667</v>
      </c>
      <c r="CS251" s="31">
        <v>83</v>
      </c>
      <c r="CT251" s="31">
        <v>89</v>
      </c>
      <c r="CU251" s="31"/>
      <c r="CV251" s="31"/>
      <c r="CW251" s="31" t="s">
        <v>363</v>
      </c>
      <c r="CX251" s="31" t="s">
        <v>395</v>
      </c>
      <c r="CY251" s="31" t="s">
        <v>395</v>
      </c>
      <c r="CZ251" s="31" t="s">
        <v>397</v>
      </c>
      <c r="DA251" s="31" t="s">
        <v>397</v>
      </c>
      <c r="DB251" s="31" t="s">
        <v>397</v>
      </c>
      <c r="DC251" s="31" t="s">
        <v>397</v>
      </c>
      <c r="DD251" s="31" t="s">
        <v>365</v>
      </c>
      <c r="DE251" s="31"/>
      <c r="DF251" s="31"/>
      <c r="DG251" s="31"/>
      <c r="DH251" s="31"/>
      <c r="DI251" s="31"/>
      <c r="DJ251" s="31" t="s">
        <v>1422</v>
      </c>
      <c r="DK251" s="31" t="s">
        <v>1357</v>
      </c>
      <c r="DL251" s="31" t="s">
        <v>345</v>
      </c>
      <c r="DM251" s="31" t="s">
        <v>345</v>
      </c>
      <c r="DN251" s="31" t="s">
        <v>344</v>
      </c>
      <c r="DO251" s="31" t="s">
        <v>344</v>
      </c>
      <c r="DP251" s="31" t="s">
        <v>345</v>
      </c>
      <c r="DQ251" s="31" t="s">
        <v>344</v>
      </c>
      <c r="DR251" s="31" t="s">
        <v>345</v>
      </c>
      <c r="DS251" s="31" t="s">
        <v>344</v>
      </c>
      <c r="DT251" s="31" t="s">
        <v>345</v>
      </c>
      <c r="DU251" s="31" t="s">
        <v>344</v>
      </c>
      <c r="DV251" s="31" t="s">
        <v>344</v>
      </c>
      <c r="DW251" s="31" t="s">
        <v>344</v>
      </c>
      <c r="DX251" s="31" t="s">
        <v>1258</v>
      </c>
      <c r="DY251" s="31" t="s">
        <v>1258</v>
      </c>
      <c r="DZ251" s="31" t="s">
        <v>1258</v>
      </c>
      <c r="EA251" s="31" t="s">
        <v>1258</v>
      </c>
      <c r="EB251" s="31" t="s">
        <v>1258</v>
      </c>
      <c r="EC251" s="31" t="s">
        <v>1258</v>
      </c>
      <c r="ED251" s="31" t="s">
        <v>1258</v>
      </c>
      <c r="EE251" s="31" t="s">
        <v>1273</v>
      </c>
      <c r="EF251" s="31" t="s">
        <v>1274</v>
      </c>
      <c r="EG251" s="31" t="s">
        <v>397</v>
      </c>
      <c r="EH251" s="31" t="s">
        <v>397</v>
      </c>
      <c r="EI251" s="31" t="s">
        <v>397</v>
      </c>
      <c r="EJ251" s="31" t="s">
        <v>397</v>
      </c>
      <c r="EK251" s="31" t="s">
        <v>1273</v>
      </c>
      <c r="EL251" s="31" t="s">
        <v>1276</v>
      </c>
      <c r="EM251" s="31" t="s">
        <v>1275</v>
      </c>
      <c r="EN251" s="31" t="s">
        <v>1259</v>
      </c>
      <c r="EO251" s="31"/>
      <c r="EP251" s="31"/>
      <c r="EQ251" s="31" t="s">
        <v>1264</v>
      </c>
      <c r="ER251" s="31" t="s">
        <v>1264</v>
      </c>
      <c r="ES251" s="31" t="s">
        <v>1263</v>
      </c>
      <c r="ET251" s="31" t="s">
        <v>717</v>
      </c>
      <c r="EU251" s="31" t="s">
        <v>717</v>
      </c>
      <c r="EV251" s="31" t="s">
        <v>1265</v>
      </c>
      <c r="EW251" s="31"/>
      <c r="EX251" s="31" t="s">
        <v>368</v>
      </c>
      <c r="EY251" s="31" t="s">
        <v>368</v>
      </c>
      <c r="EZ251" s="31" t="s">
        <v>368</v>
      </c>
      <c r="FA251" s="31" t="s">
        <v>345</v>
      </c>
      <c r="FB251" s="31" t="s">
        <v>1266</v>
      </c>
      <c r="FC251" s="31"/>
      <c r="FD251" s="31" t="s">
        <v>1266</v>
      </c>
      <c r="FE251" s="31"/>
      <c r="FF251" s="31" t="s">
        <v>477</v>
      </c>
      <c r="FG251" s="31" t="s">
        <v>402</v>
      </c>
      <c r="FH251" s="31" t="s">
        <v>432</v>
      </c>
      <c r="FI251" s="31" t="s">
        <v>385</v>
      </c>
      <c r="FJ251" s="31"/>
      <c r="FK251" s="31"/>
      <c r="FL251" s="31"/>
      <c r="FM251" s="31"/>
      <c r="FN251" s="31"/>
      <c r="FO251" s="31"/>
      <c r="FP251" s="31"/>
      <c r="FQ251" s="31"/>
      <c r="FR251" s="31"/>
      <c r="FS251" s="31"/>
      <c r="FT251" s="31"/>
      <c r="FU251" s="31"/>
      <c r="FV251" s="31"/>
      <c r="FW251" s="31"/>
      <c r="FX251" s="31"/>
      <c r="FY251" s="31"/>
      <c r="FZ251" s="31"/>
      <c r="GA251" s="31" t="s">
        <v>368</v>
      </c>
      <c r="GB251" s="31" t="s">
        <v>368</v>
      </c>
      <c r="GC251" s="31" t="s">
        <v>368</v>
      </c>
      <c r="GD251" s="31" t="s">
        <v>368</v>
      </c>
      <c r="GE251" s="31" t="s">
        <v>368</v>
      </c>
      <c r="GF251" s="31" t="s">
        <v>368</v>
      </c>
      <c r="GG251" s="31"/>
      <c r="GH251" s="31"/>
      <c r="GI251" s="31"/>
      <c r="GJ251" s="31"/>
      <c r="GK251" s="31"/>
      <c r="GL251" s="31" t="s">
        <v>344</v>
      </c>
      <c r="GM251" s="31" t="s">
        <v>344</v>
      </c>
      <c r="GN251" s="31" t="s">
        <v>344</v>
      </c>
      <c r="GO251" s="31" t="s">
        <v>345</v>
      </c>
      <c r="GP251" s="31" t="s">
        <v>344</v>
      </c>
      <c r="GQ251" s="31" t="s">
        <v>344</v>
      </c>
      <c r="GR251" s="31" t="s">
        <v>344</v>
      </c>
      <c r="GS251" s="31" t="s">
        <v>344</v>
      </c>
      <c r="GT251" s="31" t="s">
        <v>344</v>
      </c>
      <c r="GU251" s="31" t="s">
        <v>344</v>
      </c>
      <c r="GV251" s="31" t="s">
        <v>344</v>
      </c>
      <c r="GW251" s="31" t="s">
        <v>344</v>
      </c>
      <c r="GX251" s="31" t="s">
        <v>344</v>
      </c>
      <c r="GY251" s="31" t="s">
        <v>344</v>
      </c>
      <c r="GZ251" s="31" t="s">
        <v>344</v>
      </c>
      <c r="HA251" s="31" t="s">
        <v>344</v>
      </c>
      <c r="HB251" s="31"/>
      <c r="HC251" s="31" t="s">
        <v>344</v>
      </c>
      <c r="HD251" s="31"/>
      <c r="HE251" s="31" t="s">
        <v>344</v>
      </c>
      <c r="HF251" s="31"/>
      <c r="HG251" s="31" t="s">
        <v>344</v>
      </c>
      <c r="HH251" s="31"/>
      <c r="HI251" s="31" t="s">
        <v>344</v>
      </c>
      <c r="HJ251" s="31"/>
      <c r="HK251" s="31" t="s">
        <v>344</v>
      </c>
      <c r="HL251" s="31" t="s">
        <v>344</v>
      </c>
      <c r="HM251" s="31" t="s">
        <v>344</v>
      </c>
      <c r="HN251" s="31" t="s">
        <v>344</v>
      </c>
      <c r="HO251" s="31" t="s">
        <v>344</v>
      </c>
      <c r="HP251" s="31" t="s">
        <v>344</v>
      </c>
      <c r="HQ251" s="31" t="s">
        <v>344</v>
      </c>
      <c r="HR251" s="31" t="s">
        <v>344</v>
      </c>
      <c r="HS251" s="31" t="s">
        <v>344</v>
      </c>
      <c r="HT251" s="31" t="s">
        <v>345</v>
      </c>
      <c r="HU251" s="31" t="s">
        <v>344</v>
      </c>
      <c r="HV251" s="31" t="s">
        <v>344</v>
      </c>
      <c r="HW251" s="31" t="s">
        <v>344</v>
      </c>
      <c r="HX251" s="31" t="s">
        <v>344</v>
      </c>
      <c r="HY251" s="31" t="s">
        <v>344</v>
      </c>
      <c r="HZ251" s="31" t="s">
        <v>344</v>
      </c>
      <c r="IA251" s="31" t="s">
        <v>345</v>
      </c>
      <c r="IB251" s="31" t="s">
        <v>344</v>
      </c>
      <c r="IC251" s="31" t="s">
        <v>344</v>
      </c>
      <c r="ID251" s="31"/>
      <c r="IE251" s="31" t="s">
        <v>344</v>
      </c>
      <c r="IF251" s="31"/>
      <c r="IG251" s="31" t="s">
        <v>344</v>
      </c>
      <c r="IH251" s="31"/>
      <c r="II251" s="31" t="s">
        <v>344</v>
      </c>
      <c r="IJ251" s="31"/>
      <c r="IK251" s="31" t="s">
        <v>344</v>
      </c>
      <c r="IL251" s="31"/>
      <c r="IM251" s="31" t="s">
        <v>345</v>
      </c>
      <c r="IN251" s="31" t="s">
        <v>345</v>
      </c>
      <c r="IO251" s="31" t="s">
        <v>345</v>
      </c>
      <c r="IP251" s="31" t="s">
        <v>344</v>
      </c>
      <c r="IQ251" s="31" t="s">
        <v>345</v>
      </c>
      <c r="IR251" s="31" t="s">
        <v>344</v>
      </c>
      <c r="IS251" s="31" t="s">
        <v>344</v>
      </c>
      <c r="IT251" s="31" t="s">
        <v>345</v>
      </c>
      <c r="IU251" s="31" t="s">
        <v>344</v>
      </c>
      <c r="IV251" s="31" t="s">
        <v>344</v>
      </c>
      <c r="IW251" s="31" t="s">
        <v>344</v>
      </c>
      <c r="IX251" s="31" t="s">
        <v>344</v>
      </c>
      <c r="IY251" s="31" t="s">
        <v>345</v>
      </c>
      <c r="IZ251" s="31" t="s">
        <v>344</v>
      </c>
      <c r="JA251" s="31"/>
      <c r="JB251" s="31"/>
    </row>
    <row r="252" spans="1:262" x14ac:dyDescent="0.3">
      <c r="A252" s="30" t="s">
        <v>727</v>
      </c>
      <c r="B252" s="31">
        <v>208</v>
      </c>
      <c r="C252" s="31" t="s">
        <v>1423</v>
      </c>
      <c r="D252" s="31">
        <v>14</v>
      </c>
      <c r="E252" s="31" t="s">
        <v>387</v>
      </c>
      <c r="F252" s="31">
        <v>261351152</v>
      </c>
      <c r="G252" s="31" t="s">
        <v>1424</v>
      </c>
      <c r="H252" s="31" t="s">
        <v>1423</v>
      </c>
      <c r="I252" s="31" t="s">
        <v>1400</v>
      </c>
      <c r="J252" s="31">
        <v>17</v>
      </c>
      <c r="K252" s="31" t="s">
        <v>1255</v>
      </c>
      <c r="L252" s="31"/>
      <c r="M252" s="31" t="s">
        <v>345</v>
      </c>
      <c r="N252" s="31" t="s">
        <v>344</v>
      </c>
      <c r="O252" s="31" t="s">
        <v>344</v>
      </c>
      <c r="P252" s="31" t="s">
        <v>344</v>
      </c>
      <c r="Q252" s="31" t="s">
        <v>344</v>
      </c>
      <c r="R252" s="31"/>
      <c r="S252" s="31" t="s">
        <v>438</v>
      </c>
      <c r="T252" s="31"/>
      <c r="U252" s="31" t="s">
        <v>1270</v>
      </c>
      <c r="V252" s="31"/>
      <c r="W252" s="31" t="s">
        <v>345</v>
      </c>
      <c r="X252" s="31" t="s">
        <v>345</v>
      </c>
      <c r="Y252" s="31" t="s">
        <v>344</v>
      </c>
      <c r="Z252" s="31" t="s">
        <v>344</v>
      </c>
      <c r="AA252" s="31" t="s">
        <v>344</v>
      </c>
      <c r="AB252" s="31" t="s">
        <v>344</v>
      </c>
      <c r="AC252" s="31" t="s">
        <v>344</v>
      </c>
      <c r="AD252" s="31" t="s">
        <v>344</v>
      </c>
      <c r="AE252" s="31" t="s">
        <v>345</v>
      </c>
      <c r="AF252" s="31" t="s">
        <v>344</v>
      </c>
      <c r="AG252" s="31" t="s">
        <v>344</v>
      </c>
      <c r="AH252" s="31" t="s">
        <v>345</v>
      </c>
      <c r="AI252" s="31" t="s">
        <v>345</v>
      </c>
      <c r="AJ252" s="31" t="s">
        <v>344</v>
      </c>
      <c r="AK252" s="31" t="s">
        <v>344</v>
      </c>
      <c r="AL252" s="31" t="s">
        <v>344</v>
      </c>
      <c r="AM252" s="31" t="s">
        <v>345</v>
      </c>
      <c r="AN252" s="31" t="s">
        <v>344</v>
      </c>
      <c r="AO252" s="31" t="s">
        <v>344</v>
      </c>
      <c r="AP252" s="31" t="s">
        <v>344</v>
      </c>
      <c r="AQ252" s="31" t="s">
        <v>344</v>
      </c>
      <c r="AR252" s="31" t="s">
        <v>345</v>
      </c>
      <c r="AS252" s="31" t="s">
        <v>344</v>
      </c>
      <c r="AT252" s="31" t="s">
        <v>344</v>
      </c>
      <c r="AU252" s="31" t="s">
        <v>345</v>
      </c>
      <c r="AV252" s="31" t="s">
        <v>345</v>
      </c>
      <c r="AW252" s="31" t="s">
        <v>344</v>
      </c>
      <c r="AX252" s="31" t="s">
        <v>344</v>
      </c>
      <c r="AY252" s="31" t="s">
        <v>732</v>
      </c>
      <c r="AZ252" s="31" t="s">
        <v>731</v>
      </c>
      <c r="BA252" s="31" t="s">
        <v>737</v>
      </c>
      <c r="BB252" s="31" t="s">
        <v>732</v>
      </c>
      <c r="BC252" s="31" t="s">
        <v>731</v>
      </c>
      <c r="BD252" s="31" t="s">
        <v>733</v>
      </c>
      <c r="BE252" s="31" t="s">
        <v>349</v>
      </c>
      <c r="BF252" s="31" t="s">
        <v>348</v>
      </c>
      <c r="BG252" s="31" t="s">
        <v>349</v>
      </c>
      <c r="BH252" s="31" t="s">
        <v>349</v>
      </c>
      <c r="BI252" s="31" t="s">
        <v>350</v>
      </c>
      <c r="BJ252" s="31" t="s">
        <v>352</v>
      </c>
      <c r="BK252" s="31" t="s">
        <v>357</v>
      </c>
      <c r="BL252" s="31" t="s">
        <v>354</v>
      </c>
      <c r="BM252" s="31" t="s">
        <v>353</v>
      </c>
      <c r="BN252" s="31" t="s">
        <v>351</v>
      </c>
      <c r="BO252" s="31" t="s">
        <v>355</v>
      </c>
      <c r="BP252" s="31" t="s">
        <v>351</v>
      </c>
      <c r="BQ252" s="31" t="s">
        <v>358</v>
      </c>
      <c r="BR252" s="31" t="s">
        <v>1257</v>
      </c>
      <c r="BS252" s="31" t="s">
        <v>354</v>
      </c>
      <c r="BT252" s="31" t="s">
        <v>353</v>
      </c>
      <c r="BU252" s="31" t="s">
        <v>351</v>
      </c>
      <c r="BV252" s="31" t="s">
        <v>356</v>
      </c>
      <c r="BW252" s="31" t="s">
        <v>352</v>
      </c>
      <c r="BX252" s="31" t="s">
        <v>351</v>
      </c>
      <c r="BY252" s="31" t="s">
        <v>353</v>
      </c>
      <c r="BZ252" s="31" t="s">
        <v>352</v>
      </c>
      <c r="CA252" s="31" t="s">
        <v>353</v>
      </c>
      <c r="CB252" s="31" t="s">
        <v>357</v>
      </c>
      <c r="CC252" s="31" t="s">
        <v>355</v>
      </c>
      <c r="CD252" s="31" t="s">
        <v>354</v>
      </c>
      <c r="CE252" s="31" t="s">
        <v>356</v>
      </c>
      <c r="CF252" s="31" t="s">
        <v>356</v>
      </c>
      <c r="CG252" s="31" t="s">
        <v>392</v>
      </c>
      <c r="CH252" s="31" t="s">
        <v>393</v>
      </c>
      <c r="CI252" s="31" t="s">
        <v>392</v>
      </c>
      <c r="CJ252" s="31" t="s">
        <v>392</v>
      </c>
      <c r="CK252" s="31" t="s">
        <v>391</v>
      </c>
      <c r="CL252" s="31" t="s">
        <v>344</v>
      </c>
      <c r="CM252" s="31" t="s">
        <v>344</v>
      </c>
      <c r="CN252" s="31" t="s">
        <v>344</v>
      </c>
      <c r="CO252" s="31" t="s">
        <v>345</v>
      </c>
      <c r="CP252" s="31" t="s">
        <v>345</v>
      </c>
      <c r="CQ252" s="31" t="s">
        <v>344</v>
      </c>
      <c r="CR252" s="31" t="s">
        <v>667</v>
      </c>
      <c r="CS252" s="31">
        <v>25</v>
      </c>
      <c r="CT252" s="31">
        <v>100</v>
      </c>
      <c r="CU252" s="31"/>
      <c r="CV252" s="31"/>
      <c r="CW252" s="31" t="s">
        <v>395</v>
      </c>
      <c r="CX252" s="31" t="s">
        <v>395</v>
      </c>
      <c r="CY252" s="31" t="s">
        <v>395</v>
      </c>
      <c r="CZ252" s="31" t="s">
        <v>397</v>
      </c>
      <c r="DA252" s="31" t="s">
        <v>397</v>
      </c>
      <c r="DB252" s="31" t="s">
        <v>366</v>
      </c>
      <c r="DC252" s="31" t="s">
        <v>397</v>
      </c>
      <c r="DD252" s="31" t="s">
        <v>366</v>
      </c>
      <c r="DE252" s="31"/>
      <c r="DF252" s="31"/>
      <c r="DG252" s="31"/>
      <c r="DH252" s="31"/>
      <c r="DI252" s="31"/>
      <c r="DJ252" s="31" t="s">
        <v>1425</v>
      </c>
      <c r="DK252" s="31" t="s">
        <v>344</v>
      </c>
      <c r="DL252" s="31" t="s">
        <v>368</v>
      </c>
      <c r="DM252" s="31" t="s">
        <v>368</v>
      </c>
      <c r="DN252" s="31" t="s">
        <v>368</v>
      </c>
      <c r="DO252" s="31" t="s">
        <v>368</v>
      </c>
      <c r="DP252" s="31" t="s">
        <v>344</v>
      </c>
      <c r="DQ252" s="31" t="s">
        <v>345</v>
      </c>
      <c r="DR252" s="31" t="s">
        <v>345</v>
      </c>
      <c r="DS252" s="31" t="s">
        <v>344</v>
      </c>
      <c r="DT252" s="31" t="s">
        <v>344</v>
      </c>
      <c r="DU252" s="31" t="s">
        <v>345</v>
      </c>
      <c r="DV252" s="31" t="s">
        <v>344</v>
      </c>
      <c r="DW252" s="31" t="s">
        <v>344</v>
      </c>
      <c r="DX252" s="31" t="s">
        <v>1258</v>
      </c>
      <c r="DY252" s="31" t="s">
        <v>1258</v>
      </c>
      <c r="DZ252" s="31" t="s">
        <v>1258</v>
      </c>
      <c r="EA252" s="31" t="s">
        <v>1258</v>
      </c>
      <c r="EB252" s="31" t="s">
        <v>1258</v>
      </c>
      <c r="EC252" s="31" t="s">
        <v>1258</v>
      </c>
      <c r="ED252" s="31" t="s">
        <v>1258</v>
      </c>
      <c r="EE252" s="31" t="s">
        <v>397</v>
      </c>
      <c r="EF252" s="31" t="s">
        <v>397</v>
      </c>
      <c r="EG252" s="31" t="s">
        <v>397</v>
      </c>
      <c r="EH252" s="31" t="s">
        <v>1273</v>
      </c>
      <c r="EI252" s="31" t="s">
        <v>397</v>
      </c>
      <c r="EJ252" s="31" t="s">
        <v>397</v>
      </c>
      <c r="EK252" s="31" t="s">
        <v>1273</v>
      </c>
      <c r="EL252" s="31" t="s">
        <v>1275</v>
      </c>
      <c r="EM252" s="31" t="s">
        <v>1276</v>
      </c>
      <c r="EN252" s="31" t="s">
        <v>1261</v>
      </c>
      <c r="EO252" s="31"/>
      <c r="EP252" s="31"/>
      <c r="EQ252" s="31" t="s">
        <v>1263</v>
      </c>
      <c r="ER252" s="31" t="s">
        <v>1262</v>
      </c>
      <c r="ES252" s="31" t="s">
        <v>1263</v>
      </c>
      <c r="ET252" s="31" t="s">
        <v>1263</v>
      </c>
      <c r="EU252" s="31" t="s">
        <v>1263</v>
      </c>
      <c r="EV252" s="31" t="s">
        <v>400</v>
      </c>
      <c r="EW252" s="31"/>
      <c r="EX252" s="31" t="s">
        <v>368</v>
      </c>
      <c r="EY252" s="31" t="s">
        <v>368</v>
      </c>
      <c r="EZ252" s="31" t="s">
        <v>368</v>
      </c>
      <c r="FA252" s="31" t="s">
        <v>345</v>
      </c>
      <c r="FB252" s="31" t="s">
        <v>1266</v>
      </c>
      <c r="FC252" s="31"/>
      <c r="FD252" s="31" t="s">
        <v>1266</v>
      </c>
      <c r="FE252" s="31"/>
      <c r="FF252" s="31" t="s">
        <v>477</v>
      </c>
      <c r="FG252" s="31" t="s">
        <v>402</v>
      </c>
      <c r="FH252" s="31" t="s">
        <v>1293</v>
      </c>
      <c r="FI252" s="31" t="s">
        <v>1294</v>
      </c>
      <c r="FJ252" s="31"/>
      <c r="FK252" s="31"/>
      <c r="FL252" s="31"/>
      <c r="FM252" s="31"/>
      <c r="FN252" s="31"/>
      <c r="FO252" s="31"/>
      <c r="FP252" s="31"/>
      <c r="FQ252" s="31"/>
      <c r="FR252" s="31"/>
      <c r="FS252" s="31"/>
      <c r="FT252" s="31"/>
      <c r="FU252" s="31"/>
      <c r="FV252" s="31"/>
      <c r="FW252" s="31"/>
      <c r="FX252" s="31"/>
      <c r="FY252" s="31"/>
      <c r="FZ252" s="31"/>
      <c r="GA252" s="31" t="s">
        <v>368</v>
      </c>
      <c r="GB252" s="31" t="s">
        <v>368</v>
      </c>
      <c r="GC252" s="31" t="s">
        <v>368</v>
      </c>
      <c r="GD252" s="31" t="s">
        <v>368</v>
      </c>
      <c r="GE252" s="31" t="s">
        <v>368</v>
      </c>
      <c r="GF252" s="31" t="s">
        <v>368</v>
      </c>
      <c r="GG252" s="31"/>
      <c r="GH252" s="31"/>
      <c r="GI252" s="31"/>
      <c r="GJ252" s="31"/>
      <c r="GK252" s="31"/>
      <c r="GL252" s="31" t="s">
        <v>344</v>
      </c>
      <c r="GM252" s="31" t="s">
        <v>344</v>
      </c>
      <c r="GN252" s="31" t="s">
        <v>345</v>
      </c>
      <c r="GO252" s="31" t="s">
        <v>345</v>
      </c>
      <c r="GP252" s="31" t="s">
        <v>344</v>
      </c>
      <c r="GQ252" s="31" t="s">
        <v>344</v>
      </c>
      <c r="GR252" s="31" t="s">
        <v>344</v>
      </c>
      <c r="GS252" s="31" t="s">
        <v>344</v>
      </c>
      <c r="GT252" s="31" t="s">
        <v>345</v>
      </c>
      <c r="GU252" s="31" t="s">
        <v>344</v>
      </c>
      <c r="GV252" s="31" t="s">
        <v>344</v>
      </c>
      <c r="GW252" s="31" t="s">
        <v>345</v>
      </c>
      <c r="GX252" s="31" t="s">
        <v>344</v>
      </c>
      <c r="GY252" s="31" t="s">
        <v>345</v>
      </c>
      <c r="GZ252" s="31" t="s">
        <v>344</v>
      </c>
      <c r="HA252" s="31" t="s">
        <v>344</v>
      </c>
      <c r="HB252" s="31"/>
      <c r="HC252" s="31" t="s">
        <v>344</v>
      </c>
      <c r="HD252" s="31"/>
      <c r="HE252" s="31" t="s">
        <v>345</v>
      </c>
      <c r="HF252" s="31" t="s">
        <v>1426</v>
      </c>
      <c r="HG252" s="31" t="s">
        <v>344</v>
      </c>
      <c r="HH252" s="31"/>
      <c r="HI252" s="31" t="s">
        <v>344</v>
      </c>
      <c r="HJ252" s="31"/>
      <c r="HK252" s="31" t="s">
        <v>345</v>
      </c>
      <c r="HL252" s="31" t="s">
        <v>345</v>
      </c>
      <c r="HM252" s="31" t="s">
        <v>344</v>
      </c>
      <c r="HN252" s="31" t="s">
        <v>344</v>
      </c>
      <c r="HO252" s="31" t="s">
        <v>344</v>
      </c>
      <c r="HP252" s="31" t="s">
        <v>344</v>
      </c>
      <c r="HQ252" s="31" t="s">
        <v>344</v>
      </c>
      <c r="HR252" s="31" t="s">
        <v>344</v>
      </c>
      <c r="HS252" s="31" t="s">
        <v>344</v>
      </c>
      <c r="HT252" s="31" t="s">
        <v>344</v>
      </c>
      <c r="HU252" s="31" t="s">
        <v>344</v>
      </c>
      <c r="HV252" s="31" t="s">
        <v>344</v>
      </c>
      <c r="HW252" s="31" t="s">
        <v>345</v>
      </c>
      <c r="HX252" s="31" t="s">
        <v>344</v>
      </c>
      <c r="HY252" s="31" t="s">
        <v>344</v>
      </c>
      <c r="HZ252" s="31" t="s">
        <v>344</v>
      </c>
      <c r="IA252" s="31" t="s">
        <v>345</v>
      </c>
      <c r="IB252" s="31" t="s">
        <v>344</v>
      </c>
      <c r="IC252" s="31" t="s">
        <v>344</v>
      </c>
      <c r="ID252" s="31"/>
      <c r="IE252" s="31" t="s">
        <v>344</v>
      </c>
      <c r="IF252" s="31"/>
      <c r="IG252" s="31" t="s">
        <v>344</v>
      </c>
      <c r="IH252" s="31"/>
      <c r="II252" s="31" t="s">
        <v>344</v>
      </c>
      <c r="IJ252" s="31"/>
      <c r="IK252" s="31" t="s">
        <v>344</v>
      </c>
      <c r="IL252" s="31"/>
      <c r="IM252" s="31" t="s">
        <v>345</v>
      </c>
      <c r="IN252" s="31" t="s">
        <v>345</v>
      </c>
      <c r="IO252" s="31" t="s">
        <v>344</v>
      </c>
      <c r="IP252" s="31" t="s">
        <v>344</v>
      </c>
      <c r="IQ252" s="31" t="s">
        <v>345</v>
      </c>
      <c r="IR252" s="31" t="s">
        <v>344</v>
      </c>
      <c r="IS252" s="31" t="s">
        <v>344</v>
      </c>
      <c r="IT252" s="31" t="s">
        <v>345</v>
      </c>
      <c r="IU252" s="31" t="s">
        <v>345</v>
      </c>
      <c r="IV252" s="31" t="s">
        <v>344</v>
      </c>
      <c r="IW252" s="31" t="s">
        <v>345</v>
      </c>
      <c r="IX252" s="31" t="s">
        <v>344</v>
      </c>
      <c r="IY252" s="31" t="s">
        <v>345</v>
      </c>
      <c r="IZ252" s="31" t="s">
        <v>344</v>
      </c>
      <c r="JA252" s="31"/>
      <c r="JB252" s="31" t="s">
        <v>1427</v>
      </c>
    </row>
    <row r="253" spans="1:262" x14ac:dyDescent="0.3">
      <c r="A253" s="30" t="s">
        <v>727</v>
      </c>
      <c r="B253" s="31">
        <v>209</v>
      </c>
      <c r="C253" s="31" t="s">
        <v>1428</v>
      </c>
      <c r="D253" s="31">
        <v>14</v>
      </c>
      <c r="E253" s="31" t="s">
        <v>387</v>
      </c>
      <c r="F253" s="31">
        <v>1668302695</v>
      </c>
      <c r="G253" s="31" t="s">
        <v>1429</v>
      </c>
      <c r="H253" s="31" t="s">
        <v>1428</v>
      </c>
      <c r="I253" s="31" t="s">
        <v>1400</v>
      </c>
      <c r="J253" s="31">
        <v>17</v>
      </c>
      <c r="K253" s="31" t="s">
        <v>1282</v>
      </c>
      <c r="L253" s="31"/>
      <c r="M253" s="31" t="s">
        <v>345</v>
      </c>
      <c r="N253" s="31" t="s">
        <v>344</v>
      </c>
      <c r="O253" s="31" t="s">
        <v>344</v>
      </c>
      <c r="P253" s="31" t="s">
        <v>344</v>
      </c>
      <c r="Q253" s="31" t="s">
        <v>344</v>
      </c>
      <c r="R253" s="31"/>
      <c r="S253" s="31" t="s">
        <v>475</v>
      </c>
      <c r="T253" s="31"/>
      <c r="U253" s="31" t="s">
        <v>1270</v>
      </c>
      <c r="V253" s="31"/>
      <c r="W253" s="31" t="s">
        <v>345</v>
      </c>
      <c r="X253" s="31" t="s">
        <v>344</v>
      </c>
      <c r="Y253" s="31" t="s">
        <v>344</v>
      </c>
      <c r="Z253" s="31" t="s">
        <v>344</v>
      </c>
      <c r="AA253" s="31" t="s">
        <v>344</v>
      </c>
      <c r="AB253" s="31" t="s">
        <v>344</v>
      </c>
      <c r="AC253" s="31" t="s">
        <v>344</v>
      </c>
      <c r="AD253" s="31" t="s">
        <v>344</v>
      </c>
      <c r="AE253" s="31" t="s">
        <v>345</v>
      </c>
      <c r="AF253" s="31" t="s">
        <v>344</v>
      </c>
      <c r="AG253" s="31" t="s">
        <v>344</v>
      </c>
      <c r="AH253" s="31" t="s">
        <v>344</v>
      </c>
      <c r="AI253" s="31" t="s">
        <v>344</v>
      </c>
      <c r="AJ253" s="31" t="s">
        <v>344</v>
      </c>
      <c r="AK253" s="31" t="s">
        <v>345</v>
      </c>
      <c r="AL253" s="31" t="s">
        <v>344</v>
      </c>
      <c r="AM253" s="31" t="s">
        <v>344</v>
      </c>
      <c r="AN253" s="31" t="s">
        <v>344</v>
      </c>
      <c r="AO253" s="31" t="s">
        <v>344</v>
      </c>
      <c r="AP253" s="31" t="s">
        <v>344</v>
      </c>
      <c r="AQ253" s="31" t="s">
        <v>344</v>
      </c>
      <c r="AR253" s="31" t="s">
        <v>345</v>
      </c>
      <c r="AS253" s="31" t="s">
        <v>344</v>
      </c>
      <c r="AT253" s="31" t="s">
        <v>344</v>
      </c>
      <c r="AU253" s="31" t="s">
        <v>344</v>
      </c>
      <c r="AV253" s="31" t="s">
        <v>344</v>
      </c>
      <c r="AW253" s="31" t="s">
        <v>344</v>
      </c>
      <c r="AX253" s="31" t="s">
        <v>344</v>
      </c>
      <c r="AY253" s="31" t="s">
        <v>391</v>
      </c>
      <c r="AZ253" s="31" t="s">
        <v>391</v>
      </c>
      <c r="BA253" s="31" t="s">
        <v>391</v>
      </c>
      <c r="BB253" s="34"/>
      <c r="BC253" s="31" t="s">
        <v>732</v>
      </c>
      <c r="BD253" s="31" t="s">
        <v>391</v>
      </c>
      <c r="BE253" s="31" t="s">
        <v>348</v>
      </c>
      <c r="BF253" s="31" t="s">
        <v>349</v>
      </c>
      <c r="BG253" s="31" t="s">
        <v>349</v>
      </c>
      <c r="BH253" s="31" t="s">
        <v>348</v>
      </c>
      <c r="BI253" s="31" t="s">
        <v>348</v>
      </c>
      <c r="BJ253" s="31" t="s">
        <v>391</v>
      </c>
      <c r="BK253" s="31" t="s">
        <v>391</v>
      </c>
      <c r="BL253" s="31" t="s">
        <v>391</v>
      </c>
      <c r="BM253" s="31" t="s">
        <v>391</v>
      </c>
      <c r="BN253" s="31" t="s">
        <v>391</v>
      </c>
      <c r="BO253" s="31" t="s">
        <v>391</v>
      </c>
      <c r="BP253" s="31" t="s">
        <v>391</v>
      </c>
      <c r="BQ253" s="31" t="s">
        <v>407</v>
      </c>
      <c r="BR253" s="31" t="s">
        <v>344</v>
      </c>
      <c r="BS253" s="31" t="s">
        <v>391</v>
      </c>
      <c r="BT253" s="31" t="s">
        <v>391</v>
      </c>
      <c r="BU253" s="31" t="s">
        <v>391</v>
      </c>
      <c r="BV253" s="31" t="s">
        <v>391</v>
      </c>
      <c r="BW253" s="31" t="s">
        <v>391</v>
      </c>
      <c r="BX253" s="31" t="s">
        <v>391</v>
      </c>
      <c r="BY253" s="31" t="s">
        <v>391</v>
      </c>
      <c r="BZ253" s="31" t="s">
        <v>391</v>
      </c>
      <c r="CA253" s="31" t="s">
        <v>391</v>
      </c>
      <c r="CB253" s="31" t="s">
        <v>391</v>
      </c>
      <c r="CC253" s="31" t="s">
        <v>391</v>
      </c>
      <c r="CD253" s="31" t="s">
        <v>354</v>
      </c>
      <c r="CE253" s="31" t="s">
        <v>391</v>
      </c>
      <c r="CF253" s="31" t="s">
        <v>391</v>
      </c>
      <c r="CG253" s="31" t="s">
        <v>421</v>
      </c>
      <c r="CH253" s="31" t="s">
        <v>392</v>
      </c>
      <c r="CI253" s="31" t="s">
        <v>392</v>
      </c>
      <c r="CJ253" s="31" t="s">
        <v>420</v>
      </c>
      <c r="CK253" s="31" t="s">
        <v>391</v>
      </c>
      <c r="CL253" s="31" t="s">
        <v>345</v>
      </c>
      <c r="CM253" s="31" t="s">
        <v>344</v>
      </c>
      <c r="CN253" s="31" t="s">
        <v>344</v>
      </c>
      <c r="CO253" s="31" t="s">
        <v>344</v>
      </c>
      <c r="CP253" s="31" t="s">
        <v>344</v>
      </c>
      <c r="CQ253" s="31" t="s">
        <v>344</v>
      </c>
      <c r="CR253" s="31" t="s">
        <v>667</v>
      </c>
      <c r="CS253" s="31">
        <v>35</v>
      </c>
      <c r="CT253" s="31">
        <v>83</v>
      </c>
      <c r="CU253" s="31"/>
      <c r="CV253" s="31"/>
      <c r="CW253" s="31" t="s">
        <v>395</v>
      </c>
      <c r="CX253" s="31" t="s">
        <v>471</v>
      </c>
      <c r="CY253" s="31" t="s">
        <v>395</v>
      </c>
      <c r="CZ253" s="31" t="s">
        <v>397</v>
      </c>
      <c r="DA253" s="31" t="s">
        <v>397</v>
      </c>
      <c r="DB253" s="31" t="s">
        <v>397</v>
      </c>
      <c r="DC253" s="31" t="s">
        <v>366</v>
      </c>
      <c r="DD253" s="31" t="s">
        <v>397</v>
      </c>
      <c r="DE253" s="31"/>
      <c r="DF253" s="31"/>
      <c r="DG253" s="31"/>
      <c r="DH253" s="31"/>
      <c r="DI253" s="31"/>
      <c r="DJ253" s="31" t="s">
        <v>391</v>
      </c>
      <c r="DK253" s="31" t="s">
        <v>344</v>
      </c>
      <c r="DL253" s="31" t="s">
        <v>368</v>
      </c>
      <c r="DM253" s="31" t="s">
        <v>368</v>
      </c>
      <c r="DN253" s="31" t="s">
        <v>368</v>
      </c>
      <c r="DO253" s="31" t="s">
        <v>368</v>
      </c>
      <c r="DP253" s="31" t="s">
        <v>368</v>
      </c>
      <c r="DQ253" s="31" t="s">
        <v>368</v>
      </c>
      <c r="DR253" s="31" t="s">
        <v>368</v>
      </c>
      <c r="DS253" s="31" t="s">
        <v>345</v>
      </c>
      <c r="DT253" s="31" t="s">
        <v>345</v>
      </c>
      <c r="DU253" s="31" t="s">
        <v>345</v>
      </c>
      <c r="DV253" s="31" t="s">
        <v>345</v>
      </c>
      <c r="DW253" s="31" t="s">
        <v>344</v>
      </c>
      <c r="DX253" s="31" t="s">
        <v>1258</v>
      </c>
      <c r="DY253" s="31" t="s">
        <v>1258</v>
      </c>
      <c r="DZ253" s="31" t="s">
        <v>1258</v>
      </c>
      <c r="EA253" s="31" t="s">
        <v>1258</v>
      </c>
      <c r="EB253" s="31" t="s">
        <v>1258</v>
      </c>
      <c r="EC253" s="31" t="s">
        <v>1272</v>
      </c>
      <c r="ED253" s="31" t="s">
        <v>1258</v>
      </c>
      <c r="EE253" s="31" t="s">
        <v>1274</v>
      </c>
      <c r="EF253" s="31" t="s">
        <v>1273</v>
      </c>
      <c r="EG253" s="31" t="s">
        <v>397</v>
      </c>
      <c r="EH253" s="31" t="s">
        <v>1274</v>
      </c>
      <c r="EI253" s="31" t="s">
        <v>1273</v>
      </c>
      <c r="EJ253" s="31" t="s">
        <v>1274</v>
      </c>
      <c r="EK253" s="31" t="s">
        <v>397</v>
      </c>
      <c r="EL253" s="31" t="s">
        <v>1276</v>
      </c>
      <c r="EM253" s="31" t="s">
        <v>1260</v>
      </c>
      <c r="EN253" s="31" t="s">
        <v>1275</v>
      </c>
      <c r="EO253" s="31"/>
      <c r="EP253" s="31"/>
      <c r="EQ253" s="31" t="s">
        <v>717</v>
      </c>
      <c r="ER253" s="31" t="s">
        <v>1263</v>
      </c>
      <c r="ES253" s="31" t="s">
        <v>1263</v>
      </c>
      <c r="ET253" s="31" t="s">
        <v>717</v>
      </c>
      <c r="EU253" s="31" t="s">
        <v>1264</v>
      </c>
      <c r="EV253" s="31" t="s">
        <v>1265</v>
      </c>
      <c r="EW253" s="31"/>
      <c r="EX253" s="33" t="s">
        <v>345</v>
      </c>
      <c r="EY253" s="33" t="s">
        <v>344</v>
      </c>
      <c r="EZ253" s="33" t="s">
        <v>344</v>
      </c>
      <c r="FA253" s="31" t="s">
        <v>344</v>
      </c>
      <c r="FB253" s="31" t="s">
        <v>1266</v>
      </c>
      <c r="FC253" s="31"/>
      <c r="FD253" s="31" t="s">
        <v>1266</v>
      </c>
      <c r="FE253" s="31"/>
      <c r="FF253" s="31" t="s">
        <v>382</v>
      </c>
      <c r="FG253" s="31" t="s">
        <v>402</v>
      </c>
      <c r="FH253" s="31" t="s">
        <v>432</v>
      </c>
      <c r="FI253" s="31" t="s">
        <v>1286</v>
      </c>
      <c r="FJ253" s="31"/>
      <c r="FK253" s="31"/>
      <c r="FL253" s="31"/>
      <c r="FM253" s="31"/>
      <c r="FN253" s="31"/>
      <c r="FO253" s="31"/>
      <c r="FP253" s="31"/>
      <c r="FQ253" s="31"/>
      <c r="FR253" s="31"/>
      <c r="FS253" s="31"/>
      <c r="FT253" s="31"/>
      <c r="FU253" s="31"/>
      <c r="FV253" s="31"/>
      <c r="FW253" s="31"/>
      <c r="FX253" s="31"/>
      <c r="FY253" s="31"/>
      <c r="FZ253" s="31"/>
      <c r="GA253" s="31" t="s">
        <v>368</v>
      </c>
      <c r="GB253" s="31" t="s">
        <v>368</v>
      </c>
      <c r="GC253" s="31" t="s">
        <v>368</v>
      </c>
      <c r="GD253" s="31" t="s">
        <v>368</v>
      </c>
      <c r="GE253" s="31" t="s">
        <v>368</v>
      </c>
      <c r="GF253" s="31" t="s">
        <v>368</v>
      </c>
      <c r="GG253" s="31"/>
      <c r="GH253" s="31"/>
      <c r="GI253" s="31"/>
      <c r="GJ253" s="31"/>
      <c r="GK253" s="31"/>
      <c r="GL253" s="31" t="s">
        <v>344</v>
      </c>
      <c r="GM253" s="31" t="s">
        <v>344</v>
      </c>
      <c r="GN253" s="31" t="s">
        <v>344</v>
      </c>
      <c r="GO253" s="31" t="s">
        <v>344</v>
      </c>
      <c r="GP253" s="31" t="s">
        <v>344</v>
      </c>
      <c r="GQ253" s="31" t="s">
        <v>344</v>
      </c>
      <c r="GR253" s="31" t="s">
        <v>344</v>
      </c>
      <c r="GS253" s="31" t="s">
        <v>344</v>
      </c>
      <c r="GT253" s="31" t="s">
        <v>344</v>
      </c>
      <c r="GU253" s="31" t="s">
        <v>344</v>
      </c>
      <c r="GV253" s="31" t="s">
        <v>344</v>
      </c>
      <c r="GW253" s="31" t="s">
        <v>344</v>
      </c>
      <c r="GX253" s="31" t="s">
        <v>344</v>
      </c>
      <c r="GY253" s="31" t="s">
        <v>344</v>
      </c>
      <c r="GZ253" s="31" t="s">
        <v>344</v>
      </c>
      <c r="HA253" s="31" t="s">
        <v>345</v>
      </c>
      <c r="HB253" s="31"/>
      <c r="HC253" s="31" t="s">
        <v>344</v>
      </c>
      <c r="HD253" s="31"/>
      <c r="HE253" s="31" t="s">
        <v>344</v>
      </c>
      <c r="HF253" s="31"/>
      <c r="HG253" s="31" t="s">
        <v>344</v>
      </c>
      <c r="HH253" s="31"/>
      <c r="HI253" s="31" t="s">
        <v>344</v>
      </c>
      <c r="HJ253" s="31"/>
      <c r="HK253" s="31" t="s">
        <v>344</v>
      </c>
      <c r="HL253" s="31" t="s">
        <v>344</v>
      </c>
      <c r="HM253" s="31" t="s">
        <v>344</v>
      </c>
      <c r="HN253" s="31" t="s">
        <v>344</v>
      </c>
      <c r="HO253" s="31" t="s">
        <v>344</v>
      </c>
      <c r="HP253" s="31" t="s">
        <v>344</v>
      </c>
      <c r="HQ253" s="31" t="s">
        <v>344</v>
      </c>
      <c r="HR253" s="31" t="s">
        <v>344</v>
      </c>
      <c r="HS253" s="31" t="s">
        <v>344</v>
      </c>
      <c r="HT253" s="31" t="s">
        <v>344</v>
      </c>
      <c r="HU253" s="31" t="s">
        <v>344</v>
      </c>
      <c r="HV253" s="31" t="s">
        <v>344</v>
      </c>
      <c r="HW253" s="31" t="s">
        <v>344</v>
      </c>
      <c r="HX253" s="31" t="s">
        <v>344</v>
      </c>
      <c r="HY253" s="31" t="s">
        <v>344</v>
      </c>
      <c r="HZ253" s="31" t="s">
        <v>344</v>
      </c>
      <c r="IA253" s="31" t="s">
        <v>344</v>
      </c>
      <c r="IB253" s="31" t="s">
        <v>344</v>
      </c>
      <c r="IC253" s="31" t="s">
        <v>345</v>
      </c>
      <c r="ID253" s="31"/>
      <c r="IE253" s="31" t="s">
        <v>344</v>
      </c>
      <c r="IF253" s="31"/>
      <c r="IG253" s="31" t="s">
        <v>344</v>
      </c>
      <c r="IH253" s="31"/>
      <c r="II253" s="31" t="s">
        <v>344</v>
      </c>
      <c r="IJ253" s="31"/>
      <c r="IK253" s="31" t="s">
        <v>344</v>
      </c>
      <c r="IL253" s="31"/>
      <c r="IM253" s="31" t="s">
        <v>344</v>
      </c>
      <c r="IN253" s="31" t="s">
        <v>344</v>
      </c>
      <c r="IO253" s="31" t="s">
        <v>344</v>
      </c>
      <c r="IP253" s="31" t="s">
        <v>344</v>
      </c>
      <c r="IQ253" s="31" t="s">
        <v>345</v>
      </c>
      <c r="IR253" s="31" t="s">
        <v>344</v>
      </c>
      <c r="IS253" s="31" t="s">
        <v>344</v>
      </c>
      <c r="IT253" s="31" t="s">
        <v>345</v>
      </c>
      <c r="IU253" s="31" t="s">
        <v>344</v>
      </c>
      <c r="IV253" s="31" t="s">
        <v>344</v>
      </c>
      <c r="IW253" s="31" t="s">
        <v>344</v>
      </c>
      <c r="IX253" s="31" t="s">
        <v>344</v>
      </c>
      <c r="IY253" s="31" t="s">
        <v>344</v>
      </c>
      <c r="IZ253" s="31" t="s">
        <v>344</v>
      </c>
      <c r="JA253" s="31" t="s">
        <v>1430</v>
      </c>
      <c r="JB253" s="31"/>
    </row>
    <row r="254" spans="1:262" x14ac:dyDescent="0.3">
      <c r="A254" s="30" t="s">
        <v>727</v>
      </c>
      <c r="B254" s="31">
        <v>214</v>
      </c>
      <c r="C254" s="31" t="s">
        <v>1431</v>
      </c>
      <c r="D254" s="31">
        <v>14</v>
      </c>
      <c r="E254" s="31" t="s">
        <v>387</v>
      </c>
      <c r="F254" s="31">
        <v>943661129</v>
      </c>
      <c r="G254" s="31" t="s">
        <v>1432</v>
      </c>
      <c r="H254" s="31" t="s">
        <v>1431</v>
      </c>
      <c r="I254" s="31" t="s">
        <v>1400</v>
      </c>
      <c r="J254" s="31">
        <v>18</v>
      </c>
      <c r="K254" s="31" t="s">
        <v>1282</v>
      </c>
      <c r="L254" s="31"/>
      <c r="M254" s="31" t="s">
        <v>344</v>
      </c>
      <c r="N254" s="31" t="s">
        <v>345</v>
      </c>
      <c r="O254" s="31" t="s">
        <v>344</v>
      </c>
      <c r="P254" s="31" t="s">
        <v>344</v>
      </c>
      <c r="Q254" s="31" t="s">
        <v>344</v>
      </c>
      <c r="R254" s="31"/>
      <c r="S254" s="31" t="s">
        <v>475</v>
      </c>
      <c r="T254" s="31"/>
      <c r="U254" s="31" t="s">
        <v>347</v>
      </c>
      <c r="V254" s="32"/>
      <c r="W254" s="31" t="s">
        <v>344</v>
      </c>
      <c r="X254" s="31" t="s">
        <v>345</v>
      </c>
      <c r="Y254" s="31" t="s">
        <v>344</v>
      </c>
      <c r="Z254" s="31" t="s">
        <v>344</v>
      </c>
      <c r="AA254" s="31" t="s">
        <v>345</v>
      </c>
      <c r="AB254" s="31" t="s">
        <v>344</v>
      </c>
      <c r="AC254" s="31" t="s">
        <v>344</v>
      </c>
      <c r="AD254" s="31" t="s">
        <v>344</v>
      </c>
      <c r="AE254" s="31" t="s">
        <v>345</v>
      </c>
      <c r="AF254" s="31" t="s">
        <v>344</v>
      </c>
      <c r="AG254" s="31" t="s">
        <v>344</v>
      </c>
      <c r="AH254" s="31" t="s">
        <v>345</v>
      </c>
      <c r="AI254" s="31" t="s">
        <v>344</v>
      </c>
      <c r="AJ254" s="31" t="s">
        <v>344</v>
      </c>
      <c r="AK254" s="31" t="s">
        <v>368</v>
      </c>
      <c r="AL254" s="31" t="s">
        <v>368</v>
      </c>
      <c r="AM254" s="31" t="s">
        <v>368</v>
      </c>
      <c r="AN254" s="31" t="s">
        <v>368</v>
      </c>
      <c r="AO254" s="31" t="s">
        <v>368</v>
      </c>
      <c r="AP254" s="31" t="s">
        <v>368</v>
      </c>
      <c r="AQ254" s="31" t="s">
        <v>345</v>
      </c>
      <c r="AR254" s="31" t="s">
        <v>345</v>
      </c>
      <c r="AS254" s="31" t="s">
        <v>344</v>
      </c>
      <c r="AT254" s="31" t="s">
        <v>344</v>
      </c>
      <c r="AU254" s="31" t="s">
        <v>344</v>
      </c>
      <c r="AV254" s="31" t="s">
        <v>344</v>
      </c>
      <c r="AW254" s="31" t="s">
        <v>345</v>
      </c>
      <c r="AX254" s="31" t="s">
        <v>344</v>
      </c>
      <c r="AY254" s="31" t="s">
        <v>391</v>
      </c>
      <c r="AZ254" s="31" t="s">
        <v>391</v>
      </c>
      <c r="BA254" s="31" t="s">
        <v>391</v>
      </c>
      <c r="BB254" s="31" t="s">
        <v>391</v>
      </c>
      <c r="BC254" s="31" t="s">
        <v>391</v>
      </c>
      <c r="BD254" s="31" t="s">
        <v>391</v>
      </c>
      <c r="BE254" s="31" t="s">
        <v>349</v>
      </c>
      <c r="BF254" s="31" t="s">
        <v>349</v>
      </c>
      <c r="BG254" s="31" t="s">
        <v>390</v>
      </c>
      <c r="BH254" s="31" t="s">
        <v>349</v>
      </c>
      <c r="BI254" s="31" t="s">
        <v>349</v>
      </c>
      <c r="BJ254" s="31" t="s">
        <v>391</v>
      </c>
      <c r="BK254" s="31" t="s">
        <v>354</v>
      </c>
      <c r="BL254" s="31" t="s">
        <v>352</v>
      </c>
      <c r="BM254" s="31" t="s">
        <v>391</v>
      </c>
      <c r="BN254" s="31" t="s">
        <v>391</v>
      </c>
      <c r="BO254" s="31" t="s">
        <v>391</v>
      </c>
      <c r="BP254" s="31" t="s">
        <v>391</v>
      </c>
      <c r="BQ254" s="31" t="s">
        <v>419</v>
      </c>
      <c r="BR254" s="31" t="s">
        <v>344</v>
      </c>
      <c r="BS254" s="31" t="s">
        <v>391</v>
      </c>
      <c r="BT254" s="31" t="s">
        <v>391</v>
      </c>
      <c r="BU254" s="31" t="s">
        <v>391</v>
      </c>
      <c r="BV254" s="31" t="s">
        <v>391</v>
      </c>
      <c r="BW254" s="31" t="s">
        <v>391</v>
      </c>
      <c r="BX254" s="31" t="s">
        <v>391</v>
      </c>
      <c r="BY254" s="31" t="s">
        <v>391</v>
      </c>
      <c r="BZ254" s="31" t="s">
        <v>391</v>
      </c>
      <c r="CA254" s="31" t="s">
        <v>391</v>
      </c>
      <c r="CB254" s="31" t="s">
        <v>391</v>
      </c>
      <c r="CC254" s="31" t="s">
        <v>391</v>
      </c>
      <c r="CD254" s="31" t="s">
        <v>391</v>
      </c>
      <c r="CE254" s="31" t="s">
        <v>391</v>
      </c>
      <c r="CF254" s="31" t="s">
        <v>391</v>
      </c>
      <c r="CG254" s="31" t="s">
        <v>420</v>
      </c>
      <c r="CH254" s="31" t="s">
        <v>420</v>
      </c>
      <c r="CI254" s="31" t="s">
        <v>393</v>
      </c>
      <c r="CJ254" s="31" t="s">
        <v>420</v>
      </c>
      <c r="CK254" s="31"/>
      <c r="CL254" s="31" t="s">
        <v>344</v>
      </c>
      <c r="CM254" s="31" t="s">
        <v>344</v>
      </c>
      <c r="CN254" s="31" t="s">
        <v>344</v>
      </c>
      <c r="CO254" s="31" t="s">
        <v>345</v>
      </c>
      <c r="CP254" s="31" t="s">
        <v>345</v>
      </c>
      <c r="CQ254" s="31" t="s">
        <v>344</v>
      </c>
      <c r="CR254" s="31" t="s">
        <v>667</v>
      </c>
      <c r="CS254" s="31">
        <v>76</v>
      </c>
      <c r="CT254" s="31">
        <v>84</v>
      </c>
      <c r="CU254" s="31">
        <v>98</v>
      </c>
      <c r="CV254" s="31">
        <v>100</v>
      </c>
      <c r="CW254" s="31" t="s">
        <v>471</v>
      </c>
      <c r="CX254" s="31" t="s">
        <v>395</v>
      </c>
      <c r="CY254" s="31" t="s">
        <v>396</v>
      </c>
      <c r="CZ254" s="31" t="s">
        <v>397</v>
      </c>
      <c r="DA254" s="31" t="s">
        <v>397</v>
      </c>
      <c r="DB254" s="31" t="s">
        <v>397</v>
      </c>
      <c r="DC254" s="31" t="s">
        <v>366</v>
      </c>
      <c r="DD254" s="31" t="s">
        <v>397</v>
      </c>
      <c r="DE254" s="31" t="s">
        <v>365</v>
      </c>
      <c r="DF254" s="31" t="s">
        <v>366</v>
      </c>
      <c r="DG254" s="31" t="s">
        <v>397</v>
      </c>
      <c r="DH254" s="31" t="s">
        <v>366</v>
      </c>
      <c r="DI254" s="31" t="s">
        <v>423</v>
      </c>
      <c r="DJ254" s="31"/>
      <c r="DK254" s="31" t="s">
        <v>344</v>
      </c>
      <c r="DL254" s="31" t="s">
        <v>368</v>
      </c>
      <c r="DM254" s="31" t="s">
        <v>368</v>
      </c>
      <c r="DN254" s="31" t="s">
        <v>368</v>
      </c>
      <c r="DO254" s="31" t="s">
        <v>368</v>
      </c>
      <c r="DP254" s="31" t="s">
        <v>368</v>
      </c>
      <c r="DQ254" s="31" t="s">
        <v>368</v>
      </c>
      <c r="DR254" s="31" t="s">
        <v>368</v>
      </c>
      <c r="DS254" s="31" t="s">
        <v>345</v>
      </c>
      <c r="DT254" s="31" t="s">
        <v>344</v>
      </c>
      <c r="DU254" s="31" t="s">
        <v>345</v>
      </c>
      <c r="DV254" s="31" t="s">
        <v>345</v>
      </c>
      <c r="DW254" s="31" t="s">
        <v>344</v>
      </c>
      <c r="DX254" s="31" t="s">
        <v>1258</v>
      </c>
      <c r="DY254" s="31" t="s">
        <v>1258</v>
      </c>
      <c r="DZ254" s="31" t="s">
        <v>1258</v>
      </c>
      <c r="EA254" s="31" t="s">
        <v>1258</v>
      </c>
      <c r="EB254" s="31" t="s">
        <v>1272</v>
      </c>
      <c r="EC254" s="31" t="s">
        <v>1258</v>
      </c>
      <c r="ED254" s="31" t="s">
        <v>1258</v>
      </c>
      <c r="EE254" s="31" t="s">
        <v>1258</v>
      </c>
      <c r="EF254" s="31" t="s">
        <v>1258</v>
      </c>
      <c r="EG254" s="31" t="s">
        <v>1258</v>
      </c>
      <c r="EH254" s="31" t="s">
        <v>1258</v>
      </c>
      <c r="EI254" s="31" t="s">
        <v>1258</v>
      </c>
      <c r="EJ254" s="31" t="s">
        <v>1258</v>
      </c>
      <c r="EK254" s="31" t="s">
        <v>1258</v>
      </c>
      <c r="EL254" s="31" t="s">
        <v>1275</v>
      </c>
      <c r="EM254" s="31" t="s">
        <v>1276</v>
      </c>
      <c r="EN254" s="31" t="s">
        <v>1261</v>
      </c>
      <c r="EO254" s="31"/>
      <c r="EP254" s="31"/>
      <c r="EQ254" s="31" t="s">
        <v>717</v>
      </c>
      <c r="ER254" s="31" t="s">
        <v>717</v>
      </c>
      <c r="ES254" s="31" t="s">
        <v>717</v>
      </c>
      <c r="ET254" s="31" t="s">
        <v>717</v>
      </c>
      <c r="EU254" s="31" t="s">
        <v>717</v>
      </c>
      <c r="EV254" s="31" t="s">
        <v>1265</v>
      </c>
      <c r="EW254" s="31"/>
      <c r="EX254" s="33" t="s">
        <v>345</v>
      </c>
      <c r="EY254" s="33" t="s">
        <v>345</v>
      </c>
      <c r="EZ254" s="33" t="s">
        <v>344</v>
      </c>
      <c r="FA254" s="31" t="s">
        <v>344</v>
      </c>
      <c r="FB254" s="31" t="s">
        <v>1321</v>
      </c>
      <c r="FC254" s="31"/>
      <c r="FD254" s="31" t="s">
        <v>1266</v>
      </c>
      <c r="FE254" s="31"/>
      <c r="FF254" s="31" t="s">
        <v>1322</v>
      </c>
      <c r="FG254" s="31" t="s">
        <v>1323</v>
      </c>
      <c r="FH254" s="31" t="s">
        <v>1293</v>
      </c>
      <c r="FI254" s="31" t="s">
        <v>385</v>
      </c>
      <c r="FJ254" s="31"/>
      <c r="FK254" s="31"/>
      <c r="FL254" s="31"/>
      <c r="FM254" s="31"/>
      <c r="FN254" s="31"/>
      <c r="FO254" s="31"/>
      <c r="FP254" s="31"/>
      <c r="FQ254" s="31"/>
      <c r="FR254" s="31"/>
      <c r="FS254" s="31"/>
      <c r="FT254" s="31"/>
      <c r="FU254" s="31"/>
      <c r="FV254" s="31"/>
      <c r="FW254" s="31"/>
      <c r="FX254" s="31"/>
      <c r="FY254" s="31"/>
      <c r="FZ254" s="31"/>
      <c r="GA254" s="31" t="s">
        <v>368</v>
      </c>
      <c r="GB254" s="31" t="s">
        <v>368</v>
      </c>
      <c r="GC254" s="31" t="s">
        <v>368</v>
      </c>
      <c r="GD254" s="31" t="s">
        <v>368</v>
      </c>
      <c r="GE254" s="31" t="s">
        <v>368</v>
      </c>
      <c r="GF254" s="31" t="s">
        <v>368</v>
      </c>
      <c r="GG254" s="31"/>
      <c r="GH254" s="31"/>
      <c r="GI254" s="31"/>
      <c r="GJ254" s="31"/>
      <c r="GK254" s="31"/>
      <c r="GL254" s="31" t="s">
        <v>344</v>
      </c>
      <c r="GM254" s="31" t="s">
        <v>344</v>
      </c>
      <c r="GN254" s="31" t="s">
        <v>344</v>
      </c>
      <c r="GO254" s="31" t="s">
        <v>344</v>
      </c>
      <c r="GP254" s="31" t="s">
        <v>344</v>
      </c>
      <c r="GQ254" s="31" t="s">
        <v>344</v>
      </c>
      <c r="GR254" s="31" t="s">
        <v>345</v>
      </c>
      <c r="GS254" s="31" t="s">
        <v>344</v>
      </c>
      <c r="GT254" s="31" t="s">
        <v>344</v>
      </c>
      <c r="GU254" s="31" t="s">
        <v>345</v>
      </c>
      <c r="GV254" s="31" t="s">
        <v>344</v>
      </c>
      <c r="GW254" s="31" t="s">
        <v>344</v>
      </c>
      <c r="GX254" s="31" t="s">
        <v>344</v>
      </c>
      <c r="GY254" s="31" t="s">
        <v>344</v>
      </c>
      <c r="GZ254" s="31" t="s">
        <v>344</v>
      </c>
      <c r="HA254" s="31" t="s">
        <v>344</v>
      </c>
      <c r="HB254" s="31"/>
      <c r="HC254" s="31" t="s">
        <v>344</v>
      </c>
      <c r="HD254" s="31"/>
      <c r="HE254" s="31" t="s">
        <v>344</v>
      </c>
      <c r="HF254" s="31"/>
      <c r="HG254" s="31" t="s">
        <v>345</v>
      </c>
      <c r="HH254" s="31" t="s">
        <v>1433</v>
      </c>
      <c r="HI254" s="31" t="s">
        <v>344</v>
      </c>
      <c r="HJ254" s="31"/>
      <c r="HK254" s="31" t="s">
        <v>344</v>
      </c>
      <c r="HL254" s="31" t="s">
        <v>344</v>
      </c>
      <c r="HM254" s="31" t="s">
        <v>344</v>
      </c>
      <c r="HN254" s="31" t="s">
        <v>344</v>
      </c>
      <c r="HO254" s="31" t="s">
        <v>344</v>
      </c>
      <c r="HP254" s="31" t="s">
        <v>344</v>
      </c>
      <c r="HQ254" s="31" t="s">
        <v>344</v>
      </c>
      <c r="HR254" s="31" t="s">
        <v>344</v>
      </c>
      <c r="HS254" s="31" t="s">
        <v>344</v>
      </c>
      <c r="HT254" s="31" t="s">
        <v>344</v>
      </c>
      <c r="HU254" s="31" t="s">
        <v>344</v>
      </c>
      <c r="HV254" s="31" t="s">
        <v>344</v>
      </c>
      <c r="HW254" s="31" t="s">
        <v>345</v>
      </c>
      <c r="HX254" s="31" t="s">
        <v>344</v>
      </c>
      <c r="HY254" s="31" t="s">
        <v>344</v>
      </c>
      <c r="HZ254" s="31" t="s">
        <v>344</v>
      </c>
      <c r="IA254" s="31" t="s">
        <v>345</v>
      </c>
      <c r="IB254" s="31" t="s">
        <v>344</v>
      </c>
      <c r="IC254" s="31" t="s">
        <v>344</v>
      </c>
      <c r="ID254" s="31"/>
      <c r="IE254" s="31" t="s">
        <v>344</v>
      </c>
      <c r="IF254" s="31"/>
      <c r="IG254" s="31" t="s">
        <v>344</v>
      </c>
      <c r="IH254" s="31"/>
      <c r="II254" s="31" t="s">
        <v>344</v>
      </c>
      <c r="IJ254" s="31"/>
      <c r="IK254" s="31" t="s">
        <v>344</v>
      </c>
      <c r="IL254" s="31"/>
      <c r="IM254" s="31" t="s">
        <v>345</v>
      </c>
      <c r="IN254" s="31" t="s">
        <v>345</v>
      </c>
      <c r="IO254" s="31" t="s">
        <v>345</v>
      </c>
      <c r="IP254" s="31" t="s">
        <v>344</v>
      </c>
      <c r="IQ254" s="31" t="s">
        <v>345</v>
      </c>
      <c r="IR254" s="31" t="s">
        <v>344</v>
      </c>
      <c r="IS254" s="31" t="s">
        <v>344</v>
      </c>
      <c r="IT254" s="31" t="s">
        <v>345</v>
      </c>
      <c r="IU254" s="31" t="s">
        <v>344</v>
      </c>
      <c r="IV254" s="31" t="s">
        <v>344</v>
      </c>
      <c r="IW254" s="31" t="s">
        <v>344</v>
      </c>
      <c r="IX254" s="31" t="s">
        <v>344</v>
      </c>
      <c r="IY254" s="31" t="s">
        <v>345</v>
      </c>
      <c r="IZ254" s="31" t="s">
        <v>344</v>
      </c>
      <c r="JA254" s="31"/>
      <c r="JB254" s="31"/>
    </row>
    <row r="255" spans="1:262" x14ac:dyDescent="0.3">
      <c r="A255" s="30" t="s">
        <v>727</v>
      </c>
      <c r="B255" s="31">
        <v>218</v>
      </c>
      <c r="C255" s="31" t="s">
        <v>1434</v>
      </c>
      <c r="D255" s="31">
        <v>14</v>
      </c>
      <c r="E255" s="31" t="s">
        <v>387</v>
      </c>
      <c r="F255" s="31">
        <v>1251606976</v>
      </c>
      <c r="G255" s="31" t="s">
        <v>1435</v>
      </c>
      <c r="H255" s="31" t="s">
        <v>1434</v>
      </c>
      <c r="I255" s="31" t="s">
        <v>1400</v>
      </c>
      <c r="J255" s="31">
        <v>16</v>
      </c>
      <c r="K255" s="31" t="s">
        <v>1282</v>
      </c>
      <c r="L255" s="31"/>
      <c r="M255" s="31" t="s">
        <v>345</v>
      </c>
      <c r="N255" s="31" t="s">
        <v>344</v>
      </c>
      <c r="O255" s="31" t="s">
        <v>344</v>
      </c>
      <c r="P255" s="31" t="s">
        <v>344</v>
      </c>
      <c r="Q255" s="31" t="s">
        <v>344</v>
      </c>
      <c r="R255" s="31"/>
      <c r="S255" s="31" t="s">
        <v>475</v>
      </c>
      <c r="T255" s="31"/>
      <c r="U255" s="31" t="s">
        <v>1256</v>
      </c>
      <c r="V255" s="31"/>
      <c r="W255" s="31" t="s">
        <v>344</v>
      </c>
      <c r="X255" s="31" t="s">
        <v>345</v>
      </c>
      <c r="Y255" s="31" t="s">
        <v>344</v>
      </c>
      <c r="Z255" s="31" t="s">
        <v>345</v>
      </c>
      <c r="AA255" s="31" t="s">
        <v>344</v>
      </c>
      <c r="AB255" s="31" t="s">
        <v>344</v>
      </c>
      <c r="AC255" s="31" t="s">
        <v>344</v>
      </c>
      <c r="AD255" s="31" t="s">
        <v>368</v>
      </c>
      <c r="AE255" s="31" t="s">
        <v>368</v>
      </c>
      <c r="AF255" s="31" t="s">
        <v>368</v>
      </c>
      <c r="AG255" s="31" t="s">
        <v>368</v>
      </c>
      <c r="AH255" s="31" t="s">
        <v>368</v>
      </c>
      <c r="AI255" s="31" t="s">
        <v>368</v>
      </c>
      <c r="AJ255" s="31" t="s">
        <v>345</v>
      </c>
      <c r="AK255" s="31" t="s">
        <v>368</v>
      </c>
      <c r="AL255" s="31" t="s">
        <v>368</v>
      </c>
      <c r="AM255" s="31" t="s">
        <v>368</v>
      </c>
      <c r="AN255" s="31" t="s">
        <v>368</v>
      </c>
      <c r="AO255" s="31" t="s">
        <v>368</v>
      </c>
      <c r="AP255" s="31" t="s">
        <v>368</v>
      </c>
      <c r="AQ255" s="31" t="s">
        <v>345</v>
      </c>
      <c r="AR255" s="31" t="s">
        <v>368</v>
      </c>
      <c r="AS255" s="31" t="s">
        <v>368</v>
      </c>
      <c r="AT255" s="31" t="s">
        <v>368</v>
      </c>
      <c r="AU255" s="31" t="s">
        <v>368</v>
      </c>
      <c r="AV255" s="31" t="s">
        <v>368</v>
      </c>
      <c r="AW255" s="31" t="s">
        <v>368</v>
      </c>
      <c r="AX255" s="31" t="s">
        <v>345</v>
      </c>
      <c r="AY255" s="31" t="s">
        <v>733</v>
      </c>
      <c r="AZ255" s="31" t="s">
        <v>732</v>
      </c>
      <c r="BA255" s="31" t="s">
        <v>733</v>
      </c>
      <c r="BB255" s="31" t="s">
        <v>737</v>
      </c>
      <c r="BC255" s="31" t="s">
        <v>732</v>
      </c>
      <c r="BD255" s="31" t="s">
        <v>732</v>
      </c>
      <c r="BE255" s="31" t="s">
        <v>390</v>
      </c>
      <c r="BF255" s="31" t="s">
        <v>348</v>
      </c>
      <c r="BG255" s="31" t="s">
        <v>348</v>
      </c>
      <c r="BH255" s="31" t="s">
        <v>349</v>
      </c>
      <c r="BI255" s="31" t="s">
        <v>350</v>
      </c>
      <c r="BJ255" s="31" t="s">
        <v>351</v>
      </c>
      <c r="BK255" s="31" t="s">
        <v>353</v>
      </c>
      <c r="BL255" s="31" t="s">
        <v>357</v>
      </c>
      <c r="BM255" s="31" t="s">
        <v>351</v>
      </c>
      <c r="BN255" s="31" t="s">
        <v>356</v>
      </c>
      <c r="BO255" s="31" t="s">
        <v>355</v>
      </c>
      <c r="BP255" s="31" t="s">
        <v>355</v>
      </c>
      <c r="BQ255" s="31" t="s">
        <v>358</v>
      </c>
      <c r="BR255" s="31" t="s">
        <v>344</v>
      </c>
      <c r="BS255" s="31" t="s">
        <v>354</v>
      </c>
      <c r="BT255" s="31" t="s">
        <v>351</v>
      </c>
      <c r="BU255" s="31" t="s">
        <v>357</v>
      </c>
      <c r="BV255" s="31" t="s">
        <v>353</v>
      </c>
      <c r="BW255" s="31" t="s">
        <v>356</v>
      </c>
      <c r="BX255" s="31" t="s">
        <v>355</v>
      </c>
      <c r="BY255" s="31" t="s">
        <v>352</v>
      </c>
      <c r="BZ255" s="31" t="s">
        <v>354</v>
      </c>
      <c r="CA255" s="31" t="s">
        <v>351</v>
      </c>
      <c r="CB255" s="31" t="s">
        <v>357</v>
      </c>
      <c r="CC255" s="31" t="s">
        <v>353</v>
      </c>
      <c r="CD255" s="31" t="s">
        <v>356</v>
      </c>
      <c r="CE255" s="31" t="s">
        <v>355</v>
      </c>
      <c r="CF255" s="31" t="s">
        <v>352</v>
      </c>
      <c r="CG255" s="31" t="s">
        <v>421</v>
      </c>
      <c r="CH255" s="31" t="s">
        <v>420</v>
      </c>
      <c r="CI255" s="31" t="s">
        <v>421</v>
      </c>
      <c r="CJ255" s="31" t="s">
        <v>420</v>
      </c>
      <c r="CK255" s="31" t="s">
        <v>391</v>
      </c>
      <c r="CL255" s="31" t="s">
        <v>344</v>
      </c>
      <c r="CM255" s="31" t="s">
        <v>344</v>
      </c>
      <c r="CN255" s="31" t="s">
        <v>344</v>
      </c>
      <c r="CO255" s="31" t="s">
        <v>345</v>
      </c>
      <c r="CP255" s="31" t="s">
        <v>345</v>
      </c>
      <c r="CQ255" s="31" t="s">
        <v>344</v>
      </c>
      <c r="CR255" s="31" t="s">
        <v>667</v>
      </c>
      <c r="CS255" s="31">
        <v>100</v>
      </c>
      <c r="CT255" s="31">
        <v>85</v>
      </c>
      <c r="CU255" s="31"/>
      <c r="CV255" s="31"/>
      <c r="CW255" s="31" t="s">
        <v>396</v>
      </c>
      <c r="CX255" s="31" t="s">
        <v>395</v>
      </c>
      <c r="CY255" s="31" t="s">
        <v>364</v>
      </c>
      <c r="CZ255" s="31" t="s">
        <v>397</v>
      </c>
      <c r="DA255" s="31" t="s">
        <v>397</v>
      </c>
      <c r="DB255" s="31" t="s">
        <v>397</v>
      </c>
      <c r="DC255" s="31" t="s">
        <v>397</v>
      </c>
      <c r="DD255" s="31" t="s">
        <v>365</v>
      </c>
      <c r="DE255" s="31"/>
      <c r="DF255" s="31"/>
      <c r="DG255" s="31"/>
      <c r="DH255" s="31"/>
      <c r="DI255" s="31"/>
      <c r="DJ255" s="31" t="s">
        <v>1436</v>
      </c>
      <c r="DK255" s="31" t="s">
        <v>344</v>
      </c>
      <c r="DL255" s="31" t="s">
        <v>368</v>
      </c>
      <c r="DM255" s="31" t="s">
        <v>368</v>
      </c>
      <c r="DN255" s="31" t="s">
        <v>368</v>
      </c>
      <c r="DO255" s="31" t="s">
        <v>368</v>
      </c>
      <c r="DP255" s="31" t="s">
        <v>368</v>
      </c>
      <c r="DQ255" s="31" t="s">
        <v>368</v>
      </c>
      <c r="DR255" s="31" t="s">
        <v>368</v>
      </c>
      <c r="DS255" s="31" t="s">
        <v>345</v>
      </c>
      <c r="DT255" s="31" t="s">
        <v>368</v>
      </c>
      <c r="DU255" s="31" t="s">
        <v>368</v>
      </c>
      <c r="DV255" s="31" t="s">
        <v>368</v>
      </c>
      <c r="DW255" s="31" t="s">
        <v>345</v>
      </c>
      <c r="DX255" s="31" t="s">
        <v>1258</v>
      </c>
      <c r="DY255" s="31" t="s">
        <v>1272</v>
      </c>
      <c r="DZ255" s="31" t="s">
        <v>1258</v>
      </c>
      <c r="EA255" s="31" t="s">
        <v>397</v>
      </c>
      <c r="EB255" s="31" t="s">
        <v>397</v>
      </c>
      <c r="EC255" s="31" t="s">
        <v>397</v>
      </c>
      <c r="ED255" s="31" t="s">
        <v>1272</v>
      </c>
      <c r="EE255" s="31" t="s">
        <v>397</v>
      </c>
      <c r="EF255" s="31" t="s">
        <v>397</v>
      </c>
      <c r="EG255" s="31" t="s">
        <v>397</v>
      </c>
      <c r="EH255" s="31" t="s">
        <v>397</v>
      </c>
      <c r="EI255" s="31" t="s">
        <v>397</v>
      </c>
      <c r="EJ255" s="31" t="s">
        <v>397</v>
      </c>
      <c r="EK255" s="31" t="s">
        <v>397</v>
      </c>
      <c r="EL255" s="31" t="s">
        <v>1276</v>
      </c>
      <c r="EM255" s="31" t="s">
        <v>1260</v>
      </c>
      <c r="EN255" s="31" t="s">
        <v>1275</v>
      </c>
      <c r="EO255" s="31"/>
      <c r="EP255" s="31"/>
      <c r="EQ255" s="31" t="s">
        <v>1264</v>
      </c>
      <c r="ER255" s="31" t="s">
        <v>1277</v>
      </c>
      <c r="ES255" s="31" t="s">
        <v>1277</v>
      </c>
      <c r="ET255" s="31" t="s">
        <v>1264</v>
      </c>
      <c r="EU255" s="31" t="s">
        <v>1278</v>
      </c>
      <c r="EV255" s="31" t="s">
        <v>1265</v>
      </c>
      <c r="EW255" s="31"/>
      <c r="EX255" s="31" t="s">
        <v>368</v>
      </c>
      <c r="EY255" s="31" t="s">
        <v>368</v>
      </c>
      <c r="EZ255" s="31" t="s">
        <v>368</v>
      </c>
      <c r="FA255" s="31" t="s">
        <v>345</v>
      </c>
      <c r="FB255" s="31" t="s">
        <v>1266</v>
      </c>
      <c r="FC255" s="31"/>
      <c r="FD255" s="31" t="s">
        <v>1266</v>
      </c>
      <c r="FE255" s="31"/>
      <c r="FF255" s="31" t="s">
        <v>431</v>
      </c>
      <c r="FG255" s="31" t="s">
        <v>441</v>
      </c>
      <c r="FH255" s="31" t="s">
        <v>460</v>
      </c>
      <c r="FI255" s="31" t="s">
        <v>442</v>
      </c>
      <c r="FJ255" s="31"/>
      <c r="FK255" s="31"/>
      <c r="FL255" s="31"/>
      <c r="FM255" s="31"/>
      <c r="FN255" s="31"/>
      <c r="FO255" s="31"/>
      <c r="FP255" s="31"/>
      <c r="FQ255" s="31"/>
      <c r="FR255" s="31"/>
      <c r="FS255" s="31"/>
      <c r="FT255" s="31"/>
      <c r="FU255" s="31"/>
      <c r="FV255" s="31"/>
      <c r="FW255" s="31"/>
      <c r="FX255" s="31"/>
      <c r="FY255" s="31"/>
      <c r="FZ255" s="31"/>
      <c r="GA255" s="31" t="s">
        <v>368</v>
      </c>
      <c r="GB255" s="31" t="s">
        <v>368</v>
      </c>
      <c r="GC255" s="31" t="s">
        <v>368</v>
      </c>
      <c r="GD255" s="31" t="s">
        <v>368</v>
      </c>
      <c r="GE255" s="31" t="s">
        <v>368</v>
      </c>
      <c r="GF255" s="31" t="s">
        <v>368</v>
      </c>
      <c r="GG255" s="31"/>
      <c r="GH255" s="31"/>
      <c r="GI255" s="31"/>
      <c r="GJ255" s="31"/>
      <c r="GK255" s="31"/>
      <c r="GL255" s="31" t="s">
        <v>344</v>
      </c>
      <c r="GM255" s="31" t="s">
        <v>344</v>
      </c>
      <c r="GN255" s="31" t="s">
        <v>344</v>
      </c>
      <c r="GO255" s="31" t="s">
        <v>344</v>
      </c>
      <c r="GP255" s="31" t="s">
        <v>344</v>
      </c>
      <c r="GQ255" s="31" t="s">
        <v>344</v>
      </c>
      <c r="GR255" s="31" t="s">
        <v>344</v>
      </c>
      <c r="GS255" s="31" t="s">
        <v>344</v>
      </c>
      <c r="GT255" s="31" t="s">
        <v>344</v>
      </c>
      <c r="GU255" s="31" t="s">
        <v>344</v>
      </c>
      <c r="GV255" s="31" t="s">
        <v>344</v>
      </c>
      <c r="GW255" s="31" t="s">
        <v>344</v>
      </c>
      <c r="GX255" s="31" t="s">
        <v>344</v>
      </c>
      <c r="GY255" s="31" t="s">
        <v>344</v>
      </c>
      <c r="GZ255" s="31" t="s">
        <v>344</v>
      </c>
      <c r="HA255" s="31" t="s">
        <v>345</v>
      </c>
      <c r="HB255" s="31"/>
      <c r="HC255" s="31" t="s">
        <v>344</v>
      </c>
      <c r="HD255" s="31"/>
      <c r="HE255" s="31" t="s">
        <v>344</v>
      </c>
      <c r="HF255" s="31"/>
      <c r="HG255" s="31" t="s">
        <v>344</v>
      </c>
      <c r="HH255" s="31"/>
      <c r="HI255" s="31" t="s">
        <v>344</v>
      </c>
      <c r="HJ255" s="31"/>
      <c r="HK255" s="31" t="s">
        <v>344</v>
      </c>
      <c r="HL255" s="31" t="s">
        <v>344</v>
      </c>
      <c r="HM255" s="31" t="s">
        <v>344</v>
      </c>
      <c r="HN255" s="31" t="s">
        <v>344</v>
      </c>
      <c r="HO255" s="31" t="s">
        <v>344</v>
      </c>
      <c r="HP255" s="31" t="s">
        <v>344</v>
      </c>
      <c r="HQ255" s="31" t="s">
        <v>344</v>
      </c>
      <c r="HR255" s="31" t="s">
        <v>344</v>
      </c>
      <c r="HS255" s="31" t="s">
        <v>344</v>
      </c>
      <c r="HT255" s="31" t="s">
        <v>344</v>
      </c>
      <c r="HU255" s="31" t="s">
        <v>344</v>
      </c>
      <c r="HV255" s="31" t="s">
        <v>344</v>
      </c>
      <c r="HW255" s="31" t="s">
        <v>344</v>
      </c>
      <c r="HX255" s="31" t="s">
        <v>344</v>
      </c>
      <c r="HY255" s="31" t="s">
        <v>344</v>
      </c>
      <c r="HZ255" s="31" t="s">
        <v>344</v>
      </c>
      <c r="IA255" s="31" t="s">
        <v>344</v>
      </c>
      <c r="IB255" s="31" t="s">
        <v>344</v>
      </c>
      <c r="IC255" s="31" t="s">
        <v>345</v>
      </c>
      <c r="ID255" s="31"/>
      <c r="IE255" s="31" t="s">
        <v>344</v>
      </c>
      <c r="IF255" s="31"/>
      <c r="IG255" s="31" t="s">
        <v>344</v>
      </c>
      <c r="IH255" s="31"/>
      <c r="II255" s="31" t="s">
        <v>344</v>
      </c>
      <c r="IJ255" s="31"/>
      <c r="IK255" s="31" t="s">
        <v>344</v>
      </c>
      <c r="IL255" s="31"/>
      <c r="IM255" s="31" t="s">
        <v>345</v>
      </c>
      <c r="IN255" s="31" t="s">
        <v>345</v>
      </c>
      <c r="IO255" s="31" t="s">
        <v>345</v>
      </c>
      <c r="IP255" s="31" t="s">
        <v>344</v>
      </c>
      <c r="IQ255" s="31" t="s">
        <v>345</v>
      </c>
      <c r="IR255" s="31" t="s">
        <v>345</v>
      </c>
      <c r="IS255" s="31" t="s">
        <v>344</v>
      </c>
      <c r="IT255" s="31" t="s">
        <v>345</v>
      </c>
      <c r="IU255" s="31" t="s">
        <v>345</v>
      </c>
      <c r="IV255" s="31" t="s">
        <v>344</v>
      </c>
      <c r="IW255" s="31" t="s">
        <v>345</v>
      </c>
      <c r="IX255" s="31" t="s">
        <v>344</v>
      </c>
      <c r="IY255" s="31" t="s">
        <v>345</v>
      </c>
      <c r="IZ255" s="31" t="s">
        <v>344</v>
      </c>
      <c r="JA255" s="31"/>
      <c r="JB255" s="31"/>
    </row>
    <row r="256" spans="1:262" x14ac:dyDescent="0.3">
      <c r="A256" s="30" t="s">
        <v>727</v>
      </c>
      <c r="B256" s="31">
        <v>219</v>
      </c>
      <c r="C256" s="31" t="s">
        <v>1437</v>
      </c>
      <c r="D256" s="31">
        <v>14</v>
      </c>
      <c r="E256" s="31" t="s">
        <v>387</v>
      </c>
      <c r="F256" s="31">
        <v>1227481313</v>
      </c>
      <c r="G256" s="31" t="s">
        <v>1438</v>
      </c>
      <c r="H256" s="31" t="s">
        <v>1437</v>
      </c>
      <c r="I256" s="31" t="s">
        <v>1400</v>
      </c>
      <c r="J256" s="31">
        <v>17</v>
      </c>
      <c r="K256" s="31" t="s">
        <v>1282</v>
      </c>
      <c r="L256" s="31"/>
      <c r="M256" s="31" t="s">
        <v>345</v>
      </c>
      <c r="N256" s="31" t="s">
        <v>344</v>
      </c>
      <c r="O256" s="31" t="s">
        <v>344</v>
      </c>
      <c r="P256" s="31" t="s">
        <v>344</v>
      </c>
      <c r="Q256" s="31" t="s">
        <v>344</v>
      </c>
      <c r="R256" s="31"/>
      <c r="S256" s="31" t="s">
        <v>475</v>
      </c>
      <c r="T256" s="31"/>
      <c r="U256" s="31" t="s">
        <v>343</v>
      </c>
      <c r="V256" s="31" t="s">
        <v>1439</v>
      </c>
      <c r="W256" s="31" t="s">
        <v>368</v>
      </c>
      <c r="X256" s="31" t="s">
        <v>368</v>
      </c>
      <c r="Y256" s="31" t="s">
        <v>368</v>
      </c>
      <c r="Z256" s="31" t="s">
        <v>368</v>
      </c>
      <c r="AA256" s="31" t="s">
        <v>368</v>
      </c>
      <c r="AB256" s="31" t="s">
        <v>368</v>
      </c>
      <c r="AC256" s="31" t="s">
        <v>345</v>
      </c>
      <c r="AD256" s="31" t="s">
        <v>368</v>
      </c>
      <c r="AE256" s="31" t="s">
        <v>368</v>
      </c>
      <c r="AF256" s="31" t="s">
        <v>368</v>
      </c>
      <c r="AG256" s="31" t="s">
        <v>368</v>
      </c>
      <c r="AH256" s="31" t="s">
        <v>368</v>
      </c>
      <c r="AI256" s="31" t="s">
        <v>368</v>
      </c>
      <c r="AJ256" s="31" t="s">
        <v>345</v>
      </c>
      <c r="AK256" s="31" t="s">
        <v>368</v>
      </c>
      <c r="AL256" s="31" t="s">
        <v>368</v>
      </c>
      <c r="AM256" s="31" t="s">
        <v>368</v>
      </c>
      <c r="AN256" s="31" t="s">
        <v>368</v>
      </c>
      <c r="AO256" s="31" t="s">
        <v>368</v>
      </c>
      <c r="AP256" s="31" t="s">
        <v>368</v>
      </c>
      <c r="AQ256" s="31" t="s">
        <v>345</v>
      </c>
      <c r="AR256" s="31" t="s">
        <v>368</v>
      </c>
      <c r="AS256" s="31" t="s">
        <v>368</v>
      </c>
      <c r="AT256" s="31" t="s">
        <v>368</v>
      </c>
      <c r="AU256" s="31" t="s">
        <v>368</v>
      </c>
      <c r="AV256" s="31" t="s">
        <v>368</v>
      </c>
      <c r="AW256" s="31" t="s">
        <v>368</v>
      </c>
      <c r="AX256" s="31" t="s">
        <v>345</v>
      </c>
      <c r="AY256" s="31" t="s">
        <v>391</v>
      </c>
      <c r="AZ256" s="31" t="s">
        <v>391</v>
      </c>
      <c r="BA256" s="31" t="s">
        <v>391</v>
      </c>
      <c r="BB256" s="31" t="s">
        <v>731</v>
      </c>
      <c r="BC256" s="31" t="s">
        <v>731</v>
      </c>
      <c r="BD256" s="31" t="s">
        <v>737</v>
      </c>
      <c r="BE256" s="31" t="s">
        <v>348</v>
      </c>
      <c r="BF256" s="31" t="s">
        <v>349</v>
      </c>
      <c r="BG256" s="31" t="s">
        <v>349</v>
      </c>
      <c r="BH256" s="31" t="s">
        <v>348</v>
      </c>
      <c r="BI256" s="31" t="s">
        <v>350</v>
      </c>
      <c r="BJ256" s="31" t="s">
        <v>355</v>
      </c>
      <c r="BK256" s="31" t="s">
        <v>353</v>
      </c>
      <c r="BL256" s="31" t="s">
        <v>353</v>
      </c>
      <c r="BM256" s="31" t="s">
        <v>353</v>
      </c>
      <c r="BN256" s="31" t="s">
        <v>356</v>
      </c>
      <c r="BO256" s="31" t="s">
        <v>356</v>
      </c>
      <c r="BP256" s="31" t="s">
        <v>353</v>
      </c>
      <c r="BQ256" s="31" t="s">
        <v>455</v>
      </c>
      <c r="BR256" s="31" t="s">
        <v>1257</v>
      </c>
      <c r="BS256" s="31" t="s">
        <v>357</v>
      </c>
      <c r="BT256" s="31" t="s">
        <v>356</v>
      </c>
      <c r="BU256" s="31" t="s">
        <v>353</v>
      </c>
      <c r="BV256" s="31" t="s">
        <v>353</v>
      </c>
      <c r="BW256" s="31" t="s">
        <v>356</v>
      </c>
      <c r="BX256" s="31" t="s">
        <v>355</v>
      </c>
      <c r="BY256" s="31" t="s">
        <v>353</v>
      </c>
      <c r="BZ256" s="31" t="s">
        <v>391</v>
      </c>
      <c r="CA256" s="31" t="s">
        <v>391</v>
      </c>
      <c r="CB256" s="31" t="s">
        <v>391</v>
      </c>
      <c r="CC256" s="31" t="s">
        <v>391</v>
      </c>
      <c r="CD256" s="31" t="s">
        <v>391</v>
      </c>
      <c r="CE256" s="31" t="s">
        <v>391</v>
      </c>
      <c r="CF256" s="31" t="s">
        <v>391</v>
      </c>
      <c r="CG256" s="31" t="s">
        <v>420</v>
      </c>
      <c r="CH256" s="31" t="s">
        <v>420</v>
      </c>
      <c r="CI256" s="31" t="s">
        <v>421</v>
      </c>
      <c r="CJ256" s="31" t="s">
        <v>420</v>
      </c>
      <c r="CK256" s="31" t="s">
        <v>717</v>
      </c>
      <c r="CL256" s="31" t="s">
        <v>344</v>
      </c>
      <c r="CM256" s="31" t="s">
        <v>345</v>
      </c>
      <c r="CN256" s="31" t="s">
        <v>344</v>
      </c>
      <c r="CO256" s="31" t="s">
        <v>344</v>
      </c>
      <c r="CP256" s="31" t="s">
        <v>344</v>
      </c>
      <c r="CQ256" s="31" t="s">
        <v>344</v>
      </c>
      <c r="CR256" s="31" t="s">
        <v>672</v>
      </c>
      <c r="CS256" s="31">
        <v>83</v>
      </c>
      <c r="CT256" s="31">
        <v>95</v>
      </c>
      <c r="CU256" s="31"/>
      <c r="CV256" s="31"/>
      <c r="CW256" s="31" t="s">
        <v>396</v>
      </c>
      <c r="CX256" s="31" t="s">
        <v>395</v>
      </c>
      <c r="CY256" s="31" t="s">
        <v>395</v>
      </c>
      <c r="CZ256" s="31" t="s">
        <v>365</v>
      </c>
      <c r="DA256" s="31" t="s">
        <v>397</v>
      </c>
      <c r="DB256" s="31" t="s">
        <v>397</v>
      </c>
      <c r="DC256" s="31" t="s">
        <v>366</v>
      </c>
      <c r="DD256" s="31" t="s">
        <v>365</v>
      </c>
      <c r="DE256" s="31"/>
      <c r="DF256" s="31"/>
      <c r="DG256" s="31"/>
      <c r="DH256" s="31"/>
      <c r="DI256" s="31"/>
      <c r="DJ256" s="31" t="s">
        <v>1440</v>
      </c>
      <c r="DK256" s="31" t="s">
        <v>1403</v>
      </c>
      <c r="DL256" s="31" t="s">
        <v>368</v>
      </c>
      <c r="DM256" s="31" t="s">
        <v>368</v>
      </c>
      <c r="DN256" s="31" t="s">
        <v>368</v>
      </c>
      <c r="DO256" s="31" t="s">
        <v>345</v>
      </c>
      <c r="DP256" s="31" t="s">
        <v>368</v>
      </c>
      <c r="DQ256" s="31" t="s">
        <v>368</v>
      </c>
      <c r="DR256" s="31" t="s">
        <v>368</v>
      </c>
      <c r="DS256" s="31" t="s">
        <v>345</v>
      </c>
      <c r="DT256" s="31" t="s">
        <v>344</v>
      </c>
      <c r="DU256" s="31" t="s">
        <v>345</v>
      </c>
      <c r="DV256" s="31" t="s">
        <v>344</v>
      </c>
      <c r="DW256" s="31" t="s">
        <v>344</v>
      </c>
      <c r="DX256" s="31" t="s">
        <v>1258</v>
      </c>
      <c r="DY256" s="31" t="s">
        <v>1272</v>
      </c>
      <c r="DZ256" s="31" t="s">
        <v>1258</v>
      </c>
      <c r="EA256" s="31" t="s">
        <v>397</v>
      </c>
      <c r="EB256" s="31" t="s">
        <v>1258</v>
      </c>
      <c r="EC256" s="31" t="s">
        <v>1258</v>
      </c>
      <c r="ED256" s="31" t="s">
        <v>1272</v>
      </c>
      <c r="EE256" s="31" t="s">
        <v>1272</v>
      </c>
      <c r="EF256" s="31" t="s">
        <v>1273</v>
      </c>
      <c r="EG256" s="31" t="s">
        <v>397</v>
      </c>
      <c r="EH256" s="31" t="s">
        <v>397</v>
      </c>
      <c r="EI256" s="31" t="s">
        <v>397</v>
      </c>
      <c r="EJ256" s="31" t="s">
        <v>397</v>
      </c>
      <c r="EK256" s="31" t="s">
        <v>1272</v>
      </c>
      <c r="EL256" s="31" t="s">
        <v>1260</v>
      </c>
      <c r="EM256" s="31" t="s">
        <v>1276</v>
      </c>
      <c r="EN256" s="31" t="s">
        <v>1259</v>
      </c>
      <c r="EO256" s="31"/>
      <c r="EP256" s="31"/>
      <c r="EQ256" s="31" t="s">
        <v>1264</v>
      </c>
      <c r="ER256" s="31" t="s">
        <v>1264</v>
      </c>
      <c r="ES256" s="31" t="s">
        <v>717</v>
      </c>
      <c r="ET256" s="31" t="s">
        <v>717</v>
      </c>
      <c r="EU256" s="31" t="s">
        <v>717</v>
      </c>
      <c r="EV256" s="31" t="s">
        <v>1265</v>
      </c>
      <c r="EW256" s="31"/>
      <c r="EX256" s="33" t="s">
        <v>344</v>
      </c>
      <c r="EY256" s="33" t="s">
        <v>345</v>
      </c>
      <c r="EZ256" s="33" t="s">
        <v>344</v>
      </c>
      <c r="FA256" s="31" t="s">
        <v>344</v>
      </c>
      <c r="FB256" s="31" t="s">
        <v>1266</v>
      </c>
      <c r="FC256" s="31"/>
      <c r="FD256" s="31" t="s">
        <v>1266</v>
      </c>
      <c r="FE256" s="31"/>
      <c r="FF256" s="31" t="s">
        <v>431</v>
      </c>
      <c r="FG256" s="31" t="s">
        <v>441</v>
      </c>
      <c r="FH256" s="31" t="s">
        <v>460</v>
      </c>
      <c r="FI256" s="31" t="s">
        <v>442</v>
      </c>
      <c r="FJ256" s="31"/>
      <c r="FK256" s="31"/>
      <c r="FL256" s="31"/>
      <c r="FM256" s="31"/>
      <c r="FN256" s="31"/>
      <c r="FO256" s="31"/>
      <c r="FP256" s="31"/>
      <c r="FQ256" s="31"/>
      <c r="FR256" s="31"/>
      <c r="FS256" s="31"/>
      <c r="FT256" s="31"/>
      <c r="FU256" s="31"/>
      <c r="FV256" s="31"/>
      <c r="FW256" s="31"/>
      <c r="FX256" s="31"/>
      <c r="FY256" s="31"/>
      <c r="FZ256" s="31"/>
      <c r="GA256" s="31" t="s">
        <v>368</v>
      </c>
      <c r="GB256" s="31" t="s">
        <v>368</v>
      </c>
      <c r="GC256" s="31" t="s">
        <v>368</v>
      </c>
      <c r="GD256" s="31" t="s">
        <v>368</v>
      </c>
      <c r="GE256" s="31" t="s">
        <v>368</v>
      </c>
      <c r="GF256" s="31" t="s">
        <v>368</v>
      </c>
      <c r="GG256" s="31"/>
      <c r="GH256" s="31"/>
      <c r="GI256" s="31"/>
      <c r="GJ256" s="31"/>
      <c r="GK256" s="31"/>
      <c r="GL256" s="31" t="s">
        <v>344</v>
      </c>
      <c r="GM256" s="31" t="s">
        <v>344</v>
      </c>
      <c r="GN256" s="31" t="s">
        <v>345</v>
      </c>
      <c r="GO256" s="31" t="s">
        <v>344</v>
      </c>
      <c r="GP256" s="31" t="s">
        <v>344</v>
      </c>
      <c r="GQ256" s="31" t="s">
        <v>344</v>
      </c>
      <c r="GR256" s="31" t="s">
        <v>344</v>
      </c>
      <c r="GS256" s="31" t="s">
        <v>344</v>
      </c>
      <c r="GT256" s="31" t="s">
        <v>344</v>
      </c>
      <c r="GU256" s="31" t="s">
        <v>344</v>
      </c>
      <c r="GV256" s="31" t="s">
        <v>344</v>
      </c>
      <c r="GW256" s="31" t="s">
        <v>344</v>
      </c>
      <c r="GX256" s="31" t="s">
        <v>344</v>
      </c>
      <c r="GY256" s="31" t="s">
        <v>344</v>
      </c>
      <c r="GZ256" s="31" t="s">
        <v>344</v>
      </c>
      <c r="HA256" s="31" t="s">
        <v>344</v>
      </c>
      <c r="HB256" s="31"/>
      <c r="HC256" s="31" t="s">
        <v>345</v>
      </c>
      <c r="HD256" s="31" t="s">
        <v>1441</v>
      </c>
      <c r="HE256" s="31" t="s">
        <v>344</v>
      </c>
      <c r="HF256" s="31"/>
      <c r="HG256" s="31" t="s">
        <v>344</v>
      </c>
      <c r="HH256" s="31"/>
      <c r="HI256" s="31" t="s">
        <v>344</v>
      </c>
      <c r="HJ256" s="31"/>
      <c r="HK256" s="31" t="s">
        <v>344</v>
      </c>
      <c r="HL256" s="31" t="s">
        <v>344</v>
      </c>
      <c r="HM256" s="31" t="s">
        <v>344</v>
      </c>
      <c r="HN256" s="31" t="s">
        <v>344</v>
      </c>
      <c r="HO256" s="31" t="s">
        <v>344</v>
      </c>
      <c r="HP256" s="31" t="s">
        <v>344</v>
      </c>
      <c r="HQ256" s="31" t="s">
        <v>344</v>
      </c>
      <c r="HR256" s="31" t="s">
        <v>344</v>
      </c>
      <c r="HS256" s="31" t="s">
        <v>344</v>
      </c>
      <c r="HT256" s="31" t="s">
        <v>344</v>
      </c>
      <c r="HU256" s="31" t="s">
        <v>344</v>
      </c>
      <c r="HV256" s="31" t="s">
        <v>344</v>
      </c>
      <c r="HW256" s="31" t="s">
        <v>344</v>
      </c>
      <c r="HX256" s="31" t="s">
        <v>344</v>
      </c>
      <c r="HY256" s="31" t="s">
        <v>344</v>
      </c>
      <c r="HZ256" s="31" t="s">
        <v>344</v>
      </c>
      <c r="IA256" s="31" t="s">
        <v>344</v>
      </c>
      <c r="IB256" s="31" t="s">
        <v>344</v>
      </c>
      <c r="IC256" s="31" t="s">
        <v>345</v>
      </c>
      <c r="ID256" s="31"/>
      <c r="IE256" s="31" t="s">
        <v>344</v>
      </c>
      <c r="IF256" s="31"/>
      <c r="IG256" s="31" t="s">
        <v>344</v>
      </c>
      <c r="IH256" s="31"/>
      <c r="II256" s="31" t="s">
        <v>344</v>
      </c>
      <c r="IJ256" s="31"/>
      <c r="IK256" s="31" t="s">
        <v>344</v>
      </c>
      <c r="IL256" s="31"/>
      <c r="IM256" s="31" t="s">
        <v>345</v>
      </c>
      <c r="IN256" s="31" t="s">
        <v>345</v>
      </c>
      <c r="IO256" s="31" t="s">
        <v>344</v>
      </c>
      <c r="IP256" s="31" t="s">
        <v>344</v>
      </c>
      <c r="IQ256" s="31" t="s">
        <v>345</v>
      </c>
      <c r="IR256" s="31" t="s">
        <v>344</v>
      </c>
      <c r="IS256" s="31" t="s">
        <v>344</v>
      </c>
      <c r="IT256" s="31" t="s">
        <v>345</v>
      </c>
      <c r="IU256" s="31" t="s">
        <v>344</v>
      </c>
      <c r="IV256" s="31" t="s">
        <v>344</v>
      </c>
      <c r="IW256" s="31" t="s">
        <v>345</v>
      </c>
      <c r="IX256" s="31" t="s">
        <v>344</v>
      </c>
      <c r="IY256" s="31" t="s">
        <v>345</v>
      </c>
      <c r="IZ256" s="31" t="s">
        <v>344</v>
      </c>
      <c r="JA256" s="31"/>
      <c r="JB256" s="31"/>
    </row>
    <row r="257" spans="1:262" x14ac:dyDescent="0.3">
      <c r="A257" s="30" t="s">
        <v>727</v>
      </c>
      <c r="B257" s="31">
        <v>221</v>
      </c>
      <c r="C257" s="31" t="s">
        <v>1442</v>
      </c>
      <c r="D257" s="31">
        <v>14</v>
      </c>
      <c r="E257" s="31" t="s">
        <v>340</v>
      </c>
      <c r="F257" s="31">
        <v>1553441186</v>
      </c>
      <c r="G257" s="31" t="s">
        <v>1443</v>
      </c>
      <c r="H257" s="31" t="s">
        <v>1442</v>
      </c>
      <c r="I257" s="31" t="s">
        <v>1444</v>
      </c>
      <c r="J257" s="31">
        <v>17</v>
      </c>
      <c r="K257" s="31" t="s">
        <v>343</v>
      </c>
      <c r="L257" s="31"/>
      <c r="M257" s="31" t="s">
        <v>345</v>
      </c>
      <c r="N257" s="31" t="s">
        <v>345</v>
      </c>
      <c r="O257" s="31" t="s">
        <v>344</v>
      </c>
      <c r="P257" s="31" t="s">
        <v>344</v>
      </c>
      <c r="Q257" s="31" t="s">
        <v>344</v>
      </c>
      <c r="R257" s="31"/>
      <c r="S257" s="31" t="s">
        <v>475</v>
      </c>
      <c r="T257" s="31"/>
      <c r="U257" s="31" t="s">
        <v>343</v>
      </c>
      <c r="V257" s="35" t="s">
        <v>1445</v>
      </c>
      <c r="W257" s="31" t="s">
        <v>368</v>
      </c>
      <c r="X257" s="31" t="s">
        <v>368</v>
      </c>
      <c r="Y257" s="31" t="s">
        <v>368</v>
      </c>
      <c r="Z257" s="31" t="s">
        <v>368</v>
      </c>
      <c r="AA257" s="31" t="s">
        <v>368</v>
      </c>
      <c r="AB257" s="31" t="s">
        <v>368</v>
      </c>
      <c r="AC257" s="31" t="s">
        <v>345</v>
      </c>
      <c r="AD257" s="31" t="s">
        <v>345</v>
      </c>
      <c r="AE257" s="31" t="s">
        <v>344</v>
      </c>
      <c r="AF257" s="31" t="s">
        <v>344</v>
      </c>
      <c r="AG257" s="31" t="s">
        <v>344</v>
      </c>
      <c r="AH257" s="31" t="s">
        <v>344</v>
      </c>
      <c r="AI257" s="31" t="s">
        <v>344</v>
      </c>
      <c r="AJ257" s="31" t="s">
        <v>344</v>
      </c>
      <c r="AK257" s="31" t="s">
        <v>344</v>
      </c>
      <c r="AL257" s="31" t="s">
        <v>344</v>
      </c>
      <c r="AM257" s="31" t="s">
        <v>344</v>
      </c>
      <c r="AN257" s="31" t="s">
        <v>345</v>
      </c>
      <c r="AO257" s="31" t="s">
        <v>344</v>
      </c>
      <c r="AP257" s="31" t="s">
        <v>344</v>
      </c>
      <c r="AQ257" s="31" t="s">
        <v>344</v>
      </c>
      <c r="AR257" s="31" t="s">
        <v>345</v>
      </c>
      <c r="AS257" s="31" t="s">
        <v>344</v>
      </c>
      <c r="AT257" s="31" t="s">
        <v>344</v>
      </c>
      <c r="AU257" s="31" t="s">
        <v>344</v>
      </c>
      <c r="AV257" s="31" t="s">
        <v>344</v>
      </c>
      <c r="AW257" s="31" t="s">
        <v>344</v>
      </c>
      <c r="AX257" s="31" t="s">
        <v>344</v>
      </c>
      <c r="AY257" s="31" t="s">
        <v>391</v>
      </c>
      <c r="AZ257" s="31" t="s">
        <v>391</v>
      </c>
      <c r="BA257" s="31" t="s">
        <v>391</v>
      </c>
      <c r="BB257" s="31" t="s">
        <v>391</v>
      </c>
      <c r="BC257" s="31" t="s">
        <v>391</v>
      </c>
      <c r="BD257" s="31" t="s">
        <v>391</v>
      </c>
      <c r="BE257" s="31" t="s">
        <v>349</v>
      </c>
      <c r="BF257" s="31" t="s">
        <v>348</v>
      </c>
      <c r="BG257" s="31" t="s">
        <v>390</v>
      </c>
      <c r="BH257" s="31" t="s">
        <v>348</v>
      </c>
      <c r="BI257" s="31" t="s">
        <v>348</v>
      </c>
      <c r="BJ257" s="31" t="s">
        <v>391</v>
      </c>
      <c r="BK257" s="31" t="s">
        <v>391</v>
      </c>
      <c r="BL257" s="31" t="s">
        <v>391</v>
      </c>
      <c r="BM257" s="31" t="s">
        <v>391</v>
      </c>
      <c r="BN257" s="31" t="s">
        <v>391</v>
      </c>
      <c r="BO257" s="31" t="s">
        <v>391</v>
      </c>
      <c r="BP257" s="31" t="s">
        <v>391</v>
      </c>
      <c r="BQ257" s="31" t="s">
        <v>407</v>
      </c>
      <c r="BR257" s="31" t="s">
        <v>1296</v>
      </c>
      <c r="BS257" s="31" t="s">
        <v>391</v>
      </c>
      <c r="BT257" s="31" t="s">
        <v>391</v>
      </c>
      <c r="BU257" s="31" t="s">
        <v>391</v>
      </c>
      <c r="BV257" s="31" t="s">
        <v>391</v>
      </c>
      <c r="BW257" s="31" t="s">
        <v>391</v>
      </c>
      <c r="BX257" s="31" t="s">
        <v>391</v>
      </c>
      <c r="BY257" s="31" t="s">
        <v>391</v>
      </c>
      <c r="BZ257" s="31" t="s">
        <v>391</v>
      </c>
      <c r="CA257" s="31" t="s">
        <v>391</v>
      </c>
      <c r="CB257" s="31" t="s">
        <v>391</v>
      </c>
      <c r="CC257" s="31" t="s">
        <v>391</v>
      </c>
      <c r="CD257" s="31" t="s">
        <v>391</v>
      </c>
      <c r="CE257" s="31" t="s">
        <v>391</v>
      </c>
      <c r="CF257" s="31" t="s">
        <v>391</v>
      </c>
      <c r="CG257" s="31" t="s">
        <v>420</v>
      </c>
      <c r="CH257" s="31" t="s">
        <v>420</v>
      </c>
      <c r="CI257" s="31" t="s">
        <v>393</v>
      </c>
      <c r="CJ257" s="31" t="s">
        <v>420</v>
      </c>
      <c r="CK257" s="31" t="s">
        <v>835</v>
      </c>
      <c r="CL257" s="31" t="s">
        <v>345</v>
      </c>
      <c r="CM257" s="31" t="s">
        <v>344</v>
      </c>
      <c r="CN257" s="31" t="s">
        <v>344</v>
      </c>
      <c r="CO257" s="31" t="s">
        <v>344</v>
      </c>
      <c r="CP257" s="31" t="s">
        <v>344</v>
      </c>
      <c r="CQ257" s="31" t="s">
        <v>344</v>
      </c>
      <c r="CR257" s="31" t="s">
        <v>667</v>
      </c>
      <c r="CS257" s="31">
        <v>1</v>
      </c>
      <c r="CT257" s="31">
        <v>52</v>
      </c>
      <c r="CU257" s="31">
        <v>80</v>
      </c>
      <c r="CV257" s="31">
        <v>78</v>
      </c>
      <c r="CW257" s="31" t="s">
        <v>396</v>
      </c>
      <c r="CX257" s="31" t="s">
        <v>395</v>
      </c>
      <c r="CY257" s="31" t="s">
        <v>396</v>
      </c>
      <c r="CZ257" s="31" t="s">
        <v>365</v>
      </c>
      <c r="DA257" s="31" t="s">
        <v>365</v>
      </c>
      <c r="DB257" s="31" t="s">
        <v>423</v>
      </c>
      <c r="DC257" s="31" t="s">
        <v>365</v>
      </c>
      <c r="DD257" s="31" t="s">
        <v>423</v>
      </c>
      <c r="DE257" s="31" t="s">
        <v>397</v>
      </c>
      <c r="DF257" s="31" t="s">
        <v>365</v>
      </c>
      <c r="DG257" s="31" t="s">
        <v>423</v>
      </c>
      <c r="DH257" s="31" t="s">
        <v>366</v>
      </c>
      <c r="DI257" s="31" t="s">
        <v>423</v>
      </c>
      <c r="DJ257" s="31" t="s">
        <v>1446</v>
      </c>
      <c r="DK257" s="31" t="s">
        <v>1403</v>
      </c>
      <c r="DL257" s="31" t="s">
        <v>368</v>
      </c>
      <c r="DM257" s="31" t="s">
        <v>368</v>
      </c>
      <c r="DN257" s="31" t="s">
        <v>368</v>
      </c>
      <c r="DO257" s="31" t="s">
        <v>345</v>
      </c>
      <c r="DP257" s="31" t="s">
        <v>345</v>
      </c>
      <c r="DQ257" s="31" t="s">
        <v>344</v>
      </c>
      <c r="DR257" s="31" t="s">
        <v>345</v>
      </c>
      <c r="DS257" s="31" t="s">
        <v>344</v>
      </c>
      <c r="DT257" s="31" t="s">
        <v>344</v>
      </c>
      <c r="DU257" s="31" t="s">
        <v>344</v>
      </c>
      <c r="DV257" s="31" t="s">
        <v>345</v>
      </c>
      <c r="DW257" s="31" t="s">
        <v>344</v>
      </c>
      <c r="DX257" s="31" t="s">
        <v>1258</v>
      </c>
      <c r="DY257" s="31" t="s">
        <v>1258</v>
      </c>
      <c r="DZ257" s="31" t="s">
        <v>1258</v>
      </c>
      <c r="EA257" s="31" t="s">
        <v>1258</v>
      </c>
      <c r="EB257" s="31" t="s">
        <v>1258</v>
      </c>
      <c r="EC257" s="31" t="s">
        <v>1258</v>
      </c>
      <c r="ED257" s="31" t="s">
        <v>1258</v>
      </c>
      <c r="EE257" s="31" t="s">
        <v>1258</v>
      </c>
      <c r="EF257" s="31" t="s">
        <v>1258</v>
      </c>
      <c r="EG257" s="31" t="s">
        <v>1258</v>
      </c>
      <c r="EH257" s="31" t="s">
        <v>1258</v>
      </c>
      <c r="EI257" s="31" t="s">
        <v>1258</v>
      </c>
      <c r="EJ257" s="31" t="s">
        <v>1258</v>
      </c>
      <c r="EK257" s="31" t="s">
        <v>1258</v>
      </c>
      <c r="EL257" s="31" t="s">
        <v>1260</v>
      </c>
      <c r="EM257" s="31" t="s">
        <v>1259</v>
      </c>
      <c r="EN257" s="31" t="s">
        <v>1275</v>
      </c>
      <c r="EO257" s="31"/>
      <c r="EP257" s="31"/>
      <c r="EQ257" s="31" t="s">
        <v>1264</v>
      </c>
      <c r="ER257" s="31" t="s">
        <v>1278</v>
      </c>
      <c r="ES257" s="31" t="s">
        <v>1263</v>
      </c>
      <c r="ET257" s="31" t="s">
        <v>1264</v>
      </c>
      <c r="EU257" s="31" t="s">
        <v>1264</v>
      </c>
      <c r="EV257" s="31" t="s">
        <v>400</v>
      </c>
      <c r="EW257" s="31"/>
      <c r="EX257" s="33" t="s">
        <v>344</v>
      </c>
      <c r="EY257" s="33" t="s">
        <v>345</v>
      </c>
      <c r="EZ257" s="33" t="s">
        <v>344</v>
      </c>
      <c r="FA257" s="31" t="s">
        <v>344</v>
      </c>
      <c r="FB257" s="31" t="s">
        <v>1266</v>
      </c>
      <c r="FC257" s="31"/>
      <c r="FD257" s="31" t="s">
        <v>1266</v>
      </c>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t="s">
        <v>368</v>
      </c>
      <c r="GB257" s="31" t="s">
        <v>368</v>
      </c>
      <c r="GC257" s="31" t="s">
        <v>368</v>
      </c>
      <c r="GD257" s="31" t="s">
        <v>368</v>
      </c>
      <c r="GE257" s="31" t="s">
        <v>368</v>
      </c>
      <c r="GF257" s="31" t="s">
        <v>368</v>
      </c>
      <c r="GG257" s="31"/>
      <c r="GH257" s="31"/>
      <c r="GI257" s="31"/>
      <c r="GJ257" s="31"/>
      <c r="GK257" s="31"/>
      <c r="GL257" s="31" t="s">
        <v>344</v>
      </c>
      <c r="GM257" s="31" t="s">
        <v>344</v>
      </c>
      <c r="GN257" s="31" t="s">
        <v>344</v>
      </c>
      <c r="GO257" s="31" t="s">
        <v>344</v>
      </c>
      <c r="GP257" s="31" t="s">
        <v>344</v>
      </c>
      <c r="GQ257" s="31" t="s">
        <v>344</v>
      </c>
      <c r="GR257" s="31" t="s">
        <v>344</v>
      </c>
      <c r="GS257" s="31" t="s">
        <v>344</v>
      </c>
      <c r="GT257" s="31" t="s">
        <v>344</v>
      </c>
      <c r="GU257" s="31" t="s">
        <v>344</v>
      </c>
      <c r="GV257" s="31" t="s">
        <v>344</v>
      </c>
      <c r="GW257" s="31" t="s">
        <v>344</v>
      </c>
      <c r="GX257" s="31" t="s">
        <v>344</v>
      </c>
      <c r="GY257" s="31" t="s">
        <v>344</v>
      </c>
      <c r="GZ257" s="31" t="s">
        <v>344</v>
      </c>
      <c r="HA257" s="31" t="s">
        <v>345</v>
      </c>
      <c r="HB257" s="31"/>
      <c r="HC257" s="31" t="s">
        <v>344</v>
      </c>
      <c r="HD257" s="31"/>
      <c r="HE257" s="31" t="s">
        <v>344</v>
      </c>
      <c r="HF257" s="31"/>
      <c r="HG257" s="31" t="s">
        <v>344</v>
      </c>
      <c r="HH257" s="31"/>
      <c r="HI257" s="31" t="s">
        <v>344</v>
      </c>
      <c r="HJ257" s="31"/>
      <c r="HK257" s="31" t="s">
        <v>344</v>
      </c>
      <c r="HL257" s="31" t="s">
        <v>344</v>
      </c>
      <c r="HM257" s="31" t="s">
        <v>344</v>
      </c>
      <c r="HN257" s="31" t="s">
        <v>344</v>
      </c>
      <c r="HO257" s="31" t="s">
        <v>344</v>
      </c>
      <c r="HP257" s="31" t="s">
        <v>344</v>
      </c>
      <c r="HQ257" s="31" t="s">
        <v>344</v>
      </c>
      <c r="HR257" s="31" t="s">
        <v>344</v>
      </c>
      <c r="HS257" s="31" t="s">
        <v>344</v>
      </c>
      <c r="HT257" s="31" t="s">
        <v>344</v>
      </c>
      <c r="HU257" s="31" t="s">
        <v>344</v>
      </c>
      <c r="HV257" s="31" t="s">
        <v>344</v>
      </c>
      <c r="HW257" s="31" t="s">
        <v>345</v>
      </c>
      <c r="HX257" s="31" t="s">
        <v>344</v>
      </c>
      <c r="HY257" s="31" t="s">
        <v>344</v>
      </c>
      <c r="HZ257" s="31" t="s">
        <v>344</v>
      </c>
      <c r="IA257" s="31" t="s">
        <v>345</v>
      </c>
      <c r="IB257" s="31" t="s">
        <v>344</v>
      </c>
      <c r="IC257" s="31" t="s">
        <v>344</v>
      </c>
      <c r="ID257" s="31"/>
      <c r="IE257" s="31" t="s">
        <v>344</v>
      </c>
      <c r="IF257" s="31"/>
      <c r="IG257" s="31" t="s">
        <v>344</v>
      </c>
      <c r="IH257" s="31"/>
      <c r="II257" s="31" t="s">
        <v>344</v>
      </c>
      <c r="IJ257" s="31"/>
      <c r="IK257" s="31" t="s">
        <v>344</v>
      </c>
      <c r="IL257" s="31"/>
      <c r="IM257" s="31" t="s">
        <v>345</v>
      </c>
      <c r="IN257" s="31" t="s">
        <v>345</v>
      </c>
      <c r="IO257" s="31" t="s">
        <v>344</v>
      </c>
      <c r="IP257" s="31" t="s">
        <v>344</v>
      </c>
      <c r="IQ257" s="31" t="s">
        <v>345</v>
      </c>
      <c r="IR257" s="31" t="s">
        <v>344</v>
      </c>
      <c r="IS257" s="31" t="s">
        <v>344</v>
      </c>
      <c r="IT257" s="31" t="s">
        <v>344</v>
      </c>
      <c r="IU257" s="31" t="s">
        <v>344</v>
      </c>
      <c r="IV257" s="31" t="s">
        <v>344</v>
      </c>
      <c r="IW257" s="31" t="s">
        <v>344</v>
      </c>
      <c r="IX257" s="31" t="s">
        <v>344</v>
      </c>
      <c r="IY257" s="31" t="s">
        <v>345</v>
      </c>
      <c r="IZ257" s="31" t="s">
        <v>344</v>
      </c>
      <c r="JA257" s="31"/>
      <c r="JB257" s="31"/>
    </row>
    <row r="258" spans="1:262" x14ac:dyDescent="0.3">
      <c r="A258" s="30" t="s">
        <v>727</v>
      </c>
      <c r="B258" s="31">
        <v>222</v>
      </c>
      <c r="C258" s="31" t="s">
        <v>1447</v>
      </c>
      <c r="D258" s="31">
        <v>14</v>
      </c>
      <c r="E258" s="31" t="s">
        <v>387</v>
      </c>
      <c r="F258" s="31">
        <v>1002927266</v>
      </c>
      <c r="G258" s="31" t="s">
        <v>1448</v>
      </c>
      <c r="H258" s="31" t="s">
        <v>1447</v>
      </c>
      <c r="I258" s="31" t="s">
        <v>1400</v>
      </c>
      <c r="J258" s="31">
        <v>17</v>
      </c>
      <c r="K258" s="31" t="s">
        <v>1282</v>
      </c>
      <c r="L258" s="31"/>
      <c r="M258" s="31" t="s">
        <v>345</v>
      </c>
      <c r="N258" s="31" t="s">
        <v>344</v>
      </c>
      <c r="O258" s="31" t="s">
        <v>344</v>
      </c>
      <c r="P258" s="31" t="s">
        <v>344</v>
      </c>
      <c r="Q258" s="31" t="s">
        <v>344</v>
      </c>
      <c r="R258" s="31"/>
      <c r="S258" s="31" t="s">
        <v>475</v>
      </c>
      <c r="T258" s="31"/>
      <c r="U258" s="31" t="s">
        <v>343</v>
      </c>
      <c r="V258" s="31" t="s">
        <v>717</v>
      </c>
      <c r="W258" s="31" t="s">
        <v>345</v>
      </c>
      <c r="X258" s="31" t="s">
        <v>345</v>
      </c>
      <c r="Y258" s="31" t="s">
        <v>344</v>
      </c>
      <c r="Z258" s="31" t="s">
        <v>344</v>
      </c>
      <c r="AA258" s="31" t="s">
        <v>344</v>
      </c>
      <c r="AB258" s="31" t="s">
        <v>344</v>
      </c>
      <c r="AC258" s="31" t="s">
        <v>344</v>
      </c>
      <c r="AD258" s="31" t="s">
        <v>345</v>
      </c>
      <c r="AE258" s="31" t="s">
        <v>345</v>
      </c>
      <c r="AF258" s="31" t="s">
        <v>344</v>
      </c>
      <c r="AG258" s="31" t="s">
        <v>344</v>
      </c>
      <c r="AH258" s="31" t="s">
        <v>344</v>
      </c>
      <c r="AI258" s="31" t="s">
        <v>344</v>
      </c>
      <c r="AJ258" s="31" t="s">
        <v>344</v>
      </c>
      <c r="AK258" s="31" t="s">
        <v>345</v>
      </c>
      <c r="AL258" s="31" t="s">
        <v>344</v>
      </c>
      <c r="AM258" s="31" t="s">
        <v>344</v>
      </c>
      <c r="AN258" s="31" t="s">
        <v>344</v>
      </c>
      <c r="AO258" s="31" t="s">
        <v>344</v>
      </c>
      <c r="AP258" s="31" t="s">
        <v>344</v>
      </c>
      <c r="AQ258" s="31" t="s">
        <v>344</v>
      </c>
      <c r="AR258" s="31" t="s">
        <v>344</v>
      </c>
      <c r="AS258" s="31" t="s">
        <v>344</v>
      </c>
      <c r="AT258" s="31" t="s">
        <v>345</v>
      </c>
      <c r="AU258" s="31" t="s">
        <v>344</v>
      </c>
      <c r="AV258" s="31" t="s">
        <v>344</v>
      </c>
      <c r="AW258" s="31" t="s">
        <v>345</v>
      </c>
      <c r="AX258" s="31" t="s">
        <v>344</v>
      </c>
      <c r="AY258" s="31" t="s">
        <v>731</v>
      </c>
      <c r="AZ258" s="31" t="s">
        <v>731</v>
      </c>
      <c r="BA258" s="31" t="s">
        <v>737</v>
      </c>
      <c r="BB258" s="31" t="s">
        <v>732</v>
      </c>
      <c r="BC258" s="31" t="s">
        <v>732</v>
      </c>
      <c r="BD258" s="31" t="s">
        <v>731</v>
      </c>
      <c r="BE258" s="31" t="s">
        <v>349</v>
      </c>
      <c r="BF258" s="31" t="s">
        <v>348</v>
      </c>
      <c r="BG258" s="31" t="s">
        <v>348</v>
      </c>
      <c r="BH258" s="31" t="s">
        <v>348</v>
      </c>
      <c r="BI258" s="31" t="s">
        <v>348</v>
      </c>
      <c r="BJ258" s="31" t="s">
        <v>357</v>
      </c>
      <c r="BK258" s="31" t="s">
        <v>353</v>
      </c>
      <c r="BL258" s="31" t="s">
        <v>391</v>
      </c>
      <c r="BM258" s="31" t="s">
        <v>391</v>
      </c>
      <c r="BN258" s="31" t="s">
        <v>391</v>
      </c>
      <c r="BO258" s="31" t="s">
        <v>391</v>
      </c>
      <c r="BP258" s="31" t="s">
        <v>391</v>
      </c>
      <c r="BQ258" s="31" t="s">
        <v>358</v>
      </c>
      <c r="BR258" s="31" t="s">
        <v>1257</v>
      </c>
      <c r="BS258" s="31" t="s">
        <v>391</v>
      </c>
      <c r="BT258" s="31" t="s">
        <v>391</v>
      </c>
      <c r="BU258" s="31" t="s">
        <v>391</v>
      </c>
      <c r="BV258" s="31" t="s">
        <v>391</v>
      </c>
      <c r="BW258" s="31" t="s">
        <v>391</v>
      </c>
      <c r="BX258" s="31" t="s">
        <v>391</v>
      </c>
      <c r="BY258" s="31" t="s">
        <v>391</v>
      </c>
      <c r="BZ258" s="31" t="s">
        <v>391</v>
      </c>
      <c r="CA258" s="31" t="s">
        <v>391</v>
      </c>
      <c r="CB258" s="31" t="s">
        <v>391</v>
      </c>
      <c r="CC258" s="31" t="s">
        <v>391</v>
      </c>
      <c r="CD258" s="31" t="s">
        <v>391</v>
      </c>
      <c r="CE258" s="31" t="s">
        <v>391</v>
      </c>
      <c r="CF258" s="31" t="s">
        <v>391</v>
      </c>
      <c r="CG258" s="31" t="s">
        <v>420</v>
      </c>
      <c r="CH258" s="31" t="s">
        <v>420</v>
      </c>
      <c r="CI258" s="31" t="s">
        <v>420</v>
      </c>
      <c r="CJ258" s="31" t="s">
        <v>392</v>
      </c>
      <c r="CK258" s="31" t="s">
        <v>717</v>
      </c>
      <c r="CL258" s="31" t="s">
        <v>344</v>
      </c>
      <c r="CM258" s="31" t="s">
        <v>344</v>
      </c>
      <c r="CN258" s="31" t="s">
        <v>344</v>
      </c>
      <c r="CO258" s="31" t="s">
        <v>345</v>
      </c>
      <c r="CP258" s="31" t="s">
        <v>345</v>
      </c>
      <c r="CQ258" s="31" t="s">
        <v>344</v>
      </c>
      <c r="CR258" s="31" t="s">
        <v>655</v>
      </c>
      <c r="CS258" s="31">
        <v>50</v>
      </c>
      <c r="CT258" s="31">
        <v>78</v>
      </c>
      <c r="CU258" s="31"/>
      <c r="CV258" s="31"/>
      <c r="CW258" s="31" t="s">
        <v>395</v>
      </c>
      <c r="CX258" s="31" t="s">
        <v>395</v>
      </c>
      <c r="CY258" s="31" t="s">
        <v>396</v>
      </c>
      <c r="CZ258" s="31" t="s">
        <v>717</v>
      </c>
      <c r="DA258" s="31" t="s">
        <v>397</v>
      </c>
      <c r="DB258" s="31" t="s">
        <v>397</v>
      </c>
      <c r="DC258" s="31" t="s">
        <v>366</v>
      </c>
      <c r="DD258" s="31" t="s">
        <v>366</v>
      </c>
      <c r="DE258" s="31"/>
      <c r="DF258" s="31"/>
      <c r="DG258" s="31"/>
      <c r="DH258" s="31"/>
      <c r="DI258" s="31"/>
      <c r="DJ258" s="31" t="s">
        <v>1449</v>
      </c>
      <c r="DK258" s="31" t="s">
        <v>344</v>
      </c>
      <c r="DL258" s="31" t="s">
        <v>368</v>
      </c>
      <c r="DM258" s="31" t="s">
        <v>368</v>
      </c>
      <c r="DN258" s="31" t="s">
        <v>368</v>
      </c>
      <c r="DO258" s="31" t="s">
        <v>368</v>
      </c>
      <c r="DP258" s="31" t="s">
        <v>344</v>
      </c>
      <c r="DQ258" s="31" t="s">
        <v>344</v>
      </c>
      <c r="DR258" s="31" t="s">
        <v>345</v>
      </c>
      <c r="DS258" s="31" t="s">
        <v>344</v>
      </c>
      <c r="DT258" s="31" t="s">
        <v>345</v>
      </c>
      <c r="DU258" s="31" t="s">
        <v>345</v>
      </c>
      <c r="DV258" s="31" t="s">
        <v>345</v>
      </c>
      <c r="DW258" s="31" t="s">
        <v>344</v>
      </c>
      <c r="DX258" s="31" t="s">
        <v>1258</v>
      </c>
      <c r="DY258" s="31" t="s">
        <v>1258</v>
      </c>
      <c r="DZ258" s="31" t="s">
        <v>1258</v>
      </c>
      <c r="EA258" s="31" t="s">
        <v>1258</v>
      </c>
      <c r="EB258" s="31" t="s">
        <v>1258</v>
      </c>
      <c r="EC258" s="31" t="s">
        <v>1258</v>
      </c>
      <c r="ED258" s="31" t="s">
        <v>1258</v>
      </c>
      <c r="EE258" s="31" t="s">
        <v>1274</v>
      </c>
      <c r="EF258" s="31" t="s">
        <v>1272</v>
      </c>
      <c r="EG258" s="31" t="s">
        <v>397</v>
      </c>
      <c r="EH258" s="31" t="s">
        <v>1272</v>
      </c>
      <c r="EI258" s="31" t="s">
        <v>397</v>
      </c>
      <c r="EJ258" s="31" t="s">
        <v>1273</v>
      </c>
      <c r="EK258" s="31" t="s">
        <v>1273</v>
      </c>
      <c r="EL258" s="31" t="s">
        <v>1259</v>
      </c>
      <c r="EM258" s="31" t="s">
        <v>1260</v>
      </c>
      <c r="EN258" s="31" t="s">
        <v>1276</v>
      </c>
      <c r="EO258" s="31"/>
      <c r="EP258" s="31"/>
      <c r="EQ258" s="31" t="s">
        <v>1264</v>
      </c>
      <c r="ER258" s="31" t="s">
        <v>1264</v>
      </c>
      <c r="ES258" s="31" t="s">
        <v>1264</v>
      </c>
      <c r="ET258" s="31" t="s">
        <v>1264</v>
      </c>
      <c r="EU258" s="31" t="s">
        <v>1277</v>
      </c>
      <c r="EV258" s="31" t="s">
        <v>1265</v>
      </c>
      <c r="EW258" s="31"/>
      <c r="EX258" s="31" t="s">
        <v>368</v>
      </c>
      <c r="EY258" s="31" t="s">
        <v>368</v>
      </c>
      <c r="EZ258" s="31" t="s">
        <v>368</v>
      </c>
      <c r="FA258" s="31" t="s">
        <v>345</v>
      </c>
      <c r="FB258" s="31" t="s">
        <v>1266</v>
      </c>
      <c r="FC258" s="31"/>
      <c r="FD258" s="31" t="s">
        <v>1266</v>
      </c>
      <c r="FE258" s="31"/>
      <c r="FF258" s="31" t="s">
        <v>477</v>
      </c>
      <c r="FG258" s="31" t="s">
        <v>402</v>
      </c>
      <c r="FH258" s="31" t="s">
        <v>432</v>
      </c>
      <c r="FI258" s="31" t="s">
        <v>1294</v>
      </c>
      <c r="FJ258" s="31"/>
      <c r="FK258" s="31"/>
      <c r="FL258" s="31"/>
      <c r="FM258" s="31"/>
      <c r="FN258" s="31"/>
      <c r="FO258" s="31"/>
      <c r="FP258" s="31"/>
      <c r="FQ258" s="31"/>
      <c r="FR258" s="31"/>
      <c r="FS258" s="31"/>
      <c r="FT258" s="31"/>
      <c r="FU258" s="31"/>
      <c r="FV258" s="31"/>
      <c r="FW258" s="31"/>
      <c r="FX258" s="31"/>
      <c r="FY258" s="31"/>
      <c r="FZ258" s="31"/>
      <c r="GA258" s="31" t="s">
        <v>368</v>
      </c>
      <c r="GB258" s="31" t="s">
        <v>368</v>
      </c>
      <c r="GC258" s="31" t="s">
        <v>368</v>
      </c>
      <c r="GD258" s="31" t="s">
        <v>368</v>
      </c>
      <c r="GE258" s="31" t="s">
        <v>368</v>
      </c>
      <c r="GF258" s="31" t="s">
        <v>368</v>
      </c>
      <c r="GG258" s="31"/>
      <c r="GH258" s="31"/>
      <c r="GI258" s="31"/>
      <c r="GJ258" s="31"/>
      <c r="GK258" s="31"/>
      <c r="GL258" s="31" t="s">
        <v>344</v>
      </c>
      <c r="GM258" s="31" t="s">
        <v>344</v>
      </c>
      <c r="GN258" s="31" t="s">
        <v>344</v>
      </c>
      <c r="GO258" s="31" t="s">
        <v>344</v>
      </c>
      <c r="GP258" s="31" t="s">
        <v>344</v>
      </c>
      <c r="GQ258" s="31" t="s">
        <v>344</v>
      </c>
      <c r="GR258" s="31" t="s">
        <v>344</v>
      </c>
      <c r="GS258" s="31" t="s">
        <v>344</v>
      </c>
      <c r="GT258" s="31" t="s">
        <v>344</v>
      </c>
      <c r="GU258" s="31" t="s">
        <v>344</v>
      </c>
      <c r="GV258" s="31" t="s">
        <v>344</v>
      </c>
      <c r="GW258" s="31" t="s">
        <v>344</v>
      </c>
      <c r="GX258" s="31" t="s">
        <v>344</v>
      </c>
      <c r="GY258" s="31" t="s">
        <v>344</v>
      </c>
      <c r="GZ258" s="31" t="s">
        <v>344</v>
      </c>
      <c r="HA258" s="31" t="s">
        <v>345</v>
      </c>
      <c r="HB258" s="31"/>
      <c r="HC258" s="31" t="s">
        <v>344</v>
      </c>
      <c r="HD258" s="31"/>
      <c r="HE258" s="31" t="s">
        <v>344</v>
      </c>
      <c r="HF258" s="31"/>
      <c r="HG258" s="31" t="s">
        <v>344</v>
      </c>
      <c r="HH258" s="31"/>
      <c r="HI258" s="31" t="s">
        <v>344</v>
      </c>
      <c r="HJ258" s="31"/>
      <c r="HK258" s="31" t="s">
        <v>344</v>
      </c>
      <c r="HL258" s="31" t="s">
        <v>344</v>
      </c>
      <c r="HM258" s="31" t="s">
        <v>344</v>
      </c>
      <c r="HN258" s="31" t="s">
        <v>344</v>
      </c>
      <c r="HO258" s="31" t="s">
        <v>344</v>
      </c>
      <c r="HP258" s="31" t="s">
        <v>344</v>
      </c>
      <c r="HQ258" s="31" t="s">
        <v>344</v>
      </c>
      <c r="HR258" s="31" t="s">
        <v>344</v>
      </c>
      <c r="HS258" s="31" t="s">
        <v>344</v>
      </c>
      <c r="HT258" s="31" t="s">
        <v>344</v>
      </c>
      <c r="HU258" s="31" t="s">
        <v>344</v>
      </c>
      <c r="HV258" s="31" t="s">
        <v>344</v>
      </c>
      <c r="HW258" s="31" t="s">
        <v>344</v>
      </c>
      <c r="HX258" s="31" t="s">
        <v>344</v>
      </c>
      <c r="HY258" s="31" t="s">
        <v>344</v>
      </c>
      <c r="HZ258" s="31" t="s">
        <v>344</v>
      </c>
      <c r="IA258" s="31" t="s">
        <v>344</v>
      </c>
      <c r="IB258" s="31" t="s">
        <v>344</v>
      </c>
      <c r="IC258" s="31" t="s">
        <v>345</v>
      </c>
      <c r="ID258" s="31"/>
      <c r="IE258" s="31" t="s">
        <v>344</v>
      </c>
      <c r="IF258" s="31"/>
      <c r="IG258" s="31" t="s">
        <v>344</v>
      </c>
      <c r="IH258" s="31"/>
      <c r="II258" s="31" t="s">
        <v>344</v>
      </c>
      <c r="IJ258" s="31"/>
      <c r="IK258" s="31" t="s">
        <v>344</v>
      </c>
      <c r="IL258" s="31"/>
      <c r="IM258" s="31" t="s">
        <v>345</v>
      </c>
      <c r="IN258" s="31" t="s">
        <v>345</v>
      </c>
      <c r="IO258" s="31" t="s">
        <v>344</v>
      </c>
      <c r="IP258" s="31" t="s">
        <v>344</v>
      </c>
      <c r="IQ258" s="31" t="s">
        <v>344</v>
      </c>
      <c r="IR258" s="31" t="s">
        <v>344</v>
      </c>
      <c r="IS258" s="31" t="s">
        <v>344</v>
      </c>
      <c r="IT258" s="31" t="s">
        <v>345</v>
      </c>
      <c r="IU258" s="31" t="s">
        <v>344</v>
      </c>
      <c r="IV258" s="31" t="s">
        <v>344</v>
      </c>
      <c r="IW258" s="31" t="s">
        <v>344</v>
      </c>
      <c r="IX258" s="31" t="s">
        <v>344</v>
      </c>
      <c r="IY258" s="31" t="s">
        <v>345</v>
      </c>
      <c r="IZ258" s="31" t="s">
        <v>344</v>
      </c>
      <c r="JA258" s="31"/>
      <c r="JB258" s="31"/>
    </row>
    <row r="259" spans="1:262" x14ac:dyDescent="0.3">
      <c r="A259" s="30" t="s">
        <v>727</v>
      </c>
      <c r="B259" s="31">
        <v>224</v>
      </c>
      <c r="C259" s="31" t="s">
        <v>1450</v>
      </c>
      <c r="D259" s="31">
        <v>14</v>
      </c>
      <c r="E259" s="31" t="s">
        <v>387</v>
      </c>
      <c r="F259" s="31">
        <v>949119558</v>
      </c>
      <c r="G259" s="31" t="s">
        <v>1451</v>
      </c>
      <c r="H259" s="31" t="s">
        <v>1450</v>
      </c>
      <c r="I259" s="31" t="s">
        <v>1400</v>
      </c>
      <c r="J259" s="31">
        <v>17</v>
      </c>
      <c r="K259" s="31" t="s">
        <v>1282</v>
      </c>
      <c r="L259" s="31"/>
      <c r="M259" s="31" t="s">
        <v>345</v>
      </c>
      <c r="N259" s="31" t="s">
        <v>344</v>
      </c>
      <c r="O259" s="31" t="s">
        <v>344</v>
      </c>
      <c r="P259" s="31" t="s">
        <v>344</v>
      </c>
      <c r="Q259" s="31" t="s">
        <v>344</v>
      </c>
      <c r="R259" s="31"/>
      <c r="S259" s="31" t="s">
        <v>475</v>
      </c>
      <c r="T259" s="31"/>
      <c r="U259" s="31" t="s">
        <v>343</v>
      </c>
      <c r="V259" s="31" t="s">
        <v>1452</v>
      </c>
      <c r="W259" s="31" t="s">
        <v>345</v>
      </c>
      <c r="X259" s="31" t="s">
        <v>345</v>
      </c>
      <c r="Y259" s="31" t="s">
        <v>344</v>
      </c>
      <c r="Z259" s="31" t="s">
        <v>344</v>
      </c>
      <c r="AA259" s="31" t="s">
        <v>344</v>
      </c>
      <c r="AB259" s="31" t="s">
        <v>344</v>
      </c>
      <c r="AC259" s="31" t="s">
        <v>344</v>
      </c>
      <c r="AD259" s="31" t="s">
        <v>345</v>
      </c>
      <c r="AE259" s="31" t="s">
        <v>345</v>
      </c>
      <c r="AF259" s="31" t="s">
        <v>345</v>
      </c>
      <c r="AG259" s="31" t="s">
        <v>344</v>
      </c>
      <c r="AH259" s="31" t="s">
        <v>345</v>
      </c>
      <c r="AI259" s="31" t="s">
        <v>344</v>
      </c>
      <c r="AJ259" s="31" t="s">
        <v>344</v>
      </c>
      <c r="AK259" s="31" t="s">
        <v>345</v>
      </c>
      <c r="AL259" s="31" t="s">
        <v>344</v>
      </c>
      <c r="AM259" s="31" t="s">
        <v>344</v>
      </c>
      <c r="AN259" s="31" t="s">
        <v>344</v>
      </c>
      <c r="AO259" s="31" t="s">
        <v>344</v>
      </c>
      <c r="AP259" s="31" t="s">
        <v>344</v>
      </c>
      <c r="AQ259" s="31" t="s">
        <v>344</v>
      </c>
      <c r="AR259" s="31" t="s">
        <v>345</v>
      </c>
      <c r="AS259" s="31" t="s">
        <v>345</v>
      </c>
      <c r="AT259" s="31" t="s">
        <v>344</v>
      </c>
      <c r="AU259" s="31" t="s">
        <v>344</v>
      </c>
      <c r="AV259" s="31" t="s">
        <v>344</v>
      </c>
      <c r="AW259" s="31" t="s">
        <v>345</v>
      </c>
      <c r="AX259" s="31" t="s">
        <v>344</v>
      </c>
      <c r="AY259" s="31" t="s">
        <v>732</v>
      </c>
      <c r="AZ259" s="31" t="s">
        <v>731</v>
      </c>
      <c r="BA259" s="31" t="s">
        <v>732</v>
      </c>
      <c r="BB259" s="31" t="s">
        <v>733</v>
      </c>
      <c r="BC259" s="31" t="s">
        <v>733</v>
      </c>
      <c r="BD259" s="31" t="s">
        <v>731</v>
      </c>
      <c r="BE259" s="31" t="s">
        <v>348</v>
      </c>
      <c r="BF259" s="31" t="s">
        <v>350</v>
      </c>
      <c r="BG259" s="31" t="s">
        <v>349</v>
      </c>
      <c r="BH259" s="31" t="s">
        <v>348</v>
      </c>
      <c r="BI259" s="31" t="s">
        <v>350</v>
      </c>
      <c r="BJ259" s="31" t="s">
        <v>352</v>
      </c>
      <c r="BK259" s="31" t="s">
        <v>354</v>
      </c>
      <c r="BL259" s="31" t="s">
        <v>355</v>
      </c>
      <c r="BM259" s="31" t="s">
        <v>357</v>
      </c>
      <c r="BN259" s="31" t="s">
        <v>353</v>
      </c>
      <c r="BO259" s="31" t="s">
        <v>356</v>
      </c>
      <c r="BP259" s="31" t="s">
        <v>351</v>
      </c>
      <c r="BQ259" s="31" t="s">
        <v>407</v>
      </c>
      <c r="BR259" s="31" t="s">
        <v>1296</v>
      </c>
      <c r="BS259" s="31" t="s">
        <v>356</v>
      </c>
      <c r="BT259" s="31" t="s">
        <v>351</v>
      </c>
      <c r="BU259" s="31" t="s">
        <v>354</v>
      </c>
      <c r="BV259" s="31" t="s">
        <v>355</v>
      </c>
      <c r="BW259" s="31" t="s">
        <v>352</v>
      </c>
      <c r="BX259" s="31" t="s">
        <v>351</v>
      </c>
      <c r="BY259" s="31" t="s">
        <v>353</v>
      </c>
      <c r="BZ259" s="31" t="s">
        <v>356</v>
      </c>
      <c r="CA259" s="31" t="s">
        <v>354</v>
      </c>
      <c r="CB259" s="31" t="s">
        <v>357</v>
      </c>
      <c r="CC259" s="31" t="s">
        <v>353</v>
      </c>
      <c r="CD259" s="31" t="s">
        <v>352</v>
      </c>
      <c r="CE259" s="31" t="s">
        <v>355</v>
      </c>
      <c r="CF259" s="31" t="s">
        <v>351</v>
      </c>
      <c r="CG259" s="31" t="s">
        <v>393</v>
      </c>
      <c r="CH259" s="31" t="s">
        <v>392</v>
      </c>
      <c r="CI259" s="31" t="s">
        <v>420</v>
      </c>
      <c r="CJ259" s="31" t="s">
        <v>392</v>
      </c>
      <c r="CK259" s="31" t="s">
        <v>1453</v>
      </c>
      <c r="CL259" s="31" t="s">
        <v>344</v>
      </c>
      <c r="CM259" s="31" t="s">
        <v>344</v>
      </c>
      <c r="CN259" s="31" t="s">
        <v>344</v>
      </c>
      <c r="CO259" s="31" t="s">
        <v>345</v>
      </c>
      <c r="CP259" s="31" t="s">
        <v>345</v>
      </c>
      <c r="CQ259" s="31" t="s">
        <v>344</v>
      </c>
      <c r="CR259" s="31" t="s">
        <v>667</v>
      </c>
      <c r="CS259" s="31">
        <v>42</v>
      </c>
      <c r="CT259" s="31">
        <v>100</v>
      </c>
      <c r="CU259" s="31"/>
      <c r="CV259" s="31"/>
      <c r="CW259" s="31" t="s">
        <v>395</v>
      </c>
      <c r="CX259" s="31" t="s">
        <v>396</v>
      </c>
      <c r="CY259" s="31" t="s">
        <v>363</v>
      </c>
      <c r="CZ259" s="31" t="s">
        <v>397</v>
      </c>
      <c r="DA259" s="31" t="s">
        <v>397</v>
      </c>
      <c r="DB259" s="31" t="s">
        <v>397</v>
      </c>
      <c r="DC259" s="31" t="s">
        <v>397</v>
      </c>
      <c r="DD259" s="31" t="s">
        <v>397</v>
      </c>
      <c r="DE259" s="31"/>
      <c r="DF259" s="31"/>
      <c r="DG259" s="31"/>
      <c r="DH259" s="31"/>
      <c r="DI259" s="31"/>
      <c r="DJ259" s="31"/>
      <c r="DK259" s="31" t="s">
        <v>344</v>
      </c>
      <c r="DL259" s="31" t="s">
        <v>368</v>
      </c>
      <c r="DM259" s="31" t="s">
        <v>368</v>
      </c>
      <c r="DN259" s="31" t="s">
        <v>368</v>
      </c>
      <c r="DO259" s="31" t="s">
        <v>368</v>
      </c>
      <c r="DP259" s="31" t="s">
        <v>345</v>
      </c>
      <c r="DQ259" s="31" t="s">
        <v>344</v>
      </c>
      <c r="DR259" s="31" t="s">
        <v>345</v>
      </c>
      <c r="DS259" s="31" t="s">
        <v>344</v>
      </c>
      <c r="DT259" s="31" t="s">
        <v>345</v>
      </c>
      <c r="DU259" s="31" t="s">
        <v>345</v>
      </c>
      <c r="DV259" s="31" t="s">
        <v>344</v>
      </c>
      <c r="DW259" s="31" t="s">
        <v>344</v>
      </c>
      <c r="DX259" s="31" t="s">
        <v>1258</v>
      </c>
      <c r="DY259" s="31" t="s">
        <v>1258</v>
      </c>
      <c r="DZ259" s="31" t="s">
        <v>1258</v>
      </c>
      <c r="EA259" s="31" t="s">
        <v>1258</v>
      </c>
      <c r="EB259" s="31" t="s">
        <v>1258</v>
      </c>
      <c r="EC259" s="31" t="s">
        <v>1258</v>
      </c>
      <c r="ED259" s="31" t="s">
        <v>1258</v>
      </c>
      <c r="EE259" s="31" t="s">
        <v>1274</v>
      </c>
      <c r="EF259" s="31" t="s">
        <v>1273</v>
      </c>
      <c r="EG259" s="31" t="s">
        <v>397</v>
      </c>
      <c r="EH259" s="31" t="s">
        <v>1273</v>
      </c>
      <c r="EI259" s="31" t="s">
        <v>397</v>
      </c>
      <c r="EJ259" s="31" t="s">
        <v>397</v>
      </c>
      <c r="EK259" s="31" t="s">
        <v>1273</v>
      </c>
      <c r="EL259" s="31" t="s">
        <v>1276</v>
      </c>
      <c r="EM259" s="31" t="s">
        <v>1275</v>
      </c>
      <c r="EN259" s="31" t="s">
        <v>1260</v>
      </c>
      <c r="EO259" s="31"/>
      <c r="EP259" s="31"/>
      <c r="EQ259" s="31" t="s">
        <v>1262</v>
      </c>
      <c r="ER259" s="31" t="s">
        <v>1262</v>
      </c>
      <c r="ES259" s="31" t="s">
        <v>1264</v>
      </c>
      <c r="ET259" s="31" t="s">
        <v>1263</v>
      </c>
      <c r="EU259" s="31" t="s">
        <v>1277</v>
      </c>
      <c r="EV259" s="31" t="s">
        <v>1265</v>
      </c>
      <c r="EW259" s="31"/>
      <c r="EX259" s="31" t="s">
        <v>368</v>
      </c>
      <c r="EY259" s="31" t="s">
        <v>368</v>
      </c>
      <c r="EZ259" s="31" t="s">
        <v>368</v>
      </c>
      <c r="FA259" s="31" t="s">
        <v>345</v>
      </c>
      <c r="FB259" s="31" t="s">
        <v>1266</v>
      </c>
      <c r="FC259" s="31"/>
      <c r="FD259" s="31" t="s">
        <v>1266</v>
      </c>
      <c r="FE259" s="31"/>
      <c r="FF259" s="31" t="s">
        <v>382</v>
      </c>
      <c r="FG259" s="31" t="s">
        <v>1292</v>
      </c>
      <c r="FH259" s="31" t="s">
        <v>1301</v>
      </c>
      <c r="FI259" s="31" t="s">
        <v>1294</v>
      </c>
      <c r="FJ259" s="31"/>
      <c r="FK259" s="31"/>
      <c r="FL259" s="31"/>
      <c r="FM259" s="31"/>
      <c r="FN259" s="31"/>
      <c r="FO259" s="31"/>
      <c r="FP259" s="31"/>
      <c r="FQ259" s="31"/>
      <c r="FR259" s="31"/>
      <c r="FS259" s="31"/>
      <c r="FT259" s="31"/>
      <c r="FU259" s="31"/>
      <c r="FV259" s="31"/>
      <c r="FW259" s="31"/>
      <c r="FX259" s="31"/>
      <c r="FY259" s="31"/>
      <c r="FZ259" s="31"/>
      <c r="GA259" s="31" t="s">
        <v>368</v>
      </c>
      <c r="GB259" s="31" t="s">
        <v>368</v>
      </c>
      <c r="GC259" s="31" t="s">
        <v>368</v>
      </c>
      <c r="GD259" s="31" t="s">
        <v>368</v>
      </c>
      <c r="GE259" s="31" t="s">
        <v>368</v>
      </c>
      <c r="GF259" s="31" t="s">
        <v>368</v>
      </c>
      <c r="GG259" s="31"/>
      <c r="GH259" s="31"/>
      <c r="GI259" s="31"/>
      <c r="GJ259" s="31"/>
      <c r="GK259" s="31"/>
      <c r="GL259" s="31" t="s">
        <v>344</v>
      </c>
      <c r="GM259" s="31" t="s">
        <v>344</v>
      </c>
      <c r="GN259" s="31" t="s">
        <v>344</v>
      </c>
      <c r="GO259" s="31" t="s">
        <v>344</v>
      </c>
      <c r="GP259" s="31" t="s">
        <v>344</v>
      </c>
      <c r="GQ259" s="31" t="s">
        <v>344</v>
      </c>
      <c r="GR259" s="31" t="s">
        <v>344</v>
      </c>
      <c r="GS259" s="31" t="s">
        <v>344</v>
      </c>
      <c r="GT259" s="31" t="s">
        <v>344</v>
      </c>
      <c r="GU259" s="31" t="s">
        <v>344</v>
      </c>
      <c r="GV259" s="31" t="s">
        <v>345</v>
      </c>
      <c r="GW259" s="31" t="s">
        <v>344</v>
      </c>
      <c r="GX259" s="31" t="s">
        <v>344</v>
      </c>
      <c r="GY259" s="31" t="s">
        <v>344</v>
      </c>
      <c r="GZ259" s="31" t="s">
        <v>344</v>
      </c>
      <c r="HA259" s="31" t="s">
        <v>344</v>
      </c>
      <c r="HB259" s="31"/>
      <c r="HC259" s="31" t="s">
        <v>344</v>
      </c>
      <c r="HD259" s="31"/>
      <c r="HE259" s="31" t="s">
        <v>344</v>
      </c>
      <c r="HF259" s="31"/>
      <c r="HG259" s="31" t="s">
        <v>344</v>
      </c>
      <c r="HH259" s="31"/>
      <c r="HI259" s="31" t="s">
        <v>344</v>
      </c>
      <c r="HJ259" s="31"/>
      <c r="HK259" s="31" t="s">
        <v>344</v>
      </c>
      <c r="HL259" s="31" t="s">
        <v>344</v>
      </c>
      <c r="HM259" s="31" t="s">
        <v>344</v>
      </c>
      <c r="HN259" s="31" t="s">
        <v>345</v>
      </c>
      <c r="HO259" s="31" t="s">
        <v>344</v>
      </c>
      <c r="HP259" s="31" t="s">
        <v>344</v>
      </c>
      <c r="HQ259" s="31" t="s">
        <v>344</v>
      </c>
      <c r="HR259" s="31" t="s">
        <v>344</v>
      </c>
      <c r="HS259" s="31" t="s">
        <v>344</v>
      </c>
      <c r="HT259" s="31" t="s">
        <v>344</v>
      </c>
      <c r="HU259" s="31" t="s">
        <v>344</v>
      </c>
      <c r="HV259" s="31" t="s">
        <v>344</v>
      </c>
      <c r="HW259" s="31" t="s">
        <v>344</v>
      </c>
      <c r="HX259" s="31" t="s">
        <v>344</v>
      </c>
      <c r="HY259" s="31" t="s">
        <v>344</v>
      </c>
      <c r="HZ259" s="31" t="s">
        <v>344</v>
      </c>
      <c r="IA259" s="31" t="s">
        <v>345</v>
      </c>
      <c r="IB259" s="31" t="s">
        <v>344</v>
      </c>
      <c r="IC259" s="31" t="s">
        <v>344</v>
      </c>
      <c r="ID259" s="31"/>
      <c r="IE259" s="31" t="s">
        <v>344</v>
      </c>
      <c r="IF259" s="31"/>
      <c r="IG259" s="31" t="s">
        <v>344</v>
      </c>
      <c r="IH259" s="31"/>
      <c r="II259" s="31" t="s">
        <v>344</v>
      </c>
      <c r="IJ259" s="31"/>
      <c r="IK259" s="31" t="s">
        <v>344</v>
      </c>
      <c r="IL259" s="31"/>
      <c r="IM259" s="31" t="s">
        <v>344</v>
      </c>
      <c r="IN259" s="31" t="s">
        <v>344</v>
      </c>
      <c r="IO259" s="31" t="s">
        <v>344</v>
      </c>
      <c r="IP259" s="31" t="s">
        <v>344</v>
      </c>
      <c r="IQ259" s="31" t="s">
        <v>345</v>
      </c>
      <c r="IR259" s="31" t="s">
        <v>344</v>
      </c>
      <c r="IS259" s="31" t="s">
        <v>344</v>
      </c>
      <c r="IT259" s="31" t="s">
        <v>345</v>
      </c>
      <c r="IU259" s="31" t="s">
        <v>344</v>
      </c>
      <c r="IV259" s="31" t="s">
        <v>344</v>
      </c>
      <c r="IW259" s="31" t="s">
        <v>344</v>
      </c>
      <c r="IX259" s="31" t="s">
        <v>344</v>
      </c>
      <c r="IY259" s="31" t="s">
        <v>345</v>
      </c>
      <c r="IZ259" s="31" t="s">
        <v>344</v>
      </c>
      <c r="JA259" s="31"/>
      <c r="JB259" s="31" t="s">
        <v>1454</v>
      </c>
    </row>
    <row r="260" spans="1:262" x14ac:dyDescent="0.3">
      <c r="A260" s="30" t="s">
        <v>727</v>
      </c>
      <c r="B260" s="31">
        <v>225</v>
      </c>
      <c r="C260" s="31" t="s">
        <v>1455</v>
      </c>
      <c r="D260" s="31">
        <v>14</v>
      </c>
      <c r="E260" s="31" t="s">
        <v>387</v>
      </c>
      <c r="F260" s="31">
        <v>1514636675</v>
      </c>
      <c r="G260" s="31" t="s">
        <v>1456</v>
      </c>
      <c r="H260" s="31" t="s">
        <v>1455</v>
      </c>
      <c r="I260" s="31" t="s">
        <v>1400</v>
      </c>
      <c r="J260" s="31">
        <v>17</v>
      </c>
      <c r="K260" s="31" t="s">
        <v>1282</v>
      </c>
      <c r="L260" s="31"/>
      <c r="M260" s="31" t="s">
        <v>345</v>
      </c>
      <c r="N260" s="31" t="s">
        <v>344</v>
      </c>
      <c r="O260" s="31" t="s">
        <v>344</v>
      </c>
      <c r="P260" s="31" t="s">
        <v>344</v>
      </c>
      <c r="Q260" s="31" t="s">
        <v>344</v>
      </c>
      <c r="R260" s="31"/>
      <c r="S260" s="31" t="s">
        <v>475</v>
      </c>
      <c r="T260" s="31"/>
      <c r="U260" s="31" t="s">
        <v>1457</v>
      </c>
      <c r="V260" s="31"/>
      <c r="W260" s="31" t="s">
        <v>368</v>
      </c>
      <c r="X260" s="31" t="s">
        <v>368</v>
      </c>
      <c r="Y260" s="31" t="s">
        <v>368</v>
      </c>
      <c r="Z260" s="31" t="s">
        <v>368</v>
      </c>
      <c r="AA260" s="31" t="s">
        <v>368</v>
      </c>
      <c r="AB260" s="31" t="s">
        <v>368</v>
      </c>
      <c r="AC260" s="31" t="s">
        <v>345</v>
      </c>
      <c r="AD260" s="31" t="s">
        <v>368</v>
      </c>
      <c r="AE260" s="31" t="s">
        <v>368</v>
      </c>
      <c r="AF260" s="31" t="s">
        <v>368</v>
      </c>
      <c r="AG260" s="31" t="s">
        <v>368</v>
      </c>
      <c r="AH260" s="31" t="s">
        <v>368</v>
      </c>
      <c r="AI260" s="31" t="s">
        <v>368</v>
      </c>
      <c r="AJ260" s="31" t="s">
        <v>345</v>
      </c>
      <c r="AK260" s="31" t="s">
        <v>345</v>
      </c>
      <c r="AL260" s="31" t="s">
        <v>344</v>
      </c>
      <c r="AM260" s="31" t="s">
        <v>344</v>
      </c>
      <c r="AN260" s="31" t="s">
        <v>344</v>
      </c>
      <c r="AO260" s="31" t="s">
        <v>344</v>
      </c>
      <c r="AP260" s="31" t="s">
        <v>344</v>
      </c>
      <c r="AQ260" s="31" t="s">
        <v>344</v>
      </c>
      <c r="AR260" s="31" t="s">
        <v>344</v>
      </c>
      <c r="AS260" s="31" t="s">
        <v>344</v>
      </c>
      <c r="AT260" s="31" t="s">
        <v>345</v>
      </c>
      <c r="AU260" s="31" t="s">
        <v>344</v>
      </c>
      <c r="AV260" s="31" t="s">
        <v>344</v>
      </c>
      <c r="AW260" s="31" t="s">
        <v>344</v>
      </c>
      <c r="AX260" s="31" t="s">
        <v>344</v>
      </c>
      <c r="AY260" s="31" t="s">
        <v>391</v>
      </c>
      <c r="AZ260" s="31" t="s">
        <v>731</v>
      </c>
      <c r="BA260" s="31" t="s">
        <v>391</v>
      </c>
      <c r="BB260" s="31" t="s">
        <v>732</v>
      </c>
      <c r="BC260" s="31" t="s">
        <v>733</v>
      </c>
      <c r="BD260" s="31" t="s">
        <v>391</v>
      </c>
      <c r="BE260" s="31" t="s">
        <v>348</v>
      </c>
      <c r="BF260" s="31" t="s">
        <v>350</v>
      </c>
      <c r="BG260" s="31" t="s">
        <v>349</v>
      </c>
      <c r="BH260" s="31" t="s">
        <v>717</v>
      </c>
      <c r="BI260" s="31" t="s">
        <v>348</v>
      </c>
      <c r="BJ260" s="31" t="s">
        <v>351</v>
      </c>
      <c r="BK260" s="31" t="s">
        <v>354</v>
      </c>
      <c r="BL260" s="31" t="s">
        <v>391</v>
      </c>
      <c r="BM260" s="31" t="s">
        <v>391</v>
      </c>
      <c r="BN260" s="31" t="s">
        <v>391</v>
      </c>
      <c r="BO260" s="31" t="s">
        <v>391</v>
      </c>
      <c r="BP260" s="31" t="s">
        <v>391</v>
      </c>
      <c r="BQ260" s="31" t="s">
        <v>407</v>
      </c>
      <c r="BR260" s="31" t="s">
        <v>1296</v>
      </c>
      <c r="BS260" s="31" t="s">
        <v>354</v>
      </c>
      <c r="BT260" s="31" t="s">
        <v>391</v>
      </c>
      <c r="BU260" s="31" t="s">
        <v>391</v>
      </c>
      <c r="BV260" s="31" t="s">
        <v>391</v>
      </c>
      <c r="BW260" s="31" t="s">
        <v>357</v>
      </c>
      <c r="BX260" s="31" t="s">
        <v>351</v>
      </c>
      <c r="BY260" s="31" t="s">
        <v>356</v>
      </c>
      <c r="BZ260" s="31" t="s">
        <v>391</v>
      </c>
      <c r="CA260" s="31" t="s">
        <v>391</v>
      </c>
      <c r="CB260" s="31" t="s">
        <v>391</v>
      </c>
      <c r="CC260" s="31" t="s">
        <v>391</v>
      </c>
      <c r="CD260" s="31" t="s">
        <v>391</v>
      </c>
      <c r="CE260" s="31" t="s">
        <v>391</v>
      </c>
      <c r="CF260" s="31" t="s">
        <v>391</v>
      </c>
      <c r="CG260" s="31" t="s">
        <v>420</v>
      </c>
      <c r="CH260" s="31" t="s">
        <v>420</v>
      </c>
      <c r="CI260" s="31" t="s">
        <v>360</v>
      </c>
      <c r="CJ260" s="31" t="s">
        <v>420</v>
      </c>
      <c r="CK260" s="31" t="s">
        <v>1458</v>
      </c>
      <c r="CL260" s="31" t="s">
        <v>344</v>
      </c>
      <c r="CM260" s="31" t="s">
        <v>344</v>
      </c>
      <c r="CN260" s="31" t="s">
        <v>344</v>
      </c>
      <c r="CO260" s="31" t="s">
        <v>345</v>
      </c>
      <c r="CP260" s="31" t="s">
        <v>345</v>
      </c>
      <c r="CQ260" s="31" t="s">
        <v>344</v>
      </c>
      <c r="CR260" s="31" t="s">
        <v>655</v>
      </c>
      <c r="CS260" s="31">
        <v>100</v>
      </c>
      <c r="CT260" s="31">
        <v>17</v>
      </c>
      <c r="CU260" s="31"/>
      <c r="CV260" s="31"/>
      <c r="CW260" s="31" t="s">
        <v>363</v>
      </c>
      <c r="CX260" s="31" t="s">
        <v>363</v>
      </c>
      <c r="CY260" s="31" t="s">
        <v>364</v>
      </c>
      <c r="CZ260" s="31" t="s">
        <v>397</v>
      </c>
      <c r="DA260" s="31" t="s">
        <v>397</v>
      </c>
      <c r="DB260" s="31" t="s">
        <v>397</v>
      </c>
      <c r="DC260" s="31" t="s">
        <v>397</v>
      </c>
      <c r="DD260" s="31" t="s">
        <v>397</v>
      </c>
      <c r="DE260" s="31"/>
      <c r="DF260" s="31"/>
      <c r="DG260" s="31"/>
      <c r="DH260" s="31"/>
      <c r="DI260" s="31"/>
      <c r="DJ260" s="31"/>
      <c r="DK260" s="31" t="s">
        <v>344</v>
      </c>
      <c r="DL260" s="31" t="s">
        <v>368</v>
      </c>
      <c r="DM260" s="31" t="s">
        <v>368</v>
      </c>
      <c r="DN260" s="31" t="s">
        <v>368</v>
      </c>
      <c r="DO260" s="31" t="s">
        <v>368</v>
      </c>
      <c r="DP260" s="31" t="s">
        <v>345</v>
      </c>
      <c r="DQ260" s="31" t="s">
        <v>344</v>
      </c>
      <c r="DR260" s="31" t="s">
        <v>344</v>
      </c>
      <c r="DS260" s="31" t="s">
        <v>344</v>
      </c>
      <c r="DT260" s="31" t="s">
        <v>345</v>
      </c>
      <c r="DU260" s="31" t="s">
        <v>345</v>
      </c>
      <c r="DV260" s="31" t="s">
        <v>345</v>
      </c>
      <c r="DW260" s="31" t="s">
        <v>344</v>
      </c>
      <c r="DX260" s="31" t="s">
        <v>1258</v>
      </c>
      <c r="DY260" s="31" t="s">
        <v>1258</v>
      </c>
      <c r="DZ260" s="31" t="s">
        <v>1258</v>
      </c>
      <c r="EA260" s="31" t="s">
        <v>1258</v>
      </c>
      <c r="EB260" s="31" t="s">
        <v>1258</v>
      </c>
      <c r="EC260" s="31" t="s">
        <v>1258</v>
      </c>
      <c r="ED260" s="31" t="s">
        <v>1258</v>
      </c>
      <c r="EE260" s="31" t="s">
        <v>397</v>
      </c>
      <c r="EF260" s="31" t="s">
        <v>1272</v>
      </c>
      <c r="EG260" s="31" t="s">
        <v>397</v>
      </c>
      <c r="EH260" s="31" t="s">
        <v>397</v>
      </c>
      <c r="EI260" s="31" t="s">
        <v>397</v>
      </c>
      <c r="EJ260" s="31" t="s">
        <v>397</v>
      </c>
      <c r="EK260" s="31" t="s">
        <v>397</v>
      </c>
      <c r="EL260" s="31" t="s">
        <v>1276</v>
      </c>
      <c r="EM260" s="31" t="s">
        <v>1260</v>
      </c>
      <c r="EN260" s="31" t="s">
        <v>1259</v>
      </c>
      <c r="EO260" s="31"/>
      <c r="EP260" s="31"/>
      <c r="EQ260" s="31" t="s">
        <v>1264</v>
      </c>
      <c r="ER260" s="31" t="s">
        <v>1277</v>
      </c>
      <c r="ES260" s="31" t="s">
        <v>1264</v>
      </c>
      <c r="ET260" s="31" t="s">
        <v>717</v>
      </c>
      <c r="EU260" s="31" t="s">
        <v>717</v>
      </c>
      <c r="EV260" s="31" t="s">
        <v>1265</v>
      </c>
      <c r="EW260" s="31"/>
      <c r="EX260" s="31" t="s">
        <v>368</v>
      </c>
      <c r="EY260" s="31" t="s">
        <v>368</v>
      </c>
      <c r="EZ260" s="31" t="s">
        <v>368</v>
      </c>
      <c r="FA260" s="31" t="s">
        <v>345</v>
      </c>
      <c r="FB260" s="31" t="s">
        <v>1266</v>
      </c>
      <c r="FC260" s="31"/>
      <c r="FD260" s="31" t="s">
        <v>1266</v>
      </c>
      <c r="FE260" s="31"/>
      <c r="FF260" s="31" t="s">
        <v>382</v>
      </c>
      <c r="FG260" s="31" t="s">
        <v>402</v>
      </c>
      <c r="FH260" s="31" t="s">
        <v>432</v>
      </c>
      <c r="FI260" s="31" t="s">
        <v>1294</v>
      </c>
      <c r="FJ260" s="31"/>
      <c r="FK260" s="31"/>
      <c r="FL260" s="31"/>
      <c r="FM260" s="31"/>
      <c r="FN260" s="31"/>
      <c r="FO260" s="31"/>
      <c r="FP260" s="31"/>
      <c r="FQ260" s="31"/>
      <c r="FR260" s="31"/>
      <c r="FS260" s="31"/>
      <c r="FT260" s="31"/>
      <c r="FU260" s="31"/>
      <c r="FV260" s="31"/>
      <c r="FW260" s="31"/>
      <c r="FX260" s="31"/>
      <c r="FY260" s="31"/>
      <c r="FZ260" s="31"/>
      <c r="GA260" s="31" t="s">
        <v>368</v>
      </c>
      <c r="GB260" s="31" t="s">
        <v>368</v>
      </c>
      <c r="GC260" s="31" t="s">
        <v>368</v>
      </c>
      <c r="GD260" s="31" t="s">
        <v>368</v>
      </c>
      <c r="GE260" s="31" t="s">
        <v>368</v>
      </c>
      <c r="GF260" s="31" t="s">
        <v>368</v>
      </c>
      <c r="GG260" s="31"/>
      <c r="GH260" s="31"/>
      <c r="GI260" s="31"/>
      <c r="GJ260" s="31"/>
      <c r="GK260" s="31"/>
      <c r="GL260" s="31" t="s">
        <v>344</v>
      </c>
      <c r="GM260" s="31" t="s">
        <v>344</v>
      </c>
      <c r="GN260" s="31" t="s">
        <v>344</v>
      </c>
      <c r="GO260" s="31" t="s">
        <v>344</v>
      </c>
      <c r="GP260" s="31" t="s">
        <v>344</v>
      </c>
      <c r="GQ260" s="31" t="s">
        <v>344</v>
      </c>
      <c r="GR260" s="31" t="s">
        <v>344</v>
      </c>
      <c r="GS260" s="31" t="s">
        <v>344</v>
      </c>
      <c r="GT260" s="31" t="s">
        <v>344</v>
      </c>
      <c r="GU260" s="31" t="s">
        <v>344</v>
      </c>
      <c r="GV260" s="31" t="s">
        <v>345</v>
      </c>
      <c r="GW260" s="31" t="s">
        <v>345</v>
      </c>
      <c r="GX260" s="31" t="s">
        <v>344</v>
      </c>
      <c r="GY260" s="31" t="s">
        <v>344</v>
      </c>
      <c r="GZ260" s="31" t="s">
        <v>344</v>
      </c>
      <c r="HA260" s="31" t="s">
        <v>344</v>
      </c>
      <c r="HB260" s="31"/>
      <c r="HC260" s="31" t="s">
        <v>344</v>
      </c>
      <c r="HD260" s="31"/>
      <c r="HE260" s="31" t="s">
        <v>344</v>
      </c>
      <c r="HF260" s="31"/>
      <c r="HG260" s="31" t="s">
        <v>344</v>
      </c>
      <c r="HH260" s="31"/>
      <c r="HI260" s="31" t="s">
        <v>344</v>
      </c>
      <c r="HJ260" s="31"/>
      <c r="HK260" s="31" t="s">
        <v>344</v>
      </c>
      <c r="HL260" s="31" t="s">
        <v>344</v>
      </c>
      <c r="HM260" s="31" t="s">
        <v>344</v>
      </c>
      <c r="HN260" s="31" t="s">
        <v>345</v>
      </c>
      <c r="HO260" s="31" t="s">
        <v>344</v>
      </c>
      <c r="HP260" s="31" t="s">
        <v>344</v>
      </c>
      <c r="HQ260" s="31" t="s">
        <v>344</v>
      </c>
      <c r="HR260" s="31" t="s">
        <v>344</v>
      </c>
      <c r="HS260" s="31" t="s">
        <v>344</v>
      </c>
      <c r="HT260" s="31" t="s">
        <v>344</v>
      </c>
      <c r="HU260" s="31" t="s">
        <v>344</v>
      </c>
      <c r="HV260" s="31" t="s">
        <v>344</v>
      </c>
      <c r="HW260" s="31" t="s">
        <v>345</v>
      </c>
      <c r="HX260" s="31" t="s">
        <v>344</v>
      </c>
      <c r="HY260" s="31" t="s">
        <v>344</v>
      </c>
      <c r="HZ260" s="31" t="s">
        <v>344</v>
      </c>
      <c r="IA260" s="31" t="s">
        <v>345</v>
      </c>
      <c r="IB260" s="31" t="s">
        <v>344</v>
      </c>
      <c r="IC260" s="31" t="s">
        <v>344</v>
      </c>
      <c r="ID260" s="31"/>
      <c r="IE260" s="31" t="s">
        <v>344</v>
      </c>
      <c r="IF260" s="31"/>
      <c r="IG260" s="31" t="s">
        <v>344</v>
      </c>
      <c r="IH260" s="31"/>
      <c r="II260" s="31" t="s">
        <v>344</v>
      </c>
      <c r="IJ260" s="31"/>
      <c r="IK260" s="31" t="s">
        <v>344</v>
      </c>
      <c r="IL260" s="31"/>
      <c r="IM260" s="31" t="s">
        <v>345</v>
      </c>
      <c r="IN260" s="31" t="s">
        <v>345</v>
      </c>
      <c r="IO260" s="31" t="s">
        <v>344</v>
      </c>
      <c r="IP260" s="31" t="s">
        <v>344</v>
      </c>
      <c r="IQ260" s="31" t="s">
        <v>345</v>
      </c>
      <c r="IR260" s="31" t="s">
        <v>344</v>
      </c>
      <c r="IS260" s="31" t="s">
        <v>344</v>
      </c>
      <c r="IT260" s="31" t="s">
        <v>345</v>
      </c>
      <c r="IU260" s="31" t="s">
        <v>344</v>
      </c>
      <c r="IV260" s="31" t="s">
        <v>344</v>
      </c>
      <c r="IW260" s="31" t="s">
        <v>344</v>
      </c>
      <c r="IX260" s="31" t="s">
        <v>344</v>
      </c>
      <c r="IY260" s="31" t="s">
        <v>345</v>
      </c>
      <c r="IZ260" s="31" t="s">
        <v>344</v>
      </c>
      <c r="JA260" s="31"/>
      <c r="JB260" s="31"/>
    </row>
    <row r="261" spans="1:262" x14ac:dyDescent="0.3">
      <c r="A261" s="30" t="s">
        <v>727</v>
      </c>
      <c r="B261" s="31">
        <v>226</v>
      </c>
      <c r="C261" s="31" t="s">
        <v>1459</v>
      </c>
      <c r="D261" s="31">
        <v>14</v>
      </c>
      <c r="E261" s="31" t="s">
        <v>387</v>
      </c>
      <c r="F261" s="31">
        <v>943395567</v>
      </c>
      <c r="G261" s="31" t="s">
        <v>1460</v>
      </c>
      <c r="H261" s="31" t="s">
        <v>1459</v>
      </c>
      <c r="I261" s="31" t="s">
        <v>1400</v>
      </c>
      <c r="J261" s="31">
        <v>16</v>
      </c>
      <c r="K261" s="31" t="s">
        <v>1255</v>
      </c>
      <c r="L261" s="31"/>
      <c r="M261" s="31" t="s">
        <v>345</v>
      </c>
      <c r="N261" s="31" t="s">
        <v>344</v>
      </c>
      <c r="O261" s="31" t="s">
        <v>344</v>
      </c>
      <c r="P261" s="31" t="s">
        <v>344</v>
      </c>
      <c r="Q261" s="31" t="s">
        <v>344</v>
      </c>
      <c r="R261" s="31"/>
      <c r="S261" s="31" t="s">
        <v>475</v>
      </c>
      <c r="T261" s="31"/>
      <c r="U261" s="31" t="s">
        <v>1461</v>
      </c>
      <c r="V261" s="31"/>
      <c r="W261" s="31" t="s">
        <v>345</v>
      </c>
      <c r="X261" s="31" t="s">
        <v>344</v>
      </c>
      <c r="Y261" s="31" t="s">
        <v>344</v>
      </c>
      <c r="Z261" s="31" t="s">
        <v>345</v>
      </c>
      <c r="AA261" s="31" t="s">
        <v>344</v>
      </c>
      <c r="AB261" s="31" t="s">
        <v>344</v>
      </c>
      <c r="AC261" s="31" t="s">
        <v>344</v>
      </c>
      <c r="AD261" s="31" t="s">
        <v>368</v>
      </c>
      <c r="AE261" s="31" t="s">
        <v>368</v>
      </c>
      <c r="AF261" s="31" t="s">
        <v>368</v>
      </c>
      <c r="AG261" s="31" t="s">
        <v>368</v>
      </c>
      <c r="AH261" s="31" t="s">
        <v>368</v>
      </c>
      <c r="AI261" s="31" t="s">
        <v>368</v>
      </c>
      <c r="AJ261" s="31" t="s">
        <v>345</v>
      </c>
      <c r="AK261" s="31" t="s">
        <v>368</v>
      </c>
      <c r="AL261" s="31" t="s">
        <v>368</v>
      </c>
      <c r="AM261" s="31" t="s">
        <v>368</v>
      </c>
      <c r="AN261" s="31" t="s">
        <v>368</v>
      </c>
      <c r="AO261" s="31" t="s">
        <v>368</v>
      </c>
      <c r="AP261" s="31" t="s">
        <v>368</v>
      </c>
      <c r="AQ261" s="31" t="s">
        <v>345</v>
      </c>
      <c r="AR261" s="31" t="s">
        <v>368</v>
      </c>
      <c r="AS261" s="31" t="s">
        <v>368</v>
      </c>
      <c r="AT261" s="31" t="s">
        <v>368</v>
      </c>
      <c r="AU261" s="31" t="s">
        <v>368</v>
      </c>
      <c r="AV261" s="31" t="s">
        <v>368</v>
      </c>
      <c r="AW261" s="31" t="s">
        <v>368</v>
      </c>
      <c r="AX261" s="31" t="s">
        <v>345</v>
      </c>
      <c r="AY261" s="31" t="s">
        <v>731</v>
      </c>
      <c r="AZ261" s="31" t="s">
        <v>732</v>
      </c>
      <c r="BA261" s="31" t="s">
        <v>733</v>
      </c>
      <c r="BB261" s="31" t="s">
        <v>733</v>
      </c>
      <c r="BC261" s="31" t="s">
        <v>732</v>
      </c>
      <c r="BD261" s="31" t="s">
        <v>731</v>
      </c>
      <c r="BE261" s="31" t="s">
        <v>349</v>
      </c>
      <c r="BF261" s="31" t="s">
        <v>349</v>
      </c>
      <c r="BG261" s="31" t="s">
        <v>349</v>
      </c>
      <c r="BH261" s="31" t="s">
        <v>348</v>
      </c>
      <c r="BI261" s="31" t="s">
        <v>390</v>
      </c>
      <c r="BJ261" s="31" t="s">
        <v>356</v>
      </c>
      <c r="BK261" s="31" t="s">
        <v>355</v>
      </c>
      <c r="BL261" s="31" t="s">
        <v>356</v>
      </c>
      <c r="BM261" s="31" t="s">
        <v>357</v>
      </c>
      <c r="BN261" s="31" t="s">
        <v>353</v>
      </c>
      <c r="BO261" s="31" t="s">
        <v>353</v>
      </c>
      <c r="BP261" s="31" t="s">
        <v>355</v>
      </c>
      <c r="BQ261" s="31" t="s">
        <v>407</v>
      </c>
      <c r="BR261" s="31" t="s">
        <v>1257</v>
      </c>
      <c r="BS261" s="31" t="s">
        <v>353</v>
      </c>
      <c r="BT261" s="31" t="s">
        <v>352</v>
      </c>
      <c r="BU261" s="31" t="s">
        <v>391</v>
      </c>
      <c r="BV261" s="31" t="s">
        <v>351</v>
      </c>
      <c r="BW261" s="31" t="s">
        <v>355</v>
      </c>
      <c r="BX261" s="31" t="s">
        <v>353</v>
      </c>
      <c r="BY261" s="31" t="s">
        <v>357</v>
      </c>
      <c r="BZ261" s="31" t="s">
        <v>355</v>
      </c>
      <c r="CA261" s="31" t="s">
        <v>391</v>
      </c>
      <c r="CB261" s="31" t="s">
        <v>353</v>
      </c>
      <c r="CC261" s="31" t="s">
        <v>353</v>
      </c>
      <c r="CD261" s="31" t="s">
        <v>353</v>
      </c>
      <c r="CE261" s="31" t="s">
        <v>356</v>
      </c>
      <c r="CF261" s="31" t="s">
        <v>356</v>
      </c>
      <c r="CG261" s="31" t="s">
        <v>393</v>
      </c>
      <c r="CH261" s="31" t="s">
        <v>392</v>
      </c>
      <c r="CI261" s="31" t="s">
        <v>420</v>
      </c>
      <c r="CJ261" s="31" t="s">
        <v>392</v>
      </c>
      <c r="CK261" s="31" t="s">
        <v>717</v>
      </c>
      <c r="CL261" s="31" t="s">
        <v>344</v>
      </c>
      <c r="CM261" s="31" t="s">
        <v>344</v>
      </c>
      <c r="CN261" s="31" t="s">
        <v>344</v>
      </c>
      <c r="CO261" s="31" t="s">
        <v>345</v>
      </c>
      <c r="CP261" s="31" t="s">
        <v>345</v>
      </c>
      <c r="CQ261" s="31" t="s">
        <v>344</v>
      </c>
      <c r="CR261" s="31" t="s">
        <v>655</v>
      </c>
      <c r="CS261" s="31">
        <v>66</v>
      </c>
      <c r="CT261" s="31">
        <v>64</v>
      </c>
      <c r="CU261" s="31"/>
      <c r="CV261" s="31"/>
      <c r="CW261" s="31" t="s">
        <v>363</v>
      </c>
      <c r="CX261" s="31" t="s">
        <v>364</v>
      </c>
      <c r="CY261" s="31" t="s">
        <v>364</v>
      </c>
      <c r="CZ261" s="31" t="s">
        <v>366</v>
      </c>
      <c r="DA261" s="31" t="s">
        <v>366</v>
      </c>
      <c r="DB261" s="31" t="s">
        <v>717</v>
      </c>
      <c r="DC261" s="31" t="s">
        <v>717</v>
      </c>
      <c r="DD261" s="31" t="s">
        <v>397</v>
      </c>
      <c r="DE261" s="31"/>
      <c r="DF261" s="31"/>
      <c r="DG261" s="31"/>
      <c r="DH261" s="31"/>
      <c r="DI261" s="31"/>
      <c r="DJ261" s="31" t="s">
        <v>717</v>
      </c>
      <c r="DK261" s="31" t="s">
        <v>1462</v>
      </c>
      <c r="DL261" s="31" t="s">
        <v>368</v>
      </c>
      <c r="DM261" s="31" t="s">
        <v>368</v>
      </c>
      <c r="DN261" s="31" t="s">
        <v>368</v>
      </c>
      <c r="DO261" s="31" t="s">
        <v>345</v>
      </c>
      <c r="DP261" s="31" t="s">
        <v>344</v>
      </c>
      <c r="DQ261" s="31" t="s">
        <v>345</v>
      </c>
      <c r="DR261" s="31" t="s">
        <v>344</v>
      </c>
      <c r="DS261" s="31" t="s">
        <v>344</v>
      </c>
      <c r="DT261" s="31" t="s">
        <v>344</v>
      </c>
      <c r="DU261" s="31" t="s">
        <v>344</v>
      </c>
      <c r="DV261" s="31" t="s">
        <v>345</v>
      </c>
      <c r="DW261" s="31" t="s">
        <v>344</v>
      </c>
      <c r="DX261" s="31" t="s">
        <v>1274</v>
      </c>
      <c r="DY261" s="31" t="s">
        <v>1258</v>
      </c>
      <c r="DZ261" s="31" t="s">
        <v>1274</v>
      </c>
      <c r="EA261" s="31" t="s">
        <v>1273</v>
      </c>
      <c r="EB261" s="31" t="s">
        <v>1273</v>
      </c>
      <c r="EC261" s="31" t="s">
        <v>1274</v>
      </c>
      <c r="ED261" s="31" t="s">
        <v>1258</v>
      </c>
      <c r="EE261" s="31" t="s">
        <v>397</v>
      </c>
      <c r="EF261" s="31" t="s">
        <v>1274</v>
      </c>
      <c r="EG261" s="31" t="s">
        <v>397</v>
      </c>
      <c r="EH261" s="31" t="s">
        <v>1272</v>
      </c>
      <c r="EI261" s="31" t="s">
        <v>1272</v>
      </c>
      <c r="EJ261" s="31" t="s">
        <v>397</v>
      </c>
      <c r="EK261" s="31" t="s">
        <v>1272</v>
      </c>
      <c r="EL261" s="31" t="s">
        <v>1261</v>
      </c>
      <c r="EM261" s="31" t="s">
        <v>1275</v>
      </c>
      <c r="EN261" s="31" t="s">
        <v>1276</v>
      </c>
      <c r="EO261" s="31"/>
      <c r="EP261" s="31"/>
      <c r="EQ261" s="31" t="s">
        <v>1264</v>
      </c>
      <c r="ER261" s="31" t="s">
        <v>1264</v>
      </c>
      <c r="ES261" s="31" t="s">
        <v>1264</v>
      </c>
      <c r="ET261" s="31" t="s">
        <v>1278</v>
      </c>
      <c r="EU261" s="31" t="s">
        <v>1277</v>
      </c>
      <c r="EV261" s="31" t="s">
        <v>400</v>
      </c>
      <c r="EW261" s="31"/>
      <c r="EX261" s="33" t="s">
        <v>368</v>
      </c>
      <c r="EY261" s="33" t="s">
        <v>368</v>
      </c>
      <c r="EZ261" s="33" t="s">
        <v>368</v>
      </c>
      <c r="FA261" s="33" t="s">
        <v>345</v>
      </c>
      <c r="FB261" s="31" t="s">
        <v>1266</v>
      </c>
      <c r="FC261" s="31"/>
      <c r="FD261" s="31" t="s">
        <v>1321</v>
      </c>
      <c r="FE261" s="31"/>
      <c r="FF261" s="31" t="s">
        <v>477</v>
      </c>
      <c r="FG261" s="31" t="s">
        <v>1292</v>
      </c>
      <c r="FH261" s="31" t="s">
        <v>1293</v>
      </c>
      <c r="FI261" s="31" t="s">
        <v>1294</v>
      </c>
      <c r="FJ261" s="31"/>
      <c r="FK261" s="31"/>
      <c r="FL261" s="31"/>
      <c r="FM261" s="31"/>
      <c r="FN261" s="31"/>
      <c r="FO261" s="31"/>
      <c r="FP261" s="31"/>
      <c r="FQ261" s="31"/>
      <c r="FR261" s="31"/>
      <c r="FS261" s="31"/>
      <c r="FT261" s="31"/>
      <c r="FU261" s="31"/>
      <c r="FV261" s="31"/>
      <c r="FW261" s="31"/>
      <c r="FX261" s="31"/>
      <c r="FY261" s="31"/>
      <c r="FZ261" s="31"/>
      <c r="GA261" s="31" t="s">
        <v>368</v>
      </c>
      <c r="GB261" s="31" t="s">
        <v>368</v>
      </c>
      <c r="GC261" s="31" t="s">
        <v>368</v>
      </c>
      <c r="GD261" s="31" t="s">
        <v>368</v>
      </c>
      <c r="GE261" s="31" t="s">
        <v>368</v>
      </c>
      <c r="GF261" s="31" t="s">
        <v>368</v>
      </c>
      <c r="GG261" s="31"/>
      <c r="GH261" s="31"/>
      <c r="GI261" s="31"/>
      <c r="GJ261" s="31"/>
      <c r="GK261" s="31"/>
      <c r="GL261" s="31" t="s">
        <v>344</v>
      </c>
      <c r="GM261" s="31" t="s">
        <v>344</v>
      </c>
      <c r="GN261" s="31" t="s">
        <v>344</v>
      </c>
      <c r="GO261" s="31" t="s">
        <v>344</v>
      </c>
      <c r="GP261" s="31" t="s">
        <v>344</v>
      </c>
      <c r="GQ261" s="31" t="s">
        <v>344</v>
      </c>
      <c r="GR261" s="31" t="s">
        <v>344</v>
      </c>
      <c r="GS261" s="31" t="s">
        <v>344</v>
      </c>
      <c r="GT261" s="31" t="s">
        <v>344</v>
      </c>
      <c r="GU261" s="31" t="s">
        <v>344</v>
      </c>
      <c r="GV261" s="31" t="s">
        <v>344</v>
      </c>
      <c r="GW261" s="31" t="s">
        <v>345</v>
      </c>
      <c r="GX261" s="31" t="s">
        <v>344</v>
      </c>
      <c r="GY261" s="31" t="s">
        <v>344</v>
      </c>
      <c r="GZ261" s="31" t="s">
        <v>344</v>
      </c>
      <c r="HA261" s="31" t="s">
        <v>344</v>
      </c>
      <c r="HB261" s="31"/>
      <c r="HC261" s="31" t="s">
        <v>344</v>
      </c>
      <c r="HD261" s="31"/>
      <c r="HE261" s="31" t="s">
        <v>344</v>
      </c>
      <c r="HF261" s="31"/>
      <c r="HG261" s="31" t="s">
        <v>344</v>
      </c>
      <c r="HH261" s="31"/>
      <c r="HI261" s="31" t="s">
        <v>344</v>
      </c>
      <c r="HJ261" s="31"/>
      <c r="HK261" s="31" t="s">
        <v>344</v>
      </c>
      <c r="HL261" s="31" t="s">
        <v>344</v>
      </c>
      <c r="HM261" s="31" t="s">
        <v>344</v>
      </c>
      <c r="HN261" s="31" t="s">
        <v>344</v>
      </c>
      <c r="HO261" s="31" t="s">
        <v>344</v>
      </c>
      <c r="HP261" s="31" t="s">
        <v>344</v>
      </c>
      <c r="HQ261" s="31" t="s">
        <v>344</v>
      </c>
      <c r="HR261" s="31" t="s">
        <v>344</v>
      </c>
      <c r="HS261" s="31" t="s">
        <v>344</v>
      </c>
      <c r="HT261" s="31" t="s">
        <v>344</v>
      </c>
      <c r="HU261" s="31" t="s">
        <v>344</v>
      </c>
      <c r="HV261" s="31" t="s">
        <v>344</v>
      </c>
      <c r="HW261" s="31" t="s">
        <v>344</v>
      </c>
      <c r="HX261" s="31" t="s">
        <v>345</v>
      </c>
      <c r="HY261" s="31" t="s">
        <v>344</v>
      </c>
      <c r="HZ261" s="31" t="s">
        <v>345</v>
      </c>
      <c r="IA261" s="31" t="s">
        <v>344</v>
      </c>
      <c r="IB261" s="31" t="s">
        <v>344</v>
      </c>
      <c r="IC261" s="31" t="s">
        <v>345</v>
      </c>
      <c r="ID261" s="31"/>
      <c r="IE261" s="31" t="s">
        <v>344</v>
      </c>
      <c r="IF261" s="31"/>
      <c r="IG261" s="31" t="s">
        <v>344</v>
      </c>
      <c r="IH261" s="31"/>
      <c r="II261" s="31" t="s">
        <v>344</v>
      </c>
      <c r="IJ261" s="31"/>
      <c r="IK261" s="31" t="s">
        <v>344</v>
      </c>
      <c r="IL261" s="31"/>
      <c r="IM261" s="31" t="s">
        <v>345</v>
      </c>
      <c r="IN261" s="31" t="s">
        <v>345</v>
      </c>
      <c r="IO261" s="31" t="s">
        <v>344</v>
      </c>
      <c r="IP261" s="31" t="s">
        <v>344</v>
      </c>
      <c r="IQ261" s="31" t="s">
        <v>345</v>
      </c>
      <c r="IR261" s="31" t="s">
        <v>344</v>
      </c>
      <c r="IS261" s="31" t="s">
        <v>344</v>
      </c>
      <c r="IT261" s="31" t="s">
        <v>345</v>
      </c>
      <c r="IU261" s="31" t="s">
        <v>344</v>
      </c>
      <c r="IV261" s="31" t="s">
        <v>344</v>
      </c>
      <c r="IW261" s="31" t="s">
        <v>344</v>
      </c>
      <c r="IX261" s="31" t="s">
        <v>344</v>
      </c>
      <c r="IY261" s="31" t="s">
        <v>345</v>
      </c>
      <c r="IZ261" s="31" t="s">
        <v>344</v>
      </c>
      <c r="JA261" s="31"/>
      <c r="JB261" s="31"/>
    </row>
    <row r="262" spans="1:262" x14ac:dyDescent="0.3">
      <c r="A262" s="30" t="s">
        <v>727</v>
      </c>
      <c r="B262" s="31">
        <v>227</v>
      </c>
      <c r="C262" s="31" t="s">
        <v>1463</v>
      </c>
      <c r="D262" s="31">
        <v>14</v>
      </c>
      <c r="E262" s="31" t="s">
        <v>387</v>
      </c>
      <c r="F262" s="31">
        <v>1360626019</v>
      </c>
      <c r="G262" s="31" t="s">
        <v>1464</v>
      </c>
      <c r="H262" s="31" t="s">
        <v>1463</v>
      </c>
      <c r="I262" s="31" t="s">
        <v>1400</v>
      </c>
      <c r="J262" s="31">
        <v>17</v>
      </c>
      <c r="K262" s="31" t="s">
        <v>1255</v>
      </c>
      <c r="L262" s="31"/>
      <c r="M262" s="31" t="s">
        <v>345</v>
      </c>
      <c r="N262" s="31" t="s">
        <v>344</v>
      </c>
      <c r="O262" s="31" t="s">
        <v>344</v>
      </c>
      <c r="P262" s="31" t="s">
        <v>345</v>
      </c>
      <c r="Q262" s="31" t="s">
        <v>344</v>
      </c>
      <c r="R262" s="31"/>
      <c r="S262" s="31" t="s">
        <v>475</v>
      </c>
      <c r="T262" s="31"/>
      <c r="U262" s="31" t="s">
        <v>343</v>
      </c>
      <c r="V262" s="31" t="s">
        <v>719</v>
      </c>
      <c r="W262" s="31" t="s">
        <v>368</v>
      </c>
      <c r="X262" s="31" t="s">
        <v>368</v>
      </c>
      <c r="Y262" s="31" t="s">
        <v>368</v>
      </c>
      <c r="Z262" s="31" t="s">
        <v>368</v>
      </c>
      <c r="AA262" s="31" t="s">
        <v>368</v>
      </c>
      <c r="AB262" s="31" t="s">
        <v>368</v>
      </c>
      <c r="AC262" s="31" t="s">
        <v>345</v>
      </c>
      <c r="AD262" s="31" t="s">
        <v>368</v>
      </c>
      <c r="AE262" s="31" t="s">
        <v>368</v>
      </c>
      <c r="AF262" s="31" t="s">
        <v>368</v>
      </c>
      <c r="AG262" s="31" t="s">
        <v>368</v>
      </c>
      <c r="AH262" s="31" t="s">
        <v>368</v>
      </c>
      <c r="AI262" s="31" t="s">
        <v>368</v>
      </c>
      <c r="AJ262" s="31" t="s">
        <v>345</v>
      </c>
      <c r="AK262" s="31" t="s">
        <v>368</v>
      </c>
      <c r="AL262" s="31" t="s">
        <v>368</v>
      </c>
      <c r="AM262" s="31" t="s">
        <v>368</v>
      </c>
      <c r="AN262" s="31" t="s">
        <v>368</v>
      </c>
      <c r="AO262" s="31" t="s">
        <v>368</v>
      </c>
      <c r="AP262" s="31" t="s">
        <v>368</v>
      </c>
      <c r="AQ262" s="31" t="s">
        <v>345</v>
      </c>
      <c r="AR262" s="31" t="s">
        <v>368</v>
      </c>
      <c r="AS262" s="31" t="s">
        <v>368</v>
      </c>
      <c r="AT262" s="31" t="s">
        <v>368</v>
      </c>
      <c r="AU262" s="31" t="s">
        <v>368</v>
      </c>
      <c r="AV262" s="31" t="s">
        <v>368</v>
      </c>
      <c r="AW262" s="31" t="s">
        <v>368</v>
      </c>
      <c r="AX262" s="31" t="s">
        <v>345</v>
      </c>
      <c r="AY262" s="31" t="s">
        <v>391</v>
      </c>
      <c r="AZ262" s="31" t="s">
        <v>391</v>
      </c>
      <c r="BA262" s="31" t="s">
        <v>391</v>
      </c>
      <c r="BB262" s="31" t="s">
        <v>391</v>
      </c>
      <c r="BC262" s="31" t="s">
        <v>391</v>
      </c>
      <c r="BD262" s="31" t="s">
        <v>391</v>
      </c>
      <c r="BE262" s="31" t="s">
        <v>390</v>
      </c>
      <c r="BF262" s="31" t="s">
        <v>390</v>
      </c>
      <c r="BG262" s="31" t="s">
        <v>390</v>
      </c>
      <c r="BH262" s="31" t="s">
        <v>390</v>
      </c>
      <c r="BI262" s="31" t="s">
        <v>349</v>
      </c>
      <c r="BJ262" s="31" t="s">
        <v>391</v>
      </c>
      <c r="BK262" s="31" t="s">
        <v>391</v>
      </c>
      <c r="BL262" s="31" t="s">
        <v>391</v>
      </c>
      <c r="BM262" s="31" t="s">
        <v>391</v>
      </c>
      <c r="BN262" s="31" t="s">
        <v>391</v>
      </c>
      <c r="BO262" s="31" t="s">
        <v>391</v>
      </c>
      <c r="BP262" s="31" t="s">
        <v>391</v>
      </c>
      <c r="BQ262" s="31" t="s">
        <v>455</v>
      </c>
      <c r="BR262" s="31" t="s">
        <v>1257</v>
      </c>
      <c r="BS262" s="31" t="s">
        <v>356</v>
      </c>
      <c r="BT262" s="31" t="s">
        <v>356</v>
      </c>
      <c r="BU262" s="31" t="s">
        <v>351</v>
      </c>
      <c r="BV262" s="31" t="s">
        <v>357</v>
      </c>
      <c r="BW262" s="31" t="s">
        <v>357</v>
      </c>
      <c r="BX262" s="31" t="s">
        <v>356</v>
      </c>
      <c r="BY262" s="31" t="s">
        <v>353</v>
      </c>
      <c r="BZ262" s="31" t="s">
        <v>351</v>
      </c>
      <c r="CA262" s="31" t="s">
        <v>353</v>
      </c>
      <c r="CB262" s="31" t="s">
        <v>353</v>
      </c>
      <c r="CC262" s="31" t="s">
        <v>356</v>
      </c>
      <c r="CD262" s="31" t="s">
        <v>355</v>
      </c>
      <c r="CE262" s="31" t="s">
        <v>391</v>
      </c>
      <c r="CF262" s="31" t="s">
        <v>391</v>
      </c>
      <c r="CG262" s="31" t="s">
        <v>420</v>
      </c>
      <c r="CH262" s="31" t="s">
        <v>421</v>
      </c>
      <c r="CI262" s="31" t="s">
        <v>420</v>
      </c>
      <c r="CJ262" s="31" t="s">
        <v>392</v>
      </c>
      <c r="CK262" s="31" t="s">
        <v>391</v>
      </c>
      <c r="CL262" s="31" t="s">
        <v>345</v>
      </c>
      <c r="CM262" s="31" t="s">
        <v>344</v>
      </c>
      <c r="CN262" s="31" t="s">
        <v>344</v>
      </c>
      <c r="CO262" s="31" t="s">
        <v>344</v>
      </c>
      <c r="CP262" s="31" t="s">
        <v>344</v>
      </c>
      <c r="CQ262" s="31" t="s">
        <v>344</v>
      </c>
      <c r="CR262" s="31" t="s">
        <v>672</v>
      </c>
      <c r="CS262" s="31">
        <v>51</v>
      </c>
      <c r="CT262" s="31">
        <v>51</v>
      </c>
      <c r="CU262" s="31"/>
      <c r="CV262" s="31"/>
      <c r="CW262" s="31" t="s">
        <v>395</v>
      </c>
      <c r="CX262" s="31" t="s">
        <v>395</v>
      </c>
      <c r="CY262" s="31" t="s">
        <v>396</v>
      </c>
      <c r="CZ262" s="31" t="s">
        <v>397</v>
      </c>
      <c r="DA262" s="31" t="s">
        <v>397</v>
      </c>
      <c r="DB262" s="31" t="s">
        <v>397</v>
      </c>
      <c r="DC262" s="31" t="s">
        <v>397</v>
      </c>
      <c r="DD262" s="31" t="s">
        <v>397</v>
      </c>
      <c r="DE262" s="31"/>
      <c r="DF262" s="31"/>
      <c r="DG262" s="31"/>
      <c r="DH262" s="31"/>
      <c r="DI262" s="31"/>
      <c r="DJ262" s="31"/>
      <c r="DK262" s="31" t="s">
        <v>344</v>
      </c>
      <c r="DL262" s="31" t="s">
        <v>368</v>
      </c>
      <c r="DM262" s="31" t="s">
        <v>368</v>
      </c>
      <c r="DN262" s="31" t="s">
        <v>368</v>
      </c>
      <c r="DO262" s="31" t="s">
        <v>368</v>
      </c>
      <c r="DP262" s="31" t="s">
        <v>368</v>
      </c>
      <c r="DQ262" s="31" t="s">
        <v>368</v>
      </c>
      <c r="DR262" s="31" t="s">
        <v>368</v>
      </c>
      <c r="DS262" s="31" t="s">
        <v>345</v>
      </c>
      <c r="DT262" s="31" t="s">
        <v>344</v>
      </c>
      <c r="DU262" s="31" t="s">
        <v>345</v>
      </c>
      <c r="DV262" s="31" t="s">
        <v>344</v>
      </c>
      <c r="DW262" s="31" t="s">
        <v>344</v>
      </c>
      <c r="DX262" s="31" t="s">
        <v>1258</v>
      </c>
      <c r="DY262" s="31" t="s">
        <v>1258</v>
      </c>
      <c r="DZ262" s="31" t="s">
        <v>1258</v>
      </c>
      <c r="EA262" s="31" t="s">
        <v>1258</v>
      </c>
      <c r="EB262" s="31" t="s">
        <v>1258</v>
      </c>
      <c r="EC262" s="31" t="s">
        <v>1258</v>
      </c>
      <c r="ED262" s="31" t="s">
        <v>1258</v>
      </c>
      <c r="EE262" s="31" t="s">
        <v>397</v>
      </c>
      <c r="EF262" s="31" t="s">
        <v>397</v>
      </c>
      <c r="EG262" s="31" t="s">
        <v>397</v>
      </c>
      <c r="EH262" s="31" t="s">
        <v>397</v>
      </c>
      <c r="EI262" s="31" t="s">
        <v>397</v>
      </c>
      <c r="EJ262" s="31" t="s">
        <v>397</v>
      </c>
      <c r="EK262" s="31" t="s">
        <v>397</v>
      </c>
      <c r="EL262" s="31" t="s">
        <v>1276</v>
      </c>
      <c r="EM262" s="31" t="s">
        <v>1275</v>
      </c>
      <c r="EN262" s="31" t="s">
        <v>1260</v>
      </c>
      <c r="EO262" s="31"/>
      <c r="EP262" s="31"/>
      <c r="EQ262" s="31" t="s">
        <v>1264</v>
      </c>
      <c r="ER262" s="31" t="s">
        <v>1264</v>
      </c>
      <c r="ES262" s="31" t="s">
        <v>1264</v>
      </c>
      <c r="ET262" s="31" t="s">
        <v>1264</v>
      </c>
      <c r="EU262" s="31" t="s">
        <v>1264</v>
      </c>
      <c r="EV262" s="31" t="s">
        <v>1265</v>
      </c>
      <c r="EW262" s="31"/>
      <c r="EX262" s="31" t="s">
        <v>368</v>
      </c>
      <c r="EY262" s="31" t="s">
        <v>368</v>
      </c>
      <c r="EZ262" s="31" t="s">
        <v>368</v>
      </c>
      <c r="FA262" s="31" t="s">
        <v>345</v>
      </c>
      <c r="FB262" s="31" t="s">
        <v>1266</v>
      </c>
      <c r="FC262" s="31"/>
      <c r="FD262" s="31" t="s">
        <v>1266</v>
      </c>
      <c r="FE262" s="31"/>
      <c r="FF262" s="31" t="s">
        <v>431</v>
      </c>
      <c r="FG262" s="31" t="s">
        <v>441</v>
      </c>
      <c r="FH262" s="31" t="s">
        <v>460</v>
      </c>
      <c r="FI262" s="31" t="s">
        <v>1286</v>
      </c>
      <c r="FJ262" s="31"/>
      <c r="FK262" s="31"/>
      <c r="FL262" s="31"/>
      <c r="FM262" s="31"/>
      <c r="FN262" s="31"/>
      <c r="FO262" s="31"/>
      <c r="FP262" s="31"/>
      <c r="FQ262" s="31"/>
      <c r="FR262" s="31"/>
      <c r="FS262" s="31"/>
      <c r="FT262" s="31"/>
      <c r="FU262" s="31"/>
      <c r="FV262" s="31"/>
      <c r="FW262" s="31"/>
      <c r="FX262" s="31"/>
      <c r="FY262" s="31"/>
      <c r="FZ262" s="31"/>
      <c r="GA262" s="31" t="s">
        <v>368</v>
      </c>
      <c r="GB262" s="31" t="s">
        <v>368</v>
      </c>
      <c r="GC262" s="31" t="s">
        <v>368</v>
      </c>
      <c r="GD262" s="31" t="s">
        <v>368</v>
      </c>
      <c r="GE262" s="31" t="s">
        <v>368</v>
      </c>
      <c r="GF262" s="31" t="s">
        <v>368</v>
      </c>
      <c r="GG262" s="31"/>
      <c r="GH262" s="31"/>
      <c r="GI262" s="31"/>
      <c r="GJ262" s="31"/>
      <c r="GK262" s="31"/>
      <c r="GL262" s="31" t="s">
        <v>344</v>
      </c>
      <c r="GM262" s="31" t="s">
        <v>344</v>
      </c>
      <c r="GN262" s="31" t="s">
        <v>344</v>
      </c>
      <c r="GO262" s="31" t="s">
        <v>344</v>
      </c>
      <c r="GP262" s="31" t="s">
        <v>344</v>
      </c>
      <c r="GQ262" s="31" t="s">
        <v>344</v>
      </c>
      <c r="GR262" s="31" t="s">
        <v>344</v>
      </c>
      <c r="GS262" s="31" t="s">
        <v>344</v>
      </c>
      <c r="GT262" s="31" t="s">
        <v>344</v>
      </c>
      <c r="GU262" s="31" t="s">
        <v>344</v>
      </c>
      <c r="GV262" s="31" t="s">
        <v>344</v>
      </c>
      <c r="GW262" s="31" t="s">
        <v>344</v>
      </c>
      <c r="GX262" s="31" t="s">
        <v>344</v>
      </c>
      <c r="GY262" s="31" t="s">
        <v>344</v>
      </c>
      <c r="GZ262" s="31" t="s">
        <v>344</v>
      </c>
      <c r="HA262" s="31" t="s">
        <v>345</v>
      </c>
      <c r="HB262" s="31"/>
      <c r="HC262" s="31" t="s">
        <v>344</v>
      </c>
      <c r="HD262" s="31"/>
      <c r="HE262" s="31" t="s">
        <v>344</v>
      </c>
      <c r="HF262" s="31"/>
      <c r="HG262" s="31" t="s">
        <v>344</v>
      </c>
      <c r="HH262" s="31"/>
      <c r="HI262" s="31" t="s">
        <v>344</v>
      </c>
      <c r="HJ262" s="31"/>
      <c r="HK262" s="31" t="s">
        <v>344</v>
      </c>
      <c r="HL262" s="31" t="s">
        <v>344</v>
      </c>
      <c r="HM262" s="31" t="s">
        <v>344</v>
      </c>
      <c r="HN262" s="31" t="s">
        <v>344</v>
      </c>
      <c r="HO262" s="31" t="s">
        <v>344</v>
      </c>
      <c r="HP262" s="31" t="s">
        <v>344</v>
      </c>
      <c r="HQ262" s="31" t="s">
        <v>344</v>
      </c>
      <c r="HR262" s="31" t="s">
        <v>344</v>
      </c>
      <c r="HS262" s="31" t="s">
        <v>344</v>
      </c>
      <c r="HT262" s="31" t="s">
        <v>344</v>
      </c>
      <c r="HU262" s="31" t="s">
        <v>344</v>
      </c>
      <c r="HV262" s="31" t="s">
        <v>344</v>
      </c>
      <c r="HW262" s="31" t="s">
        <v>344</v>
      </c>
      <c r="HX262" s="31" t="s">
        <v>344</v>
      </c>
      <c r="HY262" s="31" t="s">
        <v>344</v>
      </c>
      <c r="HZ262" s="31" t="s">
        <v>344</v>
      </c>
      <c r="IA262" s="31" t="s">
        <v>344</v>
      </c>
      <c r="IB262" s="31" t="s">
        <v>344</v>
      </c>
      <c r="IC262" s="31" t="s">
        <v>345</v>
      </c>
      <c r="ID262" s="31"/>
      <c r="IE262" s="31" t="s">
        <v>344</v>
      </c>
      <c r="IF262" s="31"/>
      <c r="IG262" s="31" t="s">
        <v>344</v>
      </c>
      <c r="IH262" s="31"/>
      <c r="II262" s="31" t="s">
        <v>344</v>
      </c>
      <c r="IJ262" s="31"/>
      <c r="IK262" s="31" t="s">
        <v>344</v>
      </c>
      <c r="IL262" s="31"/>
      <c r="IM262" s="31" t="s">
        <v>345</v>
      </c>
      <c r="IN262" s="31" t="s">
        <v>345</v>
      </c>
      <c r="IO262" s="31" t="s">
        <v>344</v>
      </c>
      <c r="IP262" s="31" t="s">
        <v>344</v>
      </c>
      <c r="IQ262" s="31" t="s">
        <v>345</v>
      </c>
      <c r="IR262" s="31" t="s">
        <v>344</v>
      </c>
      <c r="IS262" s="31" t="s">
        <v>344</v>
      </c>
      <c r="IT262" s="31" t="s">
        <v>344</v>
      </c>
      <c r="IU262" s="31" t="s">
        <v>344</v>
      </c>
      <c r="IV262" s="31" t="s">
        <v>344</v>
      </c>
      <c r="IW262" s="31" t="s">
        <v>344</v>
      </c>
      <c r="IX262" s="31" t="s">
        <v>344</v>
      </c>
      <c r="IY262" s="31" t="s">
        <v>345</v>
      </c>
      <c r="IZ262" s="31" t="s">
        <v>344</v>
      </c>
      <c r="JA262" s="31"/>
      <c r="JB262" s="31"/>
    </row>
    <row r="263" spans="1:262" x14ac:dyDescent="0.3">
      <c r="A263" s="30" t="s">
        <v>727</v>
      </c>
      <c r="B263" s="31">
        <v>228</v>
      </c>
      <c r="C263" s="31" t="s">
        <v>1465</v>
      </c>
      <c r="D263" s="31">
        <v>14</v>
      </c>
      <c r="E263" s="31" t="s">
        <v>387</v>
      </c>
      <c r="F263" s="31">
        <v>531122550</v>
      </c>
      <c r="G263" s="31" t="s">
        <v>1466</v>
      </c>
      <c r="H263" s="31" t="s">
        <v>1465</v>
      </c>
      <c r="I263" s="31" t="s">
        <v>1400</v>
      </c>
      <c r="J263" s="31">
        <v>17</v>
      </c>
      <c r="K263" s="31" t="s">
        <v>1282</v>
      </c>
      <c r="L263" s="31"/>
      <c r="M263" s="31" t="s">
        <v>345</v>
      </c>
      <c r="N263" s="31" t="s">
        <v>344</v>
      </c>
      <c r="O263" s="31" t="s">
        <v>344</v>
      </c>
      <c r="P263" s="31" t="s">
        <v>344</v>
      </c>
      <c r="Q263" s="31" t="s">
        <v>344</v>
      </c>
      <c r="R263" s="31"/>
      <c r="S263" s="31" t="s">
        <v>475</v>
      </c>
      <c r="T263" s="31"/>
      <c r="U263" s="31" t="s">
        <v>1457</v>
      </c>
      <c r="V263" s="31"/>
      <c r="W263" s="31" t="s">
        <v>345</v>
      </c>
      <c r="X263" s="31" t="s">
        <v>345</v>
      </c>
      <c r="Y263" s="31" t="s">
        <v>344</v>
      </c>
      <c r="Z263" s="31" t="s">
        <v>344</v>
      </c>
      <c r="AA263" s="31" t="s">
        <v>344</v>
      </c>
      <c r="AB263" s="31" t="s">
        <v>344</v>
      </c>
      <c r="AC263" s="31" t="s">
        <v>344</v>
      </c>
      <c r="AD263" s="31" t="s">
        <v>345</v>
      </c>
      <c r="AE263" s="31" t="s">
        <v>345</v>
      </c>
      <c r="AF263" s="31" t="s">
        <v>344</v>
      </c>
      <c r="AG263" s="31" t="s">
        <v>344</v>
      </c>
      <c r="AH263" s="31" t="s">
        <v>344</v>
      </c>
      <c r="AI263" s="31" t="s">
        <v>344</v>
      </c>
      <c r="AJ263" s="31" t="s">
        <v>344</v>
      </c>
      <c r="AK263" s="31" t="s">
        <v>344</v>
      </c>
      <c r="AL263" s="31" t="s">
        <v>345</v>
      </c>
      <c r="AM263" s="31" t="s">
        <v>345</v>
      </c>
      <c r="AN263" s="31" t="s">
        <v>344</v>
      </c>
      <c r="AO263" s="31" t="s">
        <v>344</v>
      </c>
      <c r="AP263" s="31" t="s">
        <v>344</v>
      </c>
      <c r="AQ263" s="31" t="s">
        <v>344</v>
      </c>
      <c r="AR263" s="31" t="s">
        <v>344</v>
      </c>
      <c r="AS263" s="31" t="s">
        <v>345</v>
      </c>
      <c r="AT263" s="31" t="s">
        <v>345</v>
      </c>
      <c r="AU263" s="31" t="s">
        <v>344</v>
      </c>
      <c r="AV263" s="31" t="s">
        <v>344</v>
      </c>
      <c r="AW263" s="31" t="s">
        <v>344</v>
      </c>
      <c r="AX263" s="31" t="s">
        <v>344</v>
      </c>
      <c r="AY263" s="31" t="s">
        <v>733</v>
      </c>
      <c r="AZ263" s="31" t="s">
        <v>732</v>
      </c>
      <c r="BA263" s="31" t="s">
        <v>737</v>
      </c>
      <c r="BB263" s="31" t="s">
        <v>731</v>
      </c>
      <c r="BC263" s="31" t="s">
        <v>733</v>
      </c>
      <c r="BD263" s="31" t="s">
        <v>737</v>
      </c>
      <c r="BE263" s="31" t="s">
        <v>349</v>
      </c>
      <c r="BF263" s="31" t="s">
        <v>348</v>
      </c>
      <c r="BG263" s="31" t="s">
        <v>390</v>
      </c>
      <c r="BH263" s="31" t="s">
        <v>390</v>
      </c>
      <c r="BI263" s="31" t="s">
        <v>349</v>
      </c>
      <c r="BJ263" s="31" t="s">
        <v>357</v>
      </c>
      <c r="BK263" s="31" t="s">
        <v>355</v>
      </c>
      <c r="BL263" s="31" t="s">
        <v>353</v>
      </c>
      <c r="BM263" s="31" t="s">
        <v>352</v>
      </c>
      <c r="BN263" s="31" t="s">
        <v>354</v>
      </c>
      <c r="BO263" s="31" t="s">
        <v>356</v>
      </c>
      <c r="BP263" s="31" t="s">
        <v>351</v>
      </c>
      <c r="BQ263" s="31" t="s">
        <v>407</v>
      </c>
      <c r="BR263" s="31" t="s">
        <v>1257</v>
      </c>
      <c r="BS263" s="31" t="s">
        <v>355</v>
      </c>
      <c r="BT263" s="31" t="s">
        <v>351</v>
      </c>
      <c r="BU263" s="31" t="s">
        <v>391</v>
      </c>
      <c r="BV263" s="31" t="s">
        <v>391</v>
      </c>
      <c r="BW263" s="31" t="s">
        <v>391</v>
      </c>
      <c r="BX263" s="31" t="s">
        <v>391</v>
      </c>
      <c r="BY263" s="31" t="s">
        <v>352</v>
      </c>
      <c r="BZ263" s="31" t="s">
        <v>357</v>
      </c>
      <c r="CA263" s="31" t="s">
        <v>352</v>
      </c>
      <c r="CB263" s="31" t="s">
        <v>391</v>
      </c>
      <c r="CC263" s="31" t="s">
        <v>354</v>
      </c>
      <c r="CD263" s="31" t="s">
        <v>353</v>
      </c>
      <c r="CE263" s="31" t="s">
        <v>351</v>
      </c>
      <c r="CF263" s="31" t="s">
        <v>356</v>
      </c>
      <c r="CG263" s="31" t="s">
        <v>392</v>
      </c>
      <c r="CH263" s="31" t="s">
        <v>421</v>
      </c>
      <c r="CI263" s="31" t="s">
        <v>392</v>
      </c>
      <c r="CJ263" s="31" t="s">
        <v>360</v>
      </c>
      <c r="CK263" s="31" t="s">
        <v>1467</v>
      </c>
      <c r="CL263" s="31" t="s">
        <v>344</v>
      </c>
      <c r="CM263" s="31" t="s">
        <v>344</v>
      </c>
      <c r="CN263" s="31" t="s">
        <v>344</v>
      </c>
      <c r="CO263" s="31" t="s">
        <v>345</v>
      </c>
      <c r="CP263" s="31" t="s">
        <v>345</v>
      </c>
      <c r="CQ263" s="31" t="s">
        <v>344</v>
      </c>
      <c r="CR263" s="31" t="s">
        <v>667</v>
      </c>
      <c r="CS263" s="31">
        <v>24</v>
      </c>
      <c r="CT263" s="31">
        <v>100</v>
      </c>
      <c r="CU263" s="31"/>
      <c r="CV263" s="31"/>
      <c r="CW263" s="31" t="s">
        <v>363</v>
      </c>
      <c r="CX263" s="31" t="s">
        <v>395</v>
      </c>
      <c r="CY263" s="31" t="s">
        <v>395</v>
      </c>
      <c r="CZ263" s="31" t="s">
        <v>397</v>
      </c>
      <c r="DA263" s="31" t="s">
        <v>397</v>
      </c>
      <c r="DB263" s="31" t="s">
        <v>397</v>
      </c>
      <c r="DC263" s="31" t="s">
        <v>397</v>
      </c>
      <c r="DD263" s="31" t="s">
        <v>397</v>
      </c>
      <c r="DE263" s="31"/>
      <c r="DF263" s="31"/>
      <c r="DG263" s="31"/>
      <c r="DH263" s="31"/>
      <c r="DI263" s="31"/>
      <c r="DJ263" s="31"/>
      <c r="DK263" s="31" t="s">
        <v>344</v>
      </c>
      <c r="DL263" s="31" t="s">
        <v>368</v>
      </c>
      <c r="DM263" s="31" t="s">
        <v>368</v>
      </c>
      <c r="DN263" s="31" t="s">
        <v>368</v>
      </c>
      <c r="DO263" s="31" t="s">
        <v>368</v>
      </c>
      <c r="DP263" s="31" t="s">
        <v>345</v>
      </c>
      <c r="DQ263" s="31" t="s">
        <v>344</v>
      </c>
      <c r="DR263" s="31" t="s">
        <v>345</v>
      </c>
      <c r="DS263" s="31" t="s">
        <v>344</v>
      </c>
      <c r="DT263" s="31" t="s">
        <v>344</v>
      </c>
      <c r="DU263" s="31" t="s">
        <v>345</v>
      </c>
      <c r="DV263" s="31" t="s">
        <v>344</v>
      </c>
      <c r="DW263" s="31" t="s">
        <v>344</v>
      </c>
      <c r="DX263" s="31" t="s">
        <v>1258</v>
      </c>
      <c r="DY263" s="31" t="s">
        <v>1258</v>
      </c>
      <c r="DZ263" s="31" t="s">
        <v>1258</v>
      </c>
      <c r="EA263" s="31" t="s">
        <v>1258</v>
      </c>
      <c r="EB263" s="31" t="s">
        <v>1258</v>
      </c>
      <c r="EC263" s="31" t="s">
        <v>1258</v>
      </c>
      <c r="ED263" s="31" t="s">
        <v>1258</v>
      </c>
      <c r="EE263" s="31" t="s">
        <v>397</v>
      </c>
      <c r="EF263" s="31" t="s">
        <v>397</v>
      </c>
      <c r="EG263" s="31" t="s">
        <v>397</v>
      </c>
      <c r="EH263" s="31" t="s">
        <v>397</v>
      </c>
      <c r="EI263" s="31" t="s">
        <v>397</v>
      </c>
      <c r="EJ263" s="31" t="s">
        <v>397</v>
      </c>
      <c r="EK263" s="31" t="s">
        <v>397</v>
      </c>
      <c r="EL263" s="31" t="s">
        <v>1276</v>
      </c>
      <c r="EM263" s="31" t="s">
        <v>1260</v>
      </c>
      <c r="EN263" s="31" t="s">
        <v>1259</v>
      </c>
      <c r="EO263" s="31"/>
      <c r="EP263" s="31"/>
      <c r="EQ263" s="31" t="s">
        <v>1262</v>
      </c>
      <c r="ER263" s="31" t="s">
        <v>1263</v>
      </c>
      <c r="ES263" s="31" t="s">
        <v>1263</v>
      </c>
      <c r="ET263" s="31" t="s">
        <v>1262</v>
      </c>
      <c r="EU263" s="31" t="s">
        <v>1263</v>
      </c>
      <c r="EV263" s="31" t="s">
        <v>1265</v>
      </c>
      <c r="EW263" s="31"/>
      <c r="EX263" s="31" t="s">
        <v>368</v>
      </c>
      <c r="EY263" s="31" t="s">
        <v>368</v>
      </c>
      <c r="EZ263" s="31" t="s">
        <v>368</v>
      </c>
      <c r="FA263" s="31" t="s">
        <v>345</v>
      </c>
      <c r="FB263" s="31" t="s">
        <v>1266</v>
      </c>
      <c r="FC263" s="31"/>
      <c r="FD263" s="31" t="s">
        <v>1266</v>
      </c>
      <c r="FE263" s="31"/>
      <c r="FF263" s="31" t="s">
        <v>382</v>
      </c>
      <c r="FG263" s="31" t="s">
        <v>441</v>
      </c>
      <c r="FH263" s="31" t="s">
        <v>1301</v>
      </c>
      <c r="FI263" s="31" t="s">
        <v>1294</v>
      </c>
      <c r="FJ263" s="31"/>
      <c r="FK263" s="31"/>
      <c r="FL263" s="31"/>
      <c r="FM263" s="31"/>
      <c r="FN263" s="31"/>
      <c r="FO263" s="31"/>
      <c r="FP263" s="31"/>
      <c r="FQ263" s="31"/>
      <c r="FR263" s="31"/>
      <c r="FS263" s="31"/>
      <c r="FT263" s="31"/>
      <c r="FU263" s="31"/>
      <c r="FV263" s="31"/>
      <c r="FW263" s="31"/>
      <c r="FX263" s="31"/>
      <c r="FY263" s="31"/>
      <c r="FZ263" s="31"/>
      <c r="GA263" s="31" t="s">
        <v>368</v>
      </c>
      <c r="GB263" s="31" t="s">
        <v>368</v>
      </c>
      <c r="GC263" s="31" t="s">
        <v>368</v>
      </c>
      <c r="GD263" s="31" t="s">
        <v>368</v>
      </c>
      <c r="GE263" s="31" t="s">
        <v>368</v>
      </c>
      <c r="GF263" s="31" t="s">
        <v>368</v>
      </c>
      <c r="GG263" s="31"/>
      <c r="GH263" s="31"/>
      <c r="GI263" s="31"/>
      <c r="GJ263" s="31"/>
      <c r="GK263" s="31"/>
      <c r="GL263" s="31" t="s">
        <v>344</v>
      </c>
      <c r="GM263" s="31" t="s">
        <v>344</v>
      </c>
      <c r="GN263" s="31" t="s">
        <v>345</v>
      </c>
      <c r="GO263" s="31" t="s">
        <v>345</v>
      </c>
      <c r="GP263" s="31" t="s">
        <v>344</v>
      </c>
      <c r="GQ263" s="31" t="s">
        <v>344</v>
      </c>
      <c r="GR263" s="31" t="s">
        <v>344</v>
      </c>
      <c r="GS263" s="31" t="s">
        <v>344</v>
      </c>
      <c r="GT263" s="31" t="s">
        <v>345</v>
      </c>
      <c r="GU263" s="31" t="s">
        <v>344</v>
      </c>
      <c r="GV263" s="31" t="s">
        <v>345</v>
      </c>
      <c r="GW263" s="31" t="s">
        <v>345</v>
      </c>
      <c r="GX263" s="31" t="s">
        <v>344</v>
      </c>
      <c r="GY263" s="31" t="s">
        <v>344</v>
      </c>
      <c r="GZ263" s="31" t="s">
        <v>344</v>
      </c>
      <c r="HA263" s="31" t="s">
        <v>344</v>
      </c>
      <c r="HB263" s="31"/>
      <c r="HC263" s="31" t="s">
        <v>344</v>
      </c>
      <c r="HD263" s="31"/>
      <c r="HE263" s="31" t="s">
        <v>344</v>
      </c>
      <c r="HF263" s="31"/>
      <c r="HG263" s="31" t="s">
        <v>344</v>
      </c>
      <c r="HH263" s="31"/>
      <c r="HI263" s="31" t="s">
        <v>344</v>
      </c>
      <c r="HJ263" s="31"/>
      <c r="HK263" s="31" t="s">
        <v>344</v>
      </c>
      <c r="HL263" s="31" t="s">
        <v>344</v>
      </c>
      <c r="HM263" s="31" t="s">
        <v>344</v>
      </c>
      <c r="HN263" s="31" t="s">
        <v>345</v>
      </c>
      <c r="HO263" s="31" t="s">
        <v>344</v>
      </c>
      <c r="HP263" s="31" t="s">
        <v>344</v>
      </c>
      <c r="HQ263" s="31" t="s">
        <v>344</v>
      </c>
      <c r="HR263" s="31" t="s">
        <v>344</v>
      </c>
      <c r="HS263" s="31" t="s">
        <v>344</v>
      </c>
      <c r="HT263" s="31" t="s">
        <v>344</v>
      </c>
      <c r="HU263" s="31" t="s">
        <v>344</v>
      </c>
      <c r="HV263" s="31" t="s">
        <v>344</v>
      </c>
      <c r="HW263" s="31" t="s">
        <v>345</v>
      </c>
      <c r="HX263" s="31" t="s">
        <v>344</v>
      </c>
      <c r="HY263" s="31" t="s">
        <v>344</v>
      </c>
      <c r="HZ263" s="31" t="s">
        <v>344</v>
      </c>
      <c r="IA263" s="31" t="s">
        <v>345</v>
      </c>
      <c r="IB263" s="31" t="s">
        <v>344</v>
      </c>
      <c r="IC263" s="31" t="s">
        <v>344</v>
      </c>
      <c r="ID263" s="31"/>
      <c r="IE263" s="31" t="s">
        <v>344</v>
      </c>
      <c r="IF263" s="31"/>
      <c r="IG263" s="31" t="s">
        <v>344</v>
      </c>
      <c r="IH263" s="31"/>
      <c r="II263" s="31" t="s">
        <v>344</v>
      </c>
      <c r="IJ263" s="31"/>
      <c r="IK263" s="31" t="s">
        <v>344</v>
      </c>
      <c r="IL263" s="31"/>
      <c r="IM263" s="31" t="s">
        <v>344</v>
      </c>
      <c r="IN263" s="31" t="s">
        <v>345</v>
      </c>
      <c r="IO263" s="31" t="s">
        <v>345</v>
      </c>
      <c r="IP263" s="31" t="s">
        <v>344</v>
      </c>
      <c r="IQ263" s="31" t="s">
        <v>345</v>
      </c>
      <c r="IR263" s="31" t="s">
        <v>344</v>
      </c>
      <c r="IS263" s="31" t="s">
        <v>344</v>
      </c>
      <c r="IT263" s="31" t="s">
        <v>345</v>
      </c>
      <c r="IU263" s="31" t="s">
        <v>344</v>
      </c>
      <c r="IV263" s="31" t="s">
        <v>344</v>
      </c>
      <c r="IW263" s="31" t="s">
        <v>344</v>
      </c>
      <c r="IX263" s="31" t="s">
        <v>344</v>
      </c>
      <c r="IY263" s="31" t="s">
        <v>345</v>
      </c>
      <c r="IZ263" s="31" t="s">
        <v>344</v>
      </c>
      <c r="JA263" s="31"/>
      <c r="JB263" s="31"/>
    </row>
    <row r="264" spans="1:262" x14ac:dyDescent="0.3">
      <c r="A264" s="30" t="s">
        <v>727</v>
      </c>
      <c r="B264" s="31">
        <v>229</v>
      </c>
      <c r="C264" s="31" t="s">
        <v>1468</v>
      </c>
      <c r="D264" s="31">
        <v>14</v>
      </c>
      <c r="E264" s="31" t="s">
        <v>387</v>
      </c>
      <c r="F264" s="31">
        <v>1604225665</v>
      </c>
      <c r="G264" s="31" t="s">
        <v>1469</v>
      </c>
      <c r="H264" s="31" t="s">
        <v>1468</v>
      </c>
      <c r="I264" s="31" t="s">
        <v>1400</v>
      </c>
      <c r="J264" s="31">
        <v>17</v>
      </c>
      <c r="K264" s="31" t="s">
        <v>1282</v>
      </c>
      <c r="L264" s="31"/>
      <c r="M264" s="31" t="s">
        <v>345</v>
      </c>
      <c r="N264" s="31" t="s">
        <v>344</v>
      </c>
      <c r="O264" s="31" t="s">
        <v>344</v>
      </c>
      <c r="P264" s="31" t="s">
        <v>344</v>
      </c>
      <c r="Q264" s="31" t="s">
        <v>344</v>
      </c>
      <c r="R264" s="31"/>
      <c r="S264" s="31" t="s">
        <v>475</v>
      </c>
      <c r="T264" s="31"/>
      <c r="U264" s="31" t="s">
        <v>1488</v>
      </c>
      <c r="V264" s="33"/>
      <c r="W264" s="31" t="s">
        <v>345</v>
      </c>
      <c r="X264" s="31" t="s">
        <v>345</v>
      </c>
      <c r="Y264" s="31" t="s">
        <v>344</v>
      </c>
      <c r="Z264" s="31" t="s">
        <v>344</v>
      </c>
      <c r="AA264" s="31" t="s">
        <v>344</v>
      </c>
      <c r="AB264" s="31" t="s">
        <v>344</v>
      </c>
      <c r="AC264" s="31" t="s">
        <v>344</v>
      </c>
      <c r="AD264" s="31" t="s">
        <v>344</v>
      </c>
      <c r="AE264" s="31" t="s">
        <v>345</v>
      </c>
      <c r="AF264" s="31" t="s">
        <v>344</v>
      </c>
      <c r="AG264" s="31" t="s">
        <v>344</v>
      </c>
      <c r="AH264" s="31" t="s">
        <v>344</v>
      </c>
      <c r="AI264" s="31" t="s">
        <v>345</v>
      </c>
      <c r="AJ264" s="31" t="s">
        <v>344</v>
      </c>
      <c r="AK264" s="31" t="s">
        <v>368</v>
      </c>
      <c r="AL264" s="31" t="s">
        <v>368</v>
      </c>
      <c r="AM264" s="31" t="s">
        <v>368</v>
      </c>
      <c r="AN264" s="31" t="s">
        <v>368</v>
      </c>
      <c r="AO264" s="31" t="s">
        <v>368</v>
      </c>
      <c r="AP264" s="31" t="s">
        <v>368</v>
      </c>
      <c r="AQ264" s="31" t="s">
        <v>345</v>
      </c>
      <c r="AR264" s="31" t="s">
        <v>344</v>
      </c>
      <c r="AS264" s="31" t="s">
        <v>345</v>
      </c>
      <c r="AT264" s="31" t="s">
        <v>345</v>
      </c>
      <c r="AU264" s="31" t="s">
        <v>344</v>
      </c>
      <c r="AV264" s="31" t="s">
        <v>344</v>
      </c>
      <c r="AW264" s="31" t="s">
        <v>345</v>
      </c>
      <c r="AX264" s="31" t="s">
        <v>344</v>
      </c>
      <c r="AY264" s="31" t="s">
        <v>732</v>
      </c>
      <c r="AZ264" s="31" t="s">
        <v>391</v>
      </c>
      <c r="BA264" s="31" t="s">
        <v>731</v>
      </c>
      <c r="BB264" s="31" t="s">
        <v>732</v>
      </c>
      <c r="BC264" s="31" t="s">
        <v>733</v>
      </c>
      <c r="BD264" s="31" t="s">
        <v>732</v>
      </c>
      <c r="BE264" s="31" t="s">
        <v>350</v>
      </c>
      <c r="BF264" s="31" t="s">
        <v>350</v>
      </c>
      <c r="BG264" s="31" t="s">
        <v>350</v>
      </c>
      <c r="BH264" s="31" t="s">
        <v>350</v>
      </c>
      <c r="BI264" s="31" t="s">
        <v>350</v>
      </c>
      <c r="BJ264" s="31" t="s">
        <v>391</v>
      </c>
      <c r="BK264" s="31" t="s">
        <v>391</v>
      </c>
      <c r="BL264" s="31" t="s">
        <v>391</v>
      </c>
      <c r="BM264" s="31" t="s">
        <v>391</v>
      </c>
      <c r="BN264" s="31" t="s">
        <v>391</v>
      </c>
      <c r="BO264" s="31" t="s">
        <v>391</v>
      </c>
      <c r="BP264" s="31" t="s">
        <v>391</v>
      </c>
      <c r="BQ264" s="31" t="s">
        <v>358</v>
      </c>
      <c r="BR264" s="31" t="s">
        <v>1257</v>
      </c>
      <c r="BS264" s="31" t="s">
        <v>391</v>
      </c>
      <c r="BT264" s="31" t="s">
        <v>391</v>
      </c>
      <c r="BU264" s="31" t="s">
        <v>391</v>
      </c>
      <c r="BV264" s="31" t="s">
        <v>391</v>
      </c>
      <c r="BW264" s="31" t="s">
        <v>391</v>
      </c>
      <c r="BX264" s="31" t="s">
        <v>391</v>
      </c>
      <c r="BY264" s="31" t="s">
        <v>391</v>
      </c>
      <c r="BZ264" s="31" t="s">
        <v>391</v>
      </c>
      <c r="CA264" s="31" t="s">
        <v>391</v>
      </c>
      <c r="CB264" s="31" t="s">
        <v>391</v>
      </c>
      <c r="CC264" s="31" t="s">
        <v>391</v>
      </c>
      <c r="CD264" s="31" t="s">
        <v>391</v>
      </c>
      <c r="CE264" s="31" t="s">
        <v>391</v>
      </c>
      <c r="CF264" s="31" t="s">
        <v>391</v>
      </c>
      <c r="CG264" s="31" t="s">
        <v>392</v>
      </c>
      <c r="CH264" s="31" t="s">
        <v>392</v>
      </c>
      <c r="CI264" s="31" t="s">
        <v>392</v>
      </c>
      <c r="CJ264" s="31" t="s">
        <v>360</v>
      </c>
      <c r="CK264" s="31" t="s">
        <v>1470</v>
      </c>
      <c r="CL264" s="31" t="s">
        <v>345</v>
      </c>
      <c r="CM264" s="31" t="s">
        <v>344</v>
      </c>
      <c r="CN264" s="31" t="s">
        <v>344</v>
      </c>
      <c r="CO264" s="31" t="s">
        <v>345</v>
      </c>
      <c r="CP264" s="31" t="s">
        <v>345</v>
      </c>
      <c r="CQ264" s="31" t="s">
        <v>344</v>
      </c>
      <c r="CR264" s="31" t="s">
        <v>655</v>
      </c>
      <c r="CS264" s="31">
        <v>20</v>
      </c>
      <c r="CT264" s="31">
        <v>100</v>
      </c>
      <c r="CU264" s="31"/>
      <c r="CV264" s="31"/>
      <c r="CW264" s="31" t="s">
        <v>364</v>
      </c>
      <c r="CX264" s="31" t="s">
        <v>363</v>
      </c>
      <c r="CY264" s="31" t="s">
        <v>395</v>
      </c>
      <c r="CZ264" s="31" t="s">
        <v>397</v>
      </c>
      <c r="DA264" s="31" t="s">
        <v>397</v>
      </c>
      <c r="DB264" s="31" t="s">
        <v>366</v>
      </c>
      <c r="DC264" s="31" t="s">
        <v>397</v>
      </c>
      <c r="DD264" s="31" t="s">
        <v>423</v>
      </c>
      <c r="DE264" s="31"/>
      <c r="DF264" s="31"/>
      <c r="DG264" s="31"/>
      <c r="DH264" s="31"/>
      <c r="DI264" s="31"/>
      <c r="DJ264" s="31"/>
      <c r="DK264" s="31" t="s">
        <v>344</v>
      </c>
      <c r="DL264" s="31" t="s">
        <v>368</v>
      </c>
      <c r="DM264" s="31" t="s">
        <v>368</v>
      </c>
      <c r="DN264" s="31" t="s">
        <v>368</v>
      </c>
      <c r="DO264" s="31" t="s">
        <v>368</v>
      </c>
      <c r="DP264" s="31" t="s">
        <v>345</v>
      </c>
      <c r="DQ264" s="31" t="s">
        <v>344</v>
      </c>
      <c r="DR264" s="31" t="s">
        <v>344</v>
      </c>
      <c r="DS264" s="31" t="s">
        <v>344</v>
      </c>
      <c r="DT264" s="31" t="s">
        <v>345</v>
      </c>
      <c r="DU264" s="31" t="s">
        <v>345</v>
      </c>
      <c r="DV264" s="31" t="s">
        <v>345</v>
      </c>
      <c r="DW264" s="31" t="s">
        <v>344</v>
      </c>
      <c r="DX264" s="31" t="s">
        <v>1258</v>
      </c>
      <c r="DY264" s="31" t="s">
        <v>1258</v>
      </c>
      <c r="DZ264" s="31" t="s">
        <v>1258</v>
      </c>
      <c r="EA264" s="31" t="s">
        <v>1258</v>
      </c>
      <c r="EB264" s="31" t="s">
        <v>1258</v>
      </c>
      <c r="EC264" s="31" t="s">
        <v>1258</v>
      </c>
      <c r="ED264" s="31" t="s">
        <v>1258</v>
      </c>
      <c r="EE264" s="31" t="s">
        <v>397</v>
      </c>
      <c r="EF264" s="31" t="s">
        <v>397</v>
      </c>
      <c r="EG264" s="31" t="s">
        <v>397</v>
      </c>
      <c r="EH264" s="31" t="s">
        <v>397</v>
      </c>
      <c r="EI264" s="31" t="s">
        <v>397</v>
      </c>
      <c r="EJ264" s="31" t="s">
        <v>397</v>
      </c>
      <c r="EK264" s="31" t="s">
        <v>397</v>
      </c>
      <c r="EL264" s="31" t="s">
        <v>1276</v>
      </c>
      <c r="EM264" s="31" t="s">
        <v>1260</v>
      </c>
      <c r="EN264" s="31" t="s">
        <v>1259</v>
      </c>
      <c r="EO264" s="31"/>
      <c r="EP264" s="31"/>
      <c r="EQ264" s="31" t="s">
        <v>1264</v>
      </c>
      <c r="ER264" s="31" t="s">
        <v>1264</v>
      </c>
      <c r="ES264" s="31" t="s">
        <v>1277</v>
      </c>
      <c r="ET264" s="31" t="s">
        <v>1264</v>
      </c>
      <c r="EU264" s="31" t="s">
        <v>1278</v>
      </c>
      <c r="EV264" s="31" t="s">
        <v>1265</v>
      </c>
      <c r="EW264" s="31"/>
      <c r="EX264" s="31" t="s">
        <v>368</v>
      </c>
      <c r="EY264" s="31" t="s">
        <v>368</v>
      </c>
      <c r="EZ264" s="31" t="s">
        <v>368</v>
      </c>
      <c r="FA264" s="31" t="s">
        <v>345</v>
      </c>
      <c r="FB264" s="31" t="s">
        <v>1266</v>
      </c>
      <c r="FC264" s="31"/>
      <c r="FD264" s="31" t="s">
        <v>1266</v>
      </c>
      <c r="FE264" s="31"/>
      <c r="FF264" s="31" t="s">
        <v>477</v>
      </c>
      <c r="FG264" s="31" t="s">
        <v>441</v>
      </c>
      <c r="FH264" s="31" t="s">
        <v>1293</v>
      </c>
      <c r="FI264" s="31" t="s">
        <v>442</v>
      </c>
      <c r="FJ264" s="31"/>
      <c r="FK264" s="31"/>
      <c r="FL264" s="31"/>
      <c r="FM264" s="31"/>
      <c r="FN264" s="31"/>
      <c r="FO264" s="31"/>
      <c r="FP264" s="31"/>
      <c r="FQ264" s="31"/>
      <c r="FR264" s="31"/>
      <c r="FS264" s="31"/>
      <c r="FT264" s="31"/>
      <c r="FU264" s="31"/>
      <c r="FV264" s="31"/>
      <c r="FW264" s="31"/>
      <c r="FX264" s="31"/>
      <c r="FY264" s="31"/>
      <c r="FZ264" s="31"/>
      <c r="GA264" s="31" t="s">
        <v>368</v>
      </c>
      <c r="GB264" s="31" t="s">
        <v>368</v>
      </c>
      <c r="GC264" s="31" t="s">
        <v>368</v>
      </c>
      <c r="GD264" s="31" t="s">
        <v>368</v>
      </c>
      <c r="GE264" s="31" t="s">
        <v>368</v>
      </c>
      <c r="GF264" s="31" t="s">
        <v>368</v>
      </c>
      <c r="GG264" s="31"/>
      <c r="GH264" s="31"/>
      <c r="GI264" s="31"/>
      <c r="GJ264" s="31"/>
      <c r="GK264" s="31"/>
      <c r="GL264" s="31" t="s">
        <v>344</v>
      </c>
      <c r="GM264" s="31" t="s">
        <v>344</v>
      </c>
      <c r="GN264" s="31" t="s">
        <v>345</v>
      </c>
      <c r="GO264" s="31" t="s">
        <v>345</v>
      </c>
      <c r="GP264" s="31" t="s">
        <v>344</v>
      </c>
      <c r="GQ264" s="31" t="s">
        <v>344</v>
      </c>
      <c r="GR264" s="31" t="s">
        <v>344</v>
      </c>
      <c r="GS264" s="31" t="s">
        <v>344</v>
      </c>
      <c r="GT264" s="31" t="s">
        <v>344</v>
      </c>
      <c r="GU264" s="31" t="s">
        <v>344</v>
      </c>
      <c r="GV264" s="31" t="s">
        <v>344</v>
      </c>
      <c r="GW264" s="31" t="s">
        <v>345</v>
      </c>
      <c r="GX264" s="31" t="s">
        <v>344</v>
      </c>
      <c r="GY264" s="31" t="s">
        <v>344</v>
      </c>
      <c r="GZ264" s="31" t="s">
        <v>344</v>
      </c>
      <c r="HA264" s="31" t="s">
        <v>344</v>
      </c>
      <c r="HB264" s="31"/>
      <c r="HC264" s="31" t="s">
        <v>344</v>
      </c>
      <c r="HD264" s="31"/>
      <c r="HE264" s="31" t="s">
        <v>344</v>
      </c>
      <c r="HF264" s="31"/>
      <c r="HG264" s="31" t="s">
        <v>344</v>
      </c>
      <c r="HH264" s="31"/>
      <c r="HI264" s="31" t="s">
        <v>344</v>
      </c>
      <c r="HJ264" s="31"/>
      <c r="HK264" s="31" t="s">
        <v>344</v>
      </c>
      <c r="HL264" s="31" t="s">
        <v>344</v>
      </c>
      <c r="HM264" s="31" t="s">
        <v>344</v>
      </c>
      <c r="HN264" s="31" t="s">
        <v>345</v>
      </c>
      <c r="HO264" s="31" t="s">
        <v>344</v>
      </c>
      <c r="HP264" s="31" t="s">
        <v>344</v>
      </c>
      <c r="HQ264" s="31" t="s">
        <v>344</v>
      </c>
      <c r="HR264" s="31" t="s">
        <v>344</v>
      </c>
      <c r="HS264" s="31" t="s">
        <v>344</v>
      </c>
      <c r="HT264" s="31" t="s">
        <v>344</v>
      </c>
      <c r="HU264" s="31" t="s">
        <v>344</v>
      </c>
      <c r="HV264" s="31" t="s">
        <v>344</v>
      </c>
      <c r="HW264" s="31" t="s">
        <v>344</v>
      </c>
      <c r="HX264" s="31" t="s">
        <v>344</v>
      </c>
      <c r="HY264" s="31" t="s">
        <v>344</v>
      </c>
      <c r="HZ264" s="31" t="s">
        <v>344</v>
      </c>
      <c r="IA264" s="31" t="s">
        <v>345</v>
      </c>
      <c r="IB264" s="31" t="s">
        <v>344</v>
      </c>
      <c r="IC264" s="31" t="s">
        <v>344</v>
      </c>
      <c r="ID264" s="31"/>
      <c r="IE264" s="31" t="s">
        <v>344</v>
      </c>
      <c r="IF264" s="31"/>
      <c r="IG264" s="31" t="s">
        <v>344</v>
      </c>
      <c r="IH264" s="31"/>
      <c r="II264" s="31" t="s">
        <v>344</v>
      </c>
      <c r="IJ264" s="31"/>
      <c r="IK264" s="31" t="s">
        <v>344</v>
      </c>
      <c r="IL264" s="31"/>
      <c r="IM264" s="31" t="s">
        <v>345</v>
      </c>
      <c r="IN264" s="31" t="s">
        <v>345</v>
      </c>
      <c r="IO264" s="31" t="s">
        <v>345</v>
      </c>
      <c r="IP264" s="31" t="s">
        <v>344</v>
      </c>
      <c r="IQ264" s="31" t="s">
        <v>345</v>
      </c>
      <c r="IR264" s="31" t="s">
        <v>344</v>
      </c>
      <c r="IS264" s="31" t="s">
        <v>344</v>
      </c>
      <c r="IT264" s="31" t="s">
        <v>345</v>
      </c>
      <c r="IU264" s="31" t="s">
        <v>344</v>
      </c>
      <c r="IV264" s="31" t="s">
        <v>344</v>
      </c>
      <c r="IW264" s="31" t="s">
        <v>344</v>
      </c>
      <c r="IX264" s="31" t="s">
        <v>344</v>
      </c>
      <c r="IY264" s="31" t="s">
        <v>345</v>
      </c>
      <c r="IZ264" s="31" t="s">
        <v>344</v>
      </c>
      <c r="JA264" s="31"/>
      <c r="JB264" s="31"/>
    </row>
    <row r="265" spans="1:262" x14ac:dyDescent="0.3">
      <c r="A265" s="30" t="s">
        <v>727</v>
      </c>
      <c r="B265" s="31">
        <v>230</v>
      </c>
      <c r="C265" s="31" t="s">
        <v>1471</v>
      </c>
      <c r="D265" s="31">
        <v>14</v>
      </c>
      <c r="E265" s="31" t="s">
        <v>387</v>
      </c>
      <c r="F265" s="31">
        <v>629287385</v>
      </c>
      <c r="G265" s="31" t="s">
        <v>1472</v>
      </c>
      <c r="H265" s="31" t="s">
        <v>1471</v>
      </c>
      <c r="I265" s="31" t="s">
        <v>1400</v>
      </c>
      <c r="J265" s="31">
        <v>17</v>
      </c>
      <c r="K265" s="31" t="s">
        <v>1282</v>
      </c>
      <c r="L265" s="31"/>
      <c r="M265" s="31" t="s">
        <v>345</v>
      </c>
      <c r="N265" s="31" t="s">
        <v>344</v>
      </c>
      <c r="O265" s="31" t="s">
        <v>344</v>
      </c>
      <c r="P265" s="31" t="s">
        <v>344</v>
      </c>
      <c r="Q265" s="31" t="s">
        <v>344</v>
      </c>
      <c r="R265" s="31"/>
      <c r="S265" s="31" t="s">
        <v>475</v>
      </c>
      <c r="T265" s="31"/>
      <c r="U265" s="31" t="s">
        <v>1270</v>
      </c>
      <c r="V265" s="31"/>
      <c r="W265" s="31" t="s">
        <v>345</v>
      </c>
      <c r="X265" s="31" t="s">
        <v>344</v>
      </c>
      <c r="Y265" s="31" t="s">
        <v>344</v>
      </c>
      <c r="Z265" s="31" t="s">
        <v>344</v>
      </c>
      <c r="AA265" s="31" t="s">
        <v>344</v>
      </c>
      <c r="AB265" s="31" t="s">
        <v>344</v>
      </c>
      <c r="AC265" s="31" t="s">
        <v>344</v>
      </c>
      <c r="AD265" s="31" t="s">
        <v>344</v>
      </c>
      <c r="AE265" s="31" t="s">
        <v>345</v>
      </c>
      <c r="AF265" s="31" t="s">
        <v>344</v>
      </c>
      <c r="AG265" s="31" t="s">
        <v>344</v>
      </c>
      <c r="AH265" s="31" t="s">
        <v>344</v>
      </c>
      <c r="AI265" s="31" t="s">
        <v>344</v>
      </c>
      <c r="AJ265" s="31" t="s">
        <v>344</v>
      </c>
      <c r="AK265" s="31" t="s">
        <v>368</v>
      </c>
      <c r="AL265" s="31" t="s">
        <v>368</v>
      </c>
      <c r="AM265" s="31" t="s">
        <v>368</v>
      </c>
      <c r="AN265" s="31" t="s">
        <v>368</v>
      </c>
      <c r="AO265" s="31" t="s">
        <v>368</v>
      </c>
      <c r="AP265" s="31" t="s">
        <v>368</v>
      </c>
      <c r="AQ265" s="31" t="s">
        <v>345</v>
      </c>
      <c r="AR265" s="31" t="s">
        <v>368</v>
      </c>
      <c r="AS265" s="31" t="s">
        <v>368</v>
      </c>
      <c r="AT265" s="31" t="s">
        <v>368</v>
      </c>
      <c r="AU265" s="31" t="s">
        <v>368</v>
      </c>
      <c r="AV265" s="31" t="s">
        <v>368</v>
      </c>
      <c r="AW265" s="31" t="s">
        <v>368</v>
      </c>
      <c r="AX265" s="31" t="s">
        <v>345</v>
      </c>
      <c r="AY265" s="31" t="s">
        <v>391</v>
      </c>
      <c r="AZ265" s="31" t="s">
        <v>733</v>
      </c>
      <c r="BA265" s="31" t="s">
        <v>733</v>
      </c>
      <c r="BB265" s="31" t="s">
        <v>391</v>
      </c>
      <c r="BC265" s="31" t="s">
        <v>731</v>
      </c>
      <c r="BD265" s="31" t="s">
        <v>732</v>
      </c>
      <c r="BE265" s="31" t="s">
        <v>349</v>
      </c>
      <c r="BF265" s="31" t="s">
        <v>350</v>
      </c>
      <c r="BG265" s="31" t="s">
        <v>348</v>
      </c>
      <c r="BH265" s="31" t="s">
        <v>348</v>
      </c>
      <c r="BI265" s="31" t="s">
        <v>717</v>
      </c>
      <c r="BJ265" s="31" t="s">
        <v>352</v>
      </c>
      <c r="BK265" s="31" t="s">
        <v>391</v>
      </c>
      <c r="BL265" s="31" t="s">
        <v>356</v>
      </c>
      <c r="BM265" s="31" t="s">
        <v>391</v>
      </c>
      <c r="BN265" s="31" t="s">
        <v>391</v>
      </c>
      <c r="BO265" s="31" t="s">
        <v>353</v>
      </c>
      <c r="BP265" s="31" t="s">
        <v>391</v>
      </c>
      <c r="BQ265" s="31" t="s">
        <v>358</v>
      </c>
      <c r="BR265" s="31" t="s">
        <v>1296</v>
      </c>
      <c r="BS265" s="31" t="s">
        <v>351</v>
      </c>
      <c r="BT265" s="31" t="s">
        <v>391</v>
      </c>
      <c r="BU265" s="31" t="s">
        <v>391</v>
      </c>
      <c r="BV265" s="31" t="s">
        <v>391</v>
      </c>
      <c r="BW265" s="31" t="s">
        <v>355</v>
      </c>
      <c r="BX265" s="31" t="s">
        <v>391</v>
      </c>
      <c r="BY265" s="31" t="s">
        <v>391</v>
      </c>
      <c r="BZ265" s="31" t="s">
        <v>391</v>
      </c>
      <c r="CA265" s="31" t="s">
        <v>391</v>
      </c>
      <c r="CB265" s="31" t="s">
        <v>391</v>
      </c>
      <c r="CC265" s="31" t="s">
        <v>391</v>
      </c>
      <c r="CD265" s="31" t="s">
        <v>391</v>
      </c>
      <c r="CE265" s="31" t="s">
        <v>391</v>
      </c>
      <c r="CF265" s="31" t="s">
        <v>391</v>
      </c>
      <c r="CG265" s="31" t="s">
        <v>393</v>
      </c>
      <c r="CH265" s="31" t="s">
        <v>392</v>
      </c>
      <c r="CI265" s="31" t="s">
        <v>393</v>
      </c>
      <c r="CJ265" s="31" t="s">
        <v>392</v>
      </c>
      <c r="CK265" s="31"/>
      <c r="CL265" s="31" t="s">
        <v>344</v>
      </c>
      <c r="CM265" s="31" t="s">
        <v>344</v>
      </c>
      <c r="CN265" s="31" t="s">
        <v>344</v>
      </c>
      <c r="CO265" s="31" t="s">
        <v>345</v>
      </c>
      <c r="CP265" s="31" t="s">
        <v>345</v>
      </c>
      <c r="CQ265" s="31" t="s">
        <v>344</v>
      </c>
      <c r="CR265" s="31" t="s">
        <v>655</v>
      </c>
      <c r="CS265" s="31">
        <v>28</v>
      </c>
      <c r="CT265" s="31">
        <v>41</v>
      </c>
      <c r="CU265" s="31"/>
      <c r="CV265" s="31"/>
      <c r="CW265" s="31" t="s">
        <v>471</v>
      </c>
      <c r="CX265" s="31" t="s">
        <v>471</v>
      </c>
      <c r="CY265" s="31" t="s">
        <v>396</v>
      </c>
      <c r="CZ265" s="31" t="s">
        <v>397</v>
      </c>
      <c r="DA265" s="31" t="s">
        <v>397</v>
      </c>
      <c r="DB265" s="31" t="s">
        <v>397</v>
      </c>
      <c r="DC265" s="31" t="s">
        <v>397</v>
      </c>
      <c r="DD265" s="31" t="s">
        <v>397</v>
      </c>
      <c r="DE265" s="31"/>
      <c r="DF265" s="31"/>
      <c r="DG265" s="31"/>
      <c r="DH265" s="31"/>
      <c r="DI265" s="31"/>
      <c r="DJ265" s="31"/>
      <c r="DK265" s="31" t="s">
        <v>344</v>
      </c>
      <c r="DL265" s="31" t="s">
        <v>368</v>
      </c>
      <c r="DM265" s="31" t="s">
        <v>368</v>
      </c>
      <c r="DN265" s="31" t="s">
        <v>368</v>
      </c>
      <c r="DO265" s="31" t="s">
        <v>368</v>
      </c>
      <c r="DP265" s="31" t="s">
        <v>368</v>
      </c>
      <c r="DQ265" s="31" t="s">
        <v>368</v>
      </c>
      <c r="DR265" s="31" t="s">
        <v>368</v>
      </c>
      <c r="DS265" s="31" t="s">
        <v>345</v>
      </c>
      <c r="DT265" s="31" t="s">
        <v>345</v>
      </c>
      <c r="DU265" s="31" t="s">
        <v>344</v>
      </c>
      <c r="DV265" s="31" t="s">
        <v>344</v>
      </c>
      <c r="DW265" s="31" t="s">
        <v>344</v>
      </c>
      <c r="DX265" s="31" t="s">
        <v>1258</v>
      </c>
      <c r="DY265" s="31" t="s">
        <v>1258</v>
      </c>
      <c r="DZ265" s="31" t="s">
        <v>1258</v>
      </c>
      <c r="EA265" s="31" t="s">
        <v>1258</v>
      </c>
      <c r="EB265" s="31" t="s">
        <v>1258</v>
      </c>
      <c r="EC265" s="31" t="s">
        <v>1258</v>
      </c>
      <c r="ED265" s="31" t="s">
        <v>1258</v>
      </c>
      <c r="EE265" s="31" t="s">
        <v>1274</v>
      </c>
      <c r="EF265" s="31" t="s">
        <v>1272</v>
      </c>
      <c r="EG265" s="31" t="s">
        <v>397</v>
      </c>
      <c r="EH265" s="31" t="s">
        <v>1272</v>
      </c>
      <c r="EI265" s="31" t="s">
        <v>397</v>
      </c>
      <c r="EJ265" s="31" t="s">
        <v>1274</v>
      </c>
      <c r="EK265" s="31" t="s">
        <v>397</v>
      </c>
      <c r="EL265" s="31" t="s">
        <v>1260</v>
      </c>
      <c r="EM265" s="31" t="s">
        <v>1276</v>
      </c>
      <c r="EN265" s="31" t="s">
        <v>1259</v>
      </c>
      <c r="EO265" s="31"/>
      <c r="EP265" s="31"/>
      <c r="EQ265" s="31" t="s">
        <v>717</v>
      </c>
      <c r="ER265" s="31" t="s">
        <v>717</v>
      </c>
      <c r="ES265" s="31" t="s">
        <v>717</v>
      </c>
      <c r="ET265" s="31" t="s">
        <v>717</v>
      </c>
      <c r="EU265" s="31" t="s">
        <v>717</v>
      </c>
      <c r="EV265" s="31" t="s">
        <v>1265</v>
      </c>
      <c r="EW265" s="31"/>
      <c r="EX265" s="31" t="s">
        <v>368</v>
      </c>
      <c r="EY265" s="31" t="s">
        <v>368</v>
      </c>
      <c r="EZ265" s="31" t="s">
        <v>368</v>
      </c>
      <c r="FA265" s="31" t="s">
        <v>345</v>
      </c>
      <c r="FB265" s="31" t="s">
        <v>1266</v>
      </c>
      <c r="FC265" s="31"/>
      <c r="FD265" s="31" t="s">
        <v>1266</v>
      </c>
      <c r="FE265" s="31"/>
      <c r="FF265" s="31" t="s">
        <v>382</v>
      </c>
      <c r="FG265" s="31" t="s">
        <v>441</v>
      </c>
      <c r="FH265" s="31" t="s">
        <v>432</v>
      </c>
      <c r="FI265" s="31" t="s">
        <v>1286</v>
      </c>
      <c r="FJ265" s="31"/>
      <c r="FK265" s="31"/>
      <c r="FL265" s="31"/>
      <c r="FM265" s="31"/>
      <c r="FN265" s="31"/>
      <c r="FO265" s="31"/>
      <c r="FP265" s="31"/>
      <c r="FQ265" s="31"/>
      <c r="FR265" s="31"/>
      <c r="FS265" s="31"/>
      <c r="FT265" s="31"/>
      <c r="FU265" s="31"/>
      <c r="FV265" s="31"/>
      <c r="FW265" s="31"/>
      <c r="FX265" s="31"/>
      <c r="FY265" s="31"/>
      <c r="FZ265" s="31"/>
      <c r="GA265" s="31" t="s">
        <v>368</v>
      </c>
      <c r="GB265" s="31" t="s">
        <v>368</v>
      </c>
      <c r="GC265" s="31" t="s">
        <v>368</v>
      </c>
      <c r="GD265" s="31" t="s">
        <v>368</v>
      </c>
      <c r="GE265" s="31" t="s">
        <v>368</v>
      </c>
      <c r="GF265" s="31" t="s">
        <v>368</v>
      </c>
      <c r="GG265" s="31"/>
      <c r="GH265" s="31"/>
      <c r="GI265" s="31"/>
      <c r="GJ265" s="31"/>
      <c r="GK265" s="31"/>
      <c r="GL265" s="31" t="s">
        <v>344</v>
      </c>
      <c r="GM265" s="31" t="s">
        <v>344</v>
      </c>
      <c r="GN265" s="31" t="s">
        <v>344</v>
      </c>
      <c r="GO265" s="31" t="s">
        <v>344</v>
      </c>
      <c r="GP265" s="31" t="s">
        <v>344</v>
      </c>
      <c r="GQ265" s="31" t="s">
        <v>344</v>
      </c>
      <c r="GR265" s="31" t="s">
        <v>344</v>
      </c>
      <c r="GS265" s="31" t="s">
        <v>344</v>
      </c>
      <c r="GT265" s="31" t="s">
        <v>344</v>
      </c>
      <c r="GU265" s="31" t="s">
        <v>344</v>
      </c>
      <c r="GV265" s="31" t="s">
        <v>345</v>
      </c>
      <c r="GW265" s="31" t="s">
        <v>344</v>
      </c>
      <c r="GX265" s="31" t="s">
        <v>344</v>
      </c>
      <c r="GY265" s="31" t="s">
        <v>345</v>
      </c>
      <c r="GZ265" s="31" t="s">
        <v>344</v>
      </c>
      <c r="HA265" s="31" t="s">
        <v>344</v>
      </c>
      <c r="HB265" s="31"/>
      <c r="HC265" s="31" t="s">
        <v>344</v>
      </c>
      <c r="HD265" s="31"/>
      <c r="HE265" s="31" t="s">
        <v>344</v>
      </c>
      <c r="HF265" s="31"/>
      <c r="HG265" s="31" t="s">
        <v>344</v>
      </c>
      <c r="HH265" s="31"/>
      <c r="HI265" s="31" t="s">
        <v>344</v>
      </c>
      <c r="HJ265" s="31"/>
      <c r="HK265" s="31" t="s">
        <v>345</v>
      </c>
      <c r="HL265" s="31" t="s">
        <v>344</v>
      </c>
      <c r="HM265" s="31" t="s">
        <v>344</v>
      </c>
      <c r="HN265" s="31" t="s">
        <v>344</v>
      </c>
      <c r="HO265" s="31" t="s">
        <v>344</v>
      </c>
      <c r="HP265" s="31" t="s">
        <v>344</v>
      </c>
      <c r="HQ265" s="31" t="s">
        <v>344</v>
      </c>
      <c r="HR265" s="31" t="s">
        <v>344</v>
      </c>
      <c r="HS265" s="31" t="s">
        <v>344</v>
      </c>
      <c r="HT265" s="31" t="s">
        <v>344</v>
      </c>
      <c r="HU265" s="31" t="s">
        <v>344</v>
      </c>
      <c r="HV265" s="31" t="s">
        <v>344</v>
      </c>
      <c r="HW265" s="31" t="s">
        <v>345</v>
      </c>
      <c r="HX265" s="31" t="s">
        <v>344</v>
      </c>
      <c r="HY265" s="31" t="s">
        <v>344</v>
      </c>
      <c r="HZ265" s="31" t="s">
        <v>344</v>
      </c>
      <c r="IA265" s="31" t="s">
        <v>344</v>
      </c>
      <c r="IB265" s="31" t="s">
        <v>344</v>
      </c>
      <c r="IC265" s="31" t="s">
        <v>344</v>
      </c>
      <c r="ID265" s="31"/>
      <c r="IE265" s="31" t="s">
        <v>344</v>
      </c>
      <c r="IF265" s="31"/>
      <c r="IG265" s="31" t="s">
        <v>344</v>
      </c>
      <c r="IH265" s="31"/>
      <c r="II265" s="31" t="s">
        <v>344</v>
      </c>
      <c r="IJ265" s="31"/>
      <c r="IK265" s="31" t="s">
        <v>344</v>
      </c>
      <c r="IL265" s="31"/>
      <c r="IM265" s="31" t="s">
        <v>345</v>
      </c>
      <c r="IN265" s="31" t="s">
        <v>344</v>
      </c>
      <c r="IO265" s="31" t="s">
        <v>345</v>
      </c>
      <c r="IP265" s="31" t="s">
        <v>344</v>
      </c>
      <c r="IQ265" s="31" t="s">
        <v>345</v>
      </c>
      <c r="IR265" s="31" t="s">
        <v>344</v>
      </c>
      <c r="IS265" s="31" t="s">
        <v>344</v>
      </c>
      <c r="IT265" s="31" t="s">
        <v>345</v>
      </c>
      <c r="IU265" s="31" t="s">
        <v>344</v>
      </c>
      <c r="IV265" s="31" t="s">
        <v>344</v>
      </c>
      <c r="IW265" s="31" t="s">
        <v>344</v>
      </c>
      <c r="IX265" s="31" t="s">
        <v>344</v>
      </c>
      <c r="IY265" s="31" t="s">
        <v>345</v>
      </c>
      <c r="IZ265" s="31" t="s">
        <v>344</v>
      </c>
      <c r="JA265" s="31"/>
      <c r="JB265" s="31"/>
    </row>
    <row r="266" spans="1:262" x14ac:dyDescent="0.3">
      <c r="A266" s="30" t="s">
        <v>727</v>
      </c>
      <c r="B266" s="31">
        <v>231</v>
      </c>
      <c r="C266" s="31" t="s">
        <v>1473</v>
      </c>
      <c r="D266" s="31">
        <v>14</v>
      </c>
      <c r="E266" s="31" t="s">
        <v>387</v>
      </c>
      <c r="F266" s="31">
        <v>1593450215</v>
      </c>
      <c r="G266" s="31" t="s">
        <v>1474</v>
      </c>
      <c r="H266" s="31" t="s">
        <v>1473</v>
      </c>
      <c r="I266" s="31" t="s">
        <v>1400</v>
      </c>
      <c r="J266" s="31">
        <v>17</v>
      </c>
      <c r="K266" s="31" t="s">
        <v>1282</v>
      </c>
      <c r="L266" s="31"/>
      <c r="M266" s="31" t="s">
        <v>345</v>
      </c>
      <c r="N266" s="31" t="s">
        <v>344</v>
      </c>
      <c r="O266" s="31" t="s">
        <v>344</v>
      </c>
      <c r="P266" s="31" t="s">
        <v>344</v>
      </c>
      <c r="Q266" s="31" t="s">
        <v>344</v>
      </c>
      <c r="R266" s="31"/>
      <c r="S266" s="31" t="s">
        <v>475</v>
      </c>
      <c r="T266" s="31"/>
      <c r="U266" s="31" t="s">
        <v>1270</v>
      </c>
      <c r="V266" s="31"/>
      <c r="W266" s="31" t="s">
        <v>345</v>
      </c>
      <c r="X266" s="31" t="s">
        <v>345</v>
      </c>
      <c r="Y266" s="31" t="s">
        <v>344</v>
      </c>
      <c r="Z266" s="31" t="s">
        <v>344</v>
      </c>
      <c r="AA266" s="31" t="s">
        <v>344</v>
      </c>
      <c r="AB266" s="31" t="s">
        <v>344</v>
      </c>
      <c r="AC266" s="31" t="s">
        <v>344</v>
      </c>
      <c r="AD266" s="31" t="s">
        <v>344</v>
      </c>
      <c r="AE266" s="31" t="s">
        <v>345</v>
      </c>
      <c r="AF266" s="31" t="s">
        <v>344</v>
      </c>
      <c r="AG266" s="31" t="s">
        <v>344</v>
      </c>
      <c r="AH266" s="31" t="s">
        <v>344</v>
      </c>
      <c r="AI266" s="31" t="s">
        <v>345</v>
      </c>
      <c r="AJ266" s="31" t="s">
        <v>344</v>
      </c>
      <c r="AK266" s="31" t="s">
        <v>368</v>
      </c>
      <c r="AL266" s="31" t="s">
        <v>368</v>
      </c>
      <c r="AM266" s="31" t="s">
        <v>368</v>
      </c>
      <c r="AN266" s="31" t="s">
        <v>368</v>
      </c>
      <c r="AO266" s="31" t="s">
        <v>368</v>
      </c>
      <c r="AP266" s="31" t="s">
        <v>368</v>
      </c>
      <c r="AQ266" s="31" t="s">
        <v>345</v>
      </c>
      <c r="AR266" s="31" t="s">
        <v>345</v>
      </c>
      <c r="AS266" s="31" t="s">
        <v>344</v>
      </c>
      <c r="AT266" s="31" t="s">
        <v>345</v>
      </c>
      <c r="AU266" s="31" t="s">
        <v>344</v>
      </c>
      <c r="AV266" s="31" t="s">
        <v>344</v>
      </c>
      <c r="AW266" s="31" t="s">
        <v>345</v>
      </c>
      <c r="AX266" s="31" t="s">
        <v>344</v>
      </c>
      <c r="AY266" s="31" t="s">
        <v>391</v>
      </c>
      <c r="AZ266" s="31" t="s">
        <v>391</v>
      </c>
      <c r="BA266" s="31" t="s">
        <v>391</v>
      </c>
      <c r="BB266" s="31" t="s">
        <v>391</v>
      </c>
      <c r="BC266" s="31" t="s">
        <v>391</v>
      </c>
      <c r="BD266" s="31" t="s">
        <v>391</v>
      </c>
      <c r="BE266" s="31" t="s">
        <v>348</v>
      </c>
      <c r="BF266" s="31" t="s">
        <v>350</v>
      </c>
      <c r="BG266" s="31" t="s">
        <v>349</v>
      </c>
      <c r="BH266" s="31" t="s">
        <v>348</v>
      </c>
      <c r="BI266" s="31" t="s">
        <v>350</v>
      </c>
      <c r="BJ266" s="31" t="s">
        <v>391</v>
      </c>
      <c r="BK266" s="31" t="s">
        <v>391</v>
      </c>
      <c r="BL266" s="31" t="s">
        <v>352</v>
      </c>
      <c r="BM266" s="31" t="s">
        <v>391</v>
      </c>
      <c r="BN266" s="31" t="s">
        <v>391</v>
      </c>
      <c r="BO266" s="31" t="s">
        <v>354</v>
      </c>
      <c r="BP266" s="31" t="s">
        <v>391</v>
      </c>
      <c r="BQ266" s="31" t="s">
        <v>358</v>
      </c>
      <c r="BR266" s="31" t="s">
        <v>1296</v>
      </c>
      <c r="BS266" s="31" t="s">
        <v>391</v>
      </c>
      <c r="BT266" s="31" t="s">
        <v>391</v>
      </c>
      <c r="BU266" s="31" t="s">
        <v>391</v>
      </c>
      <c r="BV266" s="31" t="s">
        <v>391</v>
      </c>
      <c r="BW266" s="31" t="s">
        <v>391</v>
      </c>
      <c r="BX266" s="31" t="s">
        <v>391</v>
      </c>
      <c r="BY266" s="31" t="s">
        <v>391</v>
      </c>
      <c r="BZ266" s="31" t="s">
        <v>391</v>
      </c>
      <c r="CA266" s="31" t="s">
        <v>391</v>
      </c>
      <c r="CB266" s="31" t="s">
        <v>391</v>
      </c>
      <c r="CC266" s="31" t="s">
        <v>391</v>
      </c>
      <c r="CD266" s="31" t="s">
        <v>391</v>
      </c>
      <c r="CE266" s="31" t="s">
        <v>391</v>
      </c>
      <c r="CF266" s="31" t="s">
        <v>391</v>
      </c>
      <c r="CG266" s="31" t="s">
        <v>392</v>
      </c>
      <c r="CH266" s="31" t="s">
        <v>360</v>
      </c>
      <c r="CI266" s="31" t="s">
        <v>392</v>
      </c>
      <c r="CJ266" s="31" t="s">
        <v>360</v>
      </c>
      <c r="CK266" s="31" t="s">
        <v>1475</v>
      </c>
      <c r="CL266" s="31" t="s">
        <v>345</v>
      </c>
      <c r="CM266" s="31" t="s">
        <v>344</v>
      </c>
      <c r="CN266" s="31" t="s">
        <v>344</v>
      </c>
      <c r="CO266" s="31" t="s">
        <v>345</v>
      </c>
      <c r="CP266" s="31" t="s">
        <v>345</v>
      </c>
      <c r="CQ266" s="31" t="s">
        <v>344</v>
      </c>
      <c r="CR266" s="31" t="s">
        <v>655</v>
      </c>
      <c r="CS266" s="31">
        <v>60</v>
      </c>
      <c r="CT266" s="31">
        <v>86</v>
      </c>
      <c r="CU266" s="31"/>
      <c r="CV266" s="31"/>
      <c r="CW266" s="31" t="s">
        <v>363</v>
      </c>
      <c r="CX266" s="31" t="s">
        <v>395</v>
      </c>
      <c r="CY266" s="31" t="s">
        <v>396</v>
      </c>
      <c r="CZ266" s="31" t="s">
        <v>423</v>
      </c>
      <c r="DA266" s="31" t="s">
        <v>397</v>
      </c>
      <c r="DB266" s="31" t="s">
        <v>717</v>
      </c>
      <c r="DC266" s="31" t="s">
        <v>717</v>
      </c>
      <c r="DD266" s="31" t="s">
        <v>423</v>
      </c>
      <c r="DE266" s="31"/>
      <c r="DF266" s="31"/>
      <c r="DG266" s="31"/>
      <c r="DH266" s="31"/>
      <c r="DI266" s="31"/>
      <c r="DJ266" s="31" t="s">
        <v>1476</v>
      </c>
      <c r="DK266" s="31" t="s">
        <v>1462</v>
      </c>
      <c r="DL266" s="31" t="s">
        <v>345</v>
      </c>
      <c r="DM266" s="31" t="s">
        <v>344</v>
      </c>
      <c r="DN266" s="31" t="s">
        <v>345</v>
      </c>
      <c r="DO266" s="31" t="s">
        <v>344</v>
      </c>
      <c r="DP266" s="31" t="s">
        <v>345</v>
      </c>
      <c r="DQ266" s="31" t="s">
        <v>345</v>
      </c>
      <c r="DR266" s="31" t="s">
        <v>345</v>
      </c>
      <c r="DS266" s="31" t="s">
        <v>344</v>
      </c>
      <c r="DT266" s="31" t="s">
        <v>345</v>
      </c>
      <c r="DU266" s="31" t="s">
        <v>344</v>
      </c>
      <c r="DV266" s="31" t="s">
        <v>344</v>
      </c>
      <c r="DW266" s="31" t="s">
        <v>344</v>
      </c>
      <c r="DX266" s="31" t="s">
        <v>1258</v>
      </c>
      <c r="DY266" s="31" t="s">
        <v>1258</v>
      </c>
      <c r="DZ266" s="31" t="s">
        <v>1258</v>
      </c>
      <c r="EA266" s="31" t="s">
        <v>1258</v>
      </c>
      <c r="EB266" s="31" t="s">
        <v>1258</v>
      </c>
      <c r="EC266" s="31" t="s">
        <v>1258</v>
      </c>
      <c r="ED266" s="31" t="s">
        <v>1258</v>
      </c>
      <c r="EE266" s="31" t="s">
        <v>397</v>
      </c>
      <c r="EF266" s="31" t="s">
        <v>397</v>
      </c>
      <c r="EG266" s="31" t="s">
        <v>1272</v>
      </c>
      <c r="EH266" s="31" t="s">
        <v>1272</v>
      </c>
      <c r="EI266" s="31" t="s">
        <v>397</v>
      </c>
      <c r="EJ266" s="31" t="s">
        <v>397</v>
      </c>
      <c r="EK266" s="31" t="s">
        <v>1272</v>
      </c>
      <c r="EL266" s="31" t="s">
        <v>1275</v>
      </c>
      <c r="EM266" s="31" t="s">
        <v>1260</v>
      </c>
      <c r="EN266" s="31" t="s">
        <v>1261</v>
      </c>
      <c r="EO266" s="31"/>
      <c r="EP266" s="31"/>
      <c r="EQ266" s="31" t="s">
        <v>717</v>
      </c>
      <c r="ER266" s="31" t="s">
        <v>717</v>
      </c>
      <c r="ES266" s="31" t="s">
        <v>717</v>
      </c>
      <c r="ET266" s="31" t="s">
        <v>717</v>
      </c>
      <c r="EU266" s="31" t="s">
        <v>717</v>
      </c>
      <c r="EV266" s="31" t="s">
        <v>1265</v>
      </c>
      <c r="EW266" s="31"/>
      <c r="EX266" s="31" t="s">
        <v>368</v>
      </c>
      <c r="EY266" s="31" t="s">
        <v>368</v>
      </c>
      <c r="EZ266" s="31" t="s">
        <v>368</v>
      </c>
      <c r="FA266" s="31" t="s">
        <v>345</v>
      </c>
      <c r="FB266" s="31" t="s">
        <v>1266</v>
      </c>
      <c r="FC266" s="31"/>
      <c r="FD266" s="31" t="s">
        <v>1266</v>
      </c>
      <c r="FE266" s="31"/>
      <c r="FF266" s="31" t="s">
        <v>431</v>
      </c>
      <c r="FG266" s="31" t="s">
        <v>441</v>
      </c>
      <c r="FH266" s="31" t="s">
        <v>460</v>
      </c>
      <c r="FI266" s="31" t="s">
        <v>442</v>
      </c>
      <c r="FJ266" s="31"/>
      <c r="FK266" s="31"/>
      <c r="FL266" s="31"/>
      <c r="FM266" s="31"/>
      <c r="FN266" s="31"/>
      <c r="FO266" s="31"/>
      <c r="FP266" s="31"/>
      <c r="FQ266" s="31"/>
      <c r="FR266" s="31"/>
      <c r="FS266" s="31"/>
      <c r="FT266" s="31"/>
      <c r="FU266" s="31"/>
      <c r="FV266" s="31"/>
      <c r="FW266" s="31"/>
      <c r="FX266" s="31"/>
      <c r="FY266" s="31"/>
      <c r="FZ266" s="31"/>
      <c r="GA266" s="31" t="s">
        <v>368</v>
      </c>
      <c r="GB266" s="31" t="s">
        <v>368</v>
      </c>
      <c r="GC266" s="31" t="s">
        <v>368</v>
      </c>
      <c r="GD266" s="31" t="s">
        <v>368</v>
      </c>
      <c r="GE266" s="31" t="s">
        <v>368</v>
      </c>
      <c r="GF266" s="31" t="s">
        <v>368</v>
      </c>
      <c r="GG266" s="31"/>
      <c r="GH266" s="31"/>
      <c r="GI266" s="31"/>
      <c r="GJ266" s="31"/>
      <c r="GK266" s="31"/>
      <c r="GL266" s="31" t="s">
        <v>344</v>
      </c>
      <c r="GM266" s="31" t="s">
        <v>344</v>
      </c>
      <c r="GN266" s="31" t="s">
        <v>345</v>
      </c>
      <c r="GO266" s="31" t="s">
        <v>345</v>
      </c>
      <c r="GP266" s="31" t="s">
        <v>344</v>
      </c>
      <c r="GQ266" s="31" t="s">
        <v>344</v>
      </c>
      <c r="GR266" s="31" t="s">
        <v>344</v>
      </c>
      <c r="GS266" s="31" t="s">
        <v>344</v>
      </c>
      <c r="GT266" s="31" t="s">
        <v>345</v>
      </c>
      <c r="GU266" s="31" t="s">
        <v>344</v>
      </c>
      <c r="GV266" s="31" t="s">
        <v>344</v>
      </c>
      <c r="GW266" s="31" t="s">
        <v>345</v>
      </c>
      <c r="GX266" s="31" t="s">
        <v>344</v>
      </c>
      <c r="GY266" s="31" t="s">
        <v>345</v>
      </c>
      <c r="GZ266" s="31" t="s">
        <v>344</v>
      </c>
      <c r="HA266" s="31" t="s">
        <v>344</v>
      </c>
      <c r="HB266" s="31"/>
      <c r="HC266" s="31" t="s">
        <v>344</v>
      </c>
      <c r="HD266" s="31"/>
      <c r="HE266" s="31" t="s">
        <v>344</v>
      </c>
      <c r="HF266" s="31"/>
      <c r="HG266" s="31" t="s">
        <v>344</v>
      </c>
      <c r="HH266" s="31"/>
      <c r="HI266" s="31" t="s">
        <v>344</v>
      </c>
      <c r="HJ266" s="31"/>
      <c r="HK266" s="31" t="s">
        <v>345</v>
      </c>
      <c r="HL266" s="31" t="s">
        <v>344</v>
      </c>
      <c r="HM266" s="31" t="s">
        <v>344</v>
      </c>
      <c r="HN266" s="31" t="s">
        <v>344</v>
      </c>
      <c r="HO266" s="31" t="s">
        <v>345</v>
      </c>
      <c r="HP266" s="31" t="s">
        <v>344</v>
      </c>
      <c r="HQ266" s="31" t="s">
        <v>344</v>
      </c>
      <c r="HR266" s="31" t="s">
        <v>344</v>
      </c>
      <c r="HS266" s="31" t="s">
        <v>344</v>
      </c>
      <c r="HT266" s="31" t="s">
        <v>344</v>
      </c>
      <c r="HU266" s="31" t="s">
        <v>345</v>
      </c>
      <c r="HV266" s="31" t="s">
        <v>344</v>
      </c>
      <c r="HW266" s="31" t="s">
        <v>345</v>
      </c>
      <c r="HX266" s="31" t="s">
        <v>344</v>
      </c>
      <c r="HY266" s="31" t="s">
        <v>344</v>
      </c>
      <c r="HZ266" s="31" t="s">
        <v>344</v>
      </c>
      <c r="IA266" s="31" t="s">
        <v>345</v>
      </c>
      <c r="IB266" s="31" t="s">
        <v>344</v>
      </c>
      <c r="IC266" s="31" t="s">
        <v>344</v>
      </c>
      <c r="ID266" s="31"/>
      <c r="IE266" s="31" t="s">
        <v>344</v>
      </c>
      <c r="IF266" s="31"/>
      <c r="IG266" s="31" t="s">
        <v>344</v>
      </c>
      <c r="IH266" s="31"/>
      <c r="II266" s="31" t="s">
        <v>344</v>
      </c>
      <c r="IJ266" s="31"/>
      <c r="IK266" s="31" t="s">
        <v>344</v>
      </c>
      <c r="IL266" s="31"/>
      <c r="IM266" s="31" t="s">
        <v>345</v>
      </c>
      <c r="IN266" s="31" t="s">
        <v>345</v>
      </c>
      <c r="IO266" s="31" t="s">
        <v>345</v>
      </c>
      <c r="IP266" s="31" t="s">
        <v>344</v>
      </c>
      <c r="IQ266" s="31" t="s">
        <v>345</v>
      </c>
      <c r="IR266" s="31" t="s">
        <v>344</v>
      </c>
      <c r="IS266" s="31" t="s">
        <v>344</v>
      </c>
      <c r="IT266" s="31" t="s">
        <v>345</v>
      </c>
      <c r="IU266" s="31" t="s">
        <v>345</v>
      </c>
      <c r="IV266" s="31" t="s">
        <v>345</v>
      </c>
      <c r="IW266" s="31" t="s">
        <v>345</v>
      </c>
      <c r="IX266" s="31" t="s">
        <v>344</v>
      </c>
      <c r="IY266" s="31" t="s">
        <v>345</v>
      </c>
      <c r="IZ266" s="31" t="s">
        <v>344</v>
      </c>
      <c r="JA266" s="31"/>
      <c r="JB266" s="31"/>
    </row>
    <row r="267" spans="1:262" x14ac:dyDescent="0.3">
      <c r="A267" s="30" t="s">
        <v>727</v>
      </c>
      <c r="B267" s="31">
        <v>234</v>
      </c>
      <c r="C267" s="31" t="s">
        <v>1477</v>
      </c>
      <c r="D267" s="31">
        <v>14</v>
      </c>
      <c r="E267" s="31" t="s">
        <v>340</v>
      </c>
      <c r="F267" s="31">
        <v>702487594</v>
      </c>
      <c r="G267" s="31" t="s">
        <v>1478</v>
      </c>
      <c r="H267" s="31" t="s">
        <v>1477</v>
      </c>
      <c r="I267" s="31" t="s">
        <v>1444</v>
      </c>
      <c r="J267" s="31">
        <v>17</v>
      </c>
      <c r="K267" s="31" t="s">
        <v>1282</v>
      </c>
      <c r="L267" s="31"/>
      <c r="M267" s="31" t="s">
        <v>345</v>
      </c>
      <c r="N267" s="31" t="s">
        <v>345</v>
      </c>
      <c r="O267" s="31" t="s">
        <v>344</v>
      </c>
      <c r="P267" s="31" t="s">
        <v>344</v>
      </c>
      <c r="Q267" s="31" t="s">
        <v>344</v>
      </c>
      <c r="R267" s="31"/>
      <c r="S267" s="31" t="s">
        <v>475</v>
      </c>
      <c r="T267" s="31"/>
      <c r="U267" s="31" t="s">
        <v>1270</v>
      </c>
      <c r="V267" s="31"/>
      <c r="W267" s="31" t="s">
        <v>345</v>
      </c>
      <c r="X267" s="31" t="s">
        <v>344</v>
      </c>
      <c r="Y267" s="31" t="s">
        <v>344</v>
      </c>
      <c r="Z267" s="31" t="s">
        <v>344</v>
      </c>
      <c r="AA267" s="31" t="s">
        <v>344</v>
      </c>
      <c r="AB267" s="31" t="s">
        <v>344</v>
      </c>
      <c r="AC267" s="31" t="s">
        <v>344</v>
      </c>
      <c r="AD267" s="31" t="s">
        <v>345</v>
      </c>
      <c r="AE267" s="31" t="s">
        <v>344</v>
      </c>
      <c r="AF267" s="31" t="s">
        <v>344</v>
      </c>
      <c r="AG267" s="31" t="s">
        <v>344</v>
      </c>
      <c r="AH267" s="31" t="s">
        <v>344</v>
      </c>
      <c r="AI267" s="31" t="s">
        <v>344</v>
      </c>
      <c r="AJ267" s="31" t="s">
        <v>344</v>
      </c>
      <c r="AK267" s="31" t="s">
        <v>368</v>
      </c>
      <c r="AL267" s="31" t="s">
        <v>368</v>
      </c>
      <c r="AM267" s="31" t="s">
        <v>368</v>
      </c>
      <c r="AN267" s="31" t="s">
        <v>368</v>
      </c>
      <c r="AO267" s="31" t="s">
        <v>368</v>
      </c>
      <c r="AP267" s="31" t="s">
        <v>368</v>
      </c>
      <c r="AQ267" s="31" t="s">
        <v>345</v>
      </c>
      <c r="AR267" s="31" t="s">
        <v>345</v>
      </c>
      <c r="AS267" s="31" t="s">
        <v>345</v>
      </c>
      <c r="AT267" s="31" t="s">
        <v>345</v>
      </c>
      <c r="AU267" s="31" t="s">
        <v>344</v>
      </c>
      <c r="AV267" s="31" t="s">
        <v>344</v>
      </c>
      <c r="AW267" s="31" t="s">
        <v>344</v>
      </c>
      <c r="AX267" s="31" t="s">
        <v>344</v>
      </c>
      <c r="AY267" s="31" t="s">
        <v>391</v>
      </c>
      <c r="AZ267" s="31" t="s">
        <v>391</v>
      </c>
      <c r="BA267" s="31" t="s">
        <v>391</v>
      </c>
      <c r="BB267" s="31" t="s">
        <v>391</v>
      </c>
      <c r="BC267" s="31" t="s">
        <v>391</v>
      </c>
      <c r="BD267" s="31" t="s">
        <v>391</v>
      </c>
      <c r="BE267" s="31" t="s">
        <v>348</v>
      </c>
      <c r="BF267" s="31" t="s">
        <v>349</v>
      </c>
      <c r="BG267" s="31" t="s">
        <v>349</v>
      </c>
      <c r="BH267" s="31" t="s">
        <v>717</v>
      </c>
      <c r="BI267" s="31" t="s">
        <v>717</v>
      </c>
      <c r="BJ267" s="31" t="s">
        <v>391</v>
      </c>
      <c r="BK267" s="31" t="s">
        <v>391</v>
      </c>
      <c r="BL267" s="31" t="s">
        <v>391</v>
      </c>
      <c r="BM267" s="31" t="s">
        <v>391</v>
      </c>
      <c r="BN267" s="31" t="s">
        <v>391</v>
      </c>
      <c r="BO267" s="31" t="s">
        <v>391</v>
      </c>
      <c r="BP267" s="31" t="s">
        <v>391</v>
      </c>
      <c r="BQ267" s="31" t="s">
        <v>358</v>
      </c>
      <c r="BR267" s="31" t="s">
        <v>1296</v>
      </c>
      <c r="BS267" s="31" t="s">
        <v>391</v>
      </c>
      <c r="BT267" s="31" t="s">
        <v>391</v>
      </c>
      <c r="BU267" s="31" t="s">
        <v>391</v>
      </c>
      <c r="BV267" s="31" t="s">
        <v>391</v>
      </c>
      <c r="BW267" s="31" t="s">
        <v>391</v>
      </c>
      <c r="BX267" s="31" t="s">
        <v>391</v>
      </c>
      <c r="BY267" s="31" t="s">
        <v>391</v>
      </c>
      <c r="BZ267" s="31" t="s">
        <v>391</v>
      </c>
      <c r="CA267" s="31" t="s">
        <v>391</v>
      </c>
      <c r="CB267" s="31" t="s">
        <v>391</v>
      </c>
      <c r="CC267" s="31" t="s">
        <v>391</v>
      </c>
      <c r="CD267" s="31" t="s">
        <v>391</v>
      </c>
      <c r="CE267" s="31" t="s">
        <v>391</v>
      </c>
      <c r="CF267" s="31" t="s">
        <v>391</v>
      </c>
      <c r="CG267" s="31" t="s">
        <v>393</v>
      </c>
      <c r="CH267" s="31" t="s">
        <v>421</v>
      </c>
      <c r="CI267" s="31" t="s">
        <v>393</v>
      </c>
      <c r="CJ267" s="31" t="s">
        <v>420</v>
      </c>
      <c r="CK267" s="31" t="s">
        <v>835</v>
      </c>
      <c r="CL267" s="31" t="s">
        <v>344</v>
      </c>
      <c r="CM267" s="31" t="s">
        <v>344</v>
      </c>
      <c r="CN267" s="31" t="s">
        <v>344</v>
      </c>
      <c r="CO267" s="31" t="s">
        <v>345</v>
      </c>
      <c r="CP267" s="31" t="s">
        <v>344</v>
      </c>
      <c r="CQ267" s="31" t="s">
        <v>344</v>
      </c>
      <c r="CR267" s="31" t="s">
        <v>667</v>
      </c>
      <c r="CS267" s="31">
        <v>41</v>
      </c>
      <c r="CT267" s="31">
        <v>79</v>
      </c>
      <c r="CU267" s="31">
        <v>71</v>
      </c>
      <c r="CV267" s="31">
        <v>54</v>
      </c>
      <c r="CW267" s="31" t="s">
        <v>396</v>
      </c>
      <c r="CX267" s="31" t="s">
        <v>396</v>
      </c>
      <c r="CY267" s="31" t="s">
        <v>396</v>
      </c>
      <c r="CZ267" s="31" t="s">
        <v>717</v>
      </c>
      <c r="DA267" s="31" t="s">
        <v>397</v>
      </c>
      <c r="DB267" s="31" t="s">
        <v>717</v>
      </c>
      <c r="DC267" s="31" t="s">
        <v>717</v>
      </c>
      <c r="DD267" s="31" t="s">
        <v>397</v>
      </c>
      <c r="DE267" s="31" t="s">
        <v>366</v>
      </c>
      <c r="DF267" s="31" t="s">
        <v>397</v>
      </c>
      <c r="DG267" s="31" t="s">
        <v>397</v>
      </c>
      <c r="DH267" s="31" t="s">
        <v>717</v>
      </c>
      <c r="DI267" s="31" t="s">
        <v>397</v>
      </c>
      <c r="DJ267" s="31" t="s">
        <v>1479</v>
      </c>
      <c r="DK267" s="31" t="s">
        <v>344</v>
      </c>
      <c r="DL267" s="31" t="s">
        <v>368</v>
      </c>
      <c r="DM267" s="31" t="s">
        <v>368</v>
      </c>
      <c r="DN267" s="31" t="s">
        <v>368</v>
      </c>
      <c r="DO267" s="31" t="s">
        <v>368</v>
      </c>
      <c r="DP267" s="31" t="s">
        <v>368</v>
      </c>
      <c r="DQ267" s="31" t="s">
        <v>368</v>
      </c>
      <c r="DR267" s="31" t="s">
        <v>368</v>
      </c>
      <c r="DS267" s="31" t="s">
        <v>345</v>
      </c>
      <c r="DT267" s="31" t="s">
        <v>368</v>
      </c>
      <c r="DU267" s="31" t="s">
        <v>368</v>
      </c>
      <c r="DV267" s="31" t="s">
        <v>368</v>
      </c>
      <c r="DW267" s="31" t="s">
        <v>345</v>
      </c>
      <c r="DX267" s="31" t="s">
        <v>1258</v>
      </c>
      <c r="DY267" s="31" t="s">
        <v>1258</v>
      </c>
      <c r="DZ267" s="31" t="s">
        <v>1258</v>
      </c>
      <c r="EA267" s="31" t="s">
        <v>1272</v>
      </c>
      <c r="EB267" s="31" t="s">
        <v>1258</v>
      </c>
      <c r="EC267" s="31" t="s">
        <v>397</v>
      </c>
      <c r="ED267" s="31" t="s">
        <v>1272</v>
      </c>
      <c r="EE267" s="31" t="s">
        <v>1272</v>
      </c>
      <c r="EF267" s="31" t="s">
        <v>397</v>
      </c>
      <c r="EG267" s="31" t="s">
        <v>397</v>
      </c>
      <c r="EH267" s="31" t="s">
        <v>1258</v>
      </c>
      <c r="EI267" s="31" t="s">
        <v>397</v>
      </c>
      <c r="EJ267" s="31" t="s">
        <v>1272</v>
      </c>
      <c r="EK267" s="31" t="s">
        <v>1272</v>
      </c>
      <c r="EL267" s="31" t="s">
        <v>1276</v>
      </c>
      <c r="EM267" s="31" t="s">
        <v>1261</v>
      </c>
      <c r="EN267" s="31" t="s">
        <v>1260</v>
      </c>
      <c r="EO267" s="31"/>
      <c r="EP267" s="31"/>
      <c r="EQ267" s="31" t="s">
        <v>1264</v>
      </c>
      <c r="ER267" s="31" t="s">
        <v>1264</v>
      </c>
      <c r="ES267" s="31" t="s">
        <v>1264</v>
      </c>
      <c r="ET267" s="31" t="s">
        <v>717</v>
      </c>
      <c r="EU267" s="31" t="s">
        <v>717</v>
      </c>
      <c r="EV267" s="31" t="s">
        <v>1265</v>
      </c>
      <c r="EW267" s="31"/>
      <c r="EX267" s="31" t="s">
        <v>368</v>
      </c>
      <c r="EY267" s="31" t="s">
        <v>368</v>
      </c>
      <c r="EZ267" s="31" t="s">
        <v>368</v>
      </c>
      <c r="FA267" s="31" t="s">
        <v>345</v>
      </c>
      <c r="FB267" s="31" t="s">
        <v>1266</v>
      </c>
      <c r="FC267" s="31"/>
      <c r="FD267" s="31" t="s">
        <v>1266</v>
      </c>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t="s">
        <v>368</v>
      </c>
      <c r="GB267" s="31" t="s">
        <v>368</v>
      </c>
      <c r="GC267" s="31" t="s">
        <v>368</v>
      </c>
      <c r="GD267" s="31" t="s">
        <v>368</v>
      </c>
      <c r="GE267" s="31" t="s">
        <v>368</v>
      </c>
      <c r="GF267" s="31" t="s">
        <v>368</v>
      </c>
      <c r="GG267" s="31"/>
      <c r="GH267" s="31"/>
      <c r="GI267" s="31"/>
      <c r="GJ267" s="31"/>
      <c r="GK267" s="31"/>
      <c r="GL267" s="31" t="s">
        <v>344</v>
      </c>
      <c r="GM267" s="31" t="s">
        <v>344</v>
      </c>
      <c r="GN267" s="31" t="s">
        <v>344</v>
      </c>
      <c r="GO267" s="31" t="s">
        <v>344</v>
      </c>
      <c r="GP267" s="31" t="s">
        <v>344</v>
      </c>
      <c r="GQ267" s="31" t="s">
        <v>344</v>
      </c>
      <c r="GR267" s="31" t="s">
        <v>344</v>
      </c>
      <c r="GS267" s="31" t="s">
        <v>344</v>
      </c>
      <c r="GT267" s="31" t="s">
        <v>344</v>
      </c>
      <c r="GU267" s="31" t="s">
        <v>344</v>
      </c>
      <c r="GV267" s="31" t="s">
        <v>344</v>
      </c>
      <c r="GW267" s="31" t="s">
        <v>344</v>
      </c>
      <c r="GX267" s="31" t="s">
        <v>344</v>
      </c>
      <c r="GY267" s="31" t="s">
        <v>344</v>
      </c>
      <c r="GZ267" s="31" t="s">
        <v>344</v>
      </c>
      <c r="HA267" s="31" t="s">
        <v>345</v>
      </c>
      <c r="HB267" s="31"/>
      <c r="HC267" s="31" t="s">
        <v>344</v>
      </c>
      <c r="HD267" s="31"/>
      <c r="HE267" s="31" t="s">
        <v>344</v>
      </c>
      <c r="HF267" s="31"/>
      <c r="HG267" s="31" t="s">
        <v>344</v>
      </c>
      <c r="HH267" s="31"/>
      <c r="HI267" s="31" t="s">
        <v>344</v>
      </c>
      <c r="HJ267" s="31"/>
      <c r="HK267" s="31" t="s">
        <v>344</v>
      </c>
      <c r="HL267" s="31" t="s">
        <v>344</v>
      </c>
      <c r="HM267" s="31" t="s">
        <v>344</v>
      </c>
      <c r="HN267" s="31" t="s">
        <v>344</v>
      </c>
      <c r="HO267" s="31" t="s">
        <v>344</v>
      </c>
      <c r="HP267" s="31" t="s">
        <v>344</v>
      </c>
      <c r="HQ267" s="31" t="s">
        <v>344</v>
      </c>
      <c r="HR267" s="31" t="s">
        <v>344</v>
      </c>
      <c r="HS267" s="31" t="s">
        <v>344</v>
      </c>
      <c r="HT267" s="31" t="s">
        <v>344</v>
      </c>
      <c r="HU267" s="31" t="s">
        <v>344</v>
      </c>
      <c r="HV267" s="31" t="s">
        <v>344</v>
      </c>
      <c r="HW267" s="31" t="s">
        <v>345</v>
      </c>
      <c r="HX267" s="31" t="s">
        <v>345</v>
      </c>
      <c r="HY267" s="31" t="s">
        <v>344</v>
      </c>
      <c r="HZ267" s="31" t="s">
        <v>344</v>
      </c>
      <c r="IA267" s="31" t="s">
        <v>345</v>
      </c>
      <c r="IB267" s="31" t="s">
        <v>344</v>
      </c>
      <c r="IC267" s="31" t="s">
        <v>344</v>
      </c>
      <c r="ID267" s="31"/>
      <c r="IE267" s="31" t="s">
        <v>344</v>
      </c>
      <c r="IF267" s="31"/>
      <c r="IG267" s="31" t="s">
        <v>344</v>
      </c>
      <c r="IH267" s="31"/>
      <c r="II267" s="31" t="s">
        <v>344</v>
      </c>
      <c r="IJ267" s="31"/>
      <c r="IK267" s="31" t="s">
        <v>344</v>
      </c>
      <c r="IL267" s="31"/>
      <c r="IM267" s="31" t="s">
        <v>345</v>
      </c>
      <c r="IN267" s="31" t="s">
        <v>344</v>
      </c>
      <c r="IO267" s="31" t="s">
        <v>344</v>
      </c>
      <c r="IP267" s="31" t="s">
        <v>344</v>
      </c>
      <c r="IQ267" s="31" t="s">
        <v>345</v>
      </c>
      <c r="IR267" s="31" t="s">
        <v>345</v>
      </c>
      <c r="IS267" s="31" t="s">
        <v>344</v>
      </c>
      <c r="IT267" s="31" t="s">
        <v>345</v>
      </c>
      <c r="IU267" s="31" t="s">
        <v>344</v>
      </c>
      <c r="IV267" s="31" t="s">
        <v>344</v>
      </c>
      <c r="IW267" s="31" t="s">
        <v>344</v>
      </c>
      <c r="IX267" s="31" t="s">
        <v>344</v>
      </c>
      <c r="IY267" s="31" t="s">
        <v>344</v>
      </c>
      <c r="IZ267" s="31" t="s">
        <v>344</v>
      </c>
      <c r="JA267" s="31"/>
      <c r="JB267" s="31"/>
    </row>
    <row r="268" spans="1:262" x14ac:dyDescent="0.3">
      <c r="A268" s="26" t="s">
        <v>727</v>
      </c>
      <c r="B268" s="27">
        <v>235</v>
      </c>
      <c r="C268" s="27" t="s">
        <v>1480</v>
      </c>
      <c r="D268" s="27">
        <v>14</v>
      </c>
      <c r="E268" s="27" t="s">
        <v>340</v>
      </c>
      <c r="F268" s="27">
        <v>1748971819</v>
      </c>
      <c r="G268" s="27" t="s">
        <v>1481</v>
      </c>
      <c r="H268" s="27" t="s">
        <v>1480</v>
      </c>
      <c r="I268" s="27" t="s">
        <v>1290</v>
      </c>
      <c r="J268" s="27">
        <v>16</v>
      </c>
      <c r="K268" s="27" t="s">
        <v>1255</v>
      </c>
      <c r="L268" s="27"/>
      <c r="M268" s="27" t="s">
        <v>344</v>
      </c>
      <c r="N268" s="27" t="s">
        <v>345</v>
      </c>
      <c r="O268" s="27" t="s">
        <v>344</v>
      </c>
      <c r="P268" s="27" t="s">
        <v>344</v>
      </c>
      <c r="Q268" s="27" t="s">
        <v>344</v>
      </c>
      <c r="R268" s="27"/>
      <c r="S268" s="27" t="s">
        <v>343</v>
      </c>
      <c r="T268" s="27" t="s">
        <v>1482</v>
      </c>
      <c r="U268" s="27" t="s">
        <v>1256</v>
      </c>
      <c r="V268" s="27"/>
      <c r="W268" s="27" t="s">
        <v>345</v>
      </c>
      <c r="X268" s="27" t="s">
        <v>344</v>
      </c>
      <c r="Y268" s="27" t="s">
        <v>344</v>
      </c>
      <c r="Z268" s="27" t="s">
        <v>344</v>
      </c>
      <c r="AA268" s="27" t="s">
        <v>344</v>
      </c>
      <c r="AB268" s="27" t="s">
        <v>344</v>
      </c>
      <c r="AC268" s="27" t="s">
        <v>344</v>
      </c>
      <c r="AD268" s="27" t="s">
        <v>345</v>
      </c>
      <c r="AE268" s="27" t="s">
        <v>344</v>
      </c>
      <c r="AF268" s="27" t="s">
        <v>344</v>
      </c>
      <c r="AG268" s="27" t="s">
        <v>344</v>
      </c>
      <c r="AH268" s="27" t="s">
        <v>344</v>
      </c>
      <c r="AI268" s="27" t="s">
        <v>344</v>
      </c>
      <c r="AJ268" s="27" t="s">
        <v>344</v>
      </c>
      <c r="AK268" s="27" t="s">
        <v>344</v>
      </c>
      <c r="AL268" s="27" t="s">
        <v>344</v>
      </c>
      <c r="AM268" s="27" t="s">
        <v>344</v>
      </c>
      <c r="AN268" s="27" t="s">
        <v>344</v>
      </c>
      <c r="AO268" s="27" t="s">
        <v>345</v>
      </c>
      <c r="AP268" s="27" t="s">
        <v>344</v>
      </c>
      <c r="AQ268" s="27" t="s">
        <v>344</v>
      </c>
      <c r="AR268" s="27" t="s">
        <v>344</v>
      </c>
      <c r="AS268" s="27" t="s">
        <v>344</v>
      </c>
      <c r="AT268" s="27" t="s">
        <v>345</v>
      </c>
      <c r="AU268" s="27" t="s">
        <v>344</v>
      </c>
      <c r="AV268" s="27" t="s">
        <v>344</v>
      </c>
      <c r="AW268" s="27" t="s">
        <v>344</v>
      </c>
      <c r="AX268" s="27" t="s">
        <v>344</v>
      </c>
      <c r="AY268" s="27" t="s">
        <v>732</v>
      </c>
      <c r="AZ268" s="27" t="s">
        <v>391</v>
      </c>
      <c r="BA268" s="27" t="s">
        <v>733</v>
      </c>
      <c r="BB268" s="27" t="s">
        <v>731</v>
      </c>
      <c r="BC268" s="27" t="s">
        <v>737</v>
      </c>
      <c r="BD268" s="27" t="s">
        <v>731</v>
      </c>
      <c r="BE268" s="27" t="s">
        <v>390</v>
      </c>
      <c r="BF268" s="27" t="s">
        <v>390</v>
      </c>
      <c r="BG268" s="27" t="s">
        <v>390</v>
      </c>
      <c r="BH268" s="27" t="s">
        <v>390</v>
      </c>
      <c r="BI268" s="27" t="s">
        <v>348</v>
      </c>
      <c r="BJ268" s="27" t="s">
        <v>391</v>
      </c>
      <c r="BK268" s="27" t="s">
        <v>391</v>
      </c>
      <c r="BL268" s="27" t="s">
        <v>353</v>
      </c>
      <c r="BM268" s="27" t="s">
        <v>353</v>
      </c>
      <c r="BN268" s="27" t="s">
        <v>354</v>
      </c>
      <c r="BO268" s="27" t="s">
        <v>356</v>
      </c>
      <c r="BP268" s="27" t="s">
        <v>351</v>
      </c>
      <c r="BQ268" s="27" t="s">
        <v>455</v>
      </c>
      <c r="BR268" s="27" t="s">
        <v>1296</v>
      </c>
      <c r="BS268" s="27" t="s">
        <v>351</v>
      </c>
      <c r="BT268" s="27" t="s">
        <v>391</v>
      </c>
      <c r="BU268" s="27" t="s">
        <v>391</v>
      </c>
      <c r="BV268" s="27" t="s">
        <v>352</v>
      </c>
      <c r="BW268" s="27" t="s">
        <v>391</v>
      </c>
      <c r="BX268" s="27" t="s">
        <v>391</v>
      </c>
      <c r="BY268" s="27" t="s">
        <v>391</v>
      </c>
      <c r="BZ268" s="27" t="s">
        <v>391</v>
      </c>
      <c r="CA268" s="27" t="s">
        <v>391</v>
      </c>
      <c r="CB268" s="27" t="s">
        <v>355</v>
      </c>
      <c r="CC268" s="27" t="s">
        <v>354</v>
      </c>
      <c r="CD268" s="27" t="s">
        <v>351</v>
      </c>
      <c r="CE268" s="27" t="s">
        <v>354</v>
      </c>
      <c r="CF268" s="27" t="s">
        <v>353</v>
      </c>
      <c r="CG268" s="27" t="s">
        <v>421</v>
      </c>
      <c r="CH268" s="27" t="s">
        <v>420</v>
      </c>
      <c r="CI268" s="27" t="s">
        <v>420</v>
      </c>
      <c r="CJ268" s="27" t="s">
        <v>392</v>
      </c>
      <c r="CK268" s="27" t="s">
        <v>835</v>
      </c>
      <c r="CL268" s="27" t="s">
        <v>345</v>
      </c>
      <c r="CM268" s="27" t="s">
        <v>344</v>
      </c>
      <c r="CN268" s="27" t="s">
        <v>345</v>
      </c>
      <c r="CO268" s="27" t="s">
        <v>344</v>
      </c>
      <c r="CP268" s="27" t="s">
        <v>344</v>
      </c>
      <c r="CQ268" s="27" t="s">
        <v>344</v>
      </c>
      <c r="CR268" s="27" t="s">
        <v>1028</v>
      </c>
      <c r="CS268" s="27">
        <v>100</v>
      </c>
      <c r="CT268" s="27">
        <v>1</v>
      </c>
      <c r="CU268" s="27">
        <v>69</v>
      </c>
      <c r="CV268" s="27">
        <v>100</v>
      </c>
      <c r="CW268" s="27" t="s">
        <v>396</v>
      </c>
      <c r="CX268" s="27" t="s">
        <v>395</v>
      </c>
      <c r="CY268" s="27" t="s">
        <v>471</v>
      </c>
      <c r="CZ268" s="27" t="s">
        <v>717</v>
      </c>
      <c r="DA268" s="27" t="s">
        <v>366</v>
      </c>
      <c r="DB268" s="27" t="s">
        <v>366</v>
      </c>
      <c r="DC268" s="27" t="s">
        <v>365</v>
      </c>
      <c r="DD268" s="27" t="s">
        <v>365</v>
      </c>
      <c r="DE268" s="27" t="s">
        <v>717</v>
      </c>
      <c r="DF268" s="27" t="s">
        <v>717</v>
      </c>
      <c r="DG268" s="27" t="s">
        <v>397</v>
      </c>
      <c r="DH268" s="27" t="s">
        <v>397</v>
      </c>
      <c r="DI268" s="27" t="s">
        <v>366</v>
      </c>
      <c r="DJ268" s="27" t="s">
        <v>835</v>
      </c>
      <c r="DK268" s="27" t="s">
        <v>344</v>
      </c>
      <c r="DL268" s="27" t="s">
        <v>368</v>
      </c>
      <c r="DM268" s="27" t="s">
        <v>368</v>
      </c>
      <c r="DN268" s="27" t="s">
        <v>368</v>
      </c>
      <c r="DO268" s="27" t="s">
        <v>368</v>
      </c>
      <c r="DP268" s="27" t="s">
        <v>368</v>
      </c>
      <c r="DQ268" s="27" t="s">
        <v>368</v>
      </c>
      <c r="DR268" s="27" t="s">
        <v>368</v>
      </c>
      <c r="DS268" s="27" t="s">
        <v>345</v>
      </c>
      <c r="DT268" s="27" t="s">
        <v>344</v>
      </c>
      <c r="DU268" s="27" t="s">
        <v>345</v>
      </c>
      <c r="DV268" s="27" t="s">
        <v>344</v>
      </c>
      <c r="DW268" s="27" t="s">
        <v>344</v>
      </c>
      <c r="DX268" s="27" t="s">
        <v>397</v>
      </c>
      <c r="DY268" s="27" t="s">
        <v>397</v>
      </c>
      <c r="DZ268" s="27" t="s">
        <v>397</v>
      </c>
      <c r="EA268" s="27" t="s">
        <v>397</v>
      </c>
      <c r="EB268" s="27" t="s">
        <v>397</v>
      </c>
      <c r="EC268" s="27" t="s">
        <v>397</v>
      </c>
      <c r="ED268" s="27" t="s">
        <v>397</v>
      </c>
      <c r="EE268" s="27" t="s">
        <v>1258</v>
      </c>
      <c r="EF268" s="27" t="s">
        <v>1258</v>
      </c>
      <c r="EG268" s="27" t="s">
        <v>1258</v>
      </c>
      <c r="EH268" s="27" t="s">
        <v>1258</v>
      </c>
      <c r="EI268" s="27" t="s">
        <v>1258</v>
      </c>
      <c r="EJ268" s="27" t="s">
        <v>1258</v>
      </c>
      <c r="EK268" s="27" t="s">
        <v>1258</v>
      </c>
      <c r="EL268" s="27" t="s">
        <v>1259</v>
      </c>
      <c r="EM268" s="27" t="s">
        <v>1261</v>
      </c>
      <c r="EN268" s="27" t="s">
        <v>1275</v>
      </c>
      <c r="EO268" s="27"/>
      <c r="EP268" s="27"/>
      <c r="EQ268" s="27" t="s">
        <v>717</v>
      </c>
      <c r="ER268" s="27" t="s">
        <v>717</v>
      </c>
      <c r="ES268" s="27" t="s">
        <v>717</v>
      </c>
      <c r="ET268" s="27" t="s">
        <v>717</v>
      </c>
      <c r="EU268" s="27" t="s">
        <v>717</v>
      </c>
      <c r="EV268" s="27" t="s">
        <v>1265</v>
      </c>
      <c r="EW268" s="27"/>
      <c r="EX268" s="170" t="s">
        <v>344</v>
      </c>
      <c r="EY268" s="170" t="s">
        <v>345</v>
      </c>
      <c r="EZ268" s="170" t="s">
        <v>344</v>
      </c>
      <c r="FA268" s="27" t="s">
        <v>344</v>
      </c>
      <c r="FB268" s="27" t="s">
        <v>1300</v>
      </c>
      <c r="FC268" s="27"/>
      <c r="FD268" s="27" t="s">
        <v>1300</v>
      </c>
      <c r="FE268" s="27"/>
      <c r="FF268" s="27" t="s">
        <v>431</v>
      </c>
      <c r="FG268" s="27" t="s">
        <v>441</v>
      </c>
      <c r="FH268" s="27" t="s">
        <v>460</v>
      </c>
      <c r="FI268" s="27" t="s">
        <v>442</v>
      </c>
      <c r="FJ268" s="27"/>
      <c r="FK268" s="27"/>
      <c r="FL268" s="27"/>
      <c r="FM268" s="27"/>
      <c r="FN268" s="27"/>
      <c r="FO268" s="27"/>
      <c r="FP268" s="27"/>
      <c r="FQ268" s="27"/>
      <c r="FR268" s="27"/>
      <c r="FS268" s="27"/>
      <c r="FT268" s="27"/>
      <c r="FU268" s="27"/>
      <c r="FV268" s="27"/>
      <c r="FW268" s="27"/>
      <c r="FX268" s="27"/>
      <c r="FY268" s="27"/>
      <c r="FZ268" s="27"/>
      <c r="GA268" s="27" t="s">
        <v>368</v>
      </c>
      <c r="GB268" s="27" t="s">
        <v>368</v>
      </c>
      <c r="GC268" s="27" t="s">
        <v>368</v>
      </c>
      <c r="GD268" s="27" t="s">
        <v>368</v>
      </c>
      <c r="GE268" s="27" t="s">
        <v>368</v>
      </c>
      <c r="GF268" s="27" t="s">
        <v>368</v>
      </c>
      <c r="GG268" s="27"/>
      <c r="GH268" s="27"/>
      <c r="GI268" s="27"/>
      <c r="GJ268" s="27"/>
      <c r="GK268" s="27"/>
      <c r="GL268" s="27" t="s">
        <v>344</v>
      </c>
      <c r="GM268" s="27" t="s">
        <v>344</v>
      </c>
      <c r="GN268" s="27" t="s">
        <v>344</v>
      </c>
      <c r="GO268" s="27" t="s">
        <v>344</v>
      </c>
      <c r="GP268" s="27" t="s">
        <v>344</v>
      </c>
      <c r="GQ268" s="27" t="s">
        <v>344</v>
      </c>
      <c r="GR268" s="27" t="s">
        <v>344</v>
      </c>
      <c r="GS268" s="27" t="s">
        <v>344</v>
      </c>
      <c r="GT268" s="27" t="s">
        <v>344</v>
      </c>
      <c r="GU268" s="27" t="s">
        <v>345</v>
      </c>
      <c r="GV268" s="27" t="s">
        <v>344</v>
      </c>
      <c r="GW268" s="27" t="s">
        <v>344</v>
      </c>
      <c r="GX268" s="27" t="s">
        <v>344</v>
      </c>
      <c r="GY268" s="27" t="s">
        <v>344</v>
      </c>
      <c r="GZ268" s="27" t="s">
        <v>345</v>
      </c>
      <c r="HA268" s="27" t="s">
        <v>344</v>
      </c>
      <c r="HB268" s="27"/>
      <c r="HC268" s="27" t="s">
        <v>344</v>
      </c>
      <c r="HD268" s="27"/>
      <c r="HE268" s="27" t="s">
        <v>344</v>
      </c>
      <c r="HF268" s="27"/>
      <c r="HG268" s="27" t="s">
        <v>345</v>
      </c>
      <c r="HH268" s="27" t="s">
        <v>1483</v>
      </c>
      <c r="HI268" s="27" t="s">
        <v>344</v>
      </c>
      <c r="HJ268" s="27"/>
      <c r="HK268" s="27" t="s">
        <v>344</v>
      </c>
      <c r="HL268" s="27" t="s">
        <v>344</v>
      </c>
      <c r="HM268" s="27" t="s">
        <v>344</v>
      </c>
      <c r="HN268" s="27" t="s">
        <v>344</v>
      </c>
      <c r="HO268" s="27" t="s">
        <v>344</v>
      </c>
      <c r="HP268" s="27" t="s">
        <v>344</v>
      </c>
      <c r="HQ268" s="27" t="s">
        <v>344</v>
      </c>
      <c r="HR268" s="27" t="s">
        <v>344</v>
      </c>
      <c r="HS268" s="27" t="s">
        <v>344</v>
      </c>
      <c r="HT268" s="27" t="s">
        <v>344</v>
      </c>
      <c r="HU268" s="27" t="s">
        <v>344</v>
      </c>
      <c r="HV268" s="27" t="s">
        <v>344</v>
      </c>
      <c r="HW268" s="27" t="s">
        <v>344</v>
      </c>
      <c r="HX268" s="27" t="s">
        <v>344</v>
      </c>
      <c r="HY268" s="27" t="s">
        <v>344</v>
      </c>
      <c r="HZ268" s="27" t="s">
        <v>344</v>
      </c>
      <c r="IA268" s="27" t="s">
        <v>344</v>
      </c>
      <c r="IB268" s="27" t="s">
        <v>344</v>
      </c>
      <c r="IC268" s="27" t="s">
        <v>345</v>
      </c>
      <c r="ID268" s="27"/>
      <c r="IE268" s="27" t="s">
        <v>344</v>
      </c>
      <c r="IF268" s="27"/>
      <c r="IG268" s="27" t="s">
        <v>344</v>
      </c>
      <c r="IH268" s="27"/>
      <c r="II268" s="27" t="s">
        <v>344</v>
      </c>
      <c r="IJ268" s="27"/>
      <c r="IK268" s="27" t="s">
        <v>344</v>
      </c>
      <c r="IL268" s="27"/>
      <c r="IM268" s="27" t="s">
        <v>345</v>
      </c>
      <c r="IN268" s="27" t="s">
        <v>344</v>
      </c>
      <c r="IO268" s="27" t="s">
        <v>344</v>
      </c>
      <c r="IP268" s="27" t="s">
        <v>345</v>
      </c>
      <c r="IQ268" s="27" t="s">
        <v>345</v>
      </c>
      <c r="IR268" s="27" t="s">
        <v>345</v>
      </c>
      <c r="IS268" s="27" t="s">
        <v>344</v>
      </c>
      <c r="IT268" s="27" t="s">
        <v>345</v>
      </c>
      <c r="IU268" s="27" t="s">
        <v>344</v>
      </c>
      <c r="IV268" s="27" t="s">
        <v>344</v>
      </c>
      <c r="IW268" s="27" t="s">
        <v>344</v>
      </c>
      <c r="IX268" s="27" t="s">
        <v>344</v>
      </c>
      <c r="IY268" s="27" t="s">
        <v>344</v>
      </c>
      <c r="IZ268" s="27" t="s">
        <v>344</v>
      </c>
      <c r="JA268" s="27"/>
      <c r="JB268" s="27"/>
    </row>
    <row r="269" spans="1:262" x14ac:dyDescent="0.3">
      <c r="A269" s="36" t="s">
        <v>338</v>
      </c>
      <c r="B269" s="37">
        <v>236</v>
      </c>
      <c r="C269" s="37" t="s">
        <v>1484</v>
      </c>
      <c r="D269" s="37">
        <v>14</v>
      </c>
      <c r="E269" s="37" t="s">
        <v>387</v>
      </c>
      <c r="F269" s="37">
        <v>1439671867</v>
      </c>
      <c r="G269" s="37" t="s">
        <v>1485</v>
      </c>
      <c r="H269" s="37" t="s">
        <v>1484</v>
      </c>
      <c r="I269" s="37" t="s">
        <v>1486</v>
      </c>
      <c r="J269" s="37">
        <v>15</v>
      </c>
      <c r="K269" s="37" t="s">
        <v>1282</v>
      </c>
      <c r="L269" s="37"/>
      <c r="M269" s="37" t="s">
        <v>345</v>
      </c>
      <c r="N269" s="37" t="s">
        <v>344</v>
      </c>
      <c r="O269" s="37" t="s">
        <v>344</v>
      </c>
      <c r="P269" s="37" t="s">
        <v>344</v>
      </c>
      <c r="Q269" s="37" t="s">
        <v>344</v>
      </c>
      <c r="R269" s="37"/>
      <c r="S269" s="37" t="s">
        <v>1487</v>
      </c>
      <c r="T269" s="37"/>
      <c r="U269" s="37" t="s">
        <v>1488</v>
      </c>
      <c r="V269" s="37"/>
      <c r="W269" s="37" t="s">
        <v>345</v>
      </c>
      <c r="X269" s="37" t="s">
        <v>344</v>
      </c>
      <c r="Y269" s="37" t="s">
        <v>344</v>
      </c>
      <c r="Z269" s="37" t="s">
        <v>344</v>
      </c>
      <c r="AA269" s="37" t="s">
        <v>344</v>
      </c>
      <c r="AB269" s="37" t="s">
        <v>344</v>
      </c>
      <c r="AC269" s="37" t="s">
        <v>344</v>
      </c>
      <c r="AD269" s="37" t="s">
        <v>344</v>
      </c>
      <c r="AE269" s="37" t="s">
        <v>344</v>
      </c>
      <c r="AF269" s="37" t="s">
        <v>344</v>
      </c>
      <c r="AG269" s="37" t="s">
        <v>345</v>
      </c>
      <c r="AH269" s="37" t="s">
        <v>344</v>
      </c>
      <c r="AI269" s="37" t="s">
        <v>344</v>
      </c>
      <c r="AJ269" s="37" t="s">
        <v>344</v>
      </c>
      <c r="AK269" s="37" t="s">
        <v>344</v>
      </c>
      <c r="AL269" s="37" t="s">
        <v>344</v>
      </c>
      <c r="AM269" s="37" t="s">
        <v>345</v>
      </c>
      <c r="AN269" s="37" t="s">
        <v>344</v>
      </c>
      <c r="AO269" s="37" t="s">
        <v>344</v>
      </c>
      <c r="AP269" s="37" t="s">
        <v>344</v>
      </c>
      <c r="AQ269" s="37" t="s">
        <v>344</v>
      </c>
      <c r="AR269" s="37" t="s">
        <v>345</v>
      </c>
      <c r="AS269" s="37" t="s">
        <v>344</v>
      </c>
      <c r="AT269" s="37" t="s">
        <v>344</v>
      </c>
      <c r="AU269" s="37" t="s">
        <v>344</v>
      </c>
      <c r="AV269" s="37" t="s">
        <v>344</v>
      </c>
      <c r="AW269" s="37" t="s">
        <v>344</v>
      </c>
      <c r="AX269" s="37" t="s">
        <v>344</v>
      </c>
      <c r="AY269" s="37" t="s">
        <v>733</v>
      </c>
      <c r="AZ269" s="37" t="s">
        <v>732</v>
      </c>
      <c r="BA269" s="37" t="s">
        <v>737</v>
      </c>
      <c r="BB269" s="37" t="s">
        <v>731</v>
      </c>
      <c r="BC269" s="37" t="s">
        <v>731</v>
      </c>
      <c r="BD269" s="37" t="s">
        <v>732</v>
      </c>
      <c r="BE269" s="37" t="s">
        <v>348</v>
      </c>
      <c r="BF269" s="37" t="s">
        <v>348</v>
      </c>
      <c r="BG269" s="37" t="s">
        <v>349</v>
      </c>
      <c r="BH269" s="37" t="s">
        <v>348</v>
      </c>
      <c r="BI269" s="37" t="s">
        <v>350</v>
      </c>
      <c r="BJ269" s="37" t="s">
        <v>391</v>
      </c>
      <c r="BK269" s="37" t="s">
        <v>391</v>
      </c>
      <c r="BL269" s="37" t="s">
        <v>353</v>
      </c>
      <c r="BM269" s="37" t="s">
        <v>391</v>
      </c>
      <c r="BN269" s="37" t="s">
        <v>391</v>
      </c>
      <c r="BO269" s="37" t="s">
        <v>391</v>
      </c>
      <c r="BP269" s="37" t="s">
        <v>391</v>
      </c>
      <c r="BQ269" s="37" t="s">
        <v>455</v>
      </c>
      <c r="BR269" s="37" t="s">
        <v>1257</v>
      </c>
      <c r="BS269" s="37" t="s">
        <v>351</v>
      </c>
      <c r="BT269" s="37" t="s">
        <v>391</v>
      </c>
      <c r="BU269" s="37" t="s">
        <v>391</v>
      </c>
      <c r="BV269" s="37" t="s">
        <v>391</v>
      </c>
      <c r="BW269" s="37" t="s">
        <v>391</v>
      </c>
      <c r="BX269" s="37" t="s">
        <v>391</v>
      </c>
      <c r="BY269" s="37" t="s">
        <v>391</v>
      </c>
      <c r="BZ269" s="37" t="s">
        <v>391</v>
      </c>
      <c r="CA269" s="37" t="s">
        <v>391</v>
      </c>
      <c r="CB269" s="37" t="s">
        <v>391</v>
      </c>
      <c r="CC269" s="37" t="s">
        <v>391</v>
      </c>
      <c r="CD269" s="37" t="s">
        <v>391</v>
      </c>
      <c r="CE269" s="37" t="s">
        <v>391</v>
      </c>
      <c r="CF269" s="37" t="s">
        <v>391</v>
      </c>
      <c r="CG269" s="37" t="s">
        <v>393</v>
      </c>
      <c r="CH269" s="37" t="s">
        <v>393</v>
      </c>
      <c r="CI269" s="37" t="s">
        <v>420</v>
      </c>
      <c r="CJ269" s="37" t="s">
        <v>420</v>
      </c>
      <c r="CK269" s="37" t="s">
        <v>391</v>
      </c>
      <c r="CL269" s="37" t="s">
        <v>344</v>
      </c>
      <c r="CM269" s="37" t="s">
        <v>344</v>
      </c>
      <c r="CN269" s="37" t="s">
        <v>344</v>
      </c>
      <c r="CO269" s="37" t="s">
        <v>345</v>
      </c>
      <c r="CP269" s="37" t="s">
        <v>345</v>
      </c>
      <c r="CQ269" s="37" t="s">
        <v>344</v>
      </c>
      <c r="CR269" s="37" t="s">
        <v>829</v>
      </c>
      <c r="CS269" s="37">
        <v>100</v>
      </c>
      <c r="CT269" s="37">
        <v>100</v>
      </c>
      <c r="CU269" s="37"/>
      <c r="CV269" s="37"/>
      <c r="CW269" s="37" t="s">
        <v>396</v>
      </c>
      <c r="CX269" s="37" t="s">
        <v>396</v>
      </c>
      <c r="CY269" s="37" t="s">
        <v>363</v>
      </c>
      <c r="CZ269" s="37" t="s">
        <v>397</v>
      </c>
      <c r="DA269" s="37" t="s">
        <v>397</v>
      </c>
      <c r="DB269" s="37" t="s">
        <v>397</v>
      </c>
      <c r="DC269" s="37" t="s">
        <v>397</v>
      </c>
      <c r="DD269" s="37" t="s">
        <v>397</v>
      </c>
      <c r="DE269" s="37"/>
      <c r="DF269" s="37"/>
      <c r="DG269" s="37"/>
      <c r="DH269" s="37"/>
      <c r="DI269" s="37"/>
      <c r="DJ269" s="37"/>
      <c r="DK269" s="37" t="s">
        <v>1357</v>
      </c>
      <c r="DL269" s="37" t="s">
        <v>368</v>
      </c>
      <c r="DM269" s="37" t="s">
        <v>368</v>
      </c>
      <c r="DN269" s="37" t="s">
        <v>368</v>
      </c>
      <c r="DO269" s="37" t="s">
        <v>345</v>
      </c>
      <c r="DP269" s="37" t="s">
        <v>344</v>
      </c>
      <c r="DQ269" s="37" t="s">
        <v>345</v>
      </c>
      <c r="DR269" s="37" t="s">
        <v>344</v>
      </c>
      <c r="DS269" s="37" t="s">
        <v>344</v>
      </c>
      <c r="DT269" s="37" t="s">
        <v>345</v>
      </c>
      <c r="DU269" s="37" t="s">
        <v>344</v>
      </c>
      <c r="DV269" s="37" t="s">
        <v>345</v>
      </c>
      <c r="DW269" s="37" t="s">
        <v>344</v>
      </c>
      <c r="DX269" s="37" t="s">
        <v>1258</v>
      </c>
      <c r="DY269" s="37" t="s">
        <v>1258</v>
      </c>
      <c r="DZ269" s="37" t="s">
        <v>1258</v>
      </c>
      <c r="EA269" s="37" t="s">
        <v>1258</v>
      </c>
      <c r="EB269" s="37" t="s">
        <v>1258</v>
      </c>
      <c r="EC269" s="37" t="s">
        <v>1258</v>
      </c>
      <c r="ED269" s="37" t="s">
        <v>1258</v>
      </c>
      <c r="EE269" s="37" t="s">
        <v>1273</v>
      </c>
      <c r="EF269" s="37" t="s">
        <v>397</v>
      </c>
      <c r="EG269" s="37" t="s">
        <v>397</v>
      </c>
      <c r="EH269" s="37" t="s">
        <v>397</v>
      </c>
      <c r="EI269" s="37" t="s">
        <v>397</v>
      </c>
      <c r="EJ269" s="37" t="s">
        <v>397</v>
      </c>
      <c r="EK269" s="37" t="s">
        <v>1274</v>
      </c>
      <c r="EL269" s="37" t="s">
        <v>1276</v>
      </c>
      <c r="EM269" s="37" t="s">
        <v>1261</v>
      </c>
      <c r="EN269" s="37" t="s">
        <v>1260</v>
      </c>
      <c r="EO269" s="37"/>
      <c r="EP269" s="37"/>
      <c r="EQ269" s="37" t="s">
        <v>1264</v>
      </c>
      <c r="ER269" s="37" t="s">
        <v>1264</v>
      </c>
      <c r="ES269" s="37" t="s">
        <v>1264</v>
      </c>
      <c r="ET269" s="37" t="s">
        <v>1264</v>
      </c>
      <c r="EU269" s="37" t="s">
        <v>1264</v>
      </c>
      <c r="EV269" s="37" t="s">
        <v>1265</v>
      </c>
      <c r="EW269" s="37"/>
      <c r="EX269" s="37" t="s">
        <v>368</v>
      </c>
      <c r="EY269" s="37" t="s">
        <v>368</v>
      </c>
      <c r="EZ269" s="37" t="s">
        <v>368</v>
      </c>
      <c r="FA269" s="37" t="s">
        <v>345</v>
      </c>
      <c r="FB269" s="37" t="s">
        <v>1266</v>
      </c>
      <c r="FC269" s="37"/>
      <c r="FD269" s="37" t="s">
        <v>1266</v>
      </c>
      <c r="FE269" s="37"/>
      <c r="FF269" s="37" t="s">
        <v>1322</v>
      </c>
      <c r="FG269" s="37" t="s">
        <v>1292</v>
      </c>
      <c r="FH269" s="37" t="s">
        <v>1301</v>
      </c>
      <c r="FI269" s="37" t="s">
        <v>385</v>
      </c>
      <c r="FJ269" s="37"/>
      <c r="FK269" s="37"/>
      <c r="FL269" s="37"/>
      <c r="FM269" s="37"/>
      <c r="FN269" s="37"/>
      <c r="FO269" s="37"/>
      <c r="FP269" s="37"/>
      <c r="FQ269" s="37"/>
      <c r="FR269" s="37"/>
      <c r="FS269" s="37"/>
      <c r="FT269" s="37"/>
      <c r="FU269" s="37"/>
      <c r="FV269" s="37"/>
      <c r="FW269" s="37"/>
      <c r="FX269" s="37"/>
      <c r="FY269" s="37"/>
      <c r="FZ269" s="37"/>
      <c r="GA269" s="37" t="s">
        <v>368</v>
      </c>
      <c r="GB269" s="37" t="s">
        <v>368</v>
      </c>
      <c r="GC269" s="37" t="s">
        <v>368</v>
      </c>
      <c r="GD269" s="37" t="s">
        <v>368</v>
      </c>
      <c r="GE269" s="37" t="s">
        <v>368</v>
      </c>
      <c r="GF269" s="37" t="s">
        <v>368</v>
      </c>
      <c r="GG269" s="37"/>
      <c r="GH269" s="37"/>
      <c r="GI269" s="37"/>
      <c r="GJ269" s="37"/>
      <c r="GK269" s="37"/>
      <c r="GL269" s="37" t="s">
        <v>345</v>
      </c>
      <c r="GM269" s="37" t="s">
        <v>344</v>
      </c>
      <c r="GN269" s="37" t="s">
        <v>344</v>
      </c>
      <c r="GO269" s="37" t="s">
        <v>345</v>
      </c>
      <c r="GP269" s="37" t="s">
        <v>344</v>
      </c>
      <c r="GQ269" s="37" t="s">
        <v>344</v>
      </c>
      <c r="GR269" s="37" t="s">
        <v>344</v>
      </c>
      <c r="GS269" s="37" t="s">
        <v>344</v>
      </c>
      <c r="GT269" s="37" t="s">
        <v>344</v>
      </c>
      <c r="GU269" s="37" t="s">
        <v>344</v>
      </c>
      <c r="GV269" s="37" t="s">
        <v>344</v>
      </c>
      <c r="GW269" s="37" t="s">
        <v>345</v>
      </c>
      <c r="GX269" s="37" t="s">
        <v>344</v>
      </c>
      <c r="GY269" s="37" t="s">
        <v>344</v>
      </c>
      <c r="GZ269" s="37" t="s">
        <v>344</v>
      </c>
      <c r="HA269" s="37" t="s">
        <v>344</v>
      </c>
      <c r="HB269" s="37"/>
      <c r="HC269" s="37" t="s">
        <v>344</v>
      </c>
      <c r="HD269" s="37"/>
      <c r="HE269" s="37" t="s">
        <v>344</v>
      </c>
      <c r="HF269" s="37"/>
      <c r="HG269" s="37" t="s">
        <v>344</v>
      </c>
      <c r="HH269" s="37"/>
      <c r="HI269" s="37" t="s">
        <v>344</v>
      </c>
      <c r="HJ269" s="37"/>
      <c r="HK269" s="37" t="s">
        <v>345</v>
      </c>
      <c r="HL269" s="37" t="s">
        <v>344</v>
      </c>
      <c r="HM269" s="37" t="s">
        <v>344</v>
      </c>
      <c r="HN269" s="37" t="s">
        <v>345</v>
      </c>
      <c r="HO269" s="37" t="s">
        <v>344</v>
      </c>
      <c r="HP269" s="37" t="s">
        <v>344</v>
      </c>
      <c r="HQ269" s="37" t="s">
        <v>344</v>
      </c>
      <c r="HR269" s="37" t="s">
        <v>344</v>
      </c>
      <c r="HS269" s="37" t="s">
        <v>344</v>
      </c>
      <c r="HT269" s="37" t="s">
        <v>344</v>
      </c>
      <c r="HU269" s="37" t="s">
        <v>344</v>
      </c>
      <c r="HV269" s="37" t="s">
        <v>344</v>
      </c>
      <c r="HW269" s="37" t="s">
        <v>345</v>
      </c>
      <c r="HX269" s="37" t="s">
        <v>344</v>
      </c>
      <c r="HY269" s="37" t="s">
        <v>344</v>
      </c>
      <c r="HZ269" s="37" t="s">
        <v>344</v>
      </c>
      <c r="IA269" s="37" t="s">
        <v>344</v>
      </c>
      <c r="IB269" s="37" t="s">
        <v>344</v>
      </c>
      <c r="IC269" s="37" t="s">
        <v>344</v>
      </c>
      <c r="ID269" s="37"/>
      <c r="IE269" s="37" t="s">
        <v>344</v>
      </c>
      <c r="IF269" s="37"/>
      <c r="IG269" s="37" t="s">
        <v>344</v>
      </c>
      <c r="IH269" s="37"/>
      <c r="II269" s="37" t="s">
        <v>344</v>
      </c>
      <c r="IJ269" s="37"/>
      <c r="IK269" s="37" t="s">
        <v>344</v>
      </c>
      <c r="IL269" s="37"/>
      <c r="IM269" s="37" t="s">
        <v>345</v>
      </c>
      <c r="IN269" s="37" t="s">
        <v>345</v>
      </c>
      <c r="IO269" s="37" t="s">
        <v>345</v>
      </c>
      <c r="IP269" s="37" t="s">
        <v>344</v>
      </c>
      <c r="IQ269" s="37" t="s">
        <v>344</v>
      </c>
      <c r="IR269" s="37" t="s">
        <v>344</v>
      </c>
      <c r="IS269" s="37" t="s">
        <v>344</v>
      </c>
      <c r="IT269" s="37" t="s">
        <v>345</v>
      </c>
      <c r="IU269" s="37" t="s">
        <v>344</v>
      </c>
      <c r="IV269" s="37" t="s">
        <v>344</v>
      </c>
      <c r="IW269" s="37" t="s">
        <v>344</v>
      </c>
      <c r="IX269" s="37" t="s">
        <v>344</v>
      </c>
      <c r="IY269" s="37" t="s">
        <v>344</v>
      </c>
      <c r="IZ269" s="37" t="s">
        <v>344</v>
      </c>
      <c r="JA269" s="37"/>
      <c r="JB269" s="37"/>
    </row>
    <row r="270" spans="1:262" x14ac:dyDescent="0.3">
      <c r="A270" s="36" t="s">
        <v>338</v>
      </c>
      <c r="B270" s="37">
        <v>237</v>
      </c>
      <c r="C270" s="37" t="s">
        <v>1489</v>
      </c>
      <c r="D270" s="37">
        <v>14</v>
      </c>
      <c r="E270" s="37" t="s">
        <v>387</v>
      </c>
      <c r="F270" s="37">
        <v>1466205689</v>
      </c>
      <c r="G270" s="37" t="s">
        <v>1490</v>
      </c>
      <c r="H270" s="37" t="s">
        <v>1489</v>
      </c>
      <c r="I270" s="37" t="s">
        <v>1486</v>
      </c>
      <c r="J270" s="37">
        <v>17</v>
      </c>
      <c r="K270" s="37" t="s">
        <v>1255</v>
      </c>
      <c r="L270" s="37"/>
      <c r="M270" s="37" t="s">
        <v>345</v>
      </c>
      <c r="N270" s="37" t="s">
        <v>344</v>
      </c>
      <c r="O270" s="37" t="s">
        <v>344</v>
      </c>
      <c r="P270" s="37" t="s">
        <v>344</v>
      </c>
      <c r="Q270" s="37" t="s">
        <v>344</v>
      </c>
      <c r="R270" s="37"/>
      <c r="S270" s="37" t="s">
        <v>1487</v>
      </c>
      <c r="T270" s="37"/>
      <c r="U270" s="37" t="s">
        <v>343</v>
      </c>
      <c r="V270" s="37" t="s">
        <v>1491</v>
      </c>
      <c r="W270" s="37" t="s">
        <v>344</v>
      </c>
      <c r="X270" s="37" t="s">
        <v>344</v>
      </c>
      <c r="Y270" s="37" t="s">
        <v>345</v>
      </c>
      <c r="Z270" s="37" t="s">
        <v>344</v>
      </c>
      <c r="AA270" s="37" t="s">
        <v>344</v>
      </c>
      <c r="AB270" s="37" t="s">
        <v>344</v>
      </c>
      <c r="AC270" s="37" t="s">
        <v>344</v>
      </c>
      <c r="AD270" s="37" t="s">
        <v>345</v>
      </c>
      <c r="AE270" s="37" t="s">
        <v>345</v>
      </c>
      <c r="AF270" s="37" t="s">
        <v>345</v>
      </c>
      <c r="AG270" s="37" t="s">
        <v>344</v>
      </c>
      <c r="AH270" s="37" t="s">
        <v>345</v>
      </c>
      <c r="AI270" s="37" t="s">
        <v>344</v>
      </c>
      <c r="AJ270" s="37" t="s">
        <v>344</v>
      </c>
      <c r="AK270" s="37" t="s">
        <v>345</v>
      </c>
      <c r="AL270" s="37" t="s">
        <v>344</v>
      </c>
      <c r="AM270" s="37" t="s">
        <v>344</v>
      </c>
      <c r="AN270" s="37" t="s">
        <v>344</v>
      </c>
      <c r="AO270" s="37" t="s">
        <v>345</v>
      </c>
      <c r="AP270" s="37" t="s">
        <v>344</v>
      </c>
      <c r="AQ270" s="37" t="s">
        <v>344</v>
      </c>
      <c r="AR270" s="37" t="s">
        <v>345</v>
      </c>
      <c r="AS270" s="37" t="s">
        <v>345</v>
      </c>
      <c r="AT270" s="37" t="s">
        <v>344</v>
      </c>
      <c r="AU270" s="37" t="s">
        <v>344</v>
      </c>
      <c r="AV270" s="37" t="s">
        <v>345</v>
      </c>
      <c r="AW270" s="37" t="s">
        <v>344</v>
      </c>
      <c r="AX270" s="37" t="s">
        <v>344</v>
      </c>
      <c r="AY270" s="37" t="s">
        <v>733</v>
      </c>
      <c r="AZ270" s="37" t="s">
        <v>733</v>
      </c>
      <c r="BA270" s="37" t="s">
        <v>731</v>
      </c>
      <c r="BB270" s="37" t="s">
        <v>733</v>
      </c>
      <c r="BC270" s="37" t="s">
        <v>733</v>
      </c>
      <c r="BD270" s="37" t="s">
        <v>731</v>
      </c>
      <c r="BE270" s="37" t="s">
        <v>390</v>
      </c>
      <c r="BF270" s="37" t="s">
        <v>390</v>
      </c>
      <c r="BG270" s="37" t="s">
        <v>390</v>
      </c>
      <c r="BH270" s="37" t="s">
        <v>390</v>
      </c>
      <c r="BI270" s="37" t="s">
        <v>390</v>
      </c>
      <c r="BJ270" s="37" t="s">
        <v>391</v>
      </c>
      <c r="BK270" s="37" t="s">
        <v>391</v>
      </c>
      <c r="BL270" s="37" t="s">
        <v>391</v>
      </c>
      <c r="BM270" s="37" t="s">
        <v>391</v>
      </c>
      <c r="BN270" s="37" t="s">
        <v>391</v>
      </c>
      <c r="BO270" s="37" t="s">
        <v>391</v>
      </c>
      <c r="BP270" s="37" t="s">
        <v>391</v>
      </c>
      <c r="BQ270" s="37" t="s">
        <v>419</v>
      </c>
      <c r="BR270" s="37" t="s">
        <v>1257</v>
      </c>
      <c r="BS270" s="37" t="s">
        <v>391</v>
      </c>
      <c r="BT270" s="37" t="s">
        <v>391</v>
      </c>
      <c r="BU270" s="37" t="s">
        <v>391</v>
      </c>
      <c r="BV270" s="37" t="s">
        <v>391</v>
      </c>
      <c r="BW270" s="37" t="s">
        <v>391</v>
      </c>
      <c r="BX270" s="37" t="s">
        <v>391</v>
      </c>
      <c r="BY270" s="37" t="s">
        <v>391</v>
      </c>
      <c r="BZ270" s="37" t="s">
        <v>391</v>
      </c>
      <c r="CA270" s="37" t="s">
        <v>391</v>
      </c>
      <c r="CB270" s="37" t="s">
        <v>391</v>
      </c>
      <c r="CC270" s="37" t="s">
        <v>391</v>
      </c>
      <c r="CD270" s="37" t="s">
        <v>391</v>
      </c>
      <c r="CE270" s="37" t="s">
        <v>391</v>
      </c>
      <c r="CF270" s="37" t="s">
        <v>391</v>
      </c>
      <c r="CG270" s="37" t="s">
        <v>421</v>
      </c>
      <c r="CH270" s="37" t="s">
        <v>421</v>
      </c>
      <c r="CI270" s="37" t="s">
        <v>421</v>
      </c>
      <c r="CJ270" s="37" t="s">
        <v>421</v>
      </c>
      <c r="CK270" s="37" t="s">
        <v>1492</v>
      </c>
      <c r="CL270" s="37" t="s">
        <v>344</v>
      </c>
      <c r="CM270" s="37" t="s">
        <v>344</v>
      </c>
      <c r="CN270" s="37" t="s">
        <v>345</v>
      </c>
      <c r="CO270" s="37" t="s">
        <v>345</v>
      </c>
      <c r="CP270" s="37" t="s">
        <v>345</v>
      </c>
      <c r="CQ270" s="37" t="s">
        <v>344</v>
      </c>
      <c r="CR270" s="37" t="s">
        <v>655</v>
      </c>
      <c r="CS270" s="37">
        <v>1</v>
      </c>
      <c r="CT270" s="37">
        <v>100</v>
      </c>
      <c r="CU270" s="37"/>
      <c r="CV270" s="37"/>
      <c r="CW270" s="37" t="s">
        <v>396</v>
      </c>
      <c r="CX270" s="37" t="s">
        <v>396</v>
      </c>
      <c r="CY270" s="37" t="s">
        <v>396</v>
      </c>
      <c r="CZ270" s="37" t="s">
        <v>397</v>
      </c>
      <c r="DA270" s="37" t="s">
        <v>397</v>
      </c>
      <c r="DB270" s="37" t="s">
        <v>397</v>
      </c>
      <c r="DC270" s="37" t="s">
        <v>397</v>
      </c>
      <c r="DD270" s="37" t="s">
        <v>397</v>
      </c>
      <c r="DE270" s="37"/>
      <c r="DF270" s="37"/>
      <c r="DG270" s="37"/>
      <c r="DH270" s="37"/>
      <c r="DI270" s="37"/>
      <c r="DJ270" s="37"/>
      <c r="DK270" s="37" t="s">
        <v>1357</v>
      </c>
      <c r="DL270" s="37" t="s">
        <v>368</v>
      </c>
      <c r="DM270" s="37" t="s">
        <v>368</v>
      </c>
      <c r="DN270" s="37" t="s">
        <v>368</v>
      </c>
      <c r="DO270" s="37" t="s">
        <v>345</v>
      </c>
      <c r="DP270" s="37" t="s">
        <v>368</v>
      </c>
      <c r="DQ270" s="37" t="s">
        <v>368</v>
      </c>
      <c r="DR270" s="37" t="s">
        <v>368</v>
      </c>
      <c r="DS270" s="37" t="s">
        <v>345</v>
      </c>
      <c r="DT270" s="37" t="s">
        <v>368</v>
      </c>
      <c r="DU270" s="37" t="s">
        <v>368</v>
      </c>
      <c r="DV270" s="37" t="s">
        <v>368</v>
      </c>
      <c r="DW270" s="37" t="s">
        <v>345</v>
      </c>
      <c r="DX270" s="37" t="s">
        <v>1258</v>
      </c>
      <c r="DY270" s="37" t="s">
        <v>1258</v>
      </c>
      <c r="DZ270" s="37" t="s">
        <v>1258</v>
      </c>
      <c r="EA270" s="37" t="s">
        <v>1258</v>
      </c>
      <c r="EB270" s="37" t="s">
        <v>1258</v>
      </c>
      <c r="EC270" s="37" t="s">
        <v>1258</v>
      </c>
      <c r="ED270" s="37" t="s">
        <v>1258</v>
      </c>
      <c r="EE270" s="37" t="s">
        <v>1258</v>
      </c>
      <c r="EF270" s="37" t="s">
        <v>1258</v>
      </c>
      <c r="EG270" s="37" t="s">
        <v>1258</v>
      </c>
      <c r="EH270" s="37" t="s">
        <v>1258</v>
      </c>
      <c r="EI270" s="37" t="s">
        <v>1258</v>
      </c>
      <c r="EJ270" s="37" t="s">
        <v>1258</v>
      </c>
      <c r="EK270" s="37" t="s">
        <v>1258</v>
      </c>
      <c r="EL270" s="37" t="s">
        <v>1276</v>
      </c>
      <c r="EM270" s="37" t="s">
        <v>1260</v>
      </c>
      <c r="EN270" s="37" t="s">
        <v>1259</v>
      </c>
      <c r="EO270" s="37"/>
      <c r="EP270" s="37"/>
      <c r="EQ270" s="37" t="s">
        <v>717</v>
      </c>
      <c r="ER270" s="37" t="s">
        <v>1262</v>
      </c>
      <c r="ES270" s="37" t="s">
        <v>1262</v>
      </c>
      <c r="ET270" s="37" t="s">
        <v>717</v>
      </c>
      <c r="EU270" s="37" t="s">
        <v>717</v>
      </c>
      <c r="EV270" s="37" t="s">
        <v>1265</v>
      </c>
      <c r="EW270" s="37"/>
      <c r="EX270" s="37" t="s">
        <v>368</v>
      </c>
      <c r="EY270" s="37" t="s">
        <v>368</v>
      </c>
      <c r="EZ270" s="37" t="s">
        <v>368</v>
      </c>
      <c r="FA270" s="37" t="s">
        <v>345</v>
      </c>
      <c r="FB270" s="37" t="s">
        <v>1266</v>
      </c>
      <c r="FC270" s="37"/>
      <c r="FD270" s="37" t="s">
        <v>1266</v>
      </c>
      <c r="FE270" s="37"/>
      <c r="FF270" s="37" t="s">
        <v>1322</v>
      </c>
      <c r="FG270" s="37" t="s">
        <v>1292</v>
      </c>
      <c r="FH270" s="37" t="s">
        <v>1301</v>
      </c>
      <c r="FI270" s="37" t="s">
        <v>1294</v>
      </c>
      <c r="FJ270" s="37"/>
      <c r="FK270" s="37"/>
      <c r="FL270" s="37"/>
      <c r="FM270" s="37"/>
      <c r="FN270" s="37"/>
      <c r="FO270" s="37"/>
      <c r="FP270" s="37"/>
      <c r="FQ270" s="37"/>
      <c r="FR270" s="37"/>
      <c r="FS270" s="37"/>
      <c r="FT270" s="37"/>
      <c r="FU270" s="37"/>
      <c r="FV270" s="37"/>
      <c r="FW270" s="37"/>
      <c r="FX270" s="37"/>
      <c r="FY270" s="37"/>
      <c r="FZ270" s="37"/>
      <c r="GA270" s="37" t="s">
        <v>368</v>
      </c>
      <c r="GB270" s="37" t="s">
        <v>368</v>
      </c>
      <c r="GC270" s="37" t="s">
        <v>368</v>
      </c>
      <c r="GD270" s="37" t="s">
        <v>368</v>
      </c>
      <c r="GE270" s="37" t="s">
        <v>368</v>
      </c>
      <c r="GF270" s="37" t="s">
        <v>368</v>
      </c>
      <c r="GG270" s="37"/>
      <c r="GH270" s="37"/>
      <c r="GI270" s="37"/>
      <c r="GJ270" s="37"/>
      <c r="GK270" s="37"/>
      <c r="GL270" s="37" t="s">
        <v>344</v>
      </c>
      <c r="GM270" s="37" t="s">
        <v>344</v>
      </c>
      <c r="GN270" s="37" t="s">
        <v>344</v>
      </c>
      <c r="GO270" s="37" t="s">
        <v>344</v>
      </c>
      <c r="GP270" s="37" t="s">
        <v>344</v>
      </c>
      <c r="GQ270" s="37" t="s">
        <v>344</v>
      </c>
      <c r="GR270" s="37" t="s">
        <v>344</v>
      </c>
      <c r="GS270" s="37" t="s">
        <v>344</v>
      </c>
      <c r="GT270" s="37" t="s">
        <v>344</v>
      </c>
      <c r="GU270" s="37" t="s">
        <v>344</v>
      </c>
      <c r="GV270" s="37" t="s">
        <v>344</v>
      </c>
      <c r="GW270" s="37" t="s">
        <v>345</v>
      </c>
      <c r="GX270" s="37" t="s">
        <v>344</v>
      </c>
      <c r="GY270" s="37" t="s">
        <v>344</v>
      </c>
      <c r="GZ270" s="37" t="s">
        <v>344</v>
      </c>
      <c r="HA270" s="37" t="s">
        <v>344</v>
      </c>
      <c r="HB270" s="37"/>
      <c r="HC270" s="37" t="s">
        <v>344</v>
      </c>
      <c r="HD270" s="37"/>
      <c r="HE270" s="37" t="s">
        <v>344</v>
      </c>
      <c r="HF270" s="37"/>
      <c r="HG270" s="37" t="s">
        <v>344</v>
      </c>
      <c r="HH270" s="37"/>
      <c r="HI270" s="37" t="s">
        <v>344</v>
      </c>
      <c r="HJ270" s="37"/>
      <c r="HK270" s="37" t="s">
        <v>344</v>
      </c>
      <c r="HL270" s="37" t="s">
        <v>344</v>
      </c>
      <c r="HM270" s="37" t="s">
        <v>344</v>
      </c>
      <c r="HN270" s="37" t="s">
        <v>344</v>
      </c>
      <c r="HO270" s="37" t="s">
        <v>344</v>
      </c>
      <c r="HP270" s="37" t="s">
        <v>344</v>
      </c>
      <c r="HQ270" s="37" t="s">
        <v>344</v>
      </c>
      <c r="HR270" s="37" t="s">
        <v>344</v>
      </c>
      <c r="HS270" s="37" t="s">
        <v>344</v>
      </c>
      <c r="HT270" s="37" t="s">
        <v>344</v>
      </c>
      <c r="HU270" s="37" t="s">
        <v>344</v>
      </c>
      <c r="HV270" s="37" t="s">
        <v>344</v>
      </c>
      <c r="HW270" s="37" t="s">
        <v>344</v>
      </c>
      <c r="HX270" s="37" t="s">
        <v>344</v>
      </c>
      <c r="HY270" s="37" t="s">
        <v>344</v>
      </c>
      <c r="HZ270" s="37" t="s">
        <v>344</v>
      </c>
      <c r="IA270" s="37" t="s">
        <v>344</v>
      </c>
      <c r="IB270" s="37" t="s">
        <v>344</v>
      </c>
      <c r="IC270" s="37" t="s">
        <v>345</v>
      </c>
      <c r="ID270" s="37"/>
      <c r="IE270" s="37" t="s">
        <v>344</v>
      </c>
      <c r="IF270" s="37"/>
      <c r="IG270" s="37" t="s">
        <v>344</v>
      </c>
      <c r="IH270" s="37"/>
      <c r="II270" s="37" t="s">
        <v>344</v>
      </c>
      <c r="IJ270" s="37"/>
      <c r="IK270" s="37" t="s">
        <v>344</v>
      </c>
      <c r="IL270" s="37"/>
      <c r="IM270" s="37" t="s">
        <v>345</v>
      </c>
      <c r="IN270" s="37" t="s">
        <v>345</v>
      </c>
      <c r="IO270" s="37" t="s">
        <v>344</v>
      </c>
      <c r="IP270" s="37" t="s">
        <v>344</v>
      </c>
      <c r="IQ270" s="37" t="s">
        <v>345</v>
      </c>
      <c r="IR270" s="37" t="s">
        <v>345</v>
      </c>
      <c r="IS270" s="37" t="s">
        <v>344</v>
      </c>
      <c r="IT270" s="37" t="s">
        <v>345</v>
      </c>
      <c r="IU270" s="37" t="s">
        <v>345</v>
      </c>
      <c r="IV270" s="37" t="s">
        <v>344</v>
      </c>
      <c r="IW270" s="37" t="s">
        <v>344</v>
      </c>
      <c r="IX270" s="37" t="s">
        <v>344</v>
      </c>
      <c r="IY270" s="37" t="s">
        <v>345</v>
      </c>
      <c r="IZ270" s="37" t="s">
        <v>344</v>
      </c>
      <c r="JA270" s="37"/>
      <c r="JB270" s="37"/>
    </row>
    <row r="271" spans="1:262" x14ac:dyDescent="0.3">
      <c r="A271" s="36" t="s">
        <v>338</v>
      </c>
      <c r="B271" s="37">
        <v>238</v>
      </c>
      <c r="C271" s="37" t="s">
        <v>1493</v>
      </c>
      <c r="D271" s="37">
        <v>14</v>
      </c>
      <c r="E271" s="37" t="s">
        <v>387</v>
      </c>
      <c r="F271" s="37">
        <v>1654974193</v>
      </c>
      <c r="G271" s="37" t="s">
        <v>1494</v>
      </c>
      <c r="H271" s="37" t="s">
        <v>1493</v>
      </c>
      <c r="I271" s="37" t="s">
        <v>1486</v>
      </c>
      <c r="J271" s="37">
        <v>17</v>
      </c>
      <c r="K271" s="37" t="s">
        <v>1282</v>
      </c>
      <c r="L271" s="37"/>
      <c r="M271" s="37" t="s">
        <v>345</v>
      </c>
      <c r="N271" s="37" t="s">
        <v>344</v>
      </c>
      <c r="O271" s="37" t="s">
        <v>344</v>
      </c>
      <c r="P271" s="37" t="s">
        <v>344</v>
      </c>
      <c r="Q271" s="37" t="s">
        <v>344</v>
      </c>
      <c r="R271" s="37"/>
      <c r="S271" s="37" t="s">
        <v>1487</v>
      </c>
      <c r="T271" s="37"/>
      <c r="U271" s="37" t="s">
        <v>1270</v>
      </c>
      <c r="V271" s="37"/>
      <c r="W271" s="37" t="s">
        <v>345</v>
      </c>
      <c r="X271" s="37" t="s">
        <v>345</v>
      </c>
      <c r="Y271" s="37" t="s">
        <v>345</v>
      </c>
      <c r="Z271" s="37" t="s">
        <v>344</v>
      </c>
      <c r="AA271" s="37" t="s">
        <v>344</v>
      </c>
      <c r="AB271" s="37" t="s">
        <v>344</v>
      </c>
      <c r="AC271" s="37" t="s">
        <v>344</v>
      </c>
      <c r="AD271" s="37" t="s">
        <v>344</v>
      </c>
      <c r="AE271" s="37" t="s">
        <v>345</v>
      </c>
      <c r="AF271" s="37" t="s">
        <v>344</v>
      </c>
      <c r="AG271" s="37" t="s">
        <v>344</v>
      </c>
      <c r="AH271" s="37" t="s">
        <v>344</v>
      </c>
      <c r="AI271" s="37" t="s">
        <v>345</v>
      </c>
      <c r="AJ271" s="37" t="s">
        <v>344</v>
      </c>
      <c r="AK271" s="37" t="s">
        <v>345</v>
      </c>
      <c r="AL271" s="37" t="s">
        <v>344</v>
      </c>
      <c r="AM271" s="37" t="s">
        <v>345</v>
      </c>
      <c r="AN271" s="37" t="s">
        <v>344</v>
      </c>
      <c r="AO271" s="37" t="s">
        <v>344</v>
      </c>
      <c r="AP271" s="37" t="s">
        <v>344</v>
      </c>
      <c r="AQ271" s="37" t="s">
        <v>344</v>
      </c>
      <c r="AR271" s="37" t="s">
        <v>345</v>
      </c>
      <c r="AS271" s="37" t="s">
        <v>345</v>
      </c>
      <c r="AT271" s="37" t="s">
        <v>345</v>
      </c>
      <c r="AU271" s="37" t="s">
        <v>345</v>
      </c>
      <c r="AV271" s="37" t="s">
        <v>345</v>
      </c>
      <c r="AW271" s="37" t="s">
        <v>345</v>
      </c>
      <c r="AX271" s="37" t="s">
        <v>344</v>
      </c>
      <c r="AY271" s="37" t="s">
        <v>732</v>
      </c>
      <c r="AZ271" s="37" t="s">
        <v>733</v>
      </c>
      <c r="BA271" s="37" t="s">
        <v>737</v>
      </c>
      <c r="BB271" s="37" t="s">
        <v>731</v>
      </c>
      <c r="BC271" s="37" t="s">
        <v>732</v>
      </c>
      <c r="BD271" s="37" t="s">
        <v>731</v>
      </c>
      <c r="BE271" s="37" t="s">
        <v>349</v>
      </c>
      <c r="BF271" s="37" t="s">
        <v>348</v>
      </c>
      <c r="BG271" s="37" t="s">
        <v>349</v>
      </c>
      <c r="BH271" s="37" t="s">
        <v>349</v>
      </c>
      <c r="BI271" s="37" t="s">
        <v>348</v>
      </c>
      <c r="BJ271" s="37" t="s">
        <v>391</v>
      </c>
      <c r="BK271" s="37" t="s">
        <v>391</v>
      </c>
      <c r="BL271" s="37" t="s">
        <v>357</v>
      </c>
      <c r="BM271" s="37" t="s">
        <v>351</v>
      </c>
      <c r="BN271" s="37" t="s">
        <v>356</v>
      </c>
      <c r="BO271" s="37" t="s">
        <v>354</v>
      </c>
      <c r="BP271" s="37" t="s">
        <v>391</v>
      </c>
      <c r="BQ271" s="37" t="s">
        <v>358</v>
      </c>
      <c r="BR271" s="37" t="s">
        <v>1339</v>
      </c>
      <c r="BS271" s="37" t="s">
        <v>391</v>
      </c>
      <c r="BT271" s="37" t="s">
        <v>353</v>
      </c>
      <c r="BU271" s="37" t="s">
        <v>357</v>
      </c>
      <c r="BV271" s="37" t="s">
        <v>355</v>
      </c>
      <c r="BW271" s="37" t="s">
        <v>354</v>
      </c>
      <c r="BX271" s="37" t="s">
        <v>352</v>
      </c>
      <c r="BY271" s="37" t="s">
        <v>391</v>
      </c>
      <c r="BZ271" s="37" t="s">
        <v>354</v>
      </c>
      <c r="CA271" s="37" t="s">
        <v>353</v>
      </c>
      <c r="CB271" s="37" t="s">
        <v>356</v>
      </c>
      <c r="CC271" s="37" t="s">
        <v>355</v>
      </c>
      <c r="CD271" s="37" t="s">
        <v>352</v>
      </c>
      <c r="CE271" s="37" t="s">
        <v>357</v>
      </c>
      <c r="CF271" s="37" t="s">
        <v>391</v>
      </c>
      <c r="CG271" s="37" t="s">
        <v>420</v>
      </c>
      <c r="CH271" s="37" t="s">
        <v>392</v>
      </c>
      <c r="CI271" s="37" t="s">
        <v>420</v>
      </c>
      <c r="CJ271" s="37" t="s">
        <v>360</v>
      </c>
      <c r="CK271" s="37" t="s">
        <v>717</v>
      </c>
      <c r="CL271" s="37" t="s">
        <v>345</v>
      </c>
      <c r="CM271" s="37" t="s">
        <v>344</v>
      </c>
      <c r="CN271" s="37" t="s">
        <v>344</v>
      </c>
      <c r="CO271" s="37" t="s">
        <v>344</v>
      </c>
      <c r="CP271" s="37" t="s">
        <v>344</v>
      </c>
      <c r="CQ271" s="37" t="s">
        <v>344</v>
      </c>
      <c r="CR271" s="37" t="s">
        <v>655</v>
      </c>
      <c r="CS271" s="37">
        <v>100</v>
      </c>
      <c r="CT271" s="37">
        <v>100</v>
      </c>
      <c r="CU271" s="37"/>
      <c r="CV271" s="37"/>
      <c r="CW271" s="37" t="s">
        <v>363</v>
      </c>
      <c r="CX271" s="37" t="s">
        <v>364</v>
      </c>
      <c r="CY271" s="37" t="s">
        <v>364</v>
      </c>
      <c r="CZ271" s="37" t="s">
        <v>397</v>
      </c>
      <c r="DA271" s="37" t="s">
        <v>397</v>
      </c>
      <c r="DB271" s="37" t="s">
        <v>397</v>
      </c>
      <c r="DC271" s="37" t="s">
        <v>397</v>
      </c>
      <c r="DD271" s="37" t="s">
        <v>397</v>
      </c>
      <c r="DE271" s="37"/>
      <c r="DF271" s="37"/>
      <c r="DG271" s="37"/>
      <c r="DH271" s="37"/>
      <c r="DI271" s="37"/>
      <c r="DJ271" s="37"/>
      <c r="DK271" s="37" t="s">
        <v>1357</v>
      </c>
      <c r="DL271" s="37" t="s">
        <v>344</v>
      </c>
      <c r="DM271" s="37" t="s">
        <v>345</v>
      </c>
      <c r="DN271" s="37" t="s">
        <v>344</v>
      </c>
      <c r="DO271" s="37" t="s">
        <v>344</v>
      </c>
      <c r="DP271" s="37" t="s">
        <v>344</v>
      </c>
      <c r="DQ271" s="37" t="s">
        <v>344</v>
      </c>
      <c r="DR271" s="37" t="s">
        <v>345</v>
      </c>
      <c r="DS271" s="37" t="s">
        <v>344</v>
      </c>
      <c r="DT271" s="37" t="s">
        <v>344</v>
      </c>
      <c r="DU271" s="37" t="s">
        <v>345</v>
      </c>
      <c r="DV271" s="37" t="s">
        <v>344</v>
      </c>
      <c r="DW271" s="37" t="s">
        <v>344</v>
      </c>
      <c r="DX271" s="37" t="s">
        <v>1258</v>
      </c>
      <c r="DY271" s="37" t="s">
        <v>1258</v>
      </c>
      <c r="DZ271" s="37" t="s">
        <v>1258</v>
      </c>
      <c r="EA271" s="37" t="s">
        <v>1258</v>
      </c>
      <c r="EB271" s="37" t="s">
        <v>1258</v>
      </c>
      <c r="EC271" s="37" t="s">
        <v>1258</v>
      </c>
      <c r="ED271" s="37" t="s">
        <v>1258</v>
      </c>
      <c r="EE271" s="37" t="s">
        <v>397</v>
      </c>
      <c r="EF271" s="37" t="s">
        <v>397</v>
      </c>
      <c r="EG271" s="37" t="s">
        <v>397</v>
      </c>
      <c r="EH271" s="37" t="s">
        <v>397</v>
      </c>
      <c r="EI271" s="37" t="s">
        <v>397</v>
      </c>
      <c r="EJ271" s="37" t="s">
        <v>397</v>
      </c>
      <c r="EK271" s="37" t="s">
        <v>397</v>
      </c>
      <c r="EL271" s="37" t="s">
        <v>1260</v>
      </c>
      <c r="EM271" s="37" t="s">
        <v>1276</v>
      </c>
      <c r="EN271" s="37" t="s">
        <v>1275</v>
      </c>
      <c r="EO271" s="37"/>
      <c r="EP271" s="37"/>
      <c r="EQ271" s="37" t="s">
        <v>1263</v>
      </c>
      <c r="ER271" s="37" t="s">
        <v>1263</v>
      </c>
      <c r="ES271" s="37" t="s">
        <v>1264</v>
      </c>
      <c r="ET271" s="37" t="s">
        <v>1263</v>
      </c>
      <c r="EU271" s="37" t="s">
        <v>1264</v>
      </c>
      <c r="EV271" s="37" t="s">
        <v>1265</v>
      </c>
      <c r="EW271" s="37"/>
      <c r="EX271" s="37" t="s">
        <v>368</v>
      </c>
      <c r="EY271" s="37" t="s">
        <v>368</v>
      </c>
      <c r="EZ271" s="37" t="s">
        <v>368</v>
      </c>
      <c r="FA271" s="37" t="s">
        <v>345</v>
      </c>
      <c r="FB271" s="37" t="s">
        <v>1266</v>
      </c>
      <c r="FC271" s="37"/>
      <c r="FD271" s="37" t="s">
        <v>1266</v>
      </c>
      <c r="FE271" s="37"/>
      <c r="FF271" s="37" t="s">
        <v>431</v>
      </c>
      <c r="FG271" s="37" t="s">
        <v>441</v>
      </c>
      <c r="FH271" s="37" t="s">
        <v>460</v>
      </c>
      <c r="FI271" s="37" t="s">
        <v>442</v>
      </c>
      <c r="FJ271" s="37"/>
      <c r="FK271" s="37"/>
      <c r="FL271" s="37"/>
      <c r="FM271" s="37"/>
      <c r="FN271" s="37"/>
      <c r="FO271" s="37"/>
      <c r="FP271" s="37"/>
      <c r="FQ271" s="37"/>
      <c r="FR271" s="37"/>
      <c r="FS271" s="37"/>
      <c r="FT271" s="37"/>
      <c r="FU271" s="37"/>
      <c r="FV271" s="37"/>
      <c r="FW271" s="37"/>
      <c r="FX271" s="37"/>
      <c r="FY271" s="37"/>
      <c r="FZ271" s="37"/>
      <c r="GA271" s="37" t="s">
        <v>368</v>
      </c>
      <c r="GB271" s="37" t="s">
        <v>368</v>
      </c>
      <c r="GC271" s="37" t="s">
        <v>368</v>
      </c>
      <c r="GD271" s="37" t="s">
        <v>368</v>
      </c>
      <c r="GE271" s="37" t="s">
        <v>368</v>
      </c>
      <c r="GF271" s="37" t="s">
        <v>368</v>
      </c>
      <c r="GG271" s="37"/>
      <c r="GH271" s="37"/>
      <c r="GI271" s="37"/>
      <c r="GJ271" s="37"/>
      <c r="GK271" s="37"/>
      <c r="GL271" s="37" t="s">
        <v>344</v>
      </c>
      <c r="GM271" s="37" t="s">
        <v>344</v>
      </c>
      <c r="GN271" s="37" t="s">
        <v>344</v>
      </c>
      <c r="GO271" s="37" t="s">
        <v>345</v>
      </c>
      <c r="GP271" s="37" t="s">
        <v>344</v>
      </c>
      <c r="GQ271" s="37" t="s">
        <v>344</v>
      </c>
      <c r="GR271" s="37" t="s">
        <v>344</v>
      </c>
      <c r="GS271" s="37" t="s">
        <v>344</v>
      </c>
      <c r="GT271" s="37" t="s">
        <v>344</v>
      </c>
      <c r="GU271" s="37" t="s">
        <v>344</v>
      </c>
      <c r="GV271" s="37" t="s">
        <v>345</v>
      </c>
      <c r="GW271" s="37" t="s">
        <v>345</v>
      </c>
      <c r="GX271" s="37" t="s">
        <v>344</v>
      </c>
      <c r="GY271" s="37" t="s">
        <v>344</v>
      </c>
      <c r="GZ271" s="37" t="s">
        <v>344</v>
      </c>
      <c r="HA271" s="37" t="s">
        <v>344</v>
      </c>
      <c r="HB271" s="37"/>
      <c r="HC271" s="37" t="s">
        <v>345</v>
      </c>
      <c r="HD271" s="37" t="s">
        <v>1495</v>
      </c>
      <c r="HE271" s="37" t="s">
        <v>345</v>
      </c>
      <c r="HF271" s="37" t="s">
        <v>1496</v>
      </c>
      <c r="HG271" s="37" t="s">
        <v>344</v>
      </c>
      <c r="HH271" s="37"/>
      <c r="HI271" s="37" t="s">
        <v>344</v>
      </c>
      <c r="HJ271" s="37"/>
      <c r="HK271" s="37" t="s">
        <v>345</v>
      </c>
      <c r="HL271" s="37" t="s">
        <v>344</v>
      </c>
      <c r="HM271" s="37" t="s">
        <v>344</v>
      </c>
      <c r="HN271" s="37" t="s">
        <v>345</v>
      </c>
      <c r="HO271" s="37" t="s">
        <v>344</v>
      </c>
      <c r="HP271" s="37" t="s">
        <v>344</v>
      </c>
      <c r="HQ271" s="37" t="s">
        <v>344</v>
      </c>
      <c r="HR271" s="37" t="s">
        <v>345</v>
      </c>
      <c r="HS271" s="37" t="s">
        <v>345</v>
      </c>
      <c r="HT271" s="37" t="s">
        <v>344</v>
      </c>
      <c r="HU271" s="37" t="s">
        <v>344</v>
      </c>
      <c r="HV271" s="37" t="s">
        <v>344</v>
      </c>
      <c r="HW271" s="37" t="s">
        <v>345</v>
      </c>
      <c r="HX271" s="37" t="s">
        <v>344</v>
      </c>
      <c r="HY271" s="37" t="s">
        <v>344</v>
      </c>
      <c r="HZ271" s="37" t="s">
        <v>344</v>
      </c>
      <c r="IA271" s="37" t="s">
        <v>344</v>
      </c>
      <c r="IB271" s="37" t="s">
        <v>344</v>
      </c>
      <c r="IC271" s="37" t="s">
        <v>344</v>
      </c>
      <c r="ID271" s="37"/>
      <c r="IE271" s="37" t="s">
        <v>344</v>
      </c>
      <c r="IF271" s="37"/>
      <c r="IG271" s="37" t="s">
        <v>344</v>
      </c>
      <c r="IH271" s="37"/>
      <c r="II271" s="37" t="s">
        <v>344</v>
      </c>
      <c r="IJ271" s="37"/>
      <c r="IK271" s="37" t="s">
        <v>344</v>
      </c>
      <c r="IL271" s="37"/>
      <c r="IM271" s="37" t="s">
        <v>345</v>
      </c>
      <c r="IN271" s="37" t="s">
        <v>345</v>
      </c>
      <c r="IO271" s="37" t="s">
        <v>344</v>
      </c>
      <c r="IP271" s="37" t="s">
        <v>344</v>
      </c>
      <c r="IQ271" s="37" t="s">
        <v>345</v>
      </c>
      <c r="IR271" s="37" t="s">
        <v>344</v>
      </c>
      <c r="IS271" s="37" t="s">
        <v>344</v>
      </c>
      <c r="IT271" s="37" t="s">
        <v>345</v>
      </c>
      <c r="IU271" s="37" t="s">
        <v>344</v>
      </c>
      <c r="IV271" s="37" t="s">
        <v>344</v>
      </c>
      <c r="IW271" s="37" t="s">
        <v>344</v>
      </c>
      <c r="IX271" s="37" t="s">
        <v>344</v>
      </c>
      <c r="IY271" s="37" t="s">
        <v>345</v>
      </c>
      <c r="IZ271" s="37" t="s">
        <v>344</v>
      </c>
      <c r="JA271" s="37"/>
      <c r="JB271" s="37" t="s">
        <v>1497</v>
      </c>
    </row>
    <row r="272" spans="1:262" x14ac:dyDescent="0.3">
      <c r="A272" s="36" t="s">
        <v>338</v>
      </c>
      <c r="B272" s="37">
        <v>239</v>
      </c>
      <c r="C272" s="37" t="s">
        <v>1498</v>
      </c>
      <c r="D272" s="37">
        <v>14</v>
      </c>
      <c r="E272" s="37" t="s">
        <v>387</v>
      </c>
      <c r="F272" s="37">
        <v>754603791</v>
      </c>
      <c r="G272" s="37" t="s">
        <v>1499</v>
      </c>
      <c r="H272" s="37" t="s">
        <v>1498</v>
      </c>
      <c r="I272" s="37" t="s">
        <v>1486</v>
      </c>
      <c r="J272" s="37">
        <v>17</v>
      </c>
      <c r="K272" s="37" t="s">
        <v>1255</v>
      </c>
      <c r="L272" s="37"/>
      <c r="M272" s="37" t="s">
        <v>345</v>
      </c>
      <c r="N272" s="37" t="s">
        <v>344</v>
      </c>
      <c r="O272" s="37" t="s">
        <v>344</v>
      </c>
      <c r="P272" s="37" t="s">
        <v>344</v>
      </c>
      <c r="Q272" s="37" t="s">
        <v>344</v>
      </c>
      <c r="R272" s="37"/>
      <c r="S272" s="37" t="s">
        <v>1487</v>
      </c>
      <c r="T272" s="37"/>
      <c r="U272" s="37" t="s">
        <v>1457</v>
      </c>
      <c r="V272" s="37"/>
      <c r="W272" s="37" t="s">
        <v>344</v>
      </c>
      <c r="X272" s="37" t="s">
        <v>345</v>
      </c>
      <c r="Y272" s="37" t="s">
        <v>344</v>
      </c>
      <c r="Z272" s="37" t="s">
        <v>344</v>
      </c>
      <c r="AA272" s="37" t="s">
        <v>345</v>
      </c>
      <c r="AB272" s="37" t="s">
        <v>344</v>
      </c>
      <c r="AC272" s="37" t="s">
        <v>344</v>
      </c>
      <c r="AD272" s="37" t="s">
        <v>345</v>
      </c>
      <c r="AE272" s="37" t="s">
        <v>345</v>
      </c>
      <c r="AF272" s="37" t="s">
        <v>344</v>
      </c>
      <c r="AG272" s="37" t="s">
        <v>344</v>
      </c>
      <c r="AH272" s="37" t="s">
        <v>345</v>
      </c>
      <c r="AI272" s="37" t="s">
        <v>344</v>
      </c>
      <c r="AJ272" s="37" t="s">
        <v>344</v>
      </c>
      <c r="AK272" s="37" t="s">
        <v>344</v>
      </c>
      <c r="AL272" s="37" t="s">
        <v>345</v>
      </c>
      <c r="AM272" s="37" t="s">
        <v>344</v>
      </c>
      <c r="AN272" s="37" t="s">
        <v>344</v>
      </c>
      <c r="AO272" s="37" t="s">
        <v>345</v>
      </c>
      <c r="AP272" s="37" t="s">
        <v>344</v>
      </c>
      <c r="AQ272" s="37" t="s">
        <v>344</v>
      </c>
      <c r="AR272" s="37" t="s">
        <v>345</v>
      </c>
      <c r="AS272" s="37" t="s">
        <v>345</v>
      </c>
      <c r="AT272" s="37" t="s">
        <v>344</v>
      </c>
      <c r="AU272" s="37" t="s">
        <v>345</v>
      </c>
      <c r="AV272" s="37" t="s">
        <v>344</v>
      </c>
      <c r="AW272" s="37" t="s">
        <v>344</v>
      </c>
      <c r="AX272" s="37" t="s">
        <v>344</v>
      </c>
      <c r="AY272" s="37" t="s">
        <v>731</v>
      </c>
      <c r="AZ272" s="37" t="s">
        <v>733</v>
      </c>
      <c r="BA272" s="37" t="s">
        <v>732</v>
      </c>
      <c r="BB272" s="37" t="s">
        <v>733</v>
      </c>
      <c r="BC272" s="37" t="s">
        <v>731</v>
      </c>
      <c r="BD272" s="37" t="s">
        <v>391</v>
      </c>
      <c r="BE272" s="37" t="s">
        <v>349</v>
      </c>
      <c r="BF272" s="37" t="s">
        <v>349</v>
      </c>
      <c r="BG272" s="37" t="s">
        <v>390</v>
      </c>
      <c r="BH272" s="37" t="s">
        <v>390</v>
      </c>
      <c r="BI272" s="37" t="s">
        <v>349</v>
      </c>
      <c r="BJ272" s="37" t="s">
        <v>354</v>
      </c>
      <c r="BK272" s="37" t="s">
        <v>354</v>
      </c>
      <c r="BL272" s="37" t="s">
        <v>357</v>
      </c>
      <c r="BM272" s="37" t="s">
        <v>352</v>
      </c>
      <c r="BN272" s="37" t="s">
        <v>357</v>
      </c>
      <c r="BO272" s="37" t="s">
        <v>354</v>
      </c>
      <c r="BP272" s="37" t="s">
        <v>357</v>
      </c>
      <c r="BQ272" s="37" t="s">
        <v>419</v>
      </c>
      <c r="BR272" s="37" t="s">
        <v>1296</v>
      </c>
      <c r="BS272" s="37" t="s">
        <v>354</v>
      </c>
      <c r="BT272" s="37" t="s">
        <v>354</v>
      </c>
      <c r="BU272" s="37" t="s">
        <v>354</v>
      </c>
      <c r="BV272" s="37" t="s">
        <v>354</v>
      </c>
      <c r="BW272" s="37" t="s">
        <v>354</v>
      </c>
      <c r="BX272" s="37" t="s">
        <v>351</v>
      </c>
      <c r="BY272" s="37" t="s">
        <v>352</v>
      </c>
      <c r="BZ272" s="37" t="s">
        <v>354</v>
      </c>
      <c r="CA272" s="37" t="s">
        <v>356</v>
      </c>
      <c r="CB272" s="37" t="s">
        <v>357</v>
      </c>
      <c r="CC272" s="37" t="s">
        <v>355</v>
      </c>
      <c r="CD272" s="37" t="s">
        <v>352</v>
      </c>
      <c r="CE272" s="37" t="s">
        <v>356</v>
      </c>
      <c r="CF272" s="37" t="s">
        <v>356</v>
      </c>
      <c r="CG272" s="37" t="s">
        <v>421</v>
      </c>
      <c r="CH272" s="37" t="s">
        <v>421</v>
      </c>
      <c r="CI272" s="37" t="s">
        <v>360</v>
      </c>
      <c r="CJ272" s="37" t="s">
        <v>421</v>
      </c>
      <c r="CK272" s="37" t="s">
        <v>1500</v>
      </c>
      <c r="CL272" s="37" t="s">
        <v>344</v>
      </c>
      <c r="CM272" s="37" t="s">
        <v>344</v>
      </c>
      <c r="CN272" s="37" t="s">
        <v>345</v>
      </c>
      <c r="CO272" s="37" t="s">
        <v>344</v>
      </c>
      <c r="CP272" s="37" t="s">
        <v>345</v>
      </c>
      <c r="CQ272" s="37" t="s">
        <v>344</v>
      </c>
      <c r="CR272" s="37" t="s">
        <v>655</v>
      </c>
      <c r="CS272" s="37">
        <v>70</v>
      </c>
      <c r="CT272" s="37">
        <v>100</v>
      </c>
      <c r="CU272" s="37"/>
      <c r="CV272" s="37"/>
      <c r="CW272" s="37" t="s">
        <v>363</v>
      </c>
      <c r="CX272" s="37" t="s">
        <v>396</v>
      </c>
      <c r="CY272" s="37" t="s">
        <v>396</v>
      </c>
      <c r="CZ272" s="37" t="s">
        <v>397</v>
      </c>
      <c r="DA272" s="37" t="s">
        <v>397</v>
      </c>
      <c r="DB272" s="37" t="s">
        <v>397</v>
      </c>
      <c r="DC272" s="37" t="s">
        <v>397</v>
      </c>
      <c r="DD272" s="37" t="s">
        <v>366</v>
      </c>
      <c r="DE272" s="37"/>
      <c r="DF272" s="37"/>
      <c r="DG272" s="37"/>
      <c r="DH272" s="37"/>
      <c r="DI272" s="37"/>
      <c r="DJ272" s="37" t="s">
        <v>1501</v>
      </c>
      <c r="DK272" s="37" t="s">
        <v>344</v>
      </c>
      <c r="DL272" s="37" t="s">
        <v>368</v>
      </c>
      <c r="DM272" s="37" t="s">
        <v>368</v>
      </c>
      <c r="DN272" s="37" t="s">
        <v>368</v>
      </c>
      <c r="DO272" s="37" t="s">
        <v>368</v>
      </c>
      <c r="DP272" s="37" t="s">
        <v>345</v>
      </c>
      <c r="DQ272" s="37" t="s">
        <v>344</v>
      </c>
      <c r="DR272" s="37" t="s">
        <v>345</v>
      </c>
      <c r="DS272" s="37" t="s">
        <v>344</v>
      </c>
      <c r="DT272" s="37" t="s">
        <v>345</v>
      </c>
      <c r="DU272" s="37" t="s">
        <v>344</v>
      </c>
      <c r="DV272" s="37" t="s">
        <v>345</v>
      </c>
      <c r="DW272" s="37" t="s">
        <v>344</v>
      </c>
      <c r="DX272" s="37" t="s">
        <v>1258</v>
      </c>
      <c r="DY272" s="37" t="s">
        <v>1258</v>
      </c>
      <c r="DZ272" s="37" t="s">
        <v>1258</v>
      </c>
      <c r="EA272" s="37" t="s">
        <v>1258</v>
      </c>
      <c r="EB272" s="37" t="s">
        <v>1258</v>
      </c>
      <c r="EC272" s="37" t="s">
        <v>1258</v>
      </c>
      <c r="ED272" s="37" t="s">
        <v>1258</v>
      </c>
      <c r="EE272" s="37" t="s">
        <v>397</v>
      </c>
      <c r="EF272" s="37" t="s">
        <v>1258</v>
      </c>
      <c r="EG272" s="37" t="s">
        <v>397</v>
      </c>
      <c r="EH272" s="37" t="s">
        <v>1258</v>
      </c>
      <c r="EI272" s="37" t="s">
        <v>397</v>
      </c>
      <c r="EJ272" s="37" t="s">
        <v>397</v>
      </c>
      <c r="EK272" s="37" t="s">
        <v>1272</v>
      </c>
      <c r="EL272" s="37" t="s">
        <v>1261</v>
      </c>
      <c r="EM272" s="37" t="s">
        <v>1276</v>
      </c>
      <c r="EN272" s="37" t="s">
        <v>1259</v>
      </c>
      <c r="EO272" s="37"/>
      <c r="EP272" s="37"/>
      <c r="EQ272" s="37" t="s">
        <v>1263</v>
      </c>
      <c r="ER272" s="37" t="s">
        <v>1263</v>
      </c>
      <c r="ES272" s="37" t="s">
        <v>1263</v>
      </c>
      <c r="ET272" s="37" t="s">
        <v>1264</v>
      </c>
      <c r="EU272" s="37" t="s">
        <v>717</v>
      </c>
      <c r="EV272" s="37" t="s">
        <v>1265</v>
      </c>
      <c r="EW272" s="37"/>
      <c r="EX272" s="38" t="s">
        <v>345</v>
      </c>
      <c r="EY272" s="38" t="s">
        <v>344</v>
      </c>
      <c r="EZ272" s="38" t="s">
        <v>344</v>
      </c>
      <c r="FA272" s="38" t="s">
        <v>344</v>
      </c>
      <c r="FB272" s="37" t="s">
        <v>1266</v>
      </c>
      <c r="FC272" s="37"/>
      <c r="FD272" s="37" t="s">
        <v>1266</v>
      </c>
      <c r="FE272" s="37"/>
      <c r="FF272" s="37" t="s">
        <v>1322</v>
      </c>
      <c r="FG272" s="37" t="s">
        <v>441</v>
      </c>
      <c r="FH272" s="37" t="s">
        <v>1301</v>
      </c>
      <c r="FI272" s="37" t="s">
        <v>385</v>
      </c>
      <c r="FJ272" s="37"/>
      <c r="FK272" s="37"/>
      <c r="FL272" s="37"/>
      <c r="FM272" s="37"/>
      <c r="FN272" s="37"/>
      <c r="FO272" s="37"/>
      <c r="FP272" s="37"/>
      <c r="FQ272" s="37"/>
      <c r="FR272" s="37"/>
      <c r="FS272" s="37"/>
      <c r="FT272" s="37"/>
      <c r="FU272" s="37"/>
      <c r="FV272" s="37"/>
      <c r="FW272" s="37"/>
      <c r="FX272" s="37"/>
      <c r="FY272" s="37"/>
      <c r="FZ272" s="37"/>
      <c r="GA272" s="37" t="s">
        <v>368</v>
      </c>
      <c r="GB272" s="37" t="s">
        <v>368</v>
      </c>
      <c r="GC272" s="37" t="s">
        <v>368</v>
      </c>
      <c r="GD272" s="37" t="s">
        <v>368</v>
      </c>
      <c r="GE272" s="37" t="s">
        <v>368</v>
      </c>
      <c r="GF272" s="37" t="s">
        <v>368</v>
      </c>
      <c r="GG272" s="37"/>
      <c r="GH272" s="37"/>
      <c r="GI272" s="37"/>
      <c r="GJ272" s="37"/>
      <c r="GK272" s="37"/>
      <c r="GL272" s="37" t="s">
        <v>344</v>
      </c>
      <c r="GM272" s="37" t="s">
        <v>344</v>
      </c>
      <c r="GN272" s="37" t="s">
        <v>344</v>
      </c>
      <c r="GO272" s="37" t="s">
        <v>344</v>
      </c>
      <c r="GP272" s="37" t="s">
        <v>344</v>
      </c>
      <c r="GQ272" s="37" t="s">
        <v>344</v>
      </c>
      <c r="GR272" s="37" t="s">
        <v>344</v>
      </c>
      <c r="GS272" s="37" t="s">
        <v>344</v>
      </c>
      <c r="GT272" s="37" t="s">
        <v>344</v>
      </c>
      <c r="GU272" s="37" t="s">
        <v>344</v>
      </c>
      <c r="GV272" s="37" t="s">
        <v>344</v>
      </c>
      <c r="GW272" s="37" t="s">
        <v>345</v>
      </c>
      <c r="GX272" s="37" t="s">
        <v>344</v>
      </c>
      <c r="GY272" s="37" t="s">
        <v>344</v>
      </c>
      <c r="GZ272" s="37" t="s">
        <v>345</v>
      </c>
      <c r="HA272" s="37" t="s">
        <v>344</v>
      </c>
      <c r="HB272" s="37"/>
      <c r="HC272" s="37" t="s">
        <v>344</v>
      </c>
      <c r="HD272" s="37"/>
      <c r="HE272" s="37" t="s">
        <v>345</v>
      </c>
      <c r="HF272" s="37" t="s">
        <v>1502</v>
      </c>
      <c r="HG272" s="37" t="s">
        <v>345</v>
      </c>
      <c r="HH272" s="37" t="s">
        <v>1503</v>
      </c>
      <c r="HI272" s="37" t="s">
        <v>344</v>
      </c>
      <c r="HJ272" s="37"/>
      <c r="HK272" s="37" t="s">
        <v>344</v>
      </c>
      <c r="HL272" s="37" t="s">
        <v>344</v>
      </c>
      <c r="HM272" s="37" t="s">
        <v>344</v>
      </c>
      <c r="HN272" s="37" t="s">
        <v>344</v>
      </c>
      <c r="HO272" s="37" t="s">
        <v>344</v>
      </c>
      <c r="HP272" s="37" t="s">
        <v>344</v>
      </c>
      <c r="HQ272" s="37" t="s">
        <v>344</v>
      </c>
      <c r="HR272" s="37" t="s">
        <v>344</v>
      </c>
      <c r="HS272" s="37" t="s">
        <v>344</v>
      </c>
      <c r="HT272" s="37" t="s">
        <v>344</v>
      </c>
      <c r="HU272" s="37" t="s">
        <v>344</v>
      </c>
      <c r="HV272" s="37" t="s">
        <v>344</v>
      </c>
      <c r="HW272" s="37" t="s">
        <v>345</v>
      </c>
      <c r="HX272" s="37" t="s">
        <v>344</v>
      </c>
      <c r="HY272" s="37" t="s">
        <v>344</v>
      </c>
      <c r="HZ272" s="37" t="s">
        <v>344</v>
      </c>
      <c r="IA272" s="37" t="s">
        <v>344</v>
      </c>
      <c r="IB272" s="37" t="s">
        <v>344</v>
      </c>
      <c r="IC272" s="37" t="s">
        <v>344</v>
      </c>
      <c r="ID272" s="37"/>
      <c r="IE272" s="37" t="s">
        <v>344</v>
      </c>
      <c r="IF272" s="37"/>
      <c r="IG272" s="37" t="s">
        <v>344</v>
      </c>
      <c r="IH272" s="37"/>
      <c r="II272" s="37" t="s">
        <v>344</v>
      </c>
      <c r="IJ272" s="37"/>
      <c r="IK272" s="37" t="s">
        <v>344</v>
      </c>
      <c r="IL272" s="37"/>
      <c r="IM272" s="37" t="s">
        <v>345</v>
      </c>
      <c r="IN272" s="37" t="s">
        <v>345</v>
      </c>
      <c r="IO272" s="37" t="s">
        <v>344</v>
      </c>
      <c r="IP272" s="37" t="s">
        <v>344</v>
      </c>
      <c r="IQ272" s="37" t="s">
        <v>345</v>
      </c>
      <c r="IR272" s="37" t="s">
        <v>345</v>
      </c>
      <c r="IS272" s="37" t="s">
        <v>344</v>
      </c>
      <c r="IT272" s="37" t="s">
        <v>345</v>
      </c>
      <c r="IU272" s="37" t="s">
        <v>345</v>
      </c>
      <c r="IV272" s="37" t="s">
        <v>344</v>
      </c>
      <c r="IW272" s="37" t="s">
        <v>345</v>
      </c>
      <c r="IX272" s="37" t="s">
        <v>344</v>
      </c>
      <c r="IY272" s="37" t="s">
        <v>344</v>
      </c>
      <c r="IZ272" s="37" t="s">
        <v>344</v>
      </c>
      <c r="JA272" s="37"/>
      <c r="JB272" s="37" t="s">
        <v>1504</v>
      </c>
    </row>
    <row r="273" spans="1:262" x14ac:dyDescent="0.3">
      <c r="A273" s="36" t="s">
        <v>338</v>
      </c>
      <c r="B273" s="37">
        <v>240</v>
      </c>
      <c r="C273" s="37" t="s">
        <v>1505</v>
      </c>
      <c r="D273" s="37">
        <v>14</v>
      </c>
      <c r="E273" s="37" t="s">
        <v>387</v>
      </c>
      <c r="F273" s="37">
        <v>1095576608</v>
      </c>
      <c r="G273" s="37" t="s">
        <v>1506</v>
      </c>
      <c r="H273" s="37" t="s">
        <v>1505</v>
      </c>
      <c r="I273" s="37" t="s">
        <v>1486</v>
      </c>
      <c r="J273" s="37">
        <v>17</v>
      </c>
      <c r="K273" s="37" t="s">
        <v>1282</v>
      </c>
      <c r="L273" s="37"/>
      <c r="M273" s="37" t="s">
        <v>345</v>
      </c>
      <c r="N273" s="37" t="s">
        <v>344</v>
      </c>
      <c r="O273" s="37" t="s">
        <v>344</v>
      </c>
      <c r="P273" s="37" t="s">
        <v>344</v>
      </c>
      <c r="Q273" s="37" t="s">
        <v>344</v>
      </c>
      <c r="R273" s="37"/>
      <c r="S273" s="37" t="s">
        <v>1487</v>
      </c>
      <c r="T273" s="37"/>
      <c r="U273" s="37" t="s">
        <v>1256</v>
      </c>
      <c r="V273" s="37"/>
      <c r="W273" s="37" t="s">
        <v>345</v>
      </c>
      <c r="X273" s="37" t="s">
        <v>344</v>
      </c>
      <c r="Y273" s="37" t="s">
        <v>344</v>
      </c>
      <c r="Z273" s="37" t="s">
        <v>344</v>
      </c>
      <c r="AA273" s="37" t="s">
        <v>344</v>
      </c>
      <c r="AB273" s="37" t="s">
        <v>344</v>
      </c>
      <c r="AC273" s="37" t="s">
        <v>344</v>
      </c>
      <c r="AD273" s="37" t="s">
        <v>344</v>
      </c>
      <c r="AE273" s="37" t="s">
        <v>344</v>
      </c>
      <c r="AF273" s="37" t="s">
        <v>345</v>
      </c>
      <c r="AG273" s="37" t="s">
        <v>344</v>
      </c>
      <c r="AH273" s="37" t="s">
        <v>344</v>
      </c>
      <c r="AI273" s="37" t="s">
        <v>344</v>
      </c>
      <c r="AJ273" s="37" t="s">
        <v>344</v>
      </c>
      <c r="AK273" s="37" t="s">
        <v>344</v>
      </c>
      <c r="AL273" s="37" t="s">
        <v>344</v>
      </c>
      <c r="AM273" s="37" t="s">
        <v>344</v>
      </c>
      <c r="AN273" s="37" t="s">
        <v>344</v>
      </c>
      <c r="AO273" s="37" t="s">
        <v>345</v>
      </c>
      <c r="AP273" s="37" t="s">
        <v>344</v>
      </c>
      <c r="AQ273" s="37" t="s">
        <v>344</v>
      </c>
      <c r="AR273" s="37" t="s">
        <v>344</v>
      </c>
      <c r="AS273" s="37" t="s">
        <v>344</v>
      </c>
      <c r="AT273" s="37" t="s">
        <v>345</v>
      </c>
      <c r="AU273" s="37" t="s">
        <v>344</v>
      </c>
      <c r="AV273" s="37" t="s">
        <v>344</v>
      </c>
      <c r="AW273" s="37" t="s">
        <v>344</v>
      </c>
      <c r="AX273" s="37" t="s">
        <v>344</v>
      </c>
      <c r="AY273" s="37" t="s">
        <v>731</v>
      </c>
      <c r="AZ273" s="37" t="s">
        <v>732</v>
      </c>
      <c r="BA273" s="37" t="s">
        <v>733</v>
      </c>
      <c r="BB273" s="37" t="s">
        <v>732</v>
      </c>
      <c r="BC273" s="37" t="s">
        <v>731</v>
      </c>
      <c r="BD273" s="37" t="s">
        <v>731</v>
      </c>
      <c r="BE273" s="37" t="s">
        <v>349</v>
      </c>
      <c r="BF273" s="37" t="s">
        <v>349</v>
      </c>
      <c r="BG273" s="37" t="s">
        <v>350</v>
      </c>
      <c r="BH273" s="37" t="s">
        <v>350</v>
      </c>
      <c r="BI273" s="37" t="s">
        <v>348</v>
      </c>
      <c r="BJ273" s="37" t="s">
        <v>353</v>
      </c>
      <c r="BK273" s="37" t="s">
        <v>352</v>
      </c>
      <c r="BL273" s="37" t="s">
        <v>354</v>
      </c>
      <c r="BM273" s="37" t="s">
        <v>353</v>
      </c>
      <c r="BN273" s="37" t="s">
        <v>355</v>
      </c>
      <c r="BO273" s="37" t="s">
        <v>356</v>
      </c>
      <c r="BP273" s="37" t="s">
        <v>357</v>
      </c>
      <c r="BQ273" s="37" t="s">
        <v>455</v>
      </c>
      <c r="BR273" s="37" t="s">
        <v>1257</v>
      </c>
      <c r="BS273" s="37" t="s">
        <v>351</v>
      </c>
      <c r="BT273" s="37" t="s">
        <v>353</v>
      </c>
      <c r="BU273" s="37" t="s">
        <v>356</v>
      </c>
      <c r="BV273" s="37" t="s">
        <v>355</v>
      </c>
      <c r="BW273" s="37" t="s">
        <v>352</v>
      </c>
      <c r="BX273" s="37" t="s">
        <v>353</v>
      </c>
      <c r="BY273" s="37" t="s">
        <v>356</v>
      </c>
      <c r="BZ273" s="37" t="s">
        <v>353</v>
      </c>
      <c r="CA273" s="37" t="s">
        <v>357</v>
      </c>
      <c r="CB273" s="37" t="s">
        <v>354</v>
      </c>
      <c r="CC273" s="37" t="s">
        <v>355</v>
      </c>
      <c r="CD273" s="37" t="s">
        <v>353</v>
      </c>
      <c r="CE273" s="37" t="s">
        <v>352</v>
      </c>
      <c r="CF273" s="37" t="s">
        <v>353</v>
      </c>
      <c r="CG273" s="37" t="s">
        <v>420</v>
      </c>
      <c r="CH273" s="37" t="s">
        <v>392</v>
      </c>
      <c r="CI273" s="37" t="s">
        <v>420</v>
      </c>
      <c r="CJ273" s="37" t="s">
        <v>392</v>
      </c>
      <c r="CK273" s="37" t="s">
        <v>717</v>
      </c>
      <c r="CL273" s="37" t="s">
        <v>344</v>
      </c>
      <c r="CM273" s="37" t="s">
        <v>344</v>
      </c>
      <c r="CN273" s="37" t="s">
        <v>344</v>
      </c>
      <c r="CO273" s="37" t="s">
        <v>344</v>
      </c>
      <c r="CP273" s="37" t="s">
        <v>345</v>
      </c>
      <c r="CQ273" s="37" t="s">
        <v>344</v>
      </c>
      <c r="CR273" s="37" t="s">
        <v>667</v>
      </c>
      <c r="CS273" s="37">
        <v>80</v>
      </c>
      <c r="CT273" s="37">
        <v>73</v>
      </c>
      <c r="CU273" s="37"/>
      <c r="CV273" s="37"/>
      <c r="CW273" s="37" t="s">
        <v>395</v>
      </c>
      <c r="CX273" s="37" t="s">
        <v>396</v>
      </c>
      <c r="CY273" s="37" t="s">
        <v>395</v>
      </c>
      <c r="CZ273" s="37" t="s">
        <v>397</v>
      </c>
      <c r="DA273" s="37" t="s">
        <v>366</v>
      </c>
      <c r="DB273" s="37" t="s">
        <v>397</v>
      </c>
      <c r="DC273" s="37" t="s">
        <v>366</v>
      </c>
      <c r="DD273" s="37" t="s">
        <v>366</v>
      </c>
      <c r="DE273" s="37"/>
      <c r="DF273" s="37"/>
      <c r="DG273" s="37"/>
      <c r="DH273" s="37"/>
      <c r="DI273" s="37"/>
      <c r="DJ273" s="37" t="s">
        <v>1507</v>
      </c>
      <c r="DK273" s="37" t="s">
        <v>1357</v>
      </c>
      <c r="DL273" s="37" t="s">
        <v>368</v>
      </c>
      <c r="DM273" s="37" t="s">
        <v>368</v>
      </c>
      <c r="DN273" s="37" t="s">
        <v>368</v>
      </c>
      <c r="DO273" s="37" t="s">
        <v>345</v>
      </c>
      <c r="DP273" s="37" t="s">
        <v>344</v>
      </c>
      <c r="DQ273" s="37" t="s">
        <v>344</v>
      </c>
      <c r="DR273" s="37" t="s">
        <v>345</v>
      </c>
      <c r="DS273" s="37" t="s">
        <v>344</v>
      </c>
      <c r="DT273" s="37" t="s">
        <v>345</v>
      </c>
      <c r="DU273" s="37" t="s">
        <v>344</v>
      </c>
      <c r="DV273" s="37" t="s">
        <v>344</v>
      </c>
      <c r="DW273" s="37" t="s">
        <v>344</v>
      </c>
      <c r="DX273" s="37" t="s">
        <v>1258</v>
      </c>
      <c r="DY273" s="37" t="s">
        <v>1258</v>
      </c>
      <c r="DZ273" s="37" t="s">
        <v>1258</v>
      </c>
      <c r="EA273" s="37" t="s">
        <v>1258</v>
      </c>
      <c r="EB273" s="37" t="s">
        <v>1258</v>
      </c>
      <c r="EC273" s="37" t="s">
        <v>1258</v>
      </c>
      <c r="ED273" s="37" t="s">
        <v>1258</v>
      </c>
      <c r="EE273" s="37" t="s">
        <v>1272</v>
      </c>
      <c r="EF273" s="37" t="s">
        <v>1274</v>
      </c>
      <c r="EG273" s="37" t="s">
        <v>397</v>
      </c>
      <c r="EH273" s="37" t="s">
        <v>397</v>
      </c>
      <c r="EI273" s="37" t="s">
        <v>397</v>
      </c>
      <c r="EJ273" s="37" t="s">
        <v>397</v>
      </c>
      <c r="EK273" s="37" t="s">
        <v>1273</v>
      </c>
      <c r="EL273" s="37" t="s">
        <v>1261</v>
      </c>
      <c r="EM273" s="37" t="s">
        <v>1260</v>
      </c>
      <c r="EN273" s="37" t="s">
        <v>1276</v>
      </c>
      <c r="EO273" s="37"/>
      <c r="EP273" s="37"/>
      <c r="EQ273" s="37" t="s">
        <v>1264</v>
      </c>
      <c r="ER273" s="37" t="s">
        <v>1263</v>
      </c>
      <c r="ES273" s="37" t="s">
        <v>1263</v>
      </c>
      <c r="ET273" s="37" t="s">
        <v>1264</v>
      </c>
      <c r="EU273" s="37" t="s">
        <v>1264</v>
      </c>
      <c r="EV273" s="37" t="s">
        <v>1265</v>
      </c>
      <c r="EW273" s="37"/>
      <c r="EX273" s="37" t="s">
        <v>368</v>
      </c>
      <c r="EY273" s="37" t="s">
        <v>368</v>
      </c>
      <c r="EZ273" s="37" t="s">
        <v>368</v>
      </c>
      <c r="FA273" s="37" t="s">
        <v>345</v>
      </c>
      <c r="FB273" s="37" t="s">
        <v>1266</v>
      </c>
      <c r="FC273" s="37"/>
      <c r="FD273" s="37" t="s">
        <v>1266</v>
      </c>
      <c r="FE273" s="37"/>
      <c r="FF273" s="37" t="s">
        <v>1322</v>
      </c>
      <c r="FG273" s="37" t="s">
        <v>1323</v>
      </c>
      <c r="FH273" s="37" t="s">
        <v>1301</v>
      </c>
      <c r="FI273" s="37" t="s">
        <v>385</v>
      </c>
      <c r="FJ273" s="37"/>
      <c r="FK273" s="37"/>
      <c r="FL273" s="37"/>
      <c r="FM273" s="37"/>
      <c r="FN273" s="37"/>
      <c r="FO273" s="37"/>
      <c r="FP273" s="37"/>
      <c r="FQ273" s="37"/>
      <c r="FR273" s="37"/>
      <c r="FS273" s="37"/>
      <c r="FT273" s="37"/>
      <c r="FU273" s="37"/>
      <c r="FV273" s="37"/>
      <c r="FW273" s="37"/>
      <c r="FX273" s="37"/>
      <c r="FY273" s="37"/>
      <c r="FZ273" s="37"/>
      <c r="GA273" s="37" t="s">
        <v>368</v>
      </c>
      <c r="GB273" s="37" t="s">
        <v>368</v>
      </c>
      <c r="GC273" s="37" t="s">
        <v>368</v>
      </c>
      <c r="GD273" s="37" t="s">
        <v>368</v>
      </c>
      <c r="GE273" s="37" t="s">
        <v>368</v>
      </c>
      <c r="GF273" s="37" t="s">
        <v>368</v>
      </c>
      <c r="GG273" s="37"/>
      <c r="GH273" s="37"/>
      <c r="GI273" s="37"/>
      <c r="GJ273" s="37"/>
      <c r="GK273" s="37"/>
      <c r="GL273" s="37" t="s">
        <v>344</v>
      </c>
      <c r="GM273" s="37" t="s">
        <v>344</v>
      </c>
      <c r="GN273" s="37" t="s">
        <v>345</v>
      </c>
      <c r="GO273" s="37" t="s">
        <v>345</v>
      </c>
      <c r="GP273" s="37" t="s">
        <v>344</v>
      </c>
      <c r="GQ273" s="37" t="s">
        <v>344</v>
      </c>
      <c r="GR273" s="37" t="s">
        <v>344</v>
      </c>
      <c r="GS273" s="37" t="s">
        <v>344</v>
      </c>
      <c r="GT273" s="37" t="s">
        <v>345</v>
      </c>
      <c r="GU273" s="37" t="s">
        <v>344</v>
      </c>
      <c r="GV273" s="37" t="s">
        <v>344</v>
      </c>
      <c r="GW273" s="37" t="s">
        <v>345</v>
      </c>
      <c r="GX273" s="37" t="s">
        <v>344</v>
      </c>
      <c r="GY273" s="37" t="s">
        <v>344</v>
      </c>
      <c r="GZ273" s="37" t="s">
        <v>344</v>
      </c>
      <c r="HA273" s="37" t="s">
        <v>344</v>
      </c>
      <c r="HB273" s="37"/>
      <c r="HC273" s="37" t="s">
        <v>344</v>
      </c>
      <c r="HD273" s="37"/>
      <c r="HE273" s="37" t="s">
        <v>344</v>
      </c>
      <c r="HF273" s="37"/>
      <c r="HG273" s="37" t="s">
        <v>344</v>
      </c>
      <c r="HH273" s="37"/>
      <c r="HI273" s="37" t="s">
        <v>344</v>
      </c>
      <c r="HJ273" s="37"/>
      <c r="HK273" s="37" t="s">
        <v>344</v>
      </c>
      <c r="HL273" s="37" t="s">
        <v>344</v>
      </c>
      <c r="HM273" s="37" t="s">
        <v>344</v>
      </c>
      <c r="HN273" s="37" t="s">
        <v>345</v>
      </c>
      <c r="HO273" s="37" t="s">
        <v>344</v>
      </c>
      <c r="HP273" s="37" t="s">
        <v>344</v>
      </c>
      <c r="HQ273" s="37" t="s">
        <v>344</v>
      </c>
      <c r="HR273" s="37" t="s">
        <v>345</v>
      </c>
      <c r="HS273" s="37" t="s">
        <v>344</v>
      </c>
      <c r="HT273" s="37" t="s">
        <v>344</v>
      </c>
      <c r="HU273" s="37" t="s">
        <v>344</v>
      </c>
      <c r="HV273" s="37" t="s">
        <v>344</v>
      </c>
      <c r="HW273" s="37" t="s">
        <v>345</v>
      </c>
      <c r="HX273" s="37" t="s">
        <v>344</v>
      </c>
      <c r="HY273" s="37" t="s">
        <v>344</v>
      </c>
      <c r="HZ273" s="37" t="s">
        <v>344</v>
      </c>
      <c r="IA273" s="37" t="s">
        <v>344</v>
      </c>
      <c r="IB273" s="37" t="s">
        <v>344</v>
      </c>
      <c r="IC273" s="37" t="s">
        <v>344</v>
      </c>
      <c r="ID273" s="37"/>
      <c r="IE273" s="37" t="s">
        <v>344</v>
      </c>
      <c r="IF273" s="37"/>
      <c r="IG273" s="37" t="s">
        <v>344</v>
      </c>
      <c r="IH273" s="37"/>
      <c r="II273" s="37" t="s">
        <v>344</v>
      </c>
      <c r="IJ273" s="37"/>
      <c r="IK273" s="37" t="s">
        <v>344</v>
      </c>
      <c r="IL273" s="37"/>
      <c r="IM273" s="37" t="s">
        <v>345</v>
      </c>
      <c r="IN273" s="37" t="s">
        <v>345</v>
      </c>
      <c r="IO273" s="37" t="s">
        <v>345</v>
      </c>
      <c r="IP273" s="37" t="s">
        <v>344</v>
      </c>
      <c r="IQ273" s="37" t="s">
        <v>345</v>
      </c>
      <c r="IR273" s="37" t="s">
        <v>345</v>
      </c>
      <c r="IS273" s="37" t="s">
        <v>344</v>
      </c>
      <c r="IT273" s="37" t="s">
        <v>345</v>
      </c>
      <c r="IU273" s="37" t="s">
        <v>344</v>
      </c>
      <c r="IV273" s="37" t="s">
        <v>344</v>
      </c>
      <c r="IW273" s="37" t="s">
        <v>344</v>
      </c>
      <c r="IX273" s="37" t="s">
        <v>344</v>
      </c>
      <c r="IY273" s="37" t="s">
        <v>345</v>
      </c>
      <c r="IZ273" s="37" t="s">
        <v>344</v>
      </c>
      <c r="JA273" s="37"/>
      <c r="JB273" s="37"/>
    </row>
    <row r="274" spans="1:262" x14ac:dyDescent="0.3">
      <c r="A274" s="36" t="s">
        <v>338</v>
      </c>
      <c r="B274" s="37">
        <v>241</v>
      </c>
      <c r="C274" s="37" t="s">
        <v>1508</v>
      </c>
      <c r="D274" s="37">
        <v>14</v>
      </c>
      <c r="E274" s="37" t="s">
        <v>387</v>
      </c>
      <c r="F274" s="37">
        <v>199946278</v>
      </c>
      <c r="G274" s="37" t="s">
        <v>1509</v>
      </c>
      <c r="H274" s="37" t="s">
        <v>1508</v>
      </c>
      <c r="I274" s="37" t="s">
        <v>1486</v>
      </c>
      <c r="J274" s="37">
        <v>17</v>
      </c>
      <c r="K274" s="37" t="s">
        <v>1282</v>
      </c>
      <c r="L274" s="37"/>
      <c r="M274" s="37" t="s">
        <v>345</v>
      </c>
      <c r="N274" s="37" t="s">
        <v>344</v>
      </c>
      <c r="O274" s="37" t="s">
        <v>344</v>
      </c>
      <c r="P274" s="37" t="s">
        <v>344</v>
      </c>
      <c r="Q274" s="37" t="s">
        <v>344</v>
      </c>
      <c r="R274" s="37"/>
      <c r="S274" s="37" t="s">
        <v>1487</v>
      </c>
      <c r="T274" s="37"/>
      <c r="U274" s="37" t="s">
        <v>1256</v>
      </c>
      <c r="V274" s="37"/>
      <c r="W274" s="37" t="s">
        <v>344</v>
      </c>
      <c r="X274" s="37" t="s">
        <v>345</v>
      </c>
      <c r="Y274" s="37" t="s">
        <v>344</v>
      </c>
      <c r="Z274" s="37" t="s">
        <v>344</v>
      </c>
      <c r="AA274" s="37" t="s">
        <v>344</v>
      </c>
      <c r="AB274" s="37" t="s">
        <v>344</v>
      </c>
      <c r="AC274" s="37" t="s">
        <v>344</v>
      </c>
      <c r="AD274" s="37" t="s">
        <v>345</v>
      </c>
      <c r="AE274" s="37" t="s">
        <v>344</v>
      </c>
      <c r="AF274" s="37" t="s">
        <v>344</v>
      </c>
      <c r="AG274" s="37" t="s">
        <v>344</v>
      </c>
      <c r="AH274" s="37" t="s">
        <v>344</v>
      </c>
      <c r="AI274" s="37" t="s">
        <v>344</v>
      </c>
      <c r="AJ274" s="37" t="s">
        <v>344</v>
      </c>
      <c r="AK274" s="37" t="s">
        <v>344</v>
      </c>
      <c r="AL274" s="37" t="s">
        <v>344</v>
      </c>
      <c r="AM274" s="37" t="s">
        <v>344</v>
      </c>
      <c r="AN274" s="37" t="s">
        <v>344</v>
      </c>
      <c r="AO274" s="37" t="s">
        <v>345</v>
      </c>
      <c r="AP274" s="37" t="s">
        <v>344</v>
      </c>
      <c r="AQ274" s="37" t="s">
        <v>344</v>
      </c>
      <c r="AR274" s="37" t="s">
        <v>344</v>
      </c>
      <c r="AS274" s="37" t="s">
        <v>345</v>
      </c>
      <c r="AT274" s="37" t="s">
        <v>345</v>
      </c>
      <c r="AU274" s="37" t="s">
        <v>344</v>
      </c>
      <c r="AV274" s="37" t="s">
        <v>344</v>
      </c>
      <c r="AW274" s="37" t="s">
        <v>344</v>
      </c>
      <c r="AX274" s="37" t="s">
        <v>344</v>
      </c>
      <c r="AY274" s="37" t="s">
        <v>732</v>
      </c>
      <c r="AZ274" s="37" t="s">
        <v>731</v>
      </c>
      <c r="BA274" s="37" t="s">
        <v>732</v>
      </c>
      <c r="BB274" s="37" t="s">
        <v>731</v>
      </c>
      <c r="BC274" s="37" t="s">
        <v>737</v>
      </c>
      <c r="BD274" s="37" t="s">
        <v>733</v>
      </c>
      <c r="BE274" s="37" t="s">
        <v>350</v>
      </c>
      <c r="BF274" s="37" t="s">
        <v>349</v>
      </c>
      <c r="BG274" s="37" t="s">
        <v>348</v>
      </c>
      <c r="BH274" s="37" t="s">
        <v>348</v>
      </c>
      <c r="BI274" s="37" t="s">
        <v>349</v>
      </c>
      <c r="BJ274" s="37" t="s">
        <v>391</v>
      </c>
      <c r="BK274" s="37" t="s">
        <v>391</v>
      </c>
      <c r="BL274" s="37" t="s">
        <v>391</v>
      </c>
      <c r="BM274" s="37" t="s">
        <v>391</v>
      </c>
      <c r="BN274" s="37" t="s">
        <v>391</v>
      </c>
      <c r="BO274" s="37" t="s">
        <v>391</v>
      </c>
      <c r="BP274" s="37" t="s">
        <v>391</v>
      </c>
      <c r="BQ274" s="37" t="s">
        <v>358</v>
      </c>
      <c r="BR274" s="37" t="s">
        <v>1296</v>
      </c>
      <c r="BS274" s="37" t="s">
        <v>391</v>
      </c>
      <c r="BT274" s="37" t="s">
        <v>391</v>
      </c>
      <c r="BU274" s="37" t="s">
        <v>391</v>
      </c>
      <c r="BV274" s="37" t="s">
        <v>391</v>
      </c>
      <c r="BW274" s="37" t="s">
        <v>391</v>
      </c>
      <c r="BX274" s="37" t="s">
        <v>391</v>
      </c>
      <c r="BY274" s="37" t="s">
        <v>391</v>
      </c>
      <c r="BZ274" s="37" t="s">
        <v>391</v>
      </c>
      <c r="CA274" s="37" t="s">
        <v>391</v>
      </c>
      <c r="CB274" s="37" t="s">
        <v>391</v>
      </c>
      <c r="CC274" s="37" t="s">
        <v>391</v>
      </c>
      <c r="CD274" s="37" t="s">
        <v>391</v>
      </c>
      <c r="CE274" s="37" t="s">
        <v>391</v>
      </c>
      <c r="CF274" s="37" t="s">
        <v>391</v>
      </c>
      <c r="CG274" s="37" t="s">
        <v>393</v>
      </c>
      <c r="CH274" s="37" t="s">
        <v>393</v>
      </c>
      <c r="CI274" s="37" t="s">
        <v>393</v>
      </c>
      <c r="CJ274" s="37" t="s">
        <v>393</v>
      </c>
      <c r="CK274" s="37" t="s">
        <v>391</v>
      </c>
      <c r="CL274" s="37" t="s">
        <v>344</v>
      </c>
      <c r="CM274" s="37" t="s">
        <v>344</v>
      </c>
      <c r="CN274" s="37" t="s">
        <v>345</v>
      </c>
      <c r="CO274" s="37" t="s">
        <v>345</v>
      </c>
      <c r="CP274" s="37" t="s">
        <v>345</v>
      </c>
      <c r="CQ274" s="37" t="s">
        <v>344</v>
      </c>
      <c r="CR274" s="37" t="s">
        <v>667</v>
      </c>
      <c r="CS274" s="37">
        <v>29</v>
      </c>
      <c r="CT274" s="37">
        <v>100</v>
      </c>
      <c r="CU274" s="37"/>
      <c r="CV274" s="37"/>
      <c r="CW274" s="37" t="s">
        <v>395</v>
      </c>
      <c r="CX274" s="37" t="s">
        <v>396</v>
      </c>
      <c r="CY274" s="37" t="s">
        <v>395</v>
      </c>
      <c r="CZ274" s="37" t="s">
        <v>397</v>
      </c>
      <c r="DA274" s="37" t="s">
        <v>397</v>
      </c>
      <c r="DB274" s="37" t="s">
        <v>397</v>
      </c>
      <c r="DC274" s="37" t="s">
        <v>397</v>
      </c>
      <c r="DD274" s="37" t="s">
        <v>397</v>
      </c>
      <c r="DE274" s="37"/>
      <c r="DF274" s="37"/>
      <c r="DG274" s="37"/>
      <c r="DH274" s="37"/>
      <c r="DI274" s="37"/>
      <c r="DJ274" s="37"/>
      <c r="DK274" s="37" t="s">
        <v>1403</v>
      </c>
      <c r="DL274" s="37" t="s">
        <v>368</v>
      </c>
      <c r="DM274" s="37" t="s">
        <v>368</v>
      </c>
      <c r="DN274" s="37" t="s">
        <v>368</v>
      </c>
      <c r="DO274" s="37" t="s">
        <v>345</v>
      </c>
      <c r="DP274" s="37" t="s">
        <v>368</v>
      </c>
      <c r="DQ274" s="37" t="s">
        <v>368</v>
      </c>
      <c r="DR274" s="37" t="s">
        <v>368</v>
      </c>
      <c r="DS274" s="37" t="s">
        <v>345</v>
      </c>
      <c r="DT274" s="37" t="s">
        <v>345</v>
      </c>
      <c r="DU274" s="37" t="s">
        <v>344</v>
      </c>
      <c r="DV274" s="37" t="s">
        <v>344</v>
      </c>
      <c r="DW274" s="37" t="s">
        <v>344</v>
      </c>
      <c r="DX274" s="37" t="s">
        <v>1258</v>
      </c>
      <c r="DY274" s="37" t="s">
        <v>1258</v>
      </c>
      <c r="DZ274" s="37" t="s">
        <v>1258</v>
      </c>
      <c r="EA274" s="37" t="s">
        <v>1258</v>
      </c>
      <c r="EB274" s="37" t="s">
        <v>1258</v>
      </c>
      <c r="EC274" s="37" t="s">
        <v>1258</v>
      </c>
      <c r="ED274" s="37" t="s">
        <v>1258</v>
      </c>
      <c r="EE274" s="37" t="s">
        <v>397</v>
      </c>
      <c r="EF274" s="37" t="s">
        <v>1274</v>
      </c>
      <c r="EG274" s="37" t="s">
        <v>397</v>
      </c>
      <c r="EH274" s="37" t="s">
        <v>1273</v>
      </c>
      <c r="EI274" s="37" t="s">
        <v>397</v>
      </c>
      <c r="EJ274" s="37" t="s">
        <v>397</v>
      </c>
      <c r="EK274" s="37" t="s">
        <v>1273</v>
      </c>
      <c r="EL274" s="37" t="s">
        <v>1260</v>
      </c>
      <c r="EM274" s="37" t="s">
        <v>1259</v>
      </c>
      <c r="EN274" s="37" t="s">
        <v>1276</v>
      </c>
      <c r="EO274" s="37"/>
      <c r="EP274" s="37"/>
      <c r="EQ274" s="37" t="s">
        <v>1263</v>
      </c>
      <c r="ER274" s="37" t="s">
        <v>1264</v>
      </c>
      <c r="ES274" s="37" t="s">
        <v>1263</v>
      </c>
      <c r="ET274" s="37" t="s">
        <v>717</v>
      </c>
      <c r="EU274" s="37" t="s">
        <v>717</v>
      </c>
      <c r="EV274" s="37" t="s">
        <v>1265</v>
      </c>
      <c r="EW274" s="37"/>
      <c r="EX274" s="37" t="s">
        <v>368</v>
      </c>
      <c r="EY274" s="37" t="s">
        <v>368</v>
      </c>
      <c r="EZ274" s="37" t="s">
        <v>368</v>
      </c>
      <c r="FA274" s="37" t="s">
        <v>345</v>
      </c>
      <c r="FB274" s="37" t="s">
        <v>1266</v>
      </c>
      <c r="FC274" s="37"/>
      <c r="FD274" s="37" t="s">
        <v>1266</v>
      </c>
      <c r="FE274" s="37"/>
      <c r="FF274" s="37" t="s">
        <v>477</v>
      </c>
      <c r="FG274" s="37" t="s">
        <v>441</v>
      </c>
      <c r="FH274" s="37" t="s">
        <v>432</v>
      </c>
      <c r="FI274" s="37" t="s">
        <v>442</v>
      </c>
      <c r="FJ274" s="37"/>
      <c r="FK274" s="37"/>
      <c r="FL274" s="37"/>
      <c r="FM274" s="37"/>
      <c r="FN274" s="37"/>
      <c r="FO274" s="37"/>
      <c r="FP274" s="37"/>
      <c r="FQ274" s="37"/>
      <c r="FR274" s="37"/>
      <c r="FS274" s="37"/>
      <c r="FT274" s="37"/>
      <c r="FU274" s="37"/>
      <c r="FV274" s="37"/>
      <c r="FW274" s="37"/>
      <c r="FX274" s="37"/>
      <c r="FY274" s="37"/>
      <c r="FZ274" s="37"/>
      <c r="GA274" s="37" t="s">
        <v>368</v>
      </c>
      <c r="GB274" s="37" t="s">
        <v>368</v>
      </c>
      <c r="GC274" s="37" t="s">
        <v>368</v>
      </c>
      <c r="GD274" s="37" t="s">
        <v>368</v>
      </c>
      <c r="GE274" s="37" t="s">
        <v>368</v>
      </c>
      <c r="GF274" s="37" t="s">
        <v>368</v>
      </c>
      <c r="GG274" s="37"/>
      <c r="GH274" s="37"/>
      <c r="GI274" s="37"/>
      <c r="GJ274" s="37"/>
      <c r="GK274" s="37"/>
      <c r="GL274" s="37" t="s">
        <v>344</v>
      </c>
      <c r="GM274" s="37" t="s">
        <v>344</v>
      </c>
      <c r="GN274" s="37" t="s">
        <v>344</v>
      </c>
      <c r="GO274" s="37" t="s">
        <v>344</v>
      </c>
      <c r="GP274" s="37" t="s">
        <v>344</v>
      </c>
      <c r="GQ274" s="37" t="s">
        <v>344</v>
      </c>
      <c r="GR274" s="37" t="s">
        <v>344</v>
      </c>
      <c r="GS274" s="37" t="s">
        <v>344</v>
      </c>
      <c r="GT274" s="37" t="s">
        <v>344</v>
      </c>
      <c r="GU274" s="37" t="s">
        <v>344</v>
      </c>
      <c r="GV274" s="37" t="s">
        <v>344</v>
      </c>
      <c r="GW274" s="37" t="s">
        <v>345</v>
      </c>
      <c r="GX274" s="37" t="s">
        <v>344</v>
      </c>
      <c r="GY274" s="37" t="s">
        <v>344</v>
      </c>
      <c r="GZ274" s="37" t="s">
        <v>344</v>
      </c>
      <c r="HA274" s="37" t="s">
        <v>344</v>
      </c>
      <c r="HB274" s="37"/>
      <c r="HC274" s="37" t="s">
        <v>344</v>
      </c>
      <c r="HD274" s="37"/>
      <c r="HE274" s="37" t="s">
        <v>344</v>
      </c>
      <c r="HF274" s="37"/>
      <c r="HG274" s="37" t="s">
        <v>344</v>
      </c>
      <c r="HH274" s="37"/>
      <c r="HI274" s="37" t="s">
        <v>344</v>
      </c>
      <c r="HJ274" s="37"/>
      <c r="HK274" s="37" t="s">
        <v>344</v>
      </c>
      <c r="HL274" s="37" t="s">
        <v>344</v>
      </c>
      <c r="HM274" s="37" t="s">
        <v>344</v>
      </c>
      <c r="HN274" s="37" t="s">
        <v>344</v>
      </c>
      <c r="HO274" s="37" t="s">
        <v>344</v>
      </c>
      <c r="HP274" s="37" t="s">
        <v>344</v>
      </c>
      <c r="HQ274" s="37" t="s">
        <v>344</v>
      </c>
      <c r="HR274" s="37" t="s">
        <v>344</v>
      </c>
      <c r="HS274" s="37" t="s">
        <v>344</v>
      </c>
      <c r="HT274" s="37" t="s">
        <v>344</v>
      </c>
      <c r="HU274" s="37" t="s">
        <v>344</v>
      </c>
      <c r="HV274" s="37" t="s">
        <v>344</v>
      </c>
      <c r="HW274" s="37" t="s">
        <v>344</v>
      </c>
      <c r="HX274" s="37" t="s">
        <v>344</v>
      </c>
      <c r="HY274" s="37" t="s">
        <v>344</v>
      </c>
      <c r="HZ274" s="37" t="s">
        <v>344</v>
      </c>
      <c r="IA274" s="37" t="s">
        <v>344</v>
      </c>
      <c r="IB274" s="37" t="s">
        <v>344</v>
      </c>
      <c r="IC274" s="37" t="s">
        <v>345</v>
      </c>
      <c r="ID274" s="37"/>
      <c r="IE274" s="37" t="s">
        <v>344</v>
      </c>
      <c r="IF274" s="37"/>
      <c r="IG274" s="37" t="s">
        <v>344</v>
      </c>
      <c r="IH274" s="37"/>
      <c r="II274" s="37" t="s">
        <v>344</v>
      </c>
      <c r="IJ274" s="37"/>
      <c r="IK274" s="37" t="s">
        <v>344</v>
      </c>
      <c r="IL274" s="37"/>
      <c r="IM274" s="37" t="s">
        <v>345</v>
      </c>
      <c r="IN274" s="37" t="s">
        <v>345</v>
      </c>
      <c r="IO274" s="37" t="s">
        <v>344</v>
      </c>
      <c r="IP274" s="37" t="s">
        <v>344</v>
      </c>
      <c r="IQ274" s="37" t="s">
        <v>344</v>
      </c>
      <c r="IR274" s="37" t="s">
        <v>344</v>
      </c>
      <c r="IS274" s="37" t="s">
        <v>344</v>
      </c>
      <c r="IT274" s="37" t="s">
        <v>345</v>
      </c>
      <c r="IU274" s="37" t="s">
        <v>344</v>
      </c>
      <c r="IV274" s="37" t="s">
        <v>344</v>
      </c>
      <c r="IW274" s="37" t="s">
        <v>344</v>
      </c>
      <c r="IX274" s="37" t="s">
        <v>344</v>
      </c>
      <c r="IY274" s="37" t="s">
        <v>345</v>
      </c>
      <c r="IZ274" s="37" t="s">
        <v>344</v>
      </c>
      <c r="JA274" s="37"/>
      <c r="JB274" s="37" t="s">
        <v>1510</v>
      </c>
    </row>
    <row r="275" spans="1:262" x14ac:dyDescent="0.3">
      <c r="A275" s="36" t="s">
        <v>338</v>
      </c>
      <c r="B275" s="37">
        <v>242</v>
      </c>
      <c r="C275" s="37" t="s">
        <v>1511</v>
      </c>
      <c r="D275" s="37">
        <v>14</v>
      </c>
      <c r="E275" s="37" t="s">
        <v>387</v>
      </c>
      <c r="F275" s="37">
        <v>886069845</v>
      </c>
      <c r="G275" s="37" t="s">
        <v>1509</v>
      </c>
      <c r="H275" s="37" t="s">
        <v>1511</v>
      </c>
      <c r="I275" s="37" t="s">
        <v>1486</v>
      </c>
      <c r="J275" s="37">
        <v>17</v>
      </c>
      <c r="K275" s="37" t="s">
        <v>343</v>
      </c>
      <c r="L275" s="37"/>
      <c r="M275" s="37" t="s">
        <v>345</v>
      </c>
      <c r="N275" s="37" t="s">
        <v>344</v>
      </c>
      <c r="O275" s="37" t="s">
        <v>344</v>
      </c>
      <c r="P275" s="37" t="s">
        <v>344</v>
      </c>
      <c r="Q275" s="37" t="s">
        <v>344</v>
      </c>
      <c r="R275" s="37"/>
      <c r="S275" s="37" t="s">
        <v>1487</v>
      </c>
      <c r="T275" s="37"/>
      <c r="U275" s="37" t="s">
        <v>1270</v>
      </c>
      <c r="V275" s="37"/>
      <c r="W275" s="37" t="s">
        <v>344</v>
      </c>
      <c r="X275" s="37" t="s">
        <v>345</v>
      </c>
      <c r="Y275" s="37" t="s">
        <v>344</v>
      </c>
      <c r="Z275" s="37" t="s">
        <v>345</v>
      </c>
      <c r="AA275" s="37" t="s">
        <v>344</v>
      </c>
      <c r="AB275" s="37" t="s">
        <v>344</v>
      </c>
      <c r="AC275" s="37" t="s">
        <v>344</v>
      </c>
      <c r="AD275" s="37" t="s">
        <v>344</v>
      </c>
      <c r="AE275" s="37" t="s">
        <v>345</v>
      </c>
      <c r="AF275" s="37" t="s">
        <v>344</v>
      </c>
      <c r="AG275" s="37" t="s">
        <v>344</v>
      </c>
      <c r="AH275" s="37" t="s">
        <v>344</v>
      </c>
      <c r="AI275" s="37" t="s">
        <v>344</v>
      </c>
      <c r="AJ275" s="37" t="s">
        <v>344</v>
      </c>
      <c r="AK275" s="37" t="s">
        <v>345</v>
      </c>
      <c r="AL275" s="37" t="s">
        <v>344</v>
      </c>
      <c r="AM275" s="37" t="s">
        <v>345</v>
      </c>
      <c r="AN275" s="37" t="s">
        <v>345</v>
      </c>
      <c r="AO275" s="37" t="s">
        <v>344</v>
      </c>
      <c r="AP275" s="37" t="s">
        <v>344</v>
      </c>
      <c r="AQ275" s="37" t="s">
        <v>344</v>
      </c>
      <c r="AR275" s="37" t="s">
        <v>345</v>
      </c>
      <c r="AS275" s="37" t="s">
        <v>345</v>
      </c>
      <c r="AT275" s="37" t="s">
        <v>345</v>
      </c>
      <c r="AU275" s="37" t="s">
        <v>344</v>
      </c>
      <c r="AV275" s="37" t="s">
        <v>344</v>
      </c>
      <c r="AW275" s="37" t="s">
        <v>344</v>
      </c>
      <c r="AX275" s="37" t="s">
        <v>344</v>
      </c>
      <c r="AY275" s="37" t="s">
        <v>737</v>
      </c>
      <c r="AZ275" s="37" t="s">
        <v>731</v>
      </c>
      <c r="BA275" s="37" t="s">
        <v>737</v>
      </c>
      <c r="BB275" s="37" t="s">
        <v>733</v>
      </c>
      <c r="BC275" s="37" t="s">
        <v>732</v>
      </c>
      <c r="BD275" s="37" t="s">
        <v>733</v>
      </c>
      <c r="BE275" s="37" t="s">
        <v>349</v>
      </c>
      <c r="BF275" s="37" t="s">
        <v>348</v>
      </c>
      <c r="BG275" s="37" t="s">
        <v>349</v>
      </c>
      <c r="BH275" s="37" t="s">
        <v>350</v>
      </c>
      <c r="BI275" s="37" t="s">
        <v>350</v>
      </c>
      <c r="BJ275" s="37" t="s">
        <v>357</v>
      </c>
      <c r="BK275" s="37" t="s">
        <v>356</v>
      </c>
      <c r="BL275" s="37" t="s">
        <v>353</v>
      </c>
      <c r="BM275" s="37" t="s">
        <v>352</v>
      </c>
      <c r="BN275" s="37" t="s">
        <v>351</v>
      </c>
      <c r="BO275" s="37" t="s">
        <v>356</v>
      </c>
      <c r="BP275" s="37" t="s">
        <v>357</v>
      </c>
      <c r="BQ275" s="37" t="s">
        <v>358</v>
      </c>
      <c r="BR275" s="37" t="s">
        <v>1339</v>
      </c>
      <c r="BS275" s="37" t="s">
        <v>356</v>
      </c>
      <c r="BT275" s="37" t="s">
        <v>354</v>
      </c>
      <c r="BU275" s="37" t="s">
        <v>353</v>
      </c>
      <c r="BV275" s="37" t="s">
        <v>355</v>
      </c>
      <c r="BW275" s="37" t="s">
        <v>391</v>
      </c>
      <c r="BX275" s="37" t="s">
        <v>351</v>
      </c>
      <c r="BY275" s="37" t="s">
        <v>391</v>
      </c>
      <c r="BZ275" s="37" t="s">
        <v>356</v>
      </c>
      <c r="CA275" s="37" t="s">
        <v>354</v>
      </c>
      <c r="CB275" s="37" t="s">
        <v>351</v>
      </c>
      <c r="CC275" s="37" t="s">
        <v>357</v>
      </c>
      <c r="CD275" s="37" t="s">
        <v>352</v>
      </c>
      <c r="CE275" s="37" t="s">
        <v>355</v>
      </c>
      <c r="CF275" s="37" t="s">
        <v>353</v>
      </c>
      <c r="CG275" s="37" t="s">
        <v>420</v>
      </c>
      <c r="CH275" s="37" t="s">
        <v>360</v>
      </c>
      <c r="CI275" s="37" t="s">
        <v>392</v>
      </c>
      <c r="CJ275" s="37" t="s">
        <v>392</v>
      </c>
      <c r="CK275" s="37" t="s">
        <v>391</v>
      </c>
      <c r="CL275" s="37" t="s">
        <v>344</v>
      </c>
      <c r="CM275" s="37" t="s">
        <v>344</v>
      </c>
      <c r="CN275" s="37" t="s">
        <v>345</v>
      </c>
      <c r="CO275" s="37" t="s">
        <v>345</v>
      </c>
      <c r="CP275" s="37" t="s">
        <v>345</v>
      </c>
      <c r="CQ275" s="37" t="s">
        <v>344</v>
      </c>
      <c r="CR275" s="37" t="s">
        <v>655</v>
      </c>
      <c r="CS275" s="37">
        <v>78</v>
      </c>
      <c r="CT275" s="37">
        <v>100</v>
      </c>
      <c r="CU275" s="37"/>
      <c r="CV275" s="37"/>
      <c r="CW275" s="37" t="s">
        <v>363</v>
      </c>
      <c r="CX275" s="37" t="s">
        <v>396</v>
      </c>
      <c r="CY275" s="37" t="s">
        <v>363</v>
      </c>
      <c r="CZ275" s="37" t="s">
        <v>397</v>
      </c>
      <c r="DA275" s="37" t="s">
        <v>366</v>
      </c>
      <c r="DB275" s="37" t="s">
        <v>397</v>
      </c>
      <c r="DC275" s="37" t="s">
        <v>365</v>
      </c>
      <c r="DD275" s="37" t="s">
        <v>365</v>
      </c>
      <c r="DE275" s="37"/>
      <c r="DF275" s="37"/>
      <c r="DG275" s="37"/>
      <c r="DH275" s="37"/>
      <c r="DI275" s="37"/>
      <c r="DJ275" s="37" t="s">
        <v>1512</v>
      </c>
      <c r="DK275" s="37" t="s">
        <v>344</v>
      </c>
      <c r="DL275" s="37" t="s">
        <v>368</v>
      </c>
      <c r="DM275" s="37" t="s">
        <v>368</v>
      </c>
      <c r="DN275" s="37" t="s">
        <v>368</v>
      </c>
      <c r="DO275" s="37" t="s">
        <v>368</v>
      </c>
      <c r="DP275" s="37" t="s">
        <v>345</v>
      </c>
      <c r="DQ275" s="37" t="s">
        <v>345</v>
      </c>
      <c r="DR275" s="37" t="s">
        <v>344</v>
      </c>
      <c r="DS275" s="37" t="s">
        <v>344</v>
      </c>
      <c r="DT275" s="37" t="s">
        <v>344</v>
      </c>
      <c r="DU275" s="37" t="s">
        <v>345</v>
      </c>
      <c r="DV275" s="37" t="s">
        <v>344</v>
      </c>
      <c r="DW275" s="37" t="s">
        <v>344</v>
      </c>
      <c r="DX275" s="37" t="s">
        <v>1258</v>
      </c>
      <c r="DY275" s="37" t="s">
        <v>1258</v>
      </c>
      <c r="DZ275" s="37" t="s">
        <v>1258</v>
      </c>
      <c r="EA275" s="37" t="s">
        <v>1258</v>
      </c>
      <c r="EB275" s="37" t="s">
        <v>1258</v>
      </c>
      <c r="EC275" s="37" t="s">
        <v>1258</v>
      </c>
      <c r="ED275" s="37" t="s">
        <v>1258</v>
      </c>
      <c r="EE275" s="37" t="s">
        <v>397</v>
      </c>
      <c r="EF275" s="37" t="s">
        <v>397</v>
      </c>
      <c r="EG275" s="37" t="s">
        <v>397</v>
      </c>
      <c r="EH275" s="37" t="s">
        <v>397</v>
      </c>
      <c r="EI275" s="37" t="s">
        <v>397</v>
      </c>
      <c r="EJ275" s="37" t="s">
        <v>397</v>
      </c>
      <c r="EK275" s="37" t="s">
        <v>1273</v>
      </c>
      <c r="EL275" s="37" t="s">
        <v>1261</v>
      </c>
      <c r="EM275" s="37" t="s">
        <v>1276</v>
      </c>
      <c r="EN275" s="37" t="s">
        <v>1275</v>
      </c>
      <c r="EO275" s="37"/>
      <c r="EP275" s="37"/>
      <c r="EQ275" s="37" t="s">
        <v>1264</v>
      </c>
      <c r="ER275" s="37" t="s">
        <v>1263</v>
      </c>
      <c r="ES275" s="37" t="s">
        <v>1264</v>
      </c>
      <c r="ET275" s="37" t="s">
        <v>1264</v>
      </c>
      <c r="EU275" s="37" t="s">
        <v>1277</v>
      </c>
      <c r="EV275" s="37" t="s">
        <v>1265</v>
      </c>
      <c r="EW275" s="37"/>
      <c r="EX275" s="37" t="s">
        <v>368</v>
      </c>
      <c r="EY275" s="37" t="s">
        <v>368</v>
      </c>
      <c r="EZ275" s="37" t="s">
        <v>368</v>
      </c>
      <c r="FA275" s="37" t="s">
        <v>345</v>
      </c>
      <c r="FB275" s="37" t="s">
        <v>1266</v>
      </c>
      <c r="FC275" s="37"/>
      <c r="FD275" s="37" t="s">
        <v>1266</v>
      </c>
      <c r="FE275" s="37"/>
      <c r="FF275" s="37" t="s">
        <v>477</v>
      </c>
      <c r="FG275" s="37" t="s">
        <v>402</v>
      </c>
      <c r="FH275" s="37" t="s">
        <v>432</v>
      </c>
      <c r="FI275" s="37" t="s">
        <v>1286</v>
      </c>
      <c r="FJ275" s="37"/>
      <c r="FK275" s="37"/>
      <c r="FL275" s="37"/>
      <c r="FM275" s="37"/>
      <c r="FN275" s="37"/>
      <c r="FO275" s="37"/>
      <c r="FP275" s="37"/>
      <c r="FQ275" s="37"/>
      <c r="FR275" s="37"/>
      <c r="FS275" s="37"/>
      <c r="FT275" s="37"/>
      <c r="FU275" s="37"/>
      <c r="FV275" s="37"/>
      <c r="FW275" s="37"/>
      <c r="FX275" s="37"/>
      <c r="FY275" s="37"/>
      <c r="FZ275" s="37"/>
      <c r="GA275" s="37" t="s">
        <v>368</v>
      </c>
      <c r="GB275" s="37" t="s">
        <v>368</v>
      </c>
      <c r="GC275" s="37" t="s">
        <v>368</v>
      </c>
      <c r="GD275" s="37" t="s">
        <v>368</v>
      </c>
      <c r="GE275" s="37" t="s">
        <v>368</v>
      </c>
      <c r="GF275" s="37" t="s">
        <v>368</v>
      </c>
      <c r="GG275" s="37"/>
      <c r="GH275" s="37"/>
      <c r="GI275" s="37"/>
      <c r="GJ275" s="37"/>
      <c r="GK275" s="37"/>
      <c r="GL275" s="37" t="s">
        <v>344</v>
      </c>
      <c r="GM275" s="37" t="s">
        <v>344</v>
      </c>
      <c r="GN275" s="37" t="s">
        <v>344</v>
      </c>
      <c r="GO275" s="37" t="s">
        <v>345</v>
      </c>
      <c r="GP275" s="37" t="s">
        <v>344</v>
      </c>
      <c r="GQ275" s="37" t="s">
        <v>344</v>
      </c>
      <c r="GR275" s="37" t="s">
        <v>344</v>
      </c>
      <c r="GS275" s="37" t="s">
        <v>344</v>
      </c>
      <c r="GT275" s="37" t="s">
        <v>345</v>
      </c>
      <c r="GU275" s="37" t="s">
        <v>344</v>
      </c>
      <c r="GV275" s="37" t="s">
        <v>345</v>
      </c>
      <c r="GW275" s="37" t="s">
        <v>345</v>
      </c>
      <c r="GX275" s="37" t="s">
        <v>344</v>
      </c>
      <c r="GY275" s="37" t="s">
        <v>344</v>
      </c>
      <c r="GZ275" s="37" t="s">
        <v>344</v>
      </c>
      <c r="HA275" s="37" t="s">
        <v>344</v>
      </c>
      <c r="HB275" s="37"/>
      <c r="HC275" s="37" t="s">
        <v>344</v>
      </c>
      <c r="HD275" s="37"/>
      <c r="HE275" s="37" t="s">
        <v>344</v>
      </c>
      <c r="HF275" s="37"/>
      <c r="HG275" s="37" t="s">
        <v>344</v>
      </c>
      <c r="HH275" s="37"/>
      <c r="HI275" s="37" t="s">
        <v>344</v>
      </c>
      <c r="HJ275" s="37"/>
      <c r="HK275" s="37" t="s">
        <v>345</v>
      </c>
      <c r="HL275" s="37" t="s">
        <v>344</v>
      </c>
      <c r="HM275" s="37" t="s">
        <v>344</v>
      </c>
      <c r="HN275" s="37" t="s">
        <v>345</v>
      </c>
      <c r="HO275" s="37" t="s">
        <v>344</v>
      </c>
      <c r="HP275" s="37" t="s">
        <v>344</v>
      </c>
      <c r="HQ275" s="37" t="s">
        <v>344</v>
      </c>
      <c r="HR275" s="37" t="s">
        <v>344</v>
      </c>
      <c r="HS275" s="37" t="s">
        <v>345</v>
      </c>
      <c r="HT275" s="37" t="s">
        <v>344</v>
      </c>
      <c r="HU275" s="37" t="s">
        <v>344</v>
      </c>
      <c r="HV275" s="37" t="s">
        <v>344</v>
      </c>
      <c r="HW275" s="37" t="s">
        <v>345</v>
      </c>
      <c r="HX275" s="37" t="s">
        <v>344</v>
      </c>
      <c r="HY275" s="37" t="s">
        <v>344</v>
      </c>
      <c r="HZ275" s="37" t="s">
        <v>344</v>
      </c>
      <c r="IA275" s="37" t="s">
        <v>344</v>
      </c>
      <c r="IB275" s="37" t="s">
        <v>344</v>
      </c>
      <c r="IC275" s="37" t="s">
        <v>344</v>
      </c>
      <c r="ID275" s="37"/>
      <c r="IE275" s="37" t="s">
        <v>344</v>
      </c>
      <c r="IF275" s="37"/>
      <c r="IG275" s="37" t="s">
        <v>344</v>
      </c>
      <c r="IH275" s="37"/>
      <c r="II275" s="37" t="s">
        <v>344</v>
      </c>
      <c r="IJ275" s="37"/>
      <c r="IK275" s="37" t="s">
        <v>344</v>
      </c>
      <c r="IL275" s="37"/>
      <c r="IM275" s="37" t="s">
        <v>345</v>
      </c>
      <c r="IN275" s="37" t="s">
        <v>345</v>
      </c>
      <c r="IO275" s="37" t="s">
        <v>344</v>
      </c>
      <c r="IP275" s="37" t="s">
        <v>344</v>
      </c>
      <c r="IQ275" s="37" t="s">
        <v>345</v>
      </c>
      <c r="IR275" s="37" t="s">
        <v>345</v>
      </c>
      <c r="IS275" s="37" t="s">
        <v>344</v>
      </c>
      <c r="IT275" s="37" t="s">
        <v>345</v>
      </c>
      <c r="IU275" s="37" t="s">
        <v>345</v>
      </c>
      <c r="IV275" s="37" t="s">
        <v>344</v>
      </c>
      <c r="IW275" s="37" t="s">
        <v>345</v>
      </c>
      <c r="IX275" s="37" t="s">
        <v>344</v>
      </c>
      <c r="IY275" s="37" t="s">
        <v>345</v>
      </c>
      <c r="IZ275" s="37" t="s">
        <v>344</v>
      </c>
      <c r="JA275" s="37"/>
      <c r="JB275" s="37"/>
    </row>
    <row r="276" spans="1:262" x14ac:dyDescent="0.3">
      <c r="A276" s="36" t="s">
        <v>338</v>
      </c>
      <c r="B276" s="37">
        <v>244</v>
      </c>
      <c r="C276" s="37" t="s">
        <v>1513</v>
      </c>
      <c r="D276" s="37">
        <v>14</v>
      </c>
      <c r="E276" s="37" t="s">
        <v>387</v>
      </c>
      <c r="F276" s="37">
        <v>1249313560</v>
      </c>
      <c r="G276" s="37" t="s">
        <v>1514</v>
      </c>
      <c r="H276" s="37" t="s">
        <v>1513</v>
      </c>
      <c r="I276" s="37" t="s">
        <v>1486</v>
      </c>
      <c r="J276" s="37">
        <v>17</v>
      </c>
      <c r="K276" s="37" t="s">
        <v>1255</v>
      </c>
      <c r="L276" s="37"/>
      <c r="M276" s="37" t="s">
        <v>345</v>
      </c>
      <c r="N276" s="37" t="s">
        <v>344</v>
      </c>
      <c r="O276" s="37" t="s">
        <v>344</v>
      </c>
      <c r="P276" s="37" t="s">
        <v>344</v>
      </c>
      <c r="Q276" s="37" t="s">
        <v>344</v>
      </c>
      <c r="R276" s="37"/>
      <c r="S276" s="37" t="s">
        <v>1487</v>
      </c>
      <c r="T276" s="37"/>
      <c r="U276" s="37" t="s">
        <v>1256</v>
      </c>
      <c r="V276" s="37"/>
      <c r="W276" s="37" t="s">
        <v>345</v>
      </c>
      <c r="X276" s="37" t="s">
        <v>344</v>
      </c>
      <c r="Y276" s="37" t="s">
        <v>344</v>
      </c>
      <c r="Z276" s="37" t="s">
        <v>344</v>
      </c>
      <c r="AA276" s="37" t="s">
        <v>345</v>
      </c>
      <c r="AB276" s="37" t="s">
        <v>344</v>
      </c>
      <c r="AC276" s="37" t="s">
        <v>344</v>
      </c>
      <c r="AD276" s="37" t="s">
        <v>345</v>
      </c>
      <c r="AE276" s="37" t="s">
        <v>345</v>
      </c>
      <c r="AF276" s="37" t="s">
        <v>345</v>
      </c>
      <c r="AG276" s="37" t="s">
        <v>344</v>
      </c>
      <c r="AH276" s="37" t="s">
        <v>344</v>
      </c>
      <c r="AI276" s="37" t="s">
        <v>344</v>
      </c>
      <c r="AJ276" s="37" t="s">
        <v>344</v>
      </c>
      <c r="AK276" s="37" t="s">
        <v>344</v>
      </c>
      <c r="AL276" s="37" t="s">
        <v>344</v>
      </c>
      <c r="AM276" s="37" t="s">
        <v>344</v>
      </c>
      <c r="AN276" s="37" t="s">
        <v>345</v>
      </c>
      <c r="AO276" s="37" t="s">
        <v>345</v>
      </c>
      <c r="AP276" s="37" t="s">
        <v>345</v>
      </c>
      <c r="AQ276" s="37" t="s">
        <v>344</v>
      </c>
      <c r="AR276" s="37" t="s">
        <v>345</v>
      </c>
      <c r="AS276" s="37" t="s">
        <v>345</v>
      </c>
      <c r="AT276" s="37" t="s">
        <v>345</v>
      </c>
      <c r="AU276" s="37" t="s">
        <v>345</v>
      </c>
      <c r="AV276" s="37" t="s">
        <v>344</v>
      </c>
      <c r="AW276" s="37" t="s">
        <v>344</v>
      </c>
      <c r="AX276" s="37" t="s">
        <v>344</v>
      </c>
      <c r="AY276" s="37" t="s">
        <v>731</v>
      </c>
      <c r="AZ276" s="37" t="s">
        <v>731</v>
      </c>
      <c r="BA276" s="37" t="s">
        <v>731</v>
      </c>
      <c r="BB276" s="37" t="s">
        <v>731</v>
      </c>
      <c r="BC276" s="37" t="s">
        <v>731</v>
      </c>
      <c r="BD276" s="37" t="s">
        <v>732</v>
      </c>
      <c r="BE276" s="37" t="s">
        <v>390</v>
      </c>
      <c r="BF276" s="37" t="s">
        <v>349</v>
      </c>
      <c r="BG276" s="37" t="s">
        <v>349</v>
      </c>
      <c r="BH276" s="37" t="s">
        <v>349</v>
      </c>
      <c r="BI276" s="37" t="s">
        <v>348</v>
      </c>
      <c r="BJ276" s="37" t="s">
        <v>353</v>
      </c>
      <c r="BK276" s="37" t="s">
        <v>391</v>
      </c>
      <c r="BL276" s="37" t="s">
        <v>391</v>
      </c>
      <c r="BM276" s="37" t="s">
        <v>355</v>
      </c>
      <c r="BN276" s="37" t="s">
        <v>391</v>
      </c>
      <c r="BO276" s="37" t="s">
        <v>391</v>
      </c>
      <c r="BP276" s="37" t="s">
        <v>391</v>
      </c>
      <c r="BQ276" s="37" t="s">
        <v>407</v>
      </c>
      <c r="BR276" s="37" t="s">
        <v>1296</v>
      </c>
      <c r="BS276" s="37" t="s">
        <v>391</v>
      </c>
      <c r="BT276" s="37" t="s">
        <v>391</v>
      </c>
      <c r="BU276" s="37" t="s">
        <v>391</v>
      </c>
      <c r="BV276" s="37" t="s">
        <v>391</v>
      </c>
      <c r="BW276" s="37" t="s">
        <v>391</v>
      </c>
      <c r="BX276" s="37" t="s">
        <v>391</v>
      </c>
      <c r="BY276" s="37" t="s">
        <v>391</v>
      </c>
      <c r="BZ276" s="37" t="s">
        <v>391</v>
      </c>
      <c r="CA276" s="37" t="s">
        <v>391</v>
      </c>
      <c r="CB276" s="37" t="s">
        <v>391</v>
      </c>
      <c r="CC276" s="37" t="s">
        <v>391</v>
      </c>
      <c r="CD276" s="37" t="s">
        <v>391</v>
      </c>
      <c r="CE276" s="37" t="s">
        <v>391</v>
      </c>
      <c r="CF276" s="37" t="s">
        <v>391</v>
      </c>
      <c r="CG276" s="37" t="s">
        <v>421</v>
      </c>
      <c r="CH276" s="37" t="s">
        <v>393</v>
      </c>
      <c r="CI276" s="37" t="s">
        <v>420</v>
      </c>
      <c r="CJ276" s="37" t="s">
        <v>420</v>
      </c>
      <c r="CK276" s="37" t="s">
        <v>1515</v>
      </c>
      <c r="CL276" s="37" t="s">
        <v>345</v>
      </c>
      <c r="CM276" s="37" t="s">
        <v>344</v>
      </c>
      <c r="CN276" s="37" t="s">
        <v>344</v>
      </c>
      <c r="CO276" s="37" t="s">
        <v>344</v>
      </c>
      <c r="CP276" s="37" t="s">
        <v>345</v>
      </c>
      <c r="CQ276" s="37" t="s">
        <v>344</v>
      </c>
      <c r="CR276" s="37" t="s">
        <v>667</v>
      </c>
      <c r="CS276" s="37">
        <v>74</v>
      </c>
      <c r="CT276" s="37">
        <v>73</v>
      </c>
      <c r="CU276" s="37"/>
      <c r="CV276" s="37"/>
      <c r="CW276" s="37" t="s">
        <v>395</v>
      </c>
      <c r="CX276" s="37" t="s">
        <v>396</v>
      </c>
      <c r="CY276" s="37" t="s">
        <v>363</v>
      </c>
      <c r="CZ276" s="37" t="s">
        <v>397</v>
      </c>
      <c r="DA276" s="37" t="s">
        <v>397</v>
      </c>
      <c r="DB276" s="37" t="s">
        <v>397</v>
      </c>
      <c r="DC276" s="37" t="s">
        <v>397</v>
      </c>
      <c r="DD276" s="37" t="s">
        <v>397</v>
      </c>
      <c r="DE276" s="37"/>
      <c r="DF276" s="37"/>
      <c r="DG276" s="37"/>
      <c r="DH276" s="37"/>
      <c r="DI276" s="37"/>
      <c r="DJ276" s="37"/>
      <c r="DK276" s="37" t="s">
        <v>1357</v>
      </c>
      <c r="DL276" s="37" t="s">
        <v>368</v>
      </c>
      <c r="DM276" s="37" t="s">
        <v>368</v>
      </c>
      <c r="DN276" s="37" t="s">
        <v>368</v>
      </c>
      <c r="DO276" s="37" t="s">
        <v>345</v>
      </c>
      <c r="DP276" s="37" t="s">
        <v>368</v>
      </c>
      <c r="DQ276" s="37" t="s">
        <v>368</v>
      </c>
      <c r="DR276" s="37" t="s">
        <v>368</v>
      </c>
      <c r="DS276" s="37" t="s">
        <v>345</v>
      </c>
      <c r="DT276" s="37" t="s">
        <v>368</v>
      </c>
      <c r="DU276" s="37" t="s">
        <v>368</v>
      </c>
      <c r="DV276" s="37" t="s">
        <v>368</v>
      </c>
      <c r="DW276" s="37" t="s">
        <v>345</v>
      </c>
      <c r="DX276" s="37" t="s">
        <v>1258</v>
      </c>
      <c r="DY276" s="37" t="s">
        <v>1258</v>
      </c>
      <c r="DZ276" s="37" t="s">
        <v>1258</v>
      </c>
      <c r="EA276" s="37" t="s">
        <v>1258</v>
      </c>
      <c r="EB276" s="37" t="s">
        <v>1258</v>
      </c>
      <c r="EC276" s="37" t="s">
        <v>1258</v>
      </c>
      <c r="ED276" s="37" t="s">
        <v>1258</v>
      </c>
      <c r="EE276" s="37" t="s">
        <v>397</v>
      </c>
      <c r="EF276" s="37" t="s">
        <v>397</v>
      </c>
      <c r="EG276" s="37" t="s">
        <v>397</v>
      </c>
      <c r="EH276" s="37" t="s">
        <v>397</v>
      </c>
      <c r="EI276" s="37" t="s">
        <v>397</v>
      </c>
      <c r="EJ276" s="37" t="s">
        <v>397</v>
      </c>
      <c r="EK276" s="37" t="s">
        <v>397</v>
      </c>
      <c r="EL276" s="37" t="s">
        <v>1259</v>
      </c>
      <c r="EM276" s="37" t="s">
        <v>1261</v>
      </c>
      <c r="EN276" s="37" t="s">
        <v>1260</v>
      </c>
      <c r="EO276" s="37"/>
      <c r="EP276" s="37"/>
      <c r="EQ276" s="37" t="s">
        <v>1264</v>
      </c>
      <c r="ER276" s="37" t="s">
        <v>717</v>
      </c>
      <c r="ES276" s="37" t="s">
        <v>717</v>
      </c>
      <c r="ET276" s="37" t="s">
        <v>717</v>
      </c>
      <c r="EU276" s="37" t="s">
        <v>717</v>
      </c>
      <c r="EV276" s="37" t="s">
        <v>1265</v>
      </c>
      <c r="EW276" s="37"/>
      <c r="EX276" s="37" t="s">
        <v>368</v>
      </c>
      <c r="EY276" s="37" t="s">
        <v>368</v>
      </c>
      <c r="EZ276" s="37" t="s">
        <v>368</v>
      </c>
      <c r="FA276" s="37" t="s">
        <v>345</v>
      </c>
      <c r="FB276" s="37" t="s">
        <v>1266</v>
      </c>
      <c r="FC276" s="37"/>
      <c r="FD276" s="37" t="s">
        <v>1266</v>
      </c>
      <c r="FE276" s="37"/>
      <c r="FF276" s="37" t="s">
        <v>431</v>
      </c>
      <c r="FG276" s="37" t="s">
        <v>402</v>
      </c>
      <c r="FH276" s="37" t="s">
        <v>460</v>
      </c>
      <c r="FI276" s="37" t="s">
        <v>1286</v>
      </c>
      <c r="FJ276" s="37"/>
      <c r="FK276" s="37"/>
      <c r="FL276" s="37"/>
      <c r="FM276" s="37"/>
      <c r="FN276" s="37"/>
      <c r="FO276" s="37"/>
      <c r="FP276" s="37"/>
      <c r="FQ276" s="37"/>
      <c r="FR276" s="37"/>
      <c r="FS276" s="37"/>
      <c r="FT276" s="37"/>
      <c r="FU276" s="37"/>
      <c r="FV276" s="37"/>
      <c r="FW276" s="37"/>
      <c r="FX276" s="37"/>
      <c r="FY276" s="37"/>
      <c r="FZ276" s="37"/>
      <c r="GA276" s="37" t="s">
        <v>368</v>
      </c>
      <c r="GB276" s="37" t="s">
        <v>368</v>
      </c>
      <c r="GC276" s="37" t="s">
        <v>368</v>
      </c>
      <c r="GD276" s="37" t="s">
        <v>368</v>
      </c>
      <c r="GE276" s="37" t="s">
        <v>368</v>
      </c>
      <c r="GF276" s="37" t="s">
        <v>368</v>
      </c>
      <c r="GG276" s="37"/>
      <c r="GH276" s="37"/>
      <c r="GI276" s="37"/>
      <c r="GJ276" s="37"/>
      <c r="GK276" s="37"/>
      <c r="GL276" s="37" t="s">
        <v>344</v>
      </c>
      <c r="GM276" s="37" t="s">
        <v>344</v>
      </c>
      <c r="GN276" s="37" t="s">
        <v>345</v>
      </c>
      <c r="GO276" s="37" t="s">
        <v>345</v>
      </c>
      <c r="GP276" s="37" t="s">
        <v>344</v>
      </c>
      <c r="GQ276" s="37" t="s">
        <v>344</v>
      </c>
      <c r="GR276" s="37" t="s">
        <v>344</v>
      </c>
      <c r="GS276" s="37" t="s">
        <v>344</v>
      </c>
      <c r="GT276" s="37" t="s">
        <v>345</v>
      </c>
      <c r="GU276" s="37" t="s">
        <v>344</v>
      </c>
      <c r="GV276" s="37" t="s">
        <v>345</v>
      </c>
      <c r="GW276" s="37" t="s">
        <v>345</v>
      </c>
      <c r="GX276" s="37" t="s">
        <v>344</v>
      </c>
      <c r="GY276" s="37" t="s">
        <v>345</v>
      </c>
      <c r="GZ276" s="37" t="s">
        <v>344</v>
      </c>
      <c r="HA276" s="37" t="s">
        <v>344</v>
      </c>
      <c r="HB276" s="37"/>
      <c r="HC276" s="37" t="s">
        <v>344</v>
      </c>
      <c r="HD276" s="37"/>
      <c r="HE276" s="37" t="s">
        <v>344</v>
      </c>
      <c r="HF276" s="37"/>
      <c r="HG276" s="37" t="s">
        <v>344</v>
      </c>
      <c r="HH276" s="37"/>
      <c r="HI276" s="37" t="s">
        <v>344</v>
      </c>
      <c r="HJ276" s="37"/>
      <c r="HK276" s="37" t="s">
        <v>344</v>
      </c>
      <c r="HL276" s="37" t="s">
        <v>344</v>
      </c>
      <c r="HM276" s="37" t="s">
        <v>344</v>
      </c>
      <c r="HN276" s="37" t="s">
        <v>344</v>
      </c>
      <c r="HO276" s="37" t="s">
        <v>344</v>
      </c>
      <c r="HP276" s="37" t="s">
        <v>344</v>
      </c>
      <c r="HQ276" s="37" t="s">
        <v>344</v>
      </c>
      <c r="HR276" s="37" t="s">
        <v>344</v>
      </c>
      <c r="HS276" s="37" t="s">
        <v>344</v>
      </c>
      <c r="HT276" s="37" t="s">
        <v>344</v>
      </c>
      <c r="HU276" s="37" t="s">
        <v>344</v>
      </c>
      <c r="HV276" s="37" t="s">
        <v>344</v>
      </c>
      <c r="HW276" s="37" t="s">
        <v>344</v>
      </c>
      <c r="HX276" s="37" t="s">
        <v>344</v>
      </c>
      <c r="HY276" s="37" t="s">
        <v>344</v>
      </c>
      <c r="HZ276" s="37" t="s">
        <v>344</v>
      </c>
      <c r="IA276" s="37" t="s">
        <v>344</v>
      </c>
      <c r="IB276" s="37" t="s">
        <v>344</v>
      </c>
      <c r="IC276" s="37" t="s">
        <v>345</v>
      </c>
      <c r="ID276" s="37"/>
      <c r="IE276" s="37" t="s">
        <v>344</v>
      </c>
      <c r="IF276" s="37"/>
      <c r="IG276" s="37" t="s">
        <v>344</v>
      </c>
      <c r="IH276" s="37"/>
      <c r="II276" s="37" t="s">
        <v>344</v>
      </c>
      <c r="IJ276" s="37"/>
      <c r="IK276" s="37" t="s">
        <v>344</v>
      </c>
      <c r="IL276" s="37"/>
      <c r="IM276" s="37" t="s">
        <v>345</v>
      </c>
      <c r="IN276" s="37" t="s">
        <v>345</v>
      </c>
      <c r="IO276" s="37" t="s">
        <v>344</v>
      </c>
      <c r="IP276" s="37" t="s">
        <v>344</v>
      </c>
      <c r="IQ276" s="37" t="s">
        <v>345</v>
      </c>
      <c r="IR276" s="37" t="s">
        <v>344</v>
      </c>
      <c r="IS276" s="37" t="s">
        <v>344</v>
      </c>
      <c r="IT276" s="37" t="s">
        <v>345</v>
      </c>
      <c r="IU276" s="37" t="s">
        <v>344</v>
      </c>
      <c r="IV276" s="37" t="s">
        <v>344</v>
      </c>
      <c r="IW276" s="37" t="s">
        <v>344</v>
      </c>
      <c r="IX276" s="37" t="s">
        <v>344</v>
      </c>
      <c r="IY276" s="37" t="s">
        <v>345</v>
      </c>
      <c r="IZ276" s="37" t="s">
        <v>344</v>
      </c>
      <c r="JA276" s="37"/>
      <c r="JB276" s="37" t="s">
        <v>1516</v>
      </c>
    </row>
    <row r="277" spans="1:262" x14ac:dyDescent="0.3">
      <c r="A277" s="36" t="s">
        <v>338</v>
      </c>
      <c r="B277" s="37">
        <v>245</v>
      </c>
      <c r="C277" s="37" t="s">
        <v>1517</v>
      </c>
      <c r="D277" s="37">
        <v>14</v>
      </c>
      <c r="E277" s="37" t="s">
        <v>387</v>
      </c>
      <c r="F277" s="37">
        <v>465536948</v>
      </c>
      <c r="G277" s="37" t="s">
        <v>1518</v>
      </c>
      <c r="H277" s="37" t="s">
        <v>1517</v>
      </c>
      <c r="I277" s="37" t="s">
        <v>1486</v>
      </c>
      <c r="J277" s="37">
        <v>17</v>
      </c>
      <c r="K277" s="37" t="s">
        <v>1282</v>
      </c>
      <c r="L277" s="37"/>
      <c r="M277" s="37" t="s">
        <v>345</v>
      </c>
      <c r="N277" s="37" t="s">
        <v>344</v>
      </c>
      <c r="O277" s="37" t="s">
        <v>344</v>
      </c>
      <c r="P277" s="37" t="s">
        <v>344</v>
      </c>
      <c r="Q277" s="37" t="s">
        <v>344</v>
      </c>
      <c r="R277" s="37"/>
      <c r="S277" s="37" t="s">
        <v>1487</v>
      </c>
      <c r="T277" s="37"/>
      <c r="U277" s="37" t="s">
        <v>1270</v>
      </c>
      <c r="V277" s="37"/>
      <c r="W277" s="37" t="s">
        <v>345</v>
      </c>
      <c r="X277" s="37" t="s">
        <v>345</v>
      </c>
      <c r="Y277" s="37" t="s">
        <v>344</v>
      </c>
      <c r="Z277" s="37" t="s">
        <v>344</v>
      </c>
      <c r="AA277" s="37" t="s">
        <v>344</v>
      </c>
      <c r="AB277" s="37" t="s">
        <v>344</v>
      </c>
      <c r="AC277" s="37" t="s">
        <v>344</v>
      </c>
      <c r="AD277" s="37" t="s">
        <v>345</v>
      </c>
      <c r="AE277" s="37" t="s">
        <v>345</v>
      </c>
      <c r="AF277" s="37" t="s">
        <v>344</v>
      </c>
      <c r="AG277" s="37" t="s">
        <v>344</v>
      </c>
      <c r="AH277" s="37" t="s">
        <v>345</v>
      </c>
      <c r="AI277" s="37" t="s">
        <v>344</v>
      </c>
      <c r="AJ277" s="37" t="s">
        <v>344</v>
      </c>
      <c r="AK277" s="37" t="s">
        <v>368</v>
      </c>
      <c r="AL277" s="37" t="s">
        <v>368</v>
      </c>
      <c r="AM277" s="37" t="s">
        <v>368</v>
      </c>
      <c r="AN277" s="37" t="s">
        <v>368</v>
      </c>
      <c r="AO277" s="37" t="s">
        <v>368</v>
      </c>
      <c r="AP277" s="37" t="s">
        <v>368</v>
      </c>
      <c r="AQ277" s="37" t="s">
        <v>345</v>
      </c>
      <c r="AR277" s="37" t="s">
        <v>345</v>
      </c>
      <c r="AS277" s="37" t="s">
        <v>345</v>
      </c>
      <c r="AT277" s="37" t="s">
        <v>344</v>
      </c>
      <c r="AU277" s="37" t="s">
        <v>345</v>
      </c>
      <c r="AV277" s="37" t="s">
        <v>344</v>
      </c>
      <c r="AW277" s="37" t="s">
        <v>344</v>
      </c>
      <c r="AX277" s="37" t="s">
        <v>344</v>
      </c>
      <c r="AY277" s="37" t="s">
        <v>733</v>
      </c>
      <c r="AZ277" s="37" t="s">
        <v>732</v>
      </c>
      <c r="BA277" s="37" t="s">
        <v>737</v>
      </c>
      <c r="BB277" s="37" t="s">
        <v>731</v>
      </c>
      <c r="BC277" s="37" t="s">
        <v>731</v>
      </c>
      <c r="BD277" s="37" t="s">
        <v>732</v>
      </c>
      <c r="BE277" s="37" t="s">
        <v>348</v>
      </c>
      <c r="BF277" s="37" t="s">
        <v>348</v>
      </c>
      <c r="BG277" s="37" t="s">
        <v>349</v>
      </c>
      <c r="BH277" s="37" t="s">
        <v>349</v>
      </c>
      <c r="BI277" s="37" t="s">
        <v>350</v>
      </c>
      <c r="BJ277" s="37" t="s">
        <v>391</v>
      </c>
      <c r="BK277" s="37" t="s">
        <v>354</v>
      </c>
      <c r="BL277" s="37" t="s">
        <v>391</v>
      </c>
      <c r="BM277" s="37" t="s">
        <v>391</v>
      </c>
      <c r="BN277" s="37" t="s">
        <v>391</v>
      </c>
      <c r="BO277" s="37" t="s">
        <v>391</v>
      </c>
      <c r="BP277" s="37" t="s">
        <v>391</v>
      </c>
      <c r="BQ277" s="37" t="s">
        <v>358</v>
      </c>
      <c r="BR277" s="37" t="s">
        <v>1296</v>
      </c>
      <c r="BS277" s="37" t="s">
        <v>351</v>
      </c>
      <c r="BT277" s="37" t="s">
        <v>391</v>
      </c>
      <c r="BU277" s="37" t="s">
        <v>391</v>
      </c>
      <c r="BV277" s="37" t="s">
        <v>391</v>
      </c>
      <c r="BW277" s="37" t="s">
        <v>391</v>
      </c>
      <c r="BX277" s="37" t="s">
        <v>391</v>
      </c>
      <c r="BY277" s="37" t="s">
        <v>391</v>
      </c>
      <c r="BZ277" s="37" t="s">
        <v>391</v>
      </c>
      <c r="CA277" s="37" t="s">
        <v>391</v>
      </c>
      <c r="CB277" s="37" t="s">
        <v>391</v>
      </c>
      <c r="CC277" s="37" t="s">
        <v>391</v>
      </c>
      <c r="CD277" s="37" t="s">
        <v>391</v>
      </c>
      <c r="CE277" s="37" t="s">
        <v>391</v>
      </c>
      <c r="CF277" s="37" t="s">
        <v>391</v>
      </c>
      <c r="CG277" s="37" t="s">
        <v>420</v>
      </c>
      <c r="CH277" s="37" t="s">
        <v>392</v>
      </c>
      <c r="CI277" s="37" t="s">
        <v>420</v>
      </c>
      <c r="CJ277" s="37" t="s">
        <v>392</v>
      </c>
      <c r="CK277" s="37" t="s">
        <v>1519</v>
      </c>
      <c r="CL277" s="37" t="s">
        <v>344</v>
      </c>
      <c r="CM277" s="37" t="s">
        <v>344</v>
      </c>
      <c r="CN277" s="37" t="s">
        <v>344</v>
      </c>
      <c r="CO277" s="37" t="s">
        <v>345</v>
      </c>
      <c r="CP277" s="37" t="s">
        <v>345</v>
      </c>
      <c r="CQ277" s="37" t="s">
        <v>344</v>
      </c>
      <c r="CR277" s="37" t="s">
        <v>667</v>
      </c>
      <c r="CS277" s="37">
        <v>70</v>
      </c>
      <c r="CT277" s="37">
        <v>90</v>
      </c>
      <c r="CU277" s="37"/>
      <c r="CV277" s="37"/>
      <c r="CW277" s="37" t="s">
        <v>363</v>
      </c>
      <c r="CX277" s="37" t="s">
        <v>363</v>
      </c>
      <c r="CY277" s="37" t="s">
        <v>395</v>
      </c>
      <c r="CZ277" s="37" t="s">
        <v>397</v>
      </c>
      <c r="DA277" s="37" t="s">
        <v>397</v>
      </c>
      <c r="DB277" s="37" t="s">
        <v>397</v>
      </c>
      <c r="DC277" s="37" t="s">
        <v>397</v>
      </c>
      <c r="DD277" s="37" t="s">
        <v>397</v>
      </c>
      <c r="DE277" s="37"/>
      <c r="DF277" s="37"/>
      <c r="DG277" s="37"/>
      <c r="DH277" s="37"/>
      <c r="DI277" s="37"/>
      <c r="DJ277" s="37"/>
      <c r="DK277" s="37" t="s">
        <v>1403</v>
      </c>
      <c r="DL277" s="37" t="s">
        <v>368</v>
      </c>
      <c r="DM277" s="37" t="s">
        <v>368</v>
      </c>
      <c r="DN277" s="37" t="s">
        <v>368</v>
      </c>
      <c r="DO277" s="37" t="s">
        <v>345</v>
      </c>
      <c r="DP277" s="37" t="s">
        <v>368</v>
      </c>
      <c r="DQ277" s="37" t="s">
        <v>368</v>
      </c>
      <c r="DR277" s="37" t="s">
        <v>368</v>
      </c>
      <c r="DS277" s="37" t="s">
        <v>345</v>
      </c>
      <c r="DT277" s="37" t="s">
        <v>344</v>
      </c>
      <c r="DU277" s="37" t="s">
        <v>345</v>
      </c>
      <c r="DV277" s="37" t="s">
        <v>344</v>
      </c>
      <c r="DW277" s="37" t="s">
        <v>344</v>
      </c>
      <c r="DX277" s="37" t="s">
        <v>1258</v>
      </c>
      <c r="DY277" s="37" t="s">
        <v>1258</v>
      </c>
      <c r="DZ277" s="37" t="s">
        <v>1258</v>
      </c>
      <c r="EA277" s="37" t="s">
        <v>1258</v>
      </c>
      <c r="EB277" s="37" t="s">
        <v>1258</v>
      </c>
      <c r="EC277" s="37" t="s">
        <v>1258</v>
      </c>
      <c r="ED277" s="37" t="s">
        <v>1258</v>
      </c>
      <c r="EE277" s="37" t="s">
        <v>1273</v>
      </c>
      <c r="EF277" s="37" t="s">
        <v>1272</v>
      </c>
      <c r="EG277" s="37" t="s">
        <v>1272</v>
      </c>
      <c r="EH277" s="37" t="s">
        <v>1273</v>
      </c>
      <c r="EI277" s="37" t="s">
        <v>1274</v>
      </c>
      <c r="EJ277" s="37" t="s">
        <v>1272</v>
      </c>
      <c r="EK277" s="37" t="s">
        <v>1273</v>
      </c>
      <c r="EL277" s="37" t="s">
        <v>1260</v>
      </c>
      <c r="EM277" s="37" t="s">
        <v>1276</v>
      </c>
      <c r="EN277" s="37" t="s">
        <v>1275</v>
      </c>
      <c r="EO277" s="37"/>
      <c r="EP277" s="37"/>
      <c r="EQ277" s="37" t="s">
        <v>1263</v>
      </c>
      <c r="ER277" s="37" t="s">
        <v>1262</v>
      </c>
      <c r="ES277" s="37" t="s">
        <v>1263</v>
      </c>
      <c r="ET277" s="37" t="s">
        <v>1264</v>
      </c>
      <c r="EU277" s="37" t="s">
        <v>1263</v>
      </c>
      <c r="EV277" s="37" t="s">
        <v>1265</v>
      </c>
      <c r="EW277" s="37"/>
      <c r="EX277" s="37" t="s">
        <v>368</v>
      </c>
      <c r="EY277" s="37" t="s">
        <v>368</v>
      </c>
      <c r="EZ277" s="37" t="s">
        <v>368</v>
      </c>
      <c r="FA277" s="37" t="s">
        <v>345</v>
      </c>
      <c r="FB277" s="37" t="s">
        <v>1266</v>
      </c>
      <c r="FC277" s="37"/>
      <c r="FD277" s="37" t="s">
        <v>1266</v>
      </c>
      <c r="FE277" s="37"/>
      <c r="FF277" s="37" t="s">
        <v>382</v>
      </c>
      <c r="FG277" s="37" t="s">
        <v>402</v>
      </c>
      <c r="FH277" s="37" t="s">
        <v>1293</v>
      </c>
      <c r="FI277" s="37" t="s">
        <v>1294</v>
      </c>
      <c r="FJ277" s="37"/>
      <c r="FK277" s="37"/>
      <c r="FL277" s="37"/>
      <c r="FM277" s="37"/>
      <c r="FN277" s="37"/>
      <c r="FO277" s="37"/>
      <c r="FP277" s="37"/>
      <c r="FQ277" s="37"/>
      <c r="FR277" s="37"/>
      <c r="FS277" s="37"/>
      <c r="FT277" s="37"/>
      <c r="FU277" s="37"/>
      <c r="FV277" s="37"/>
      <c r="FW277" s="37"/>
      <c r="FX277" s="37"/>
      <c r="FY277" s="37"/>
      <c r="FZ277" s="37"/>
      <c r="GA277" s="37" t="s">
        <v>368</v>
      </c>
      <c r="GB277" s="37" t="s">
        <v>368</v>
      </c>
      <c r="GC277" s="37" t="s">
        <v>368</v>
      </c>
      <c r="GD277" s="37" t="s">
        <v>368</v>
      </c>
      <c r="GE277" s="37" t="s">
        <v>368</v>
      </c>
      <c r="GF277" s="37" t="s">
        <v>368</v>
      </c>
      <c r="GG277" s="37"/>
      <c r="GH277" s="37"/>
      <c r="GI277" s="37"/>
      <c r="GJ277" s="37"/>
      <c r="GK277" s="37"/>
      <c r="GL277" s="37" t="s">
        <v>344</v>
      </c>
      <c r="GM277" s="37" t="s">
        <v>344</v>
      </c>
      <c r="GN277" s="37" t="s">
        <v>345</v>
      </c>
      <c r="GO277" s="37" t="s">
        <v>345</v>
      </c>
      <c r="GP277" s="37" t="s">
        <v>344</v>
      </c>
      <c r="GQ277" s="37" t="s">
        <v>344</v>
      </c>
      <c r="GR277" s="37" t="s">
        <v>344</v>
      </c>
      <c r="GS277" s="37" t="s">
        <v>344</v>
      </c>
      <c r="GT277" s="37" t="s">
        <v>344</v>
      </c>
      <c r="GU277" s="37" t="s">
        <v>344</v>
      </c>
      <c r="GV277" s="37" t="s">
        <v>345</v>
      </c>
      <c r="GW277" s="37" t="s">
        <v>345</v>
      </c>
      <c r="GX277" s="37" t="s">
        <v>344</v>
      </c>
      <c r="GY277" s="37" t="s">
        <v>344</v>
      </c>
      <c r="GZ277" s="37" t="s">
        <v>344</v>
      </c>
      <c r="HA277" s="37" t="s">
        <v>344</v>
      </c>
      <c r="HB277" s="37"/>
      <c r="HC277" s="37" t="s">
        <v>344</v>
      </c>
      <c r="HD277" s="37"/>
      <c r="HE277" s="37" t="s">
        <v>344</v>
      </c>
      <c r="HF277" s="37"/>
      <c r="HG277" s="37" t="s">
        <v>344</v>
      </c>
      <c r="HH277" s="37"/>
      <c r="HI277" s="37" t="s">
        <v>344</v>
      </c>
      <c r="HJ277" s="37"/>
      <c r="HK277" s="37" t="s">
        <v>344</v>
      </c>
      <c r="HL277" s="37" t="s">
        <v>344</v>
      </c>
      <c r="HM277" s="37" t="s">
        <v>344</v>
      </c>
      <c r="HN277" s="37" t="s">
        <v>344</v>
      </c>
      <c r="HO277" s="37" t="s">
        <v>344</v>
      </c>
      <c r="HP277" s="37" t="s">
        <v>344</v>
      </c>
      <c r="HQ277" s="37" t="s">
        <v>344</v>
      </c>
      <c r="HR277" s="37" t="s">
        <v>344</v>
      </c>
      <c r="HS277" s="37" t="s">
        <v>344</v>
      </c>
      <c r="HT277" s="37" t="s">
        <v>344</v>
      </c>
      <c r="HU277" s="37" t="s">
        <v>344</v>
      </c>
      <c r="HV277" s="37" t="s">
        <v>344</v>
      </c>
      <c r="HW277" s="37" t="s">
        <v>345</v>
      </c>
      <c r="HX277" s="37" t="s">
        <v>344</v>
      </c>
      <c r="HY277" s="37" t="s">
        <v>344</v>
      </c>
      <c r="HZ277" s="37" t="s">
        <v>344</v>
      </c>
      <c r="IA277" s="37" t="s">
        <v>344</v>
      </c>
      <c r="IB277" s="37" t="s">
        <v>344</v>
      </c>
      <c r="IC277" s="37" t="s">
        <v>344</v>
      </c>
      <c r="ID277" s="37"/>
      <c r="IE277" s="37" t="s">
        <v>344</v>
      </c>
      <c r="IF277" s="37"/>
      <c r="IG277" s="37" t="s">
        <v>344</v>
      </c>
      <c r="IH277" s="37"/>
      <c r="II277" s="37" t="s">
        <v>344</v>
      </c>
      <c r="IJ277" s="37"/>
      <c r="IK277" s="37" t="s">
        <v>344</v>
      </c>
      <c r="IL277" s="37"/>
      <c r="IM277" s="37" t="s">
        <v>345</v>
      </c>
      <c r="IN277" s="37" t="s">
        <v>345</v>
      </c>
      <c r="IO277" s="37" t="s">
        <v>345</v>
      </c>
      <c r="IP277" s="37" t="s">
        <v>344</v>
      </c>
      <c r="IQ277" s="37" t="s">
        <v>345</v>
      </c>
      <c r="IR277" s="37" t="s">
        <v>344</v>
      </c>
      <c r="IS277" s="37" t="s">
        <v>344</v>
      </c>
      <c r="IT277" s="37" t="s">
        <v>344</v>
      </c>
      <c r="IU277" s="37" t="s">
        <v>344</v>
      </c>
      <c r="IV277" s="37" t="s">
        <v>344</v>
      </c>
      <c r="IW277" s="37" t="s">
        <v>344</v>
      </c>
      <c r="IX277" s="37" t="s">
        <v>344</v>
      </c>
      <c r="IY277" s="37" t="s">
        <v>345</v>
      </c>
      <c r="IZ277" s="37" t="s">
        <v>344</v>
      </c>
      <c r="JA277" s="37"/>
      <c r="JB277" s="37" t="s">
        <v>479</v>
      </c>
    </row>
    <row r="278" spans="1:262" x14ac:dyDescent="0.3">
      <c r="A278" s="36" t="s">
        <v>338</v>
      </c>
      <c r="B278" s="37">
        <v>246</v>
      </c>
      <c r="C278" s="37" t="s">
        <v>1520</v>
      </c>
      <c r="D278" s="37">
        <v>14</v>
      </c>
      <c r="E278" s="37" t="s">
        <v>387</v>
      </c>
      <c r="F278" s="37">
        <v>858338259</v>
      </c>
      <c r="G278" s="37" t="s">
        <v>1521</v>
      </c>
      <c r="H278" s="37" t="s">
        <v>1520</v>
      </c>
      <c r="I278" s="37" t="s">
        <v>1486</v>
      </c>
      <c r="J278" s="37">
        <v>17</v>
      </c>
      <c r="K278" s="37" t="s">
        <v>1282</v>
      </c>
      <c r="L278" s="37"/>
      <c r="M278" s="37" t="s">
        <v>345</v>
      </c>
      <c r="N278" s="37" t="s">
        <v>344</v>
      </c>
      <c r="O278" s="37" t="s">
        <v>344</v>
      </c>
      <c r="P278" s="37" t="s">
        <v>344</v>
      </c>
      <c r="Q278" s="37" t="s">
        <v>344</v>
      </c>
      <c r="R278" s="37"/>
      <c r="S278" s="37" t="s">
        <v>1487</v>
      </c>
      <c r="T278" s="37"/>
      <c r="U278" s="37" t="s">
        <v>1256</v>
      </c>
      <c r="V278" s="37"/>
      <c r="W278" s="37" t="s">
        <v>345</v>
      </c>
      <c r="X278" s="37" t="s">
        <v>345</v>
      </c>
      <c r="Y278" s="37" t="s">
        <v>344</v>
      </c>
      <c r="Z278" s="37" t="s">
        <v>344</v>
      </c>
      <c r="AA278" s="37" t="s">
        <v>344</v>
      </c>
      <c r="AB278" s="37" t="s">
        <v>344</v>
      </c>
      <c r="AC278" s="37" t="s">
        <v>344</v>
      </c>
      <c r="AD278" s="37" t="s">
        <v>344</v>
      </c>
      <c r="AE278" s="37" t="s">
        <v>345</v>
      </c>
      <c r="AF278" s="37" t="s">
        <v>344</v>
      </c>
      <c r="AG278" s="37" t="s">
        <v>344</v>
      </c>
      <c r="AH278" s="37" t="s">
        <v>344</v>
      </c>
      <c r="AI278" s="37" t="s">
        <v>345</v>
      </c>
      <c r="AJ278" s="37" t="s">
        <v>344</v>
      </c>
      <c r="AK278" s="37" t="s">
        <v>345</v>
      </c>
      <c r="AL278" s="37" t="s">
        <v>344</v>
      </c>
      <c r="AM278" s="37" t="s">
        <v>344</v>
      </c>
      <c r="AN278" s="37" t="s">
        <v>344</v>
      </c>
      <c r="AO278" s="37" t="s">
        <v>344</v>
      </c>
      <c r="AP278" s="37" t="s">
        <v>344</v>
      </c>
      <c r="AQ278" s="37" t="s">
        <v>344</v>
      </c>
      <c r="AR278" s="37" t="s">
        <v>345</v>
      </c>
      <c r="AS278" s="37" t="s">
        <v>344</v>
      </c>
      <c r="AT278" s="37" t="s">
        <v>344</v>
      </c>
      <c r="AU278" s="37" t="s">
        <v>345</v>
      </c>
      <c r="AV278" s="37" t="s">
        <v>344</v>
      </c>
      <c r="AW278" s="37" t="s">
        <v>344</v>
      </c>
      <c r="AX278" s="37" t="s">
        <v>344</v>
      </c>
      <c r="AY278" s="34"/>
      <c r="AZ278" s="34"/>
      <c r="BA278" s="34"/>
      <c r="BB278" s="34"/>
      <c r="BC278" s="34"/>
      <c r="BD278" s="34"/>
      <c r="BE278" s="37" t="s">
        <v>349</v>
      </c>
      <c r="BF278" s="37" t="s">
        <v>350</v>
      </c>
      <c r="BG278" s="37" t="s">
        <v>349</v>
      </c>
      <c r="BH278" s="37" t="s">
        <v>349</v>
      </c>
      <c r="BI278" s="37" t="s">
        <v>350</v>
      </c>
      <c r="BJ278" s="37" t="s">
        <v>391</v>
      </c>
      <c r="BK278" s="37" t="s">
        <v>391</v>
      </c>
      <c r="BL278" s="37" t="s">
        <v>391</v>
      </c>
      <c r="BM278" s="37" t="s">
        <v>391</v>
      </c>
      <c r="BN278" s="37" t="s">
        <v>391</v>
      </c>
      <c r="BO278" s="37" t="s">
        <v>391</v>
      </c>
      <c r="BP278" s="37" t="s">
        <v>391</v>
      </c>
      <c r="BQ278" s="37" t="s">
        <v>358</v>
      </c>
      <c r="BR278" s="37" t="s">
        <v>1296</v>
      </c>
      <c r="BS278" s="37" t="s">
        <v>391</v>
      </c>
      <c r="BT278" s="37" t="s">
        <v>391</v>
      </c>
      <c r="BU278" s="37" t="s">
        <v>391</v>
      </c>
      <c r="BV278" s="37" t="s">
        <v>391</v>
      </c>
      <c r="BW278" s="37" t="s">
        <v>391</v>
      </c>
      <c r="BX278" s="37" t="s">
        <v>391</v>
      </c>
      <c r="BY278" s="37" t="s">
        <v>391</v>
      </c>
      <c r="BZ278" s="37" t="s">
        <v>391</v>
      </c>
      <c r="CA278" s="37" t="s">
        <v>391</v>
      </c>
      <c r="CB278" s="37" t="s">
        <v>391</v>
      </c>
      <c r="CC278" s="37" t="s">
        <v>391</v>
      </c>
      <c r="CD278" s="37" t="s">
        <v>391</v>
      </c>
      <c r="CE278" s="37" t="s">
        <v>391</v>
      </c>
      <c r="CF278" s="37" t="s">
        <v>391</v>
      </c>
      <c r="CG278" s="37" t="s">
        <v>393</v>
      </c>
      <c r="CH278" s="37" t="s">
        <v>393</v>
      </c>
      <c r="CI278" s="37" t="s">
        <v>420</v>
      </c>
      <c r="CJ278" s="37" t="s">
        <v>420</v>
      </c>
      <c r="CK278" s="37" t="s">
        <v>717</v>
      </c>
      <c r="CL278" s="37" t="s">
        <v>345</v>
      </c>
      <c r="CM278" s="37" t="s">
        <v>344</v>
      </c>
      <c r="CN278" s="37" t="s">
        <v>344</v>
      </c>
      <c r="CO278" s="37" t="s">
        <v>345</v>
      </c>
      <c r="CP278" s="37" t="s">
        <v>345</v>
      </c>
      <c r="CQ278" s="37" t="s">
        <v>344</v>
      </c>
      <c r="CR278" s="37" t="s">
        <v>672</v>
      </c>
      <c r="CS278" s="37">
        <v>80</v>
      </c>
      <c r="CT278" s="37">
        <v>57</v>
      </c>
      <c r="CU278" s="37"/>
      <c r="CV278" s="37"/>
      <c r="CW278" s="37" t="s">
        <v>395</v>
      </c>
      <c r="CX278" s="37" t="s">
        <v>363</v>
      </c>
      <c r="CY278" s="37" t="s">
        <v>395</v>
      </c>
      <c r="CZ278" s="37" t="s">
        <v>366</v>
      </c>
      <c r="DA278" s="37" t="s">
        <v>366</v>
      </c>
      <c r="DB278" s="37" t="s">
        <v>366</v>
      </c>
      <c r="DC278" s="37" t="s">
        <v>366</v>
      </c>
      <c r="DD278" s="37" t="s">
        <v>365</v>
      </c>
      <c r="DE278" s="37"/>
      <c r="DF278" s="37"/>
      <c r="DG278" s="37"/>
      <c r="DH278" s="37"/>
      <c r="DI278" s="37"/>
      <c r="DJ278" s="37" t="s">
        <v>1522</v>
      </c>
      <c r="DK278" s="37" t="s">
        <v>344</v>
      </c>
      <c r="DL278" s="37" t="s">
        <v>368</v>
      </c>
      <c r="DM278" s="37" t="s">
        <v>368</v>
      </c>
      <c r="DN278" s="37" t="s">
        <v>368</v>
      </c>
      <c r="DO278" s="37" t="s">
        <v>368</v>
      </c>
      <c r="DP278" s="37" t="s">
        <v>368</v>
      </c>
      <c r="DQ278" s="37" t="s">
        <v>368</v>
      </c>
      <c r="DR278" s="37" t="s">
        <v>368</v>
      </c>
      <c r="DS278" s="37" t="s">
        <v>345</v>
      </c>
      <c r="DT278" s="37" t="s">
        <v>345</v>
      </c>
      <c r="DU278" s="37" t="s">
        <v>344</v>
      </c>
      <c r="DV278" s="37" t="s">
        <v>345</v>
      </c>
      <c r="DW278" s="37" t="s">
        <v>344</v>
      </c>
      <c r="DX278" s="37" t="s">
        <v>1258</v>
      </c>
      <c r="DY278" s="37" t="s">
        <v>1258</v>
      </c>
      <c r="DZ278" s="37" t="s">
        <v>1258</v>
      </c>
      <c r="EA278" s="37" t="s">
        <v>1258</v>
      </c>
      <c r="EB278" s="37" t="s">
        <v>1258</v>
      </c>
      <c r="EC278" s="37" t="s">
        <v>1258</v>
      </c>
      <c r="ED278" s="37" t="s">
        <v>1258</v>
      </c>
      <c r="EE278" s="37" t="s">
        <v>397</v>
      </c>
      <c r="EF278" s="37" t="s">
        <v>397</v>
      </c>
      <c r="EG278" s="37" t="s">
        <v>1272</v>
      </c>
      <c r="EH278" s="37" t="s">
        <v>397</v>
      </c>
      <c r="EI278" s="37" t="s">
        <v>397</v>
      </c>
      <c r="EJ278" s="37" t="s">
        <v>397</v>
      </c>
      <c r="EK278" s="37" t="s">
        <v>1273</v>
      </c>
      <c r="EL278" s="37" t="s">
        <v>1260</v>
      </c>
      <c r="EM278" s="37" t="s">
        <v>1276</v>
      </c>
      <c r="EN278" s="37" t="s">
        <v>1259</v>
      </c>
      <c r="EO278" s="37"/>
      <c r="EP278" s="37"/>
      <c r="EQ278" s="37" t="s">
        <v>1264</v>
      </c>
      <c r="ER278" s="37" t="s">
        <v>1263</v>
      </c>
      <c r="ES278" s="37" t="s">
        <v>1263</v>
      </c>
      <c r="ET278" s="37" t="s">
        <v>717</v>
      </c>
      <c r="EU278" s="37" t="s">
        <v>717</v>
      </c>
      <c r="EV278" s="37" t="s">
        <v>1265</v>
      </c>
      <c r="EW278" s="37"/>
      <c r="EX278" s="37" t="s">
        <v>368</v>
      </c>
      <c r="EY278" s="37" t="s">
        <v>368</v>
      </c>
      <c r="EZ278" s="37" t="s">
        <v>368</v>
      </c>
      <c r="FA278" s="37" t="s">
        <v>345</v>
      </c>
      <c r="FB278" s="37" t="s">
        <v>1266</v>
      </c>
      <c r="FC278" s="37"/>
      <c r="FD278" s="37" t="s">
        <v>1266</v>
      </c>
      <c r="FE278" s="37"/>
      <c r="FF278" s="37" t="s">
        <v>477</v>
      </c>
      <c r="FG278" s="37" t="s">
        <v>402</v>
      </c>
      <c r="FH278" s="37" t="s">
        <v>432</v>
      </c>
      <c r="FI278" s="37" t="s">
        <v>1294</v>
      </c>
      <c r="FJ278" s="37"/>
      <c r="FK278" s="37"/>
      <c r="FL278" s="37"/>
      <c r="FM278" s="37"/>
      <c r="FN278" s="37"/>
      <c r="FO278" s="37"/>
      <c r="FP278" s="37"/>
      <c r="FQ278" s="37"/>
      <c r="FR278" s="37"/>
      <c r="FS278" s="37"/>
      <c r="FT278" s="37"/>
      <c r="FU278" s="37"/>
      <c r="FV278" s="37"/>
      <c r="FW278" s="37"/>
      <c r="FX278" s="37"/>
      <c r="FY278" s="37"/>
      <c r="FZ278" s="37"/>
      <c r="GA278" s="37" t="s">
        <v>368</v>
      </c>
      <c r="GB278" s="37" t="s">
        <v>368</v>
      </c>
      <c r="GC278" s="37" t="s">
        <v>368</v>
      </c>
      <c r="GD278" s="37" t="s">
        <v>368</v>
      </c>
      <c r="GE278" s="37" t="s">
        <v>368</v>
      </c>
      <c r="GF278" s="37" t="s">
        <v>368</v>
      </c>
      <c r="GG278" s="37"/>
      <c r="GH278" s="37"/>
      <c r="GI278" s="37"/>
      <c r="GJ278" s="37"/>
      <c r="GK278" s="37"/>
      <c r="GL278" s="37" t="s">
        <v>344</v>
      </c>
      <c r="GM278" s="37" t="s">
        <v>344</v>
      </c>
      <c r="GN278" s="37" t="s">
        <v>344</v>
      </c>
      <c r="GO278" s="37" t="s">
        <v>345</v>
      </c>
      <c r="GP278" s="37" t="s">
        <v>344</v>
      </c>
      <c r="GQ278" s="37" t="s">
        <v>344</v>
      </c>
      <c r="GR278" s="37" t="s">
        <v>344</v>
      </c>
      <c r="GS278" s="37" t="s">
        <v>344</v>
      </c>
      <c r="GT278" s="37" t="s">
        <v>344</v>
      </c>
      <c r="GU278" s="37" t="s">
        <v>344</v>
      </c>
      <c r="GV278" s="37" t="s">
        <v>345</v>
      </c>
      <c r="GW278" s="37" t="s">
        <v>344</v>
      </c>
      <c r="GX278" s="37" t="s">
        <v>344</v>
      </c>
      <c r="GY278" s="37" t="s">
        <v>344</v>
      </c>
      <c r="GZ278" s="37" t="s">
        <v>344</v>
      </c>
      <c r="HA278" s="37" t="s">
        <v>344</v>
      </c>
      <c r="HB278" s="37"/>
      <c r="HC278" s="37" t="s">
        <v>344</v>
      </c>
      <c r="HD278" s="37"/>
      <c r="HE278" s="37" t="s">
        <v>344</v>
      </c>
      <c r="HF278" s="37"/>
      <c r="HG278" s="37" t="s">
        <v>344</v>
      </c>
      <c r="HH278" s="37"/>
      <c r="HI278" s="37" t="s">
        <v>344</v>
      </c>
      <c r="HJ278" s="37"/>
      <c r="HK278" s="37" t="s">
        <v>344</v>
      </c>
      <c r="HL278" s="37" t="s">
        <v>344</v>
      </c>
      <c r="HM278" s="37" t="s">
        <v>344</v>
      </c>
      <c r="HN278" s="37" t="s">
        <v>345</v>
      </c>
      <c r="HO278" s="37" t="s">
        <v>344</v>
      </c>
      <c r="HP278" s="37" t="s">
        <v>344</v>
      </c>
      <c r="HQ278" s="37" t="s">
        <v>344</v>
      </c>
      <c r="HR278" s="37" t="s">
        <v>344</v>
      </c>
      <c r="HS278" s="37" t="s">
        <v>345</v>
      </c>
      <c r="HT278" s="37" t="s">
        <v>344</v>
      </c>
      <c r="HU278" s="37" t="s">
        <v>344</v>
      </c>
      <c r="HV278" s="37" t="s">
        <v>344</v>
      </c>
      <c r="HW278" s="37" t="s">
        <v>345</v>
      </c>
      <c r="HX278" s="37" t="s">
        <v>344</v>
      </c>
      <c r="HY278" s="37" t="s">
        <v>344</v>
      </c>
      <c r="HZ278" s="37" t="s">
        <v>344</v>
      </c>
      <c r="IA278" s="37" t="s">
        <v>344</v>
      </c>
      <c r="IB278" s="37" t="s">
        <v>344</v>
      </c>
      <c r="IC278" s="37" t="s">
        <v>344</v>
      </c>
      <c r="ID278" s="37"/>
      <c r="IE278" s="37" t="s">
        <v>344</v>
      </c>
      <c r="IF278" s="37"/>
      <c r="IG278" s="37" t="s">
        <v>344</v>
      </c>
      <c r="IH278" s="37"/>
      <c r="II278" s="37" t="s">
        <v>344</v>
      </c>
      <c r="IJ278" s="37"/>
      <c r="IK278" s="37" t="s">
        <v>344</v>
      </c>
      <c r="IL278" s="37"/>
      <c r="IM278" s="37" t="s">
        <v>345</v>
      </c>
      <c r="IN278" s="37" t="s">
        <v>345</v>
      </c>
      <c r="IO278" s="37" t="s">
        <v>345</v>
      </c>
      <c r="IP278" s="37" t="s">
        <v>344</v>
      </c>
      <c r="IQ278" s="37" t="s">
        <v>345</v>
      </c>
      <c r="IR278" s="37" t="s">
        <v>344</v>
      </c>
      <c r="IS278" s="37" t="s">
        <v>344</v>
      </c>
      <c r="IT278" s="37" t="s">
        <v>345</v>
      </c>
      <c r="IU278" s="37" t="s">
        <v>344</v>
      </c>
      <c r="IV278" s="37" t="s">
        <v>344</v>
      </c>
      <c r="IW278" s="37" t="s">
        <v>344</v>
      </c>
      <c r="IX278" s="37" t="s">
        <v>344</v>
      </c>
      <c r="IY278" s="37" t="s">
        <v>345</v>
      </c>
      <c r="IZ278" s="37" t="s">
        <v>344</v>
      </c>
      <c r="JA278" s="37"/>
      <c r="JB278" s="37" t="s">
        <v>1523</v>
      </c>
    </row>
    <row r="279" spans="1:262" x14ac:dyDescent="0.3">
      <c r="A279" s="36" t="s">
        <v>338</v>
      </c>
      <c r="B279" s="37">
        <v>247</v>
      </c>
      <c r="C279" s="37" t="s">
        <v>1524</v>
      </c>
      <c r="D279" s="37">
        <v>14</v>
      </c>
      <c r="E279" s="37" t="s">
        <v>387</v>
      </c>
      <c r="F279" s="37">
        <v>1680153576</v>
      </c>
      <c r="G279" s="37" t="s">
        <v>1525</v>
      </c>
      <c r="H279" s="37" t="s">
        <v>1524</v>
      </c>
      <c r="I279" s="37" t="s">
        <v>1486</v>
      </c>
      <c r="J279" s="37">
        <v>17</v>
      </c>
      <c r="K279" s="37" t="s">
        <v>1282</v>
      </c>
      <c r="L279" s="37"/>
      <c r="M279" s="37" t="s">
        <v>345</v>
      </c>
      <c r="N279" s="37" t="s">
        <v>344</v>
      </c>
      <c r="O279" s="37" t="s">
        <v>344</v>
      </c>
      <c r="P279" s="37" t="s">
        <v>344</v>
      </c>
      <c r="Q279" s="37" t="s">
        <v>344</v>
      </c>
      <c r="R279" s="37"/>
      <c r="S279" s="37" t="s">
        <v>1487</v>
      </c>
      <c r="T279" s="37"/>
      <c r="U279" s="37" t="s">
        <v>1270</v>
      </c>
      <c r="V279" s="37"/>
      <c r="W279" s="37" t="s">
        <v>345</v>
      </c>
      <c r="X279" s="37" t="s">
        <v>344</v>
      </c>
      <c r="Y279" s="37" t="s">
        <v>344</v>
      </c>
      <c r="Z279" s="37" t="s">
        <v>344</v>
      </c>
      <c r="AA279" s="37" t="s">
        <v>344</v>
      </c>
      <c r="AB279" s="37" t="s">
        <v>344</v>
      </c>
      <c r="AC279" s="37" t="s">
        <v>344</v>
      </c>
      <c r="AD279" s="37" t="s">
        <v>345</v>
      </c>
      <c r="AE279" s="37" t="s">
        <v>345</v>
      </c>
      <c r="AF279" s="37" t="s">
        <v>345</v>
      </c>
      <c r="AG279" s="37" t="s">
        <v>344</v>
      </c>
      <c r="AH279" s="37" t="s">
        <v>344</v>
      </c>
      <c r="AI279" s="37" t="s">
        <v>344</v>
      </c>
      <c r="AJ279" s="37" t="s">
        <v>344</v>
      </c>
      <c r="AK279" s="37" t="s">
        <v>368</v>
      </c>
      <c r="AL279" s="37" t="s">
        <v>368</v>
      </c>
      <c r="AM279" s="37" t="s">
        <v>368</v>
      </c>
      <c r="AN279" s="37" t="s">
        <v>368</v>
      </c>
      <c r="AO279" s="37" t="s">
        <v>368</v>
      </c>
      <c r="AP279" s="37" t="s">
        <v>368</v>
      </c>
      <c r="AQ279" s="37" t="s">
        <v>345</v>
      </c>
      <c r="AR279" s="37" t="s">
        <v>345</v>
      </c>
      <c r="AS279" s="37" t="s">
        <v>345</v>
      </c>
      <c r="AT279" s="37" t="s">
        <v>344</v>
      </c>
      <c r="AU279" s="37" t="s">
        <v>344</v>
      </c>
      <c r="AV279" s="37" t="s">
        <v>344</v>
      </c>
      <c r="AW279" s="37" t="s">
        <v>344</v>
      </c>
      <c r="AX279" s="37" t="s">
        <v>344</v>
      </c>
      <c r="AY279" s="37" t="s">
        <v>391</v>
      </c>
      <c r="AZ279" s="37" t="s">
        <v>391</v>
      </c>
      <c r="BA279" s="37" t="s">
        <v>731</v>
      </c>
      <c r="BB279" s="37" t="s">
        <v>733</v>
      </c>
      <c r="BC279" s="37" t="s">
        <v>733</v>
      </c>
      <c r="BD279" s="37" t="s">
        <v>733</v>
      </c>
      <c r="BE279" s="37" t="s">
        <v>349</v>
      </c>
      <c r="BF279" s="37" t="s">
        <v>348</v>
      </c>
      <c r="BG279" s="37" t="s">
        <v>349</v>
      </c>
      <c r="BH279" s="37" t="s">
        <v>349</v>
      </c>
      <c r="BI279" s="37" t="s">
        <v>348</v>
      </c>
      <c r="BJ279" s="37" t="s">
        <v>391</v>
      </c>
      <c r="BK279" s="37" t="s">
        <v>356</v>
      </c>
      <c r="BL279" s="37" t="s">
        <v>355</v>
      </c>
      <c r="BM279" s="37" t="s">
        <v>351</v>
      </c>
      <c r="BN279" s="37" t="s">
        <v>352</v>
      </c>
      <c r="BO279" s="37" t="s">
        <v>356</v>
      </c>
      <c r="BP279" s="37" t="s">
        <v>355</v>
      </c>
      <c r="BQ279" s="37" t="s">
        <v>407</v>
      </c>
      <c r="BR279" s="37" t="s">
        <v>1257</v>
      </c>
      <c r="BS279" s="37" t="s">
        <v>391</v>
      </c>
      <c r="BT279" s="37" t="s">
        <v>391</v>
      </c>
      <c r="BU279" s="37" t="s">
        <v>391</v>
      </c>
      <c r="BV279" s="37" t="s">
        <v>391</v>
      </c>
      <c r="BW279" s="37" t="s">
        <v>391</v>
      </c>
      <c r="BX279" s="37" t="s">
        <v>391</v>
      </c>
      <c r="BY279" s="37" t="s">
        <v>391</v>
      </c>
      <c r="BZ279" s="37" t="s">
        <v>391</v>
      </c>
      <c r="CA279" s="37" t="s">
        <v>391</v>
      </c>
      <c r="CB279" s="37" t="s">
        <v>391</v>
      </c>
      <c r="CC279" s="37" t="s">
        <v>391</v>
      </c>
      <c r="CD279" s="37" t="s">
        <v>391</v>
      </c>
      <c r="CE279" s="37" t="s">
        <v>391</v>
      </c>
      <c r="CF279" s="37" t="s">
        <v>391</v>
      </c>
      <c r="CG279" s="37" t="s">
        <v>393</v>
      </c>
      <c r="CH279" s="37" t="s">
        <v>420</v>
      </c>
      <c r="CI279" s="37" t="s">
        <v>393</v>
      </c>
      <c r="CJ279" s="37" t="s">
        <v>392</v>
      </c>
      <c r="CK279" s="37" t="s">
        <v>1526</v>
      </c>
      <c r="CL279" s="37" t="s">
        <v>344</v>
      </c>
      <c r="CM279" s="37" t="s">
        <v>344</v>
      </c>
      <c r="CN279" s="37" t="s">
        <v>344</v>
      </c>
      <c r="CO279" s="37" t="s">
        <v>345</v>
      </c>
      <c r="CP279" s="37" t="s">
        <v>345</v>
      </c>
      <c r="CQ279" s="37" t="s">
        <v>344</v>
      </c>
      <c r="CR279" s="37" t="s">
        <v>667</v>
      </c>
      <c r="CS279" s="37">
        <v>100</v>
      </c>
      <c r="CT279" s="37">
        <v>85</v>
      </c>
      <c r="CU279" s="37"/>
      <c r="CV279" s="37"/>
      <c r="CW279" s="37" t="s">
        <v>364</v>
      </c>
      <c r="CX279" s="37" t="s">
        <v>363</v>
      </c>
      <c r="CY279" s="37" t="s">
        <v>395</v>
      </c>
      <c r="CZ279" s="37" t="s">
        <v>717</v>
      </c>
      <c r="DA279" s="37" t="s">
        <v>366</v>
      </c>
      <c r="DB279" s="37" t="s">
        <v>365</v>
      </c>
      <c r="DC279" s="37" t="s">
        <v>397</v>
      </c>
      <c r="DD279" s="37" t="s">
        <v>365</v>
      </c>
      <c r="DE279" s="37"/>
      <c r="DF279" s="37"/>
      <c r="DG279" s="37"/>
      <c r="DH279" s="37"/>
      <c r="DI279" s="37"/>
      <c r="DJ279" s="37" t="s">
        <v>1527</v>
      </c>
      <c r="DK279" s="37" t="s">
        <v>344</v>
      </c>
      <c r="DL279" s="37" t="s">
        <v>368</v>
      </c>
      <c r="DM279" s="37" t="s">
        <v>368</v>
      </c>
      <c r="DN279" s="37" t="s">
        <v>368</v>
      </c>
      <c r="DO279" s="37" t="s">
        <v>368</v>
      </c>
      <c r="DP279" s="37" t="s">
        <v>368</v>
      </c>
      <c r="DQ279" s="37" t="s">
        <v>368</v>
      </c>
      <c r="DR279" s="37" t="s">
        <v>368</v>
      </c>
      <c r="DS279" s="37" t="s">
        <v>345</v>
      </c>
      <c r="DT279" s="37" t="s">
        <v>368</v>
      </c>
      <c r="DU279" s="37" t="s">
        <v>368</v>
      </c>
      <c r="DV279" s="37" t="s">
        <v>368</v>
      </c>
      <c r="DW279" s="37" t="s">
        <v>345</v>
      </c>
      <c r="DX279" s="37" t="s">
        <v>1258</v>
      </c>
      <c r="DY279" s="37" t="s">
        <v>1258</v>
      </c>
      <c r="DZ279" s="37" t="s">
        <v>1258</v>
      </c>
      <c r="EA279" s="37" t="s">
        <v>1258</v>
      </c>
      <c r="EB279" s="37" t="s">
        <v>1258</v>
      </c>
      <c r="EC279" s="37" t="s">
        <v>1258</v>
      </c>
      <c r="ED279" s="37" t="s">
        <v>1258</v>
      </c>
      <c r="EE279" s="37" t="s">
        <v>1273</v>
      </c>
      <c r="EF279" s="37" t="s">
        <v>1273</v>
      </c>
      <c r="EG279" s="37" t="s">
        <v>397</v>
      </c>
      <c r="EH279" s="37" t="s">
        <v>1273</v>
      </c>
      <c r="EI279" s="37" t="s">
        <v>1273</v>
      </c>
      <c r="EJ279" s="37" t="s">
        <v>1273</v>
      </c>
      <c r="EK279" s="37" t="s">
        <v>1273</v>
      </c>
      <c r="EL279" s="37" t="s">
        <v>1276</v>
      </c>
      <c r="EM279" s="37" t="s">
        <v>1260</v>
      </c>
      <c r="EN279" s="37" t="s">
        <v>1275</v>
      </c>
      <c r="EO279" s="37"/>
      <c r="EP279" s="37"/>
      <c r="EQ279" s="37" t="s">
        <v>1263</v>
      </c>
      <c r="ER279" s="37" t="s">
        <v>1263</v>
      </c>
      <c r="ES279" s="37" t="s">
        <v>1264</v>
      </c>
      <c r="ET279" s="37" t="s">
        <v>717</v>
      </c>
      <c r="EU279" s="37" t="s">
        <v>1264</v>
      </c>
      <c r="EV279" s="37" t="s">
        <v>1265</v>
      </c>
      <c r="EW279" s="37"/>
      <c r="EX279" s="37" t="s">
        <v>368</v>
      </c>
      <c r="EY279" s="37" t="s">
        <v>368</v>
      </c>
      <c r="EZ279" s="37" t="s">
        <v>368</v>
      </c>
      <c r="FA279" s="37" t="s">
        <v>345</v>
      </c>
      <c r="FB279" s="37" t="s">
        <v>1266</v>
      </c>
      <c r="FC279" s="37"/>
      <c r="FD279" s="37" t="s">
        <v>401</v>
      </c>
      <c r="FE279" s="37"/>
      <c r="FF279" s="37" t="s">
        <v>477</v>
      </c>
      <c r="FG279" s="37" t="s">
        <v>441</v>
      </c>
      <c r="FH279" s="37" t="s">
        <v>1301</v>
      </c>
      <c r="FI279" s="37" t="s">
        <v>1286</v>
      </c>
      <c r="FJ279" s="37"/>
      <c r="FK279" s="37"/>
      <c r="FL279" s="37"/>
      <c r="FM279" s="37"/>
      <c r="FN279" s="37"/>
      <c r="FO279" s="37"/>
      <c r="FP279" s="37"/>
      <c r="FQ279" s="37"/>
      <c r="FR279" s="37"/>
      <c r="FS279" s="37"/>
      <c r="FT279" s="37"/>
      <c r="FU279" s="37"/>
      <c r="FV279" s="37"/>
      <c r="FW279" s="37"/>
      <c r="FX279" s="37"/>
      <c r="FY279" s="37"/>
      <c r="FZ279" s="37"/>
      <c r="GA279" s="37" t="s">
        <v>368</v>
      </c>
      <c r="GB279" s="37" t="s">
        <v>368</v>
      </c>
      <c r="GC279" s="37" t="s">
        <v>368</v>
      </c>
      <c r="GD279" s="37" t="s">
        <v>368</v>
      </c>
      <c r="GE279" s="37" t="s">
        <v>368</v>
      </c>
      <c r="GF279" s="37" t="s">
        <v>368</v>
      </c>
      <c r="GG279" s="37"/>
      <c r="GH279" s="37"/>
      <c r="GI279" s="37"/>
      <c r="GJ279" s="37"/>
      <c r="GK279" s="37"/>
      <c r="GL279" s="37" t="s">
        <v>344</v>
      </c>
      <c r="GM279" s="37" t="s">
        <v>344</v>
      </c>
      <c r="GN279" s="37" t="s">
        <v>344</v>
      </c>
      <c r="GO279" s="37" t="s">
        <v>344</v>
      </c>
      <c r="GP279" s="37" t="s">
        <v>344</v>
      </c>
      <c r="GQ279" s="37" t="s">
        <v>344</v>
      </c>
      <c r="GR279" s="37" t="s">
        <v>344</v>
      </c>
      <c r="GS279" s="37" t="s">
        <v>344</v>
      </c>
      <c r="GT279" s="37" t="s">
        <v>344</v>
      </c>
      <c r="GU279" s="37" t="s">
        <v>344</v>
      </c>
      <c r="GV279" s="37" t="s">
        <v>344</v>
      </c>
      <c r="GW279" s="37" t="s">
        <v>345</v>
      </c>
      <c r="GX279" s="37" t="s">
        <v>344</v>
      </c>
      <c r="GY279" s="37" t="s">
        <v>344</v>
      </c>
      <c r="GZ279" s="37" t="s">
        <v>344</v>
      </c>
      <c r="HA279" s="37" t="s">
        <v>344</v>
      </c>
      <c r="HB279" s="37"/>
      <c r="HC279" s="37" t="s">
        <v>344</v>
      </c>
      <c r="HD279" s="37"/>
      <c r="HE279" s="37" t="s">
        <v>344</v>
      </c>
      <c r="HF279" s="37"/>
      <c r="HG279" s="37" t="s">
        <v>344</v>
      </c>
      <c r="HH279" s="37"/>
      <c r="HI279" s="37" t="s">
        <v>344</v>
      </c>
      <c r="HJ279" s="37"/>
      <c r="HK279" s="37" t="s">
        <v>344</v>
      </c>
      <c r="HL279" s="37" t="s">
        <v>344</v>
      </c>
      <c r="HM279" s="37" t="s">
        <v>344</v>
      </c>
      <c r="HN279" s="37" t="s">
        <v>345</v>
      </c>
      <c r="HO279" s="37" t="s">
        <v>344</v>
      </c>
      <c r="HP279" s="37" t="s">
        <v>344</v>
      </c>
      <c r="HQ279" s="37" t="s">
        <v>344</v>
      </c>
      <c r="HR279" s="37" t="s">
        <v>345</v>
      </c>
      <c r="HS279" s="37" t="s">
        <v>344</v>
      </c>
      <c r="HT279" s="37" t="s">
        <v>345</v>
      </c>
      <c r="HU279" s="37" t="s">
        <v>345</v>
      </c>
      <c r="HV279" s="37" t="s">
        <v>344</v>
      </c>
      <c r="HW279" s="37" t="s">
        <v>345</v>
      </c>
      <c r="HX279" s="37" t="s">
        <v>344</v>
      </c>
      <c r="HY279" s="37" t="s">
        <v>344</v>
      </c>
      <c r="HZ279" s="37" t="s">
        <v>344</v>
      </c>
      <c r="IA279" s="37" t="s">
        <v>344</v>
      </c>
      <c r="IB279" s="37" t="s">
        <v>344</v>
      </c>
      <c r="IC279" s="37" t="s">
        <v>344</v>
      </c>
      <c r="ID279" s="37"/>
      <c r="IE279" s="37" t="s">
        <v>344</v>
      </c>
      <c r="IF279" s="37"/>
      <c r="IG279" s="37" t="s">
        <v>344</v>
      </c>
      <c r="IH279" s="37"/>
      <c r="II279" s="37" t="s">
        <v>344</v>
      </c>
      <c r="IJ279" s="37"/>
      <c r="IK279" s="37" t="s">
        <v>344</v>
      </c>
      <c r="IL279" s="37"/>
      <c r="IM279" s="37" t="s">
        <v>345</v>
      </c>
      <c r="IN279" s="37" t="s">
        <v>345</v>
      </c>
      <c r="IO279" s="37" t="s">
        <v>344</v>
      </c>
      <c r="IP279" s="37" t="s">
        <v>344</v>
      </c>
      <c r="IQ279" s="37" t="s">
        <v>345</v>
      </c>
      <c r="IR279" s="37" t="s">
        <v>344</v>
      </c>
      <c r="IS279" s="37" t="s">
        <v>344</v>
      </c>
      <c r="IT279" s="37" t="s">
        <v>345</v>
      </c>
      <c r="IU279" s="37" t="s">
        <v>344</v>
      </c>
      <c r="IV279" s="37" t="s">
        <v>344</v>
      </c>
      <c r="IW279" s="37" t="s">
        <v>345</v>
      </c>
      <c r="IX279" s="37" t="s">
        <v>344</v>
      </c>
      <c r="IY279" s="37" t="s">
        <v>345</v>
      </c>
      <c r="IZ279" s="37" t="s">
        <v>344</v>
      </c>
      <c r="JA279" s="37"/>
      <c r="JB279" s="37" t="s">
        <v>1528</v>
      </c>
    </row>
    <row r="280" spans="1:262" x14ac:dyDescent="0.3">
      <c r="A280" s="36" t="s">
        <v>338</v>
      </c>
      <c r="B280" s="37">
        <v>248</v>
      </c>
      <c r="C280" s="37" t="s">
        <v>1529</v>
      </c>
      <c r="D280" s="37">
        <v>14</v>
      </c>
      <c r="E280" s="37" t="s">
        <v>387</v>
      </c>
      <c r="F280" s="37">
        <v>548171663</v>
      </c>
      <c r="G280" s="37" t="s">
        <v>1530</v>
      </c>
      <c r="H280" s="37" t="s">
        <v>1529</v>
      </c>
      <c r="I280" s="37" t="s">
        <v>1486</v>
      </c>
      <c r="J280" s="37">
        <v>17</v>
      </c>
      <c r="K280" s="37" t="s">
        <v>1282</v>
      </c>
      <c r="L280" s="37"/>
      <c r="M280" s="37" t="s">
        <v>345</v>
      </c>
      <c r="N280" s="37" t="s">
        <v>344</v>
      </c>
      <c r="O280" s="37" t="s">
        <v>344</v>
      </c>
      <c r="P280" s="37" t="s">
        <v>344</v>
      </c>
      <c r="Q280" s="37" t="s">
        <v>344</v>
      </c>
      <c r="R280" s="37"/>
      <c r="S280" s="37" t="s">
        <v>1487</v>
      </c>
      <c r="T280" s="37"/>
      <c r="U280" s="37" t="s">
        <v>1488</v>
      </c>
      <c r="V280" s="38"/>
      <c r="W280" s="37" t="s">
        <v>368</v>
      </c>
      <c r="X280" s="37" t="s">
        <v>368</v>
      </c>
      <c r="Y280" s="37" t="s">
        <v>368</v>
      </c>
      <c r="Z280" s="37" t="s">
        <v>368</v>
      </c>
      <c r="AA280" s="37" t="s">
        <v>368</v>
      </c>
      <c r="AB280" s="37" t="s">
        <v>368</v>
      </c>
      <c r="AC280" s="37" t="s">
        <v>345</v>
      </c>
      <c r="AD280" s="37" t="s">
        <v>368</v>
      </c>
      <c r="AE280" s="37" t="s">
        <v>368</v>
      </c>
      <c r="AF280" s="37" t="s">
        <v>368</v>
      </c>
      <c r="AG280" s="37" t="s">
        <v>368</v>
      </c>
      <c r="AH280" s="37" t="s">
        <v>368</v>
      </c>
      <c r="AI280" s="37" t="s">
        <v>368</v>
      </c>
      <c r="AJ280" s="37" t="s">
        <v>345</v>
      </c>
      <c r="AK280" s="37" t="s">
        <v>368</v>
      </c>
      <c r="AL280" s="37" t="s">
        <v>368</v>
      </c>
      <c r="AM280" s="37" t="s">
        <v>368</v>
      </c>
      <c r="AN280" s="37" t="s">
        <v>368</v>
      </c>
      <c r="AO280" s="37" t="s">
        <v>368</v>
      </c>
      <c r="AP280" s="37" t="s">
        <v>368</v>
      </c>
      <c r="AQ280" s="37" t="s">
        <v>345</v>
      </c>
      <c r="AR280" s="37" t="s">
        <v>344</v>
      </c>
      <c r="AS280" s="37" t="s">
        <v>345</v>
      </c>
      <c r="AT280" s="37" t="s">
        <v>345</v>
      </c>
      <c r="AU280" s="37" t="s">
        <v>344</v>
      </c>
      <c r="AV280" s="37" t="s">
        <v>344</v>
      </c>
      <c r="AW280" s="37" t="s">
        <v>344</v>
      </c>
      <c r="AX280" s="37" t="s">
        <v>344</v>
      </c>
      <c r="AY280" s="37" t="s">
        <v>391</v>
      </c>
      <c r="AZ280" s="37" t="s">
        <v>391</v>
      </c>
      <c r="BA280" s="37" t="s">
        <v>391</v>
      </c>
      <c r="BB280" s="37" t="s">
        <v>391</v>
      </c>
      <c r="BC280" s="37" t="s">
        <v>391</v>
      </c>
      <c r="BD280" s="37" t="s">
        <v>391</v>
      </c>
      <c r="BE280" s="37" t="s">
        <v>390</v>
      </c>
      <c r="BF280" s="37" t="s">
        <v>349</v>
      </c>
      <c r="BG280" s="37" t="s">
        <v>390</v>
      </c>
      <c r="BH280" s="37" t="s">
        <v>717</v>
      </c>
      <c r="BI280" s="37" t="s">
        <v>717</v>
      </c>
      <c r="BJ280" s="37" t="s">
        <v>391</v>
      </c>
      <c r="BK280" s="37" t="s">
        <v>391</v>
      </c>
      <c r="BL280" s="37" t="s">
        <v>391</v>
      </c>
      <c r="BM280" s="37" t="s">
        <v>391</v>
      </c>
      <c r="BN280" s="37" t="s">
        <v>391</v>
      </c>
      <c r="BO280" s="37" t="s">
        <v>391</v>
      </c>
      <c r="BP280" s="37" t="s">
        <v>391</v>
      </c>
      <c r="BQ280" s="37" t="s">
        <v>358</v>
      </c>
      <c r="BR280" s="37" t="s">
        <v>1339</v>
      </c>
      <c r="BS280" s="37" t="s">
        <v>391</v>
      </c>
      <c r="BT280" s="37" t="s">
        <v>391</v>
      </c>
      <c r="BU280" s="37" t="s">
        <v>391</v>
      </c>
      <c r="BV280" s="37" t="s">
        <v>391</v>
      </c>
      <c r="BW280" s="37" t="s">
        <v>391</v>
      </c>
      <c r="BX280" s="37" t="s">
        <v>391</v>
      </c>
      <c r="BY280" s="37" t="s">
        <v>391</v>
      </c>
      <c r="BZ280" s="37" t="s">
        <v>391</v>
      </c>
      <c r="CA280" s="37" t="s">
        <v>391</v>
      </c>
      <c r="CB280" s="37" t="s">
        <v>391</v>
      </c>
      <c r="CC280" s="37" t="s">
        <v>391</v>
      </c>
      <c r="CD280" s="37" t="s">
        <v>391</v>
      </c>
      <c r="CE280" s="37" t="s">
        <v>391</v>
      </c>
      <c r="CF280" s="37" t="s">
        <v>391</v>
      </c>
      <c r="CG280" s="37" t="s">
        <v>393</v>
      </c>
      <c r="CH280" s="37" t="s">
        <v>421</v>
      </c>
      <c r="CI280" s="37" t="s">
        <v>392</v>
      </c>
      <c r="CJ280" s="37" t="s">
        <v>392</v>
      </c>
      <c r="CK280" s="37" t="s">
        <v>391</v>
      </c>
      <c r="CL280" s="37" t="s">
        <v>344</v>
      </c>
      <c r="CM280" s="37" t="s">
        <v>344</v>
      </c>
      <c r="CN280" s="37" t="s">
        <v>344</v>
      </c>
      <c r="CO280" s="37" t="s">
        <v>345</v>
      </c>
      <c r="CP280" s="37" t="s">
        <v>344</v>
      </c>
      <c r="CQ280" s="37" t="s">
        <v>344</v>
      </c>
      <c r="CR280" s="37" t="s">
        <v>667</v>
      </c>
      <c r="CS280" s="37">
        <v>50</v>
      </c>
      <c r="CT280" s="37">
        <v>100</v>
      </c>
      <c r="CU280" s="37"/>
      <c r="CV280" s="37"/>
      <c r="CW280" s="37" t="s">
        <v>471</v>
      </c>
      <c r="CX280" s="37" t="s">
        <v>396</v>
      </c>
      <c r="CY280" s="37" t="s">
        <v>471</v>
      </c>
      <c r="CZ280" s="37" t="s">
        <v>397</v>
      </c>
      <c r="DA280" s="37" t="s">
        <v>397</v>
      </c>
      <c r="DB280" s="37" t="s">
        <v>397</v>
      </c>
      <c r="DC280" s="37" t="s">
        <v>397</v>
      </c>
      <c r="DD280" s="37" t="s">
        <v>397</v>
      </c>
      <c r="DE280" s="37"/>
      <c r="DF280" s="37"/>
      <c r="DG280" s="37"/>
      <c r="DH280" s="37"/>
      <c r="DI280" s="37"/>
      <c r="DJ280" s="37"/>
      <c r="DK280" s="37" t="s">
        <v>1357</v>
      </c>
      <c r="DL280" s="37" t="s">
        <v>368</v>
      </c>
      <c r="DM280" s="37" t="s">
        <v>368</v>
      </c>
      <c r="DN280" s="37" t="s">
        <v>368</v>
      </c>
      <c r="DO280" s="37" t="s">
        <v>345</v>
      </c>
      <c r="DP280" s="37" t="s">
        <v>368</v>
      </c>
      <c r="DQ280" s="37" t="s">
        <v>368</v>
      </c>
      <c r="DR280" s="37" t="s">
        <v>368</v>
      </c>
      <c r="DS280" s="37" t="s">
        <v>345</v>
      </c>
      <c r="DT280" s="37" t="s">
        <v>368</v>
      </c>
      <c r="DU280" s="37" t="s">
        <v>368</v>
      </c>
      <c r="DV280" s="37" t="s">
        <v>368</v>
      </c>
      <c r="DW280" s="37" t="s">
        <v>345</v>
      </c>
      <c r="DX280" s="37" t="s">
        <v>1258</v>
      </c>
      <c r="DY280" s="37" t="s">
        <v>1258</v>
      </c>
      <c r="DZ280" s="37" t="s">
        <v>1258</v>
      </c>
      <c r="EA280" s="37" t="s">
        <v>1258</v>
      </c>
      <c r="EB280" s="37" t="s">
        <v>1258</v>
      </c>
      <c r="EC280" s="37" t="s">
        <v>1258</v>
      </c>
      <c r="ED280" s="37" t="s">
        <v>1258</v>
      </c>
      <c r="EE280" s="37" t="s">
        <v>397</v>
      </c>
      <c r="EF280" s="37" t="s">
        <v>1274</v>
      </c>
      <c r="EG280" s="37" t="s">
        <v>397</v>
      </c>
      <c r="EH280" s="37" t="s">
        <v>397</v>
      </c>
      <c r="EI280" s="37" t="s">
        <v>397</v>
      </c>
      <c r="EJ280" s="37" t="s">
        <v>397</v>
      </c>
      <c r="EK280" s="37" t="s">
        <v>397</v>
      </c>
      <c r="EL280" s="37" t="s">
        <v>1276</v>
      </c>
      <c r="EM280" s="37" t="s">
        <v>1260</v>
      </c>
      <c r="EN280" s="37" t="s">
        <v>1259</v>
      </c>
      <c r="EO280" s="37"/>
      <c r="EP280" s="37"/>
      <c r="EQ280" s="37" t="s">
        <v>1263</v>
      </c>
      <c r="ER280" s="37" t="s">
        <v>1263</v>
      </c>
      <c r="ES280" s="37" t="s">
        <v>717</v>
      </c>
      <c r="ET280" s="37" t="s">
        <v>717</v>
      </c>
      <c r="EU280" s="37" t="s">
        <v>717</v>
      </c>
      <c r="EV280" s="37" t="s">
        <v>400</v>
      </c>
      <c r="EW280" s="37"/>
      <c r="EX280" s="38" t="s">
        <v>345</v>
      </c>
      <c r="EY280" s="38" t="s">
        <v>345</v>
      </c>
      <c r="EZ280" s="38" t="s">
        <v>344</v>
      </c>
      <c r="FA280" s="38" t="s">
        <v>344</v>
      </c>
      <c r="FB280" s="37" t="s">
        <v>1266</v>
      </c>
      <c r="FC280" s="37"/>
      <c r="FD280" s="37" t="s">
        <v>1266</v>
      </c>
      <c r="FE280" s="37"/>
      <c r="FF280" s="37" t="s">
        <v>382</v>
      </c>
      <c r="FG280" s="37" t="s">
        <v>402</v>
      </c>
      <c r="FH280" s="37" t="s">
        <v>1293</v>
      </c>
      <c r="FI280" s="37" t="s">
        <v>1294</v>
      </c>
      <c r="FJ280" s="37"/>
      <c r="FK280" s="37"/>
      <c r="FL280" s="37"/>
      <c r="FM280" s="37"/>
      <c r="FN280" s="37"/>
      <c r="FO280" s="37"/>
      <c r="FP280" s="37"/>
      <c r="FQ280" s="37"/>
      <c r="FR280" s="37"/>
      <c r="FS280" s="37"/>
      <c r="FT280" s="37"/>
      <c r="FU280" s="37"/>
      <c r="FV280" s="37"/>
      <c r="FW280" s="37"/>
      <c r="FX280" s="37"/>
      <c r="FY280" s="37"/>
      <c r="FZ280" s="37"/>
      <c r="GA280" s="37" t="s">
        <v>368</v>
      </c>
      <c r="GB280" s="37" t="s">
        <v>368</v>
      </c>
      <c r="GC280" s="37" t="s">
        <v>368</v>
      </c>
      <c r="GD280" s="37" t="s">
        <v>368</v>
      </c>
      <c r="GE280" s="37" t="s">
        <v>368</v>
      </c>
      <c r="GF280" s="37" t="s">
        <v>368</v>
      </c>
      <c r="GG280" s="37"/>
      <c r="GH280" s="37"/>
      <c r="GI280" s="37"/>
      <c r="GJ280" s="37"/>
      <c r="GK280" s="37"/>
      <c r="GL280" s="37" t="s">
        <v>344</v>
      </c>
      <c r="GM280" s="37" t="s">
        <v>344</v>
      </c>
      <c r="GN280" s="37" t="s">
        <v>344</v>
      </c>
      <c r="GO280" s="37" t="s">
        <v>345</v>
      </c>
      <c r="GP280" s="37" t="s">
        <v>344</v>
      </c>
      <c r="GQ280" s="37" t="s">
        <v>344</v>
      </c>
      <c r="GR280" s="37" t="s">
        <v>344</v>
      </c>
      <c r="GS280" s="37" t="s">
        <v>344</v>
      </c>
      <c r="GT280" s="37" t="s">
        <v>344</v>
      </c>
      <c r="GU280" s="37" t="s">
        <v>344</v>
      </c>
      <c r="GV280" s="37" t="s">
        <v>344</v>
      </c>
      <c r="GW280" s="37" t="s">
        <v>344</v>
      </c>
      <c r="GX280" s="37" t="s">
        <v>344</v>
      </c>
      <c r="GY280" s="37" t="s">
        <v>344</v>
      </c>
      <c r="GZ280" s="37" t="s">
        <v>344</v>
      </c>
      <c r="HA280" s="37" t="s">
        <v>344</v>
      </c>
      <c r="HB280" s="37"/>
      <c r="HC280" s="37" t="s">
        <v>344</v>
      </c>
      <c r="HD280" s="37"/>
      <c r="HE280" s="37" t="s">
        <v>344</v>
      </c>
      <c r="HF280" s="37"/>
      <c r="HG280" s="37" t="s">
        <v>344</v>
      </c>
      <c r="HH280" s="37"/>
      <c r="HI280" s="37" t="s">
        <v>344</v>
      </c>
      <c r="HJ280" s="37"/>
      <c r="HK280" s="37" t="s">
        <v>344</v>
      </c>
      <c r="HL280" s="37" t="s">
        <v>344</v>
      </c>
      <c r="HM280" s="37" t="s">
        <v>344</v>
      </c>
      <c r="HN280" s="37" t="s">
        <v>344</v>
      </c>
      <c r="HO280" s="37" t="s">
        <v>344</v>
      </c>
      <c r="HP280" s="37" t="s">
        <v>344</v>
      </c>
      <c r="HQ280" s="37" t="s">
        <v>344</v>
      </c>
      <c r="HR280" s="37" t="s">
        <v>344</v>
      </c>
      <c r="HS280" s="37" t="s">
        <v>344</v>
      </c>
      <c r="HT280" s="37" t="s">
        <v>344</v>
      </c>
      <c r="HU280" s="37" t="s">
        <v>344</v>
      </c>
      <c r="HV280" s="37" t="s">
        <v>344</v>
      </c>
      <c r="HW280" s="37" t="s">
        <v>344</v>
      </c>
      <c r="HX280" s="37" t="s">
        <v>344</v>
      </c>
      <c r="HY280" s="37" t="s">
        <v>344</v>
      </c>
      <c r="HZ280" s="37" t="s">
        <v>344</v>
      </c>
      <c r="IA280" s="37" t="s">
        <v>344</v>
      </c>
      <c r="IB280" s="37" t="s">
        <v>344</v>
      </c>
      <c r="IC280" s="37" t="s">
        <v>345</v>
      </c>
      <c r="ID280" s="37"/>
      <c r="IE280" s="37" t="s">
        <v>344</v>
      </c>
      <c r="IF280" s="37"/>
      <c r="IG280" s="37" t="s">
        <v>344</v>
      </c>
      <c r="IH280" s="37"/>
      <c r="II280" s="37" t="s">
        <v>344</v>
      </c>
      <c r="IJ280" s="37"/>
      <c r="IK280" s="37" t="s">
        <v>344</v>
      </c>
      <c r="IL280" s="37"/>
      <c r="IM280" s="37" t="s">
        <v>344</v>
      </c>
      <c r="IN280" s="37" t="s">
        <v>345</v>
      </c>
      <c r="IO280" s="37" t="s">
        <v>344</v>
      </c>
      <c r="IP280" s="37" t="s">
        <v>344</v>
      </c>
      <c r="IQ280" s="37" t="s">
        <v>344</v>
      </c>
      <c r="IR280" s="37" t="s">
        <v>344</v>
      </c>
      <c r="IS280" s="37" t="s">
        <v>344</v>
      </c>
      <c r="IT280" s="37" t="s">
        <v>345</v>
      </c>
      <c r="IU280" s="37" t="s">
        <v>344</v>
      </c>
      <c r="IV280" s="37" t="s">
        <v>344</v>
      </c>
      <c r="IW280" s="37" t="s">
        <v>344</v>
      </c>
      <c r="IX280" s="37" t="s">
        <v>344</v>
      </c>
      <c r="IY280" s="37" t="s">
        <v>344</v>
      </c>
      <c r="IZ280" s="37" t="s">
        <v>344</v>
      </c>
      <c r="JA280" s="37"/>
      <c r="JB280" s="37"/>
    </row>
    <row r="281" spans="1:262" x14ac:dyDescent="0.3">
      <c r="A281" s="36" t="s">
        <v>338</v>
      </c>
      <c r="B281" s="37">
        <v>249</v>
      </c>
      <c r="C281" s="37" t="s">
        <v>1531</v>
      </c>
      <c r="D281" s="37">
        <v>14</v>
      </c>
      <c r="E281" s="37" t="s">
        <v>387</v>
      </c>
      <c r="F281" s="37">
        <v>823344432</v>
      </c>
      <c r="G281" s="37" t="s">
        <v>1532</v>
      </c>
      <c r="H281" s="37" t="s">
        <v>1531</v>
      </c>
      <c r="I281" s="37" t="s">
        <v>1486</v>
      </c>
      <c r="J281" s="37">
        <v>17</v>
      </c>
      <c r="K281" s="37" t="s">
        <v>1255</v>
      </c>
      <c r="L281" s="37"/>
      <c r="M281" s="37" t="s">
        <v>345</v>
      </c>
      <c r="N281" s="37" t="s">
        <v>344</v>
      </c>
      <c r="O281" s="37" t="s">
        <v>344</v>
      </c>
      <c r="P281" s="37" t="s">
        <v>344</v>
      </c>
      <c r="Q281" s="37" t="s">
        <v>344</v>
      </c>
      <c r="R281" s="37"/>
      <c r="S281" s="37" t="s">
        <v>1487</v>
      </c>
      <c r="T281" s="37"/>
      <c r="U281" s="37" t="s">
        <v>1256</v>
      </c>
      <c r="V281" s="37"/>
      <c r="W281" s="37" t="s">
        <v>344</v>
      </c>
      <c r="X281" s="37" t="s">
        <v>345</v>
      </c>
      <c r="Y281" s="37" t="s">
        <v>344</v>
      </c>
      <c r="Z281" s="37" t="s">
        <v>344</v>
      </c>
      <c r="AA281" s="37" t="s">
        <v>344</v>
      </c>
      <c r="AB281" s="37" t="s">
        <v>344</v>
      </c>
      <c r="AC281" s="37" t="s">
        <v>344</v>
      </c>
      <c r="AD281" s="37" t="s">
        <v>344</v>
      </c>
      <c r="AE281" s="37" t="s">
        <v>344</v>
      </c>
      <c r="AF281" s="37" t="s">
        <v>344</v>
      </c>
      <c r="AG281" s="37" t="s">
        <v>344</v>
      </c>
      <c r="AH281" s="37" t="s">
        <v>344</v>
      </c>
      <c r="AI281" s="37" t="s">
        <v>345</v>
      </c>
      <c r="AJ281" s="37" t="s">
        <v>344</v>
      </c>
      <c r="AK281" s="37" t="s">
        <v>368</v>
      </c>
      <c r="AL281" s="37" t="s">
        <v>368</v>
      </c>
      <c r="AM281" s="37" t="s">
        <v>368</v>
      </c>
      <c r="AN281" s="37" t="s">
        <v>368</v>
      </c>
      <c r="AO281" s="37" t="s">
        <v>368</v>
      </c>
      <c r="AP281" s="37" t="s">
        <v>368</v>
      </c>
      <c r="AQ281" s="37" t="s">
        <v>345</v>
      </c>
      <c r="AR281" s="37" t="s">
        <v>368</v>
      </c>
      <c r="AS281" s="37" t="s">
        <v>368</v>
      </c>
      <c r="AT281" s="37" t="s">
        <v>368</v>
      </c>
      <c r="AU281" s="37" t="s">
        <v>368</v>
      </c>
      <c r="AV281" s="37" t="s">
        <v>368</v>
      </c>
      <c r="AW281" s="37" t="s">
        <v>368</v>
      </c>
      <c r="AX281" s="37" t="s">
        <v>345</v>
      </c>
      <c r="AY281" s="37" t="s">
        <v>391</v>
      </c>
      <c r="AZ281" s="37" t="s">
        <v>391</v>
      </c>
      <c r="BA281" s="37" t="s">
        <v>391</v>
      </c>
      <c r="BB281" s="37" t="s">
        <v>391</v>
      </c>
      <c r="BC281" s="37" t="s">
        <v>391</v>
      </c>
      <c r="BD281" s="37" t="s">
        <v>391</v>
      </c>
      <c r="BE281" s="37" t="s">
        <v>349</v>
      </c>
      <c r="BF281" s="37" t="s">
        <v>349</v>
      </c>
      <c r="BG281" s="37" t="s">
        <v>390</v>
      </c>
      <c r="BH281" s="37" t="s">
        <v>390</v>
      </c>
      <c r="BI281" s="37" t="s">
        <v>390</v>
      </c>
      <c r="BJ281" s="37" t="s">
        <v>351</v>
      </c>
      <c r="BK281" s="37" t="s">
        <v>354</v>
      </c>
      <c r="BL281" s="37" t="s">
        <v>356</v>
      </c>
      <c r="BM281" s="37" t="s">
        <v>391</v>
      </c>
      <c r="BN281" s="37" t="s">
        <v>391</v>
      </c>
      <c r="BO281" s="37" t="s">
        <v>391</v>
      </c>
      <c r="BP281" s="37" t="s">
        <v>391</v>
      </c>
      <c r="BQ281" s="37" t="s">
        <v>419</v>
      </c>
      <c r="BR281" s="37" t="s">
        <v>1296</v>
      </c>
      <c r="BS281" s="37" t="s">
        <v>391</v>
      </c>
      <c r="BT281" s="37" t="s">
        <v>391</v>
      </c>
      <c r="BU281" s="37" t="s">
        <v>391</v>
      </c>
      <c r="BV281" s="37" t="s">
        <v>391</v>
      </c>
      <c r="BW281" s="37" t="s">
        <v>391</v>
      </c>
      <c r="BX281" s="37" t="s">
        <v>391</v>
      </c>
      <c r="BY281" s="37" t="s">
        <v>391</v>
      </c>
      <c r="BZ281" s="37" t="s">
        <v>391</v>
      </c>
      <c r="CA281" s="37" t="s">
        <v>391</v>
      </c>
      <c r="CB281" s="37" t="s">
        <v>391</v>
      </c>
      <c r="CC281" s="37" t="s">
        <v>391</v>
      </c>
      <c r="CD281" s="37" t="s">
        <v>391</v>
      </c>
      <c r="CE281" s="37" t="s">
        <v>391</v>
      </c>
      <c r="CF281" s="37" t="s">
        <v>391</v>
      </c>
      <c r="CG281" s="37" t="s">
        <v>420</v>
      </c>
      <c r="CH281" s="37" t="s">
        <v>392</v>
      </c>
      <c r="CI281" s="37" t="s">
        <v>420</v>
      </c>
      <c r="CJ281" s="37" t="s">
        <v>393</v>
      </c>
      <c r="CK281" s="37" t="s">
        <v>1533</v>
      </c>
      <c r="CL281" s="37" t="s">
        <v>344</v>
      </c>
      <c r="CM281" s="37" t="s">
        <v>344</v>
      </c>
      <c r="CN281" s="37" t="s">
        <v>344</v>
      </c>
      <c r="CO281" s="37" t="s">
        <v>345</v>
      </c>
      <c r="CP281" s="37" t="s">
        <v>344</v>
      </c>
      <c r="CQ281" s="37" t="s">
        <v>344</v>
      </c>
      <c r="CR281" s="37" t="s">
        <v>655</v>
      </c>
      <c r="CS281" s="37">
        <v>73</v>
      </c>
      <c r="CT281" s="37">
        <v>75</v>
      </c>
      <c r="CU281" s="37"/>
      <c r="CV281" s="37"/>
      <c r="CW281" s="37" t="s">
        <v>363</v>
      </c>
      <c r="CX281" s="37" t="s">
        <v>396</v>
      </c>
      <c r="CY281" s="37" t="s">
        <v>363</v>
      </c>
      <c r="CZ281" s="37" t="s">
        <v>397</v>
      </c>
      <c r="DA281" s="37" t="s">
        <v>397</v>
      </c>
      <c r="DB281" s="37" t="s">
        <v>366</v>
      </c>
      <c r="DC281" s="37" t="s">
        <v>397</v>
      </c>
      <c r="DD281" s="37" t="s">
        <v>397</v>
      </c>
      <c r="DE281" s="37"/>
      <c r="DF281" s="37"/>
      <c r="DG281" s="37"/>
      <c r="DH281" s="37"/>
      <c r="DI281" s="37"/>
      <c r="DJ281" s="37" t="s">
        <v>1534</v>
      </c>
      <c r="DK281" s="37" t="s">
        <v>344</v>
      </c>
      <c r="DL281" s="37" t="s">
        <v>368</v>
      </c>
      <c r="DM281" s="37" t="s">
        <v>368</v>
      </c>
      <c r="DN281" s="37" t="s">
        <v>368</v>
      </c>
      <c r="DO281" s="37" t="s">
        <v>368</v>
      </c>
      <c r="DP281" s="37" t="s">
        <v>344</v>
      </c>
      <c r="DQ281" s="37" t="s">
        <v>344</v>
      </c>
      <c r="DR281" s="37" t="s">
        <v>345</v>
      </c>
      <c r="DS281" s="37" t="s">
        <v>344</v>
      </c>
      <c r="DT281" s="37" t="s">
        <v>345</v>
      </c>
      <c r="DU281" s="37" t="s">
        <v>344</v>
      </c>
      <c r="DV281" s="37" t="s">
        <v>345</v>
      </c>
      <c r="DW281" s="37" t="s">
        <v>344</v>
      </c>
      <c r="DX281" s="37" t="s">
        <v>1258</v>
      </c>
      <c r="DY281" s="37" t="s">
        <v>1258</v>
      </c>
      <c r="DZ281" s="37" t="s">
        <v>1258</v>
      </c>
      <c r="EA281" s="37" t="s">
        <v>1272</v>
      </c>
      <c r="EB281" s="37" t="s">
        <v>1258</v>
      </c>
      <c r="EC281" s="37" t="s">
        <v>1258</v>
      </c>
      <c r="ED281" s="37" t="s">
        <v>1258</v>
      </c>
      <c r="EE281" s="37" t="s">
        <v>397</v>
      </c>
      <c r="EF281" s="37" t="s">
        <v>1274</v>
      </c>
      <c r="EG281" s="37" t="s">
        <v>397</v>
      </c>
      <c r="EH281" s="37" t="s">
        <v>397</v>
      </c>
      <c r="EI281" s="37" t="s">
        <v>397</v>
      </c>
      <c r="EJ281" s="37" t="s">
        <v>397</v>
      </c>
      <c r="EK281" s="37" t="s">
        <v>397</v>
      </c>
      <c r="EL281" s="37" t="s">
        <v>1276</v>
      </c>
      <c r="EM281" s="37" t="s">
        <v>1261</v>
      </c>
      <c r="EN281" s="37" t="s">
        <v>1259</v>
      </c>
      <c r="EO281" s="37"/>
      <c r="EP281" s="37"/>
      <c r="EQ281" s="37" t="s">
        <v>1264</v>
      </c>
      <c r="ER281" s="37" t="s">
        <v>1263</v>
      </c>
      <c r="ES281" s="37" t="s">
        <v>1264</v>
      </c>
      <c r="ET281" s="37" t="s">
        <v>1264</v>
      </c>
      <c r="EU281" s="37" t="s">
        <v>1264</v>
      </c>
      <c r="EV281" s="37" t="s">
        <v>1265</v>
      </c>
      <c r="EW281" s="37"/>
      <c r="EX281" s="37" t="s">
        <v>368</v>
      </c>
      <c r="EY281" s="37" t="s">
        <v>368</v>
      </c>
      <c r="EZ281" s="37" t="s">
        <v>368</v>
      </c>
      <c r="FA281" s="37" t="s">
        <v>345</v>
      </c>
      <c r="FB281" s="37" t="s">
        <v>1266</v>
      </c>
      <c r="FC281" s="37"/>
      <c r="FD281" s="37" t="s">
        <v>1266</v>
      </c>
      <c r="FE281" s="37"/>
      <c r="FF281" s="37" t="s">
        <v>431</v>
      </c>
      <c r="FG281" s="37" t="s">
        <v>402</v>
      </c>
      <c r="FH281" s="37" t="s">
        <v>432</v>
      </c>
      <c r="FI281" s="37" t="s">
        <v>442</v>
      </c>
      <c r="FJ281" s="37"/>
      <c r="FK281" s="37"/>
      <c r="FL281" s="37"/>
      <c r="FM281" s="37"/>
      <c r="FN281" s="37"/>
      <c r="FO281" s="37"/>
      <c r="FP281" s="37"/>
      <c r="FQ281" s="37"/>
      <c r="FR281" s="37"/>
      <c r="FS281" s="37"/>
      <c r="FT281" s="37"/>
      <c r="FU281" s="37"/>
      <c r="FV281" s="37"/>
      <c r="FW281" s="37"/>
      <c r="FX281" s="37"/>
      <c r="FY281" s="37"/>
      <c r="FZ281" s="37"/>
      <c r="GA281" s="37" t="s">
        <v>368</v>
      </c>
      <c r="GB281" s="37" t="s">
        <v>368</v>
      </c>
      <c r="GC281" s="37" t="s">
        <v>368</v>
      </c>
      <c r="GD281" s="37" t="s">
        <v>368</v>
      </c>
      <c r="GE281" s="37" t="s">
        <v>368</v>
      </c>
      <c r="GF281" s="37" t="s">
        <v>368</v>
      </c>
      <c r="GG281" s="37"/>
      <c r="GH281" s="37"/>
      <c r="GI281" s="37"/>
      <c r="GJ281" s="37"/>
      <c r="GK281" s="37"/>
      <c r="GL281" s="37" t="s">
        <v>344</v>
      </c>
      <c r="GM281" s="37" t="s">
        <v>344</v>
      </c>
      <c r="GN281" s="37" t="s">
        <v>344</v>
      </c>
      <c r="GO281" s="37" t="s">
        <v>344</v>
      </c>
      <c r="GP281" s="37" t="s">
        <v>344</v>
      </c>
      <c r="GQ281" s="37" t="s">
        <v>344</v>
      </c>
      <c r="GR281" s="37" t="s">
        <v>344</v>
      </c>
      <c r="GS281" s="37" t="s">
        <v>344</v>
      </c>
      <c r="GT281" s="37" t="s">
        <v>344</v>
      </c>
      <c r="GU281" s="37" t="s">
        <v>344</v>
      </c>
      <c r="GV281" s="37" t="s">
        <v>344</v>
      </c>
      <c r="GW281" s="37" t="s">
        <v>345</v>
      </c>
      <c r="GX281" s="37" t="s">
        <v>344</v>
      </c>
      <c r="GY281" s="37" t="s">
        <v>344</v>
      </c>
      <c r="GZ281" s="37" t="s">
        <v>344</v>
      </c>
      <c r="HA281" s="37" t="s">
        <v>344</v>
      </c>
      <c r="HB281" s="37"/>
      <c r="HC281" s="37" t="s">
        <v>344</v>
      </c>
      <c r="HD281" s="37"/>
      <c r="HE281" s="37" t="s">
        <v>344</v>
      </c>
      <c r="HF281" s="37"/>
      <c r="HG281" s="37" t="s">
        <v>344</v>
      </c>
      <c r="HH281" s="37"/>
      <c r="HI281" s="37" t="s">
        <v>344</v>
      </c>
      <c r="HJ281" s="37"/>
      <c r="HK281" s="37" t="s">
        <v>344</v>
      </c>
      <c r="HL281" s="37" t="s">
        <v>344</v>
      </c>
      <c r="HM281" s="37" t="s">
        <v>344</v>
      </c>
      <c r="HN281" s="37" t="s">
        <v>344</v>
      </c>
      <c r="HO281" s="37" t="s">
        <v>344</v>
      </c>
      <c r="HP281" s="37" t="s">
        <v>344</v>
      </c>
      <c r="HQ281" s="37" t="s">
        <v>344</v>
      </c>
      <c r="HR281" s="37" t="s">
        <v>344</v>
      </c>
      <c r="HS281" s="37" t="s">
        <v>344</v>
      </c>
      <c r="HT281" s="37" t="s">
        <v>344</v>
      </c>
      <c r="HU281" s="37" t="s">
        <v>344</v>
      </c>
      <c r="HV281" s="37" t="s">
        <v>344</v>
      </c>
      <c r="HW281" s="37" t="s">
        <v>345</v>
      </c>
      <c r="HX281" s="37" t="s">
        <v>344</v>
      </c>
      <c r="HY281" s="37" t="s">
        <v>344</v>
      </c>
      <c r="HZ281" s="37" t="s">
        <v>344</v>
      </c>
      <c r="IA281" s="37" t="s">
        <v>344</v>
      </c>
      <c r="IB281" s="37" t="s">
        <v>344</v>
      </c>
      <c r="IC281" s="37" t="s">
        <v>344</v>
      </c>
      <c r="ID281" s="37"/>
      <c r="IE281" s="37" t="s">
        <v>344</v>
      </c>
      <c r="IF281" s="37"/>
      <c r="IG281" s="37" t="s">
        <v>344</v>
      </c>
      <c r="IH281" s="37"/>
      <c r="II281" s="37" t="s">
        <v>344</v>
      </c>
      <c r="IJ281" s="37"/>
      <c r="IK281" s="37" t="s">
        <v>344</v>
      </c>
      <c r="IL281" s="37"/>
      <c r="IM281" s="37" t="s">
        <v>345</v>
      </c>
      <c r="IN281" s="37" t="s">
        <v>345</v>
      </c>
      <c r="IO281" s="37" t="s">
        <v>345</v>
      </c>
      <c r="IP281" s="37" t="s">
        <v>344</v>
      </c>
      <c r="IQ281" s="37" t="s">
        <v>345</v>
      </c>
      <c r="IR281" s="37" t="s">
        <v>345</v>
      </c>
      <c r="IS281" s="37" t="s">
        <v>344</v>
      </c>
      <c r="IT281" s="37" t="s">
        <v>345</v>
      </c>
      <c r="IU281" s="37" t="s">
        <v>344</v>
      </c>
      <c r="IV281" s="37" t="s">
        <v>344</v>
      </c>
      <c r="IW281" s="37" t="s">
        <v>344</v>
      </c>
      <c r="IX281" s="37" t="s">
        <v>344</v>
      </c>
      <c r="IY281" s="37" t="s">
        <v>345</v>
      </c>
      <c r="IZ281" s="37" t="s">
        <v>344</v>
      </c>
      <c r="JA281" s="37"/>
      <c r="JB281" s="37"/>
    </row>
    <row r="282" spans="1:262" x14ac:dyDescent="0.3">
      <c r="A282" s="36" t="s">
        <v>338</v>
      </c>
      <c r="B282" s="37">
        <v>250</v>
      </c>
      <c r="C282" s="37" t="s">
        <v>1535</v>
      </c>
      <c r="D282" s="37">
        <v>14</v>
      </c>
      <c r="E282" s="37" t="s">
        <v>387</v>
      </c>
      <c r="F282" s="37">
        <v>1515068048</v>
      </c>
      <c r="G282" s="37" t="s">
        <v>1536</v>
      </c>
      <c r="H282" s="37" t="s">
        <v>1535</v>
      </c>
      <c r="I282" s="37" t="s">
        <v>1486</v>
      </c>
      <c r="J282" s="37">
        <v>17</v>
      </c>
      <c r="K282" s="37" t="s">
        <v>1282</v>
      </c>
      <c r="L282" s="37"/>
      <c r="M282" s="37" t="s">
        <v>345</v>
      </c>
      <c r="N282" s="37" t="s">
        <v>344</v>
      </c>
      <c r="O282" s="37" t="s">
        <v>344</v>
      </c>
      <c r="P282" s="37" t="s">
        <v>344</v>
      </c>
      <c r="Q282" s="37" t="s">
        <v>344</v>
      </c>
      <c r="R282" s="37"/>
      <c r="S282" s="37" t="s">
        <v>1487</v>
      </c>
      <c r="T282" s="37"/>
      <c r="U282" s="37" t="s">
        <v>1270</v>
      </c>
      <c r="V282" s="37"/>
      <c r="W282" s="37" t="s">
        <v>345</v>
      </c>
      <c r="X282" s="37" t="s">
        <v>344</v>
      </c>
      <c r="Y282" s="37" t="s">
        <v>344</v>
      </c>
      <c r="Z282" s="37" t="s">
        <v>344</v>
      </c>
      <c r="AA282" s="37" t="s">
        <v>344</v>
      </c>
      <c r="AB282" s="37" t="s">
        <v>344</v>
      </c>
      <c r="AC282" s="37" t="s">
        <v>344</v>
      </c>
      <c r="AD282" s="37" t="s">
        <v>344</v>
      </c>
      <c r="AE282" s="37" t="s">
        <v>345</v>
      </c>
      <c r="AF282" s="37" t="s">
        <v>344</v>
      </c>
      <c r="AG282" s="37" t="s">
        <v>344</v>
      </c>
      <c r="AH282" s="37" t="s">
        <v>344</v>
      </c>
      <c r="AI282" s="37" t="s">
        <v>345</v>
      </c>
      <c r="AJ282" s="37" t="s">
        <v>344</v>
      </c>
      <c r="AK282" s="37" t="s">
        <v>345</v>
      </c>
      <c r="AL282" s="37" t="s">
        <v>344</v>
      </c>
      <c r="AM282" s="37" t="s">
        <v>344</v>
      </c>
      <c r="AN282" s="37" t="s">
        <v>344</v>
      </c>
      <c r="AO282" s="37" t="s">
        <v>344</v>
      </c>
      <c r="AP282" s="37" t="s">
        <v>345</v>
      </c>
      <c r="AQ282" s="37" t="s">
        <v>344</v>
      </c>
      <c r="AR282" s="37" t="s">
        <v>344</v>
      </c>
      <c r="AS282" s="37" t="s">
        <v>345</v>
      </c>
      <c r="AT282" s="37" t="s">
        <v>344</v>
      </c>
      <c r="AU282" s="37" t="s">
        <v>345</v>
      </c>
      <c r="AV282" s="37" t="s">
        <v>344</v>
      </c>
      <c r="AW282" s="37" t="s">
        <v>345</v>
      </c>
      <c r="AX282" s="37" t="s">
        <v>344</v>
      </c>
      <c r="AY282" s="37" t="s">
        <v>391</v>
      </c>
      <c r="AZ282" s="37" t="s">
        <v>733</v>
      </c>
      <c r="BA282" s="37" t="s">
        <v>391</v>
      </c>
      <c r="BB282" s="37" t="s">
        <v>731</v>
      </c>
      <c r="BC282" s="37" t="s">
        <v>731</v>
      </c>
      <c r="BD282" s="37" t="s">
        <v>731</v>
      </c>
      <c r="BE282" s="37" t="s">
        <v>349</v>
      </c>
      <c r="BF282" s="37" t="s">
        <v>349</v>
      </c>
      <c r="BG282" s="37" t="s">
        <v>390</v>
      </c>
      <c r="BH282" s="37" t="s">
        <v>349</v>
      </c>
      <c r="BI282" s="37" t="s">
        <v>350</v>
      </c>
      <c r="BJ282" s="37" t="s">
        <v>391</v>
      </c>
      <c r="BK282" s="37" t="s">
        <v>391</v>
      </c>
      <c r="BL282" s="37" t="s">
        <v>391</v>
      </c>
      <c r="BM282" s="37" t="s">
        <v>391</v>
      </c>
      <c r="BN282" s="37" t="s">
        <v>391</v>
      </c>
      <c r="BO282" s="37" t="s">
        <v>391</v>
      </c>
      <c r="BP282" s="37" t="s">
        <v>391</v>
      </c>
      <c r="BQ282" s="37" t="s">
        <v>358</v>
      </c>
      <c r="BR282" s="37" t="s">
        <v>344</v>
      </c>
      <c r="BS282" s="37" t="s">
        <v>391</v>
      </c>
      <c r="BT282" s="37" t="s">
        <v>391</v>
      </c>
      <c r="BU282" s="37" t="s">
        <v>391</v>
      </c>
      <c r="BV282" s="37" t="s">
        <v>391</v>
      </c>
      <c r="BW282" s="37" t="s">
        <v>391</v>
      </c>
      <c r="BX282" s="37" t="s">
        <v>391</v>
      </c>
      <c r="BY282" s="37" t="s">
        <v>391</v>
      </c>
      <c r="BZ282" s="37" t="s">
        <v>391</v>
      </c>
      <c r="CA282" s="37" t="s">
        <v>391</v>
      </c>
      <c r="CB282" s="37" t="s">
        <v>391</v>
      </c>
      <c r="CC282" s="37" t="s">
        <v>391</v>
      </c>
      <c r="CD282" s="37" t="s">
        <v>391</v>
      </c>
      <c r="CE282" s="37" t="s">
        <v>391</v>
      </c>
      <c r="CF282" s="37" t="s">
        <v>391</v>
      </c>
      <c r="CG282" s="37" t="s">
        <v>421</v>
      </c>
      <c r="CH282" s="37" t="s">
        <v>420</v>
      </c>
      <c r="CI282" s="37" t="s">
        <v>421</v>
      </c>
      <c r="CJ282" s="37" t="s">
        <v>360</v>
      </c>
      <c r="CK282" s="37" t="s">
        <v>717</v>
      </c>
      <c r="CL282" s="37" t="s">
        <v>344</v>
      </c>
      <c r="CM282" s="37" t="s">
        <v>344</v>
      </c>
      <c r="CN282" s="37" t="s">
        <v>344</v>
      </c>
      <c r="CO282" s="37" t="s">
        <v>345</v>
      </c>
      <c r="CP282" s="37" t="s">
        <v>345</v>
      </c>
      <c r="CQ282" s="37" t="s">
        <v>344</v>
      </c>
      <c r="CR282" s="37" t="s">
        <v>667</v>
      </c>
      <c r="CS282" s="37">
        <v>100</v>
      </c>
      <c r="CT282" s="37">
        <v>100</v>
      </c>
      <c r="CU282" s="37"/>
      <c r="CV282" s="37"/>
      <c r="CW282" s="37" t="s">
        <v>364</v>
      </c>
      <c r="CX282" s="37" t="s">
        <v>395</v>
      </c>
      <c r="CY282" s="37" t="s">
        <v>364</v>
      </c>
      <c r="CZ282" s="37" t="s">
        <v>717</v>
      </c>
      <c r="DA282" s="37" t="s">
        <v>397</v>
      </c>
      <c r="DB282" s="37" t="s">
        <v>397</v>
      </c>
      <c r="DC282" s="37" t="s">
        <v>397</v>
      </c>
      <c r="DD282" s="37" t="s">
        <v>365</v>
      </c>
      <c r="DE282" s="37"/>
      <c r="DF282" s="37"/>
      <c r="DG282" s="37"/>
      <c r="DH282" s="37"/>
      <c r="DI282" s="37"/>
      <c r="DJ282" s="37" t="s">
        <v>1537</v>
      </c>
      <c r="DK282" s="37" t="s">
        <v>344</v>
      </c>
      <c r="DL282" s="37" t="s">
        <v>368</v>
      </c>
      <c r="DM282" s="37" t="s">
        <v>368</v>
      </c>
      <c r="DN282" s="37" t="s">
        <v>368</v>
      </c>
      <c r="DO282" s="37" t="s">
        <v>368</v>
      </c>
      <c r="DP282" s="37" t="s">
        <v>368</v>
      </c>
      <c r="DQ282" s="37" t="s">
        <v>368</v>
      </c>
      <c r="DR282" s="37" t="s">
        <v>368</v>
      </c>
      <c r="DS282" s="37" t="s">
        <v>345</v>
      </c>
      <c r="DT282" s="37" t="s">
        <v>345</v>
      </c>
      <c r="DU282" s="37" t="s">
        <v>345</v>
      </c>
      <c r="DV282" s="37" t="s">
        <v>345</v>
      </c>
      <c r="DW282" s="37" t="s">
        <v>344</v>
      </c>
      <c r="DX282" s="37" t="s">
        <v>1258</v>
      </c>
      <c r="DY282" s="37" t="s">
        <v>1258</v>
      </c>
      <c r="DZ282" s="37" t="s">
        <v>1258</v>
      </c>
      <c r="EA282" s="37" t="s">
        <v>1258</v>
      </c>
      <c r="EB282" s="37" t="s">
        <v>1258</v>
      </c>
      <c r="EC282" s="37" t="s">
        <v>1258</v>
      </c>
      <c r="ED282" s="37" t="s">
        <v>1258</v>
      </c>
      <c r="EE282" s="37" t="s">
        <v>1273</v>
      </c>
      <c r="EF282" s="37" t="s">
        <v>397</v>
      </c>
      <c r="EG282" s="37" t="s">
        <v>397</v>
      </c>
      <c r="EH282" s="37" t="s">
        <v>1273</v>
      </c>
      <c r="EI282" s="37" t="s">
        <v>1273</v>
      </c>
      <c r="EJ282" s="37" t="s">
        <v>1273</v>
      </c>
      <c r="EK282" s="37" t="s">
        <v>1273</v>
      </c>
      <c r="EL282" s="37" t="s">
        <v>1276</v>
      </c>
      <c r="EM282" s="37" t="s">
        <v>1275</v>
      </c>
      <c r="EN282" s="37" t="s">
        <v>1260</v>
      </c>
      <c r="EO282" s="37"/>
      <c r="EP282" s="37"/>
      <c r="EQ282" s="37" t="s">
        <v>1263</v>
      </c>
      <c r="ER282" s="37" t="s">
        <v>1263</v>
      </c>
      <c r="ES282" s="37" t="s">
        <v>1264</v>
      </c>
      <c r="ET282" s="37" t="s">
        <v>1263</v>
      </c>
      <c r="EU282" s="37" t="s">
        <v>1264</v>
      </c>
      <c r="EV282" s="37" t="s">
        <v>1265</v>
      </c>
      <c r="EW282" s="37"/>
      <c r="EX282" s="37" t="s">
        <v>368</v>
      </c>
      <c r="EY282" s="37" t="s">
        <v>368</v>
      </c>
      <c r="EZ282" s="37" t="s">
        <v>368</v>
      </c>
      <c r="FA282" s="37" t="s">
        <v>345</v>
      </c>
      <c r="FB282" s="37" t="s">
        <v>1266</v>
      </c>
      <c r="FC282" s="37"/>
      <c r="FD282" s="37" t="s">
        <v>1266</v>
      </c>
      <c r="FE282" s="37"/>
      <c r="FF282" s="37" t="s">
        <v>1322</v>
      </c>
      <c r="FG282" s="37" t="s">
        <v>1292</v>
      </c>
      <c r="FH282" s="37" t="s">
        <v>1301</v>
      </c>
      <c r="FI282" s="37" t="s">
        <v>1294</v>
      </c>
      <c r="FJ282" s="37"/>
      <c r="FK282" s="37"/>
      <c r="FL282" s="37"/>
      <c r="FM282" s="37"/>
      <c r="FN282" s="37"/>
      <c r="FO282" s="37"/>
      <c r="FP282" s="37"/>
      <c r="FQ282" s="37"/>
      <c r="FR282" s="37"/>
      <c r="FS282" s="37"/>
      <c r="FT282" s="37"/>
      <c r="FU282" s="37"/>
      <c r="FV282" s="37"/>
      <c r="FW282" s="37"/>
      <c r="FX282" s="37"/>
      <c r="FY282" s="37"/>
      <c r="FZ282" s="37"/>
      <c r="GA282" s="37" t="s">
        <v>368</v>
      </c>
      <c r="GB282" s="37" t="s">
        <v>368</v>
      </c>
      <c r="GC282" s="37" t="s">
        <v>368</v>
      </c>
      <c r="GD282" s="37" t="s">
        <v>368</v>
      </c>
      <c r="GE282" s="37" t="s">
        <v>368</v>
      </c>
      <c r="GF282" s="37" t="s">
        <v>368</v>
      </c>
      <c r="GG282" s="37"/>
      <c r="GH282" s="37"/>
      <c r="GI282" s="37"/>
      <c r="GJ282" s="37"/>
      <c r="GK282" s="37"/>
      <c r="GL282" s="37" t="s">
        <v>344</v>
      </c>
      <c r="GM282" s="37" t="s">
        <v>344</v>
      </c>
      <c r="GN282" s="37" t="s">
        <v>344</v>
      </c>
      <c r="GO282" s="37" t="s">
        <v>344</v>
      </c>
      <c r="GP282" s="37" t="s">
        <v>344</v>
      </c>
      <c r="GQ282" s="37" t="s">
        <v>344</v>
      </c>
      <c r="GR282" s="37" t="s">
        <v>344</v>
      </c>
      <c r="GS282" s="37" t="s">
        <v>344</v>
      </c>
      <c r="GT282" s="37" t="s">
        <v>345</v>
      </c>
      <c r="GU282" s="37" t="s">
        <v>344</v>
      </c>
      <c r="GV282" s="37" t="s">
        <v>345</v>
      </c>
      <c r="GW282" s="37" t="s">
        <v>345</v>
      </c>
      <c r="GX282" s="37" t="s">
        <v>344</v>
      </c>
      <c r="GY282" s="37" t="s">
        <v>344</v>
      </c>
      <c r="GZ282" s="37" t="s">
        <v>344</v>
      </c>
      <c r="HA282" s="37" t="s">
        <v>344</v>
      </c>
      <c r="HB282" s="37"/>
      <c r="HC282" s="37" t="s">
        <v>344</v>
      </c>
      <c r="HD282" s="37"/>
      <c r="HE282" s="37" t="s">
        <v>344</v>
      </c>
      <c r="HF282" s="37"/>
      <c r="HG282" s="37" t="s">
        <v>344</v>
      </c>
      <c r="HH282" s="37"/>
      <c r="HI282" s="37" t="s">
        <v>344</v>
      </c>
      <c r="HJ282" s="37"/>
      <c r="HK282" s="37" t="s">
        <v>344</v>
      </c>
      <c r="HL282" s="37" t="s">
        <v>344</v>
      </c>
      <c r="HM282" s="37" t="s">
        <v>344</v>
      </c>
      <c r="HN282" s="37" t="s">
        <v>344</v>
      </c>
      <c r="HO282" s="37" t="s">
        <v>344</v>
      </c>
      <c r="HP282" s="37" t="s">
        <v>344</v>
      </c>
      <c r="HQ282" s="37" t="s">
        <v>344</v>
      </c>
      <c r="HR282" s="37" t="s">
        <v>344</v>
      </c>
      <c r="HS282" s="37" t="s">
        <v>344</v>
      </c>
      <c r="HT282" s="37" t="s">
        <v>344</v>
      </c>
      <c r="HU282" s="37" t="s">
        <v>344</v>
      </c>
      <c r="HV282" s="37" t="s">
        <v>344</v>
      </c>
      <c r="HW282" s="37" t="s">
        <v>345</v>
      </c>
      <c r="HX282" s="37" t="s">
        <v>344</v>
      </c>
      <c r="HY282" s="37" t="s">
        <v>344</v>
      </c>
      <c r="HZ282" s="37" t="s">
        <v>344</v>
      </c>
      <c r="IA282" s="37" t="s">
        <v>344</v>
      </c>
      <c r="IB282" s="37" t="s">
        <v>344</v>
      </c>
      <c r="IC282" s="37" t="s">
        <v>344</v>
      </c>
      <c r="ID282" s="37"/>
      <c r="IE282" s="37" t="s">
        <v>344</v>
      </c>
      <c r="IF282" s="37"/>
      <c r="IG282" s="37" t="s">
        <v>344</v>
      </c>
      <c r="IH282" s="37"/>
      <c r="II282" s="37" t="s">
        <v>344</v>
      </c>
      <c r="IJ282" s="37"/>
      <c r="IK282" s="37" t="s">
        <v>344</v>
      </c>
      <c r="IL282" s="37"/>
      <c r="IM282" s="37" t="s">
        <v>345</v>
      </c>
      <c r="IN282" s="37" t="s">
        <v>345</v>
      </c>
      <c r="IO282" s="37" t="s">
        <v>345</v>
      </c>
      <c r="IP282" s="37" t="s">
        <v>344</v>
      </c>
      <c r="IQ282" s="37" t="s">
        <v>345</v>
      </c>
      <c r="IR282" s="37" t="s">
        <v>344</v>
      </c>
      <c r="IS282" s="37" t="s">
        <v>344</v>
      </c>
      <c r="IT282" s="37" t="s">
        <v>345</v>
      </c>
      <c r="IU282" s="37" t="s">
        <v>345</v>
      </c>
      <c r="IV282" s="37" t="s">
        <v>344</v>
      </c>
      <c r="IW282" s="37" t="s">
        <v>344</v>
      </c>
      <c r="IX282" s="37" t="s">
        <v>344</v>
      </c>
      <c r="IY282" s="37" t="s">
        <v>345</v>
      </c>
      <c r="IZ282" s="37" t="s">
        <v>344</v>
      </c>
      <c r="JA282" s="37"/>
      <c r="JB282" s="37" t="s">
        <v>1538</v>
      </c>
    </row>
    <row r="283" spans="1:262" x14ac:dyDescent="0.3">
      <c r="A283" s="36" t="s">
        <v>338</v>
      </c>
      <c r="B283" s="37">
        <v>251</v>
      </c>
      <c r="C283" s="37" t="s">
        <v>1539</v>
      </c>
      <c r="D283" s="37">
        <v>14</v>
      </c>
      <c r="E283" s="37" t="s">
        <v>387</v>
      </c>
      <c r="F283" s="37">
        <v>788481933</v>
      </c>
      <c r="G283" s="37" t="s">
        <v>1536</v>
      </c>
      <c r="H283" s="37" t="s">
        <v>1539</v>
      </c>
      <c r="I283" s="37" t="s">
        <v>1486</v>
      </c>
      <c r="J283" s="37">
        <v>17</v>
      </c>
      <c r="K283" s="37" t="s">
        <v>1282</v>
      </c>
      <c r="L283" s="37"/>
      <c r="M283" s="37" t="s">
        <v>345</v>
      </c>
      <c r="N283" s="37" t="s">
        <v>344</v>
      </c>
      <c r="O283" s="37" t="s">
        <v>344</v>
      </c>
      <c r="P283" s="37" t="s">
        <v>344</v>
      </c>
      <c r="Q283" s="37" t="s">
        <v>344</v>
      </c>
      <c r="R283" s="37"/>
      <c r="S283" s="37" t="s">
        <v>1487</v>
      </c>
      <c r="T283" s="37"/>
      <c r="U283" s="37" t="s">
        <v>1457</v>
      </c>
      <c r="V283" s="37"/>
      <c r="W283" s="37" t="s">
        <v>344</v>
      </c>
      <c r="X283" s="37" t="s">
        <v>345</v>
      </c>
      <c r="Y283" s="37" t="s">
        <v>344</v>
      </c>
      <c r="Z283" s="37" t="s">
        <v>344</v>
      </c>
      <c r="AA283" s="37" t="s">
        <v>344</v>
      </c>
      <c r="AB283" s="37" t="s">
        <v>345</v>
      </c>
      <c r="AC283" s="37" t="s">
        <v>344</v>
      </c>
      <c r="AD283" s="37" t="s">
        <v>344</v>
      </c>
      <c r="AE283" s="37" t="s">
        <v>345</v>
      </c>
      <c r="AF283" s="37" t="s">
        <v>344</v>
      </c>
      <c r="AG283" s="37" t="s">
        <v>344</v>
      </c>
      <c r="AH283" s="37" t="s">
        <v>344</v>
      </c>
      <c r="AI283" s="37" t="s">
        <v>344</v>
      </c>
      <c r="AJ283" s="37" t="s">
        <v>344</v>
      </c>
      <c r="AK283" s="37" t="s">
        <v>345</v>
      </c>
      <c r="AL283" s="37" t="s">
        <v>344</v>
      </c>
      <c r="AM283" s="37" t="s">
        <v>344</v>
      </c>
      <c r="AN283" s="37" t="s">
        <v>344</v>
      </c>
      <c r="AO283" s="37" t="s">
        <v>344</v>
      </c>
      <c r="AP283" s="37" t="s">
        <v>344</v>
      </c>
      <c r="AQ283" s="37" t="s">
        <v>344</v>
      </c>
      <c r="AR283" s="37" t="s">
        <v>344</v>
      </c>
      <c r="AS283" s="37" t="s">
        <v>344</v>
      </c>
      <c r="AT283" s="37" t="s">
        <v>344</v>
      </c>
      <c r="AU283" s="37" t="s">
        <v>345</v>
      </c>
      <c r="AV283" s="37" t="s">
        <v>344</v>
      </c>
      <c r="AW283" s="37" t="s">
        <v>344</v>
      </c>
      <c r="AX283" s="37" t="s">
        <v>344</v>
      </c>
      <c r="AY283" s="37" t="s">
        <v>731</v>
      </c>
      <c r="AZ283" s="37" t="s">
        <v>733</v>
      </c>
      <c r="BA283" s="37" t="s">
        <v>391</v>
      </c>
      <c r="BB283" s="37" t="s">
        <v>731</v>
      </c>
      <c r="BC283" s="37" t="s">
        <v>731</v>
      </c>
      <c r="BD283" s="37" t="s">
        <v>732</v>
      </c>
      <c r="BE283" s="37" t="s">
        <v>390</v>
      </c>
      <c r="BF283" s="37" t="s">
        <v>349</v>
      </c>
      <c r="BG283" s="37" t="s">
        <v>349</v>
      </c>
      <c r="BH283" s="37" t="s">
        <v>390</v>
      </c>
      <c r="BI283" s="37" t="s">
        <v>350</v>
      </c>
      <c r="BJ283" s="37" t="s">
        <v>353</v>
      </c>
      <c r="BK283" s="37" t="s">
        <v>391</v>
      </c>
      <c r="BL283" s="37" t="s">
        <v>356</v>
      </c>
      <c r="BM283" s="37" t="s">
        <v>354</v>
      </c>
      <c r="BN283" s="37" t="s">
        <v>353</v>
      </c>
      <c r="BO283" s="37" t="s">
        <v>354</v>
      </c>
      <c r="BP283" s="37" t="s">
        <v>356</v>
      </c>
      <c r="BQ283" s="37" t="s">
        <v>419</v>
      </c>
      <c r="BR283" s="37" t="s">
        <v>1257</v>
      </c>
      <c r="BS283" s="37" t="s">
        <v>355</v>
      </c>
      <c r="BT283" s="37" t="s">
        <v>352</v>
      </c>
      <c r="BU283" s="37" t="s">
        <v>352</v>
      </c>
      <c r="BV283" s="37" t="s">
        <v>357</v>
      </c>
      <c r="BW283" s="37" t="s">
        <v>351</v>
      </c>
      <c r="BX283" s="37" t="s">
        <v>351</v>
      </c>
      <c r="BY283" s="37" t="s">
        <v>353</v>
      </c>
      <c r="BZ283" s="37" t="s">
        <v>357</v>
      </c>
      <c r="CA283" s="37" t="s">
        <v>357</v>
      </c>
      <c r="CB283" s="37" t="s">
        <v>355</v>
      </c>
      <c r="CC283" s="37" t="s">
        <v>391</v>
      </c>
      <c r="CD283" s="37" t="s">
        <v>391</v>
      </c>
      <c r="CE283" s="37" t="s">
        <v>391</v>
      </c>
      <c r="CF283" s="37" t="s">
        <v>357</v>
      </c>
      <c r="CG283" s="37" t="s">
        <v>421</v>
      </c>
      <c r="CH283" s="37" t="s">
        <v>421</v>
      </c>
      <c r="CI283" s="37" t="s">
        <v>421</v>
      </c>
      <c r="CJ283" s="37" t="s">
        <v>393</v>
      </c>
      <c r="CK283" s="37" t="s">
        <v>1540</v>
      </c>
      <c r="CL283" s="37" t="s">
        <v>344</v>
      </c>
      <c r="CM283" s="37" t="s">
        <v>344</v>
      </c>
      <c r="CN283" s="37" t="s">
        <v>345</v>
      </c>
      <c r="CO283" s="37" t="s">
        <v>345</v>
      </c>
      <c r="CP283" s="37" t="s">
        <v>345</v>
      </c>
      <c r="CQ283" s="37" t="s">
        <v>344</v>
      </c>
      <c r="CR283" s="37" t="s">
        <v>655</v>
      </c>
      <c r="CS283" s="37">
        <v>14</v>
      </c>
      <c r="CT283" s="37">
        <v>100</v>
      </c>
      <c r="CU283" s="37"/>
      <c r="CV283" s="37"/>
      <c r="CW283" s="37" t="s">
        <v>363</v>
      </c>
      <c r="CX283" s="37" t="s">
        <v>396</v>
      </c>
      <c r="CY283" s="37" t="s">
        <v>364</v>
      </c>
      <c r="CZ283" s="37" t="s">
        <v>717</v>
      </c>
      <c r="DA283" s="37" t="s">
        <v>717</v>
      </c>
      <c r="DB283" s="37" t="s">
        <v>717</v>
      </c>
      <c r="DC283" s="37" t="s">
        <v>717</v>
      </c>
      <c r="DD283" s="37" t="s">
        <v>717</v>
      </c>
      <c r="DE283" s="37"/>
      <c r="DF283" s="37"/>
      <c r="DG283" s="37"/>
      <c r="DH283" s="37"/>
      <c r="DI283" s="37"/>
      <c r="DJ283" s="37"/>
      <c r="DK283" s="37" t="s">
        <v>1357</v>
      </c>
      <c r="DL283" s="37" t="s">
        <v>368</v>
      </c>
      <c r="DM283" s="37" t="s">
        <v>368</v>
      </c>
      <c r="DN283" s="37" t="s">
        <v>368</v>
      </c>
      <c r="DO283" s="37" t="s">
        <v>345</v>
      </c>
      <c r="DP283" s="37" t="s">
        <v>368</v>
      </c>
      <c r="DQ283" s="37" t="s">
        <v>368</v>
      </c>
      <c r="DR283" s="37" t="s">
        <v>368</v>
      </c>
      <c r="DS283" s="37" t="s">
        <v>345</v>
      </c>
      <c r="DT283" s="37" t="s">
        <v>345</v>
      </c>
      <c r="DU283" s="37" t="s">
        <v>345</v>
      </c>
      <c r="DV283" s="37" t="s">
        <v>344</v>
      </c>
      <c r="DW283" s="37" t="s">
        <v>344</v>
      </c>
      <c r="DX283" s="37" t="s">
        <v>1258</v>
      </c>
      <c r="DY283" s="37" t="s">
        <v>1258</v>
      </c>
      <c r="DZ283" s="37" t="s">
        <v>1258</v>
      </c>
      <c r="EA283" s="37" t="s">
        <v>1258</v>
      </c>
      <c r="EB283" s="37" t="s">
        <v>1258</v>
      </c>
      <c r="EC283" s="37" t="s">
        <v>1258</v>
      </c>
      <c r="ED283" s="37" t="s">
        <v>1258</v>
      </c>
      <c r="EE283" s="37" t="s">
        <v>397</v>
      </c>
      <c r="EF283" s="37" t="s">
        <v>397</v>
      </c>
      <c r="EG283" s="37" t="s">
        <v>397</v>
      </c>
      <c r="EH283" s="37" t="s">
        <v>397</v>
      </c>
      <c r="EI283" s="37" t="s">
        <v>397</v>
      </c>
      <c r="EJ283" s="37" t="s">
        <v>397</v>
      </c>
      <c r="EK283" s="37" t="s">
        <v>397</v>
      </c>
      <c r="EL283" s="37" t="s">
        <v>1276</v>
      </c>
      <c r="EM283" s="37" t="s">
        <v>1275</v>
      </c>
      <c r="EN283" s="37" t="s">
        <v>1261</v>
      </c>
      <c r="EO283" s="37"/>
      <c r="EP283" s="37"/>
      <c r="EQ283" s="37" t="s">
        <v>1263</v>
      </c>
      <c r="ER283" s="37" t="s">
        <v>1263</v>
      </c>
      <c r="ES283" s="37" t="s">
        <v>1264</v>
      </c>
      <c r="ET283" s="37" t="s">
        <v>717</v>
      </c>
      <c r="EU283" s="37" t="s">
        <v>717</v>
      </c>
      <c r="EV283" s="37" t="s">
        <v>1265</v>
      </c>
      <c r="EW283" s="37"/>
      <c r="EX283" s="37" t="s">
        <v>368</v>
      </c>
      <c r="EY283" s="37" t="s">
        <v>368</v>
      </c>
      <c r="EZ283" s="37" t="s">
        <v>368</v>
      </c>
      <c r="FA283" s="37" t="s">
        <v>345</v>
      </c>
      <c r="FB283" s="37" t="s">
        <v>1266</v>
      </c>
      <c r="FC283" s="37"/>
      <c r="FD283" s="37" t="s">
        <v>1266</v>
      </c>
      <c r="FE283" s="37"/>
      <c r="FF283" s="37" t="s">
        <v>431</v>
      </c>
      <c r="FG283" s="37" t="s">
        <v>402</v>
      </c>
      <c r="FH283" s="37" t="s">
        <v>1293</v>
      </c>
      <c r="FI283" s="37" t="s">
        <v>1286</v>
      </c>
      <c r="FJ283" s="37"/>
      <c r="FK283" s="37"/>
      <c r="FL283" s="37"/>
      <c r="FM283" s="37"/>
      <c r="FN283" s="37"/>
      <c r="FO283" s="37"/>
      <c r="FP283" s="37"/>
      <c r="FQ283" s="37"/>
      <c r="FR283" s="37"/>
      <c r="FS283" s="37"/>
      <c r="FT283" s="37"/>
      <c r="FU283" s="37"/>
      <c r="FV283" s="37"/>
      <c r="FW283" s="37"/>
      <c r="FX283" s="37"/>
      <c r="FY283" s="37"/>
      <c r="FZ283" s="37"/>
      <c r="GA283" s="37" t="s">
        <v>368</v>
      </c>
      <c r="GB283" s="37" t="s">
        <v>368</v>
      </c>
      <c r="GC283" s="37" t="s">
        <v>368</v>
      </c>
      <c r="GD283" s="37" t="s">
        <v>368</v>
      </c>
      <c r="GE283" s="37" t="s">
        <v>368</v>
      </c>
      <c r="GF283" s="37" t="s">
        <v>368</v>
      </c>
      <c r="GG283" s="37"/>
      <c r="GH283" s="37"/>
      <c r="GI283" s="37"/>
      <c r="GJ283" s="37"/>
      <c r="GK283" s="37"/>
      <c r="GL283" s="37" t="s">
        <v>344</v>
      </c>
      <c r="GM283" s="37" t="s">
        <v>344</v>
      </c>
      <c r="GN283" s="37" t="s">
        <v>344</v>
      </c>
      <c r="GO283" s="37" t="s">
        <v>345</v>
      </c>
      <c r="GP283" s="37" t="s">
        <v>344</v>
      </c>
      <c r="GQ283" s="37" t="s">
        <v>344</v>
      </c>
      <c r="GR283" s="37" t="s">
        <v>344</v>
      </c>
      <c r="GS283" s="37" t="s">
        <v>344</v>
      </c>
      <c r="GT283" s="37" t="s">
        <v>345</v>
      </c>
      <c r="GU283" s="37" t="s">
        <v>344</v>
      </c>
      <c r="GV283" s="37" t="s">
        <v>344</v>
      </c>
      <c r="GW283" s="37" t="s">
        <v>345</v>
      </c>
      <c r="GX283" s="37" t="s">
        <v>344</v>
      </c>
      <c r="GY283" s="37" t="s">
        <v>344</v>
      </c>
      <c r="GZ283" s="37" t="s">
        <v>344</v>
      </c>
      <c r="HA283" s="37" t="s">
        <v>344</v>
      </c>
      <c r="HB283" s="37"/>
      <c r="HC283" s="37" t="s">
        <v>344</v>
      </c>
      <c r="HD283" s="37"/>
      <c r="HE283" s="37" t="s">
        <v>344</v>
      </c>
      <c r="HF283" s="37"/>
      <c r="HG283" s="37" t="s">
        <v>344</v>
      </c>
      <c r="HH283" s="37"/>
      <c r="HI283" s="37" t="s">
        <v>344</v>
      </c>
      <c r="HJ283" s="37"/>
      <c r="HK283" s="37" t="s">
        <v>344</v>
      </c>
      <c r="HL283" s="37" t="s">
        <v>344</v>
      </c>
      <c r="HM283" s="37" t="s">
        <v>344</v>
      </c>
      <c r="HN283" s="37" t="s">
        <v>344</v>
      </c>
      <c r="HO283" s="37" t="s">
        <v>344</v>
      </c>
      <c r="HP283" s="37" t="s">
        <v>344</v>
      </c>
      <c r="HQ283" s="37" t="s">
        <v>344</v>
      </c>
      <c r="HR283" s="37" t="s">
        <v>344</v>
      </c>
      <c r="HS283" s="37" t="s">
        <v>344</v>
      </c>
      <c r="HT283" s="37" t="s">
        <v>344</v>
      </c>
      <c r="HU283" s="37" t="s">
        <v>344</v>
      </c>
      <c r="HV283" s="37" t="s">
        <v>344</v>
      </c>
      <c r="HW283" s="37" t="s">
        <v>344</v>
      </c>
      <c r="HX283" s="37" t="s">
        <v>344</v>
      </c>
      <c r="HY283" s="37" t="s">
        <v>344</v>
      </c>
      <c r="HZ283" s="37" t="s">
        <v>344</v>
      </c>
      <c r="IA283" s="37" t="s">
        <v>344</v>
      </c>
      <c r="IB283" s="37" t="s">
        <v>344</v>
      </c>
      <c r="IC283" s="37" t="s">
        <v>345</v>
      </c>
      <c r="ID283" s="37"/>
      <c r="IE283" s="37" t="s">
        <v>344</v>
      </c>
      <c r="IF283" s="37"/>
      <c r="IG283" s="37" t="s">
        <v>344</v>
      </c>
      <c r="IH283" s="37"/>
      <c r="II283" s="37" t="s">
        <v>344</v>
      </c>
      <c r="IJ283" s="37"/>
      <c r="IK283" s="37" t="s">
        <v>344</v>
      </c>
      <c r="IL283" s="37"/>
      <c r="IM283" s="37" t="s">
        <v>345</v>
      </c>
      <c r="IN283" s="37" t="s">
        <v>345</v>
      </c>
      <c r="IO283" s="37" t="s">
        <v>344</v>
      </c>
      <c r="IP283" s="37" t="s">
        <v>344</v>
      </c>
      <c r="IQ283" s="37" t="s">
        <v>344</v>
      </c>
      <c r="IR283" s="37" t="s">
        <v>344</v>
      </c>
      <c r="IS283" s="37" t="s">
        <v>344</v>
      </c>
      <c r="IT283" s="37" t="s">
        <v>345</v>
      </c>
      <c r="IU283" s="37" t="s">
        <v>344</v>
      </c>
      <c r="IV283" s="37" t="s">
        <v>344</v>
      </c>
      <c r="IW283" s="37" t="s">
        <v>344</v>
      </c>
      <c r="IX283" s="37" t="s">
        <v>344</v>
      </c>
      <c r="IY283" s="37" t="s">
        <v>345</v>
      </c>
      <c r="IZ283" s="37" t="s">
        <v>344</v>
      </c>
      <c r="JA283" s="37"/>
      <c r="JB283" s="37"/>
    </row>
    <row r="284" spans="1:262" x14ac:dyDescent="0.3">
      <c r="A284" s="36" t="s">
        <v>338</v>
      </c>
      <c r="B284" s="37">
        <v>252</v>
      </c>
      <c r="C284" s="37" t="s">
        <v>1541</v>
      </c>
      <c r="D284" s="37">
        <v>14</v>
      </c>
      <c r="E284" s="37" t="s">
        <v>387</v>
      </c>
      <c r="F284" s="37">
        <v>1309464436</v>
      </c>
      <c r="G284" s="37" t="s">
        <v>1542</v>
      </c>
      <c r="H284" s="37" t="s">
        <v>1541</v>
      </c>
      <c r="I284" s="37" t="s">
        <v>1486</v>
      </c>
      <c r="J284" s="37">
        <v>18</v>
      </c>
      <c r="K284" s="37" t="s">
        <v>1255</v>
      </c>
      <c r="L284" s="37"/>
      <c r="M284" s="37" t="s">
        <v>345</v>
      </c>
      <c r="N284" s="37" t="s">
        <v>344</v>
      </c>
      <c r="O284" s="37" t="s">
        <v>344</v>
      </c>
      <c r="P284" s="37" t="s">
        <v>344</v>
      </c>
      <c r="Q284" s="37" t="s">
        <v>344</v>
      </c>
      <c r="R284" s="37"/>
      <c r="S284" s="37" t="s">
        <v>1487</v>
      </c>
      <c r="T284" s="37"/>
      <c r="U284" s="37" t="s">
        <v>1256</v>
      </c>
      <c r="V284" s="37"/>
      <c r="W284" s="37" t="s">
        <v>345</v>
      </c>
      <c r="X284" s="37" t="s">
        <v>345</v>
      </c>
      <c r="Y284" s="37" t="s">
        <v>344</v>
      </c>
      <c r="Z284" s="37" t="s">
        <v>344</v>
      </c>
      <c r="AA284" s="37" t="s">
        <v>344</v>
      </c>
      <c r="AB284" s="37" t="s">
        <v>344</v>
      </c>
      <c r="AC284" s="37" t="s">
        <v>344</v>
      </c>
      <c r="AD284" s="37" t="s">
        <v>344</v>
      </c>
      <c r="AE284" s="37" t="s">
        <v>345</v>
      </c>
      <c r="AF284" s="37" t="s">
        <v>344</v>
      </c>
      <c r="AG284" s="37" t="s">
        <v>344</v>
      </c>
      <c r="AH284" s="37" t="s">
        <v>344</v>
      </c>
      <c r="AI284" s="37" t="s">
        <v>345</v>
      </c>
      <c r="AJ284" s="37" t="s">
        <v>344</v>
      </c>
      <c r="AK284" s="37" t="s">
        <v>345</v>
      </c>
      <c r="AL284" s="37" t="s">
        <v>344</v>
      </c>
      <c r="AM284" s="37" t="s">
        <v>345</v>
      </c>
      <c r="AN284" s="37" t="s">
        <v>344</v>
      </c>
      <c r="AO284" s="37" t="s">
        <v>344</v>
      </c>
      <c r="AP284" s="37" t="s">
        <v>345</v>
      </c>
      <c r="AQ284" s="37" t="s">
        <v>344</v>
      </c>
      <c r="AR284" s="37" t="s">
        <v>345</v>
      </c>
      <c r="AS284" s="37" t="s">
        <v>344</v>
      </c>
      <c r="AT284" s="37" t="s">
        <v>344</v>
      </c>
      <c r="AU284" s="37" t="s">
        <v>345</v>
      </c>
      <c r="AV284" s="37" t="s">
        <v>345</v>
      </c>
      <c r="AW284" s="37" t="s">
        <v>344</v>
      </c>
      <c r="AX284" s="37" t="s">
        <v>344</v>
      </c>
      <c r="AY284" s="37" t="s">
        <v>391</v>
      </c>
      <c r="AZ284" s="37" t="s">
        <v>732</v>
      </c>
      <c r="BA284" s="37" t="s">
        <v>733</v>
      </c>
      <c r="BB284" s="37" t="s">
        <v>732</v>
      </c>
      <c r="BC284" s="37" t="s">
        <v>733</v>
      </c>
      <c r="BD284" s="37" t="s">
        <v>731</v>
      </c>
      <c r="BE284" s="37" t="s">
        <v>390</v>
      </c>
      <c r="BF284" s="37" t="s">
        <v>349</v>
      </c>
      <c r="BG284" s="37" t="s">
        <v>390</v>
      </c>
      <c r="BH284" s="37" t="s">
        <v>390</v>
      </c>
      <c r="BI284" s="37" t="s">
        <v>390</v>
      </c>
      <c r="BJ284" s="37" t="s">
        <v>391</v>
      </c>
      <c r="BK284" s="37" t="s">
        <v>391</v>
      </c>
      <c r="BL284" s="37" t="s">
        <v>391</v>
      </c>
      <c r="BM284" s="37" t="s">
        <v>391</v>
      </c>
      <c r="BN284" s="37" t="s">
        <v>391</v>
      </c>
      <c r="BO284" s="37" t="s">
        <v>391</v>
      </c>
      <c r="BP284" s="37" t="s">
        <v>391</v>
      </c>
      <c r="BQ284" s="37" t="s">
        <v>455</v>
      </c>
      <c r="BR284" s="37" t="s">
        <v>1257</v>
      </c>
      <c r="BS284" s="37" t="s">
        <v>391</v>
      </c>
      <c r="BT284" s="37" t="s">
        <v>391</v>
      </c>
      <c r="BU284" s="37" t="s">
        <v>391</v>
      </c>
      <c r="BV284" s="37" t="s">
        <v>391</v>
      </c>
      <c r="BW284" s="37" t="s">
        <v>391</v>
      </c>
      <c r="BX284" s="37" t="s">
        <v>391</v>
      </c>
      <c r="BY284" s="37" t="s">
        <v>391</v>
      </c>
      <c r="BZ284" s="37" t="s">
        <v>391</v>
      </c>
      <c r="CA284" s="37" t="s">
        <v>391</v>
      </c>
      <c r="CB284" s="37" t="s">
        <v>391</v>
      </c>
      <c r="CC284" s="37" t="s">
        <v>391</v>
      </c>
      <c r="CD284" s="37" t="s">
        <v>391</v>
      </c>
      <c r="CE284" s="37" t="s">
        <v>391</v>
      </c>
      <c r="CF284" s="37" t="s">
        <v>391</v>
      </c>
      <c r="CG284" s="37" t="s">
        <v>392</v>
      </c>
      <c r="CH284" s="37" t="s">
        <v>420</v>
      </c>
      <c r="CI284" s="37" t="s">
        <v>360</v>
      </c>
      <c r="CJ284" s="37" t="s">
        <v>392</v>
      </c>
      <c r="CK284" s="37" t="s">
        <v>1543</v>
      </c>
      <c r="CL284" s="37" t="s">
        <v>344</v>
      </c>
      <c r="CM284" s="37" t="s">
        <v>345</v>
      </c>
      <c r="CN284" s="37" t="s">
        <v>344</v>
      </c>
      <c r="CO284" s="37" t="s">
        <v>344</v>
      </c>
      <c r="CP284" s="37" t="s">
        <v>345</v>
      </c>
      <c r="CQ284" s="37" t="s">
        <v>344</v>
      </c>
      <c r="CR284" s="37" t="s">
        <v>655</v>
      </c>
      <c r="CS284" s="37">
        <v>70</v>
      </c>
      <c r="CT284" s="37">
        <v>76</v>
      </c>
      <c r="CU284" s="37"/>
      <c r="CV284" s="37"/>
      <c r="CW284" s="37" t="s">
        <v>395</v>
      </c>
      <c r="CX284" s="37" t="s">
        <v>396</v>
      </c>
      <c r="CY284" s="37" t="s">
        <v>395</v>
      </c>
      <c r="CZ284" s="37" t="s">
        <v>397</v>
      </c>
      <c r="DA284" s="37" t="s">
        <v>397</v>
      </c>
      <c r="DB284" s="37" t="s">
        <v>397</v>
      </c>
      <c r="DC284" s="37" t="s">
        <v>397</v>
      </c>
      <c r="DD284" s="37" t="s">
        <v>397</v>
      </c>
      <c r="DE284" s="37"/>
      <c r="DF284" s="37"/>
      <c r="DG284" s="37"/>
      <c r="DH284" s="37"/>
      <c r="DI284" s="37"/>
      <c r="DJ284" s="37"/>
      <c r="DK284" s="37" t="s">
        <v>344</v>
      </c>
      <c r="DL284" s="37" t="s">
        <v>368</v>
      </c>
      <c r="DM284" s="37" t="s">
        <v>368</v>
      </c>
      <c r="DN284" s="37" t="s">
        <v>368</v>
      </c>
      <c r="DO284" s="37" t="s">
        <v>368</v>
      </c>
      <c r="DP284" s="37" t="s">
        <v>345</v>
      </c>
      <c r="DQ284" s="37" t="s">
        <v>345</v>
      </c>
      <c r="DR284" s="37" t="s">
        <v>345</v>
      </c>
      <c r="DS284" s="37" t="s">
        <v>344</v>
      </c>
      <c r="DT284" s="37" t="s">
        <v>345</v>
      </c>
      <c r="DU284" s="37" t="s">
        <v>344</v>
      </c>
      <c r="DV284" s="37" t="s">
        <v>344</v>
      </c>
      <c r="DW284" s="37" t="s">
        <v>344</v>
      </c>
      <c r="DX284" s="37" t="s">
        <v>1258</v>
      </c>
      <c r="DY284" s="37" t="s">
        <v>1258</v>
      </c>
      <c r="DZ284" s="37" t="s">
        <v>1258</v>
      </c>
      <c r="EA284" s="37" t="s">
        <v>1258</v>
      </c>
      <c r="EB284" s="37" t="s">
        <v>1258</v>
      </c>
      <c r="EC284" s="37" t="s">
        <v>1258</v>
      </c>
      <c r="ED284" s="37" t="s">
        <v>1258</v>
      </c>
      <c r="EE284" s="37" t="s">
        <v>1273</v>
      </c>
      <c r="EF284" s="37" t="s">
        <v>1273</v>
      </c>
      <c r="EG284" s="37" t="s">
        <v>397</v>
      </c>
      <c r="EH284" s="37" t="s">
        <v>397</v>
      </c>
      <c r="EI284" s="37" t="s">
        <v>397</v>
      </c>
      <c r="EJ284" s="37" t="s">
        <v>1273</v>
      </c>
      <c r="EK284" s="37" t="s">
        <v>1273</v>
      </c>
      <c r="EL284" s="37" t="s">
        <v>1260</v>
      </c>
      <c r="EM284" s="37" t="s">
        <v>1276</v>
      </c>
      <c r="EN284" s="37" t="s">
        <v>1275</v>
      </c>
      <c r="EO284" s="37"/>
      <c r="EP284" s="37"/>
      <c r="EQ284" s="37" t="s">
        <v>1263</v>
      </c>
      <c r="ER284" s="37" t="s">
        <v>1264</v>
      </c>
      <c r="ES284" s="37" t="s">
        <v>1264</v>
      </c>
      <c r="ET284" s="37" t="s">
        <v>1263</v>
      </c>
      <c r="EU284" s="37" t="s">
        <v>1264</v>
      </c>
      <c r="EV284" s="37" t="s">
        <v>1265</v>
      </c>
      <c r="EW284" s="37"/>
      <c r="EX284" s="37" t="s">
        <v>368</v>
      </c>
      <c r="EY284" s="37" t="s">
        <v>368</v>
      </c>
      <c r="EZ284" s="37" t="s">
        <v>368</v>
      </c>
      <c r="FA284" s="37" t="s">
        <v>345</v>
      </c>
      <c r="FB284" s="37" t="s">
        <v>1266</v>
      </c>
      <c r="FC284" s="37"/>
      <c r="FD284" s="37" t="s">
        <v>1266</v>
      </c>
      <c r="FE284" s="37"/>
      <c r="FF284" s="37" t="s">
        <v>431</v>
      </c>
      <c r="FG284" s="37" t="s">
        <v>441</v>
      </c>
      <c r="FH284" s="37" t="s">
        <v>432</v>
      </c>
      <c r="FI284" s="37" t="s">
        <v>442</v>
      </c>
      <c r="FJ284" s="37"/>
      <c r="FK284" s="37"/>
      <c r="FL284" s="37"/>
      <c r="FM284" s="37"/>
      <c r="FN284" s="37"/>
      <c r="FO284" s="37"/>
      <c r="FP284" s="37"/>
      <c r="FQ284" s="37"/>
      <c r="FR284" s="37"/>
      <c r="FS284" s="37"/>
      <c r="FT284" s="37"/>
      <c r="FU284" s="37"/>
      <c r="FV284" s="37"/>
      <c r="FW284" s="37"/>
      <c r="FX284" s="37"/>
      <c r="FY284" s="37"/>
      <c r="FZ284" s="37"/>
      <c r="GA284" s="37" t="s">
        <v>368</v>
      </c>
      <c r="GB284" s="37" t="s">
        <v>368</v>
      </c>
      <c r="GC284" s="37" t="s">
        <v>368</v>
      </c>
      <c r="GD284" s="37" t="s">
        <v>368</v>
      </c>
      <c r="GE284" s="37" t="s">
        <v>368</v>
      </c>
      <c r="GF284" s="37" t="s">
        <v>368</v>
      </c>
      <c r="GG284" s="37"/>
      <c r="GH284" s="37"/>
      <c r="GI284" s="37"/>
      <c r="GJ284" s="37"/>
      <c r="GK284" s="37"/>
      <c r="GL284" s="37" t="s">
        <v>344</v>
      </c>
      <c r="GM284" s="37" t="s">
        <v>344</v>
      </c>
      <c r="GN284" s="37" t="s">
        <v>345</v>
      </c>
      <c r="GO284" s="37" t="s">
        <v>345</v>
      </c>
      <c r="GP284" s="37" t="s">
        <v>344</v>
      </c>
      <c r="GQ284" s="37" t="s">
        <v>344</v>
      </c>
      <c r="GR284" s="37" t="s">
        <v>344</v>
      </c>
      <c r="GS284" s="37" t="s">
        <v>344</v>
      </c>
      <c r="GT284" s="37" t="s">
        <v>345</v>
      </c>
      <c r="GU284" s="37" t="s">
        <v>344</v>
      </c>
      <c r="GV284" s="37" t="s">
        <v>345</v>
      </c>
      <c r="GW284" s="37" t="s">
        <v>345</v>
      </c>
      <c r="GX284" s="37" t="s">
        <v>344</v>
      </c>
      <c r="GY284" s="37" t="s">
        <v>344</v>
      </c>
      <c r="GZ284" s="37" t="s">
        <v>344</v>
      </c>
      <c r="HA284" s="37" t="s">
        <v>344</v>
      </c>
      <c r="HB284" s="37"/>
      <c r="HC284" s="37" t="s">
        <v>344</v>
      </c>
      <c r="HD284" s="37"/>
      <c r="HE284" s="37" t="s">
        <v>344</v>
      </c>
      <c r="HF284" s="37"/>
      <c r="HG284" s="37" t="s">
        <v>344</v>
      </c>
      <c r="HH284" s="37"/>
      <c r="HI284" s="37" t="s">
        <v>344</v>
      </c>
      <c r="HJ284" s="37"/>
      <c r="HK284" s="37" t="s">
        <v>344</v>
      </c>
      <c r="HL284" s="37" t="s">
        <v>344</v>
      </c>
      <c r="HM284" s="37" t="s">
        <v>344</v>
      </c>
      <c r="HN284" s="37" t="s">
        <v>345</v>
      </c>
      <c r="HO284" s="37" t="s">
        <v>344</v>
      </c>
      <c r="HP284" s="37" t="s">
        <v>344</v>
      </c>
      <c r="HQ284" s="37" t="s">
        <v>344</v>
      </c>
      <c r="HR284" s="37" t="s">
        <v>345</v>
      </c>
      <c r="HS284" s="37" t="s">
        <v>344</v>
      </c>
      <c r="HT284" s="37" t="s">
        <v>344</v>
      </c>
      <c r="HU284" s="37" t="s">
        <v>344</v>
      </c>
      <c r="HV284" s="37" t="s">
        <v>344</v>
      </c>
      <c r="HW284" s="37" t="s">
        <v>345</v>
      </c>
      <c r="HX284" s="37" t="s">
        <v>344</v>
      </c>
      <c r="HY284" s="37" t="s">
        <v>344</v>
      </c>
      <c r="HZ284" s="37" t="s">
        <v>344</v>
      </c>
      <c r="IA284" s="37" t="s">
        <v>344</v>
      </c>
      <c r="IB284" s="37" t="s">
        <v>344</v>
      </c>
      <c r="IC284" s="37" t="s">
        <v>344</v>
      </c>
      <c r="ID284" s="37"/>
      <c r="IE284" s="37" t="s">
        <v>344</v>
      </c>
      <c r="IF284" s="37"/>
      <c r="IG284" s="37" t="s">
        <v>344</v>
      </c>
      <c r="IH284" s="37"/>
      <c r="II284" s="37" t="s">
        <v>344</v>
      </c>
      <c r="IJ284" s="37"/>
      <c r="IK284" s="37" t="s">
        <v>344</v>
      </c>
      <c r="IL284" s="37"/>
      <c r="IM284" s="37" t="s">
        <v>345</v>
      </c>
      <c r="IN284" s="37" t="s">
        <v>345</v>
      </c>
      <c r="IO284" s="37" t="s">
        <v>344</v>
      </c>
      <c r="IP284" s="37" t="s">
        <v>344</v>
      </c>
      <c r="IQ284" s="37" t="s">
        <v>345</v>
      </c>
      <c r="IR284" s="37" t="s">
        <v>344</v>
      </c>
      <c r="IS284" s="37" t="s">
        <v>344</v>
      </c>
      <c r="IT284" s="37" t="s">
        <v>345</v>
      </c>
      <c r="IU284" s="37" t="s">
        <v>344</v>
      </c>
      <c r="IV284" s="37" t="s">
        <v>344</v>
      </c>
      <c r="IW284" s="37" t="s">
        <v>344</v>
      </c>
      <c r="IX284" s="37" t="s">
        <v>344</v>
      </c>
      <c r="IY284" s="37" t="s">
        <v>345</v>
      </c>
      <c r="IZ284" s="37" t="s">
        <v>344</v>
      </c>
      <c r="JA284" s="37"/>
      <c r="JB284" s="37"/>
    </row>
    <row r="285" spans="1:262" x14ac:dyDescent="0.3">
      <c r="A285" s="36" t="s">
        <v>338</v>
      </c>
      <c r="B285" s="37">
        <v>253</v>
      </c>
      <c r="C285" s="37" t="s">
        <v>1544</v>
      </c>
      <c r="D285" s="37">
        <v>14</v>
      </c>
      <c r="E285" s="37" t="s">
        <v>387</v>
      </c>
      <c r="F285" s="37">
        <v>90978320</v>
      </c>
      <c r="G285" s="37" t="s">
        <v>1545</v>
      </c>
      <c r="H285" s="37" t="s">
        <v>1544</v>
      </c>
      <c r="I285" s="37" t="s">
        <v>1486</v>
      </c>
      <c r="J285" s="37">
        <v>17</v>
      </c>
      <c r="K285" s="37" t="s">
        <v>1255</v>
      </c>
      <c r="L285" s="37"/>
      <c r="M285" s="37" t="s">
        <v>345</v>
      </c>
      <c r="N285" s="37" t="s">
        <v>344</v>
      </c>
      <c r="O285" s="37" t="s">
        <v>344</v>
      </c>
      <c r="P285" s="37" t="s">
        <v>344</v>
      </c>
      <c r="Q285" s="37" t="s">
        <v>344</v>
      </c>
      <c r="R285" s="37"/>
      <c r="S285" s="37" t="s">
        <v>1487</v>
      </c>
      <c r="T285" s="37"/>
      <c r="U285" s="37" t="s">
        <v>1457</v>
      </c>
      <c r="V285" s="37"/>
      <c r="W285" s="37" t="s">
        <v>344</v>
      </c>
      <c r="X285" s="37" t="s">
        <v>344</v>
      </c>
      <c r="Y285" s="37" t="s">
        <v>344</v>
      </c>
      <c r="Z285" s="37" t="s">
        <v>344</v>
      </c>
      <c r="AA285" s="37" t="s">
        <v>344</v>
      </c>
      <c r="AB285" s="37" t="s">
        <v>345</v>
      </c>
      <c r="AC285" s="37" t="s">
        <v>344</v>
      </c>
      <c r="AD285" s="37" t="s">
        <v>345</v>
      </c>
      <c r="AE285" s="37" t="s">
        <v>344</v>
      </c>
      <c r="AF285" s="37" t="s">
        <v>344</v>
      </c>
      <c r="AG285" s="37" t="s">
        <v>344</v>
      </c>
      <c r="AH285" s="37" t="s">
        <v>345</v>
      </c>
      <c r="AI285" s="37" t="s">
        <v>344</v>
      </c>
      <c r="AJ285" s="37" t="s">
        <v>344</v>
      </c>
      <c r="AK285" s="37" t="s">
        <v>345</v>
      </c>
      <c r="AL285" s="37" t="s">
        <v>344</v>
      </c>
      <c r="AM285" s="37" t="s">
        <v>344</v>
      </c>
      <c r="AN285" s="37" t="s">
        <v>344</v>
      </c>
      <c r="AO285" s="37" t="s">
        <v>345</v>
      </c>
      <c r="AP285" s="37" t="s">
        <v>344</v>
      </c>
      <c r="AQ285" s="37" t="s">
        <v>344</v>
      </c>
      <c r="AR285" s="37" t="s">
        <v>344</v>
      </c>
      <c r="AS285" s="37" t="s">
        <v>344</v>
      </c>
      <c r="AT285" s="37" t="s">
        <v>345</v>
      </c>
      <c r="AU285" s="37" t="s">
        <v>344</v>
      </c>
      <c r="AV285" s="37" t="s">
        <v>345</v>
      </c>
      <c r="AW285" s="37" t="s">
        <v>344</v>
      </c>
      <c r="AX285" s="37" t="s">
        <v>344</v>
      </c>
      <c r="AY285" s="37" t="s">
        <v>731</v>
      </c>
      <c r="AZ285" s="37" t="s">
        <v>732</v>
      </c>
      <c r="BA285" s="37" t="s">
        <v>391</v>
      </c>
      <c r="BB285" s="37" t="s">
        <v>732</v>
      </c>
      <c r="BC285" s="37" t="s">
        <v>731</v>
      </c>
      <c r="BD285" s="37" t="s">
        <v>732</v>
      </c>
      <c r="BE285" s="37" t="s">
        <v>390</v>
      </c>
      <c r="BF285" s="37" t="s">
        <v>348</v>
      </c>
      <c r="BG285" s="37" t="s">
        <v>390</v>
      </c>
      <c r="BH285" s="37" t="s">
        <v>390</v>
      </c>
      <c r="BI285" s="37" t="s">
        <v>717</v>
      </c>
      <c r="BJ285" s="37" t="s">
        <v>356</v>
      </c>
      <c r="BK285" s="37" t="s">
        <v>391</v>
      </c>
      <c r="BL285" s="37" t="s">
        <v>357</v>
      </c>
      <c r="BM285" s="37" t="s">
        <v>355</v>
      </c>
      <c r="BN285" s="37" t="s">
        <v>352</v>
      </c>
      <c r="BO285" s="37" t="s">
        <v>356</v>
      </c>
      <c r="BP285" s="37" t="s">
        <v>352</v>
      </c>
      <c r="BQ285" s="37" t="s">
        <v>407</v>
      </c>
      <c r="BR285" s="37" t="s">
        <v>1257</v>
      </c>
      <c r="BS285" s="37" t="s">
        <v>354</v>
      </c>
      <c r="BT285" s="37" t="s">
        <v>351</v>
      </c>
      <c r="BU285" s="37" t="s">
        <v>356</v>
      </c>
      <c r="BV285" s="37" t="s">
        <v>357</v>
      </c>
      <c r="BW285" s="37" t="s">
        <v>352</v>
      </c>
      <c r="BX285" s="37" t="s">
        <v>351</v>
      </c>
      <c r="BY285" s="37" t="s">
        <v>391</v>
      </c>
      <c r="BZ285" s="37" t="s">
        <v>353</v>
      </c>
      <c r="CA285" s="37" t="s">
        <v>355</v>
      </c>
      <c r="CB285" s="37" t="s">
        <v>353</v>
      </c>
      <c r="CC285" s="37" t="s">
        <v>357</v>
      </c>
      <c r="CD285" s="37" t="s">
        <v>352</v>
      </c>
      <c r="CE285" s="37" t="s">
        <v>356</v>
      </c>
      <c r="CF285" s="37" t="s">
        <v>354</v>
      </c>
      <c r="CG285" s="37" t="s">
        <v>420</v>
      </c>
      <c r="CH285" s="37" t="s">
        <v>421</v>
      </c>
      <c r="CI285" s="37" t="s">
        <v>420</v>
      </c>
      <c r="CJ285" s="37" t="s">
        <v>392</v>
      </c>
      <c r="CK285" s="37" t="s">
        <v>1546</v>
      </c>
      <c r="CL285" s="37" t="s">
        <v>344</v>
      </c>
      <c r="CM285" s="37" t="s">
        <v>344</v>
      </c>
      <c r="CN285" s="37" t="s">
        <v>344</v>
      </c>
      <c r="CO285" s="37" t="s">
        <v>345</v>
      </c>
      <c r="CP285" s="37" t="s">
        <v>345</v>
      </c>
      <c r="CQ285" s="37" t="s">
        <v>344</v>
      </c>
      <c r="CR285" s="37" t="s">
        <v>655</v>
      </c>
      <c r="CS285" s="37">
        <v>41</v>
      </c>
      <c r="CT285" s="37">
        <v>62</v>
      </c>
      <c r="CU285" s="37"/>
      <c r="CV285" s="37"/>
      <c r="CW285" s="37" t="s">
        <v>363</v>
      </c>
      <c r="CX285" s="37" t="s">
        <v>364</v>
      </c>
      <c r="CY285" s="37" t="s">
        <v>396</v>
      </c>
      <c r="CZ285" s="37" t="s">
        <v>717</v>
      </c>
      <c r="DA285" s="37" t="s">
        <v>397</v>
      </c>
      <c r="DB285" s="37" t="s">
        <v>366</v>
      </c>
      <c r="DC285" s="37" t="s">
        <v>397</v>
      </c>
      <c r="DD285" s="37" t="s">
        <v>397</v>
      </c>
      <c r="DE285" s="37"/>
      <c r="DF285" s="37"/>
      <c r="DG285" s="37"/>
      <c r="DH285" s="37"/>
      <c r="DI285" s="37"/>
      <c r="DJ285" s="37" t="s">
        <v>1547</v>
      </c>
      <c r="DK285" s="37" t="s">
        <v>344</v>
      </c>
      <c r="DL285" s="37" t="s">
        <v>368</v>
      </c>
      <c r="DM285" s="37" t="s">
        <v>368</v>
      </c>
      <c r="DN285" s="37" t="s">
        <v>368</v>
      </c>
      <c r="DO285" s="37" t="s">
        <v>368</v>
      </c>
      <c r="DP285" s="37" t="s">
        <v>345</v>
      </c>
      <c r="DQ285" s="37" t="s">
        <v>344</v>
      </c>
      <c r="DR285" s="37" t="s">
        <v>344</v>
      </c>
      <c r="DS285" s="37" t="s">
        <v>344</v>
      </c>
      <c r="DT285" s="37" t="s">
        <v>345</v>
      </c>
      <c r="DU285" s="37" t="s">
        <v>345</v>
      </c>
      <c r="DV285" s="37" t="s">
        <v>345</v>
      </c>
      <c r="DW285" s="37" t="s">
        <v>344</v>
      </c>
      <c r="DX285" s="37" t="s">
        <v>1258</v>
      </c>
      <c r="DY285" s="37" t="s">
        <v>1258</v>
      </c>
      <c r="DZ285" s="37" t="s">
        <v>1258</v>
      </c>
      <c r="EA285" s="37" t="s">
        <v>1258</v>
      </c>
      <c r="EB285" s="37" t="s">
        <v>1258</v>
      </c>
      <c r="EC285" s="37" t="s">
        <v>1258</v>
      </c>
      <c r="ED285" s="37" t="s">
        <v>1274</v>
      </c>
      <c r="EE285" s="37" t="s">
        <v>397</v>
      </c>
      <c r="EF285" s="37" t="s">
        <v>1274</v>
      </c>
      <c r="EG285" s="37" t="s">
        <v>397</v>
      </c>
      <c r="EH285" s="37" t="s">
        <v>1273</v>
      </c>
      <c r="EI285" s="37" t="s">
        <v>1273</v>
      </c>
      <c r="EJ285" s="37" t="s">
        <v>397</v>
      </c>
      <c r="EK285" s="37" t="s">
        <v>1274</v>
      </c>
      <c r="EL285" s="37" t="s">
        <v>1260</v>
      </c>
      <c r="EM285" s="37" t="s">
        <v>1276</v>
      </c>
      <c r="EN285" s="37" t="s">
        <v>1275</v>
      </c>
      <c r="EO285" s="37"/>
      <c r="EP285" s="37"/>
      <c r="EQ285" s="37" t="s">
        <v>1263</v>
      </c>
      <c r="ER285" s="37" t="s">
        <v>1264</v>
      </c>
      <c r="ES285" s="37" t="s">
        <v>1263</v>
      </c>
      <c r="ET285" s="37" t="s">
        <v>1277</v>
      </c>
      <c r="EU285" s="37" t="s">
        <v>1277</v>
      </c>
      <c r="EV285" s="37" t="s">
        <v>1265</v>
      </c>
      <c r="EW285" s="37"/>
      <c r="EX285" s="37" t="s">
        <v>368</v>
      </c>
      <c r="EY285" s="37" t="s">
        <v>368</v>
      </c>
      <c r="EZ285" s="37" t="s">
        <v>368</v>
      </c>
      <c r="FA285" s="37" t="s">
        <v>345</v>
      </c>
      <c r="FB285" s="37" t="s">
        <v>1321</v>
      </c>
      <c r="FC285" s="37"/>
      <c r="FD285" s="37" t="s">
        <v>1266</v>
      </c>
      <c r="FE285" s="37"/>
      <c r="FF285" s="37" t="s">
        <v>477</v>
      </c>
      <c r="FG285" s="37" t="s">
        <v>441</v>
      </c>
      <c r="FH285" s="37" t="s">
        <v>1293</v>
      </c>
      <c r="FI285" s="37" t="s">
        <v>1294</v>
      </c>
      <c r="FJ285" s="37"/>
      <c r="FK285" s="37"/>
      <c r="FL285" s="37"/>
      <c r="FM285" s="37"/>
      <c r="FN285" s="37"/>
      <c r="FO285" s="37"/>
      <c r="FP285" s="37"/>
      <c r="FQ285" s="37"/>
      <c r="FR285" s="37"/>
      <c r="FS285" s="37"/>
      <c r="FT285" s="37"/>
      <c r="FU285" s="37"/>
      <c r="FV285" s="37"/>
      <c r="FW285" s="37"/>
      <c r="FX285" s="37"/>
      <c r="FY285" s="37"/>
      <c r="FZ285" s="37"/>
      <c r="GA285" s="37" t="s">
        <v>368</v>
      </c>
      <c r="GB285" s="37" t="s">
        <v>368</v>
      </c>
      <c r="GC285" s="37" t="s">
        <v>368</v>
      </c>
      <c r="GD285" s="37" t="s">
        <v>368</v>
      </c>
      <c r="GE285" s="37" t="s">
        <v>368</v>
      </c>
      <c r="GF285" s="37" t="s">
        <v>368</v>
      </c>
      <c r="GG285" s="37"/>
      <c r="GH285" s="37"/>
      <c r="GI285" s="37"/>
      <c r="GJ285" s="37"/>
      <c r="GK285" s="37"/>
      <c r="GL285" s="37" t="s">
        <v>344</v>
      </c>
      <c r="GM285" s="37" t="s">
        <v>344</v>
      </c>
      <c r="GN285" s="37" t="s">
        <v>344</v>
      </c>
      <c r="GO285" s="37" t="s">
        <v>345</v>
      </c>
      <c r="GP285" s="37" t="s">
        <v>344</v>
      </c>
      <c r="GQ285" s="37" t="s">
        <v>344</v>
      </c>
      <c r="GR285" s="37" t="s">
        <v>344</v>
      </c>
      <c r="GS285" s="37" t="s">
        <v>344</v>
      </c>
      <c r="GT285" s="37" t="s">
        <v>345</v>
      </c>
      <c r="GU285" s="37" t="s">
        <v>344</v>
      </c>
      <c r="GV285" s="37" t="s">
        <v>345</v>
      </c>
      <c r="GW285" s="37" t="s">
        <v>345</v>
      </c>
      <c r="GX285" s="37" t="s">
        <v>344</v>
      </c>
      <c r="GY285" s="37" t="s">
        <v>344</v>
      </c>
      <c r="GZ285" s="37" t="s">
        <v>344</v>
      </c>
      <c r="HA285" s="37" t="s">
        <v>344</v>
      </c>
      <c r="HB285" s="37"/>
      <c r="HC285" s="37" t="s">
        <v>344</v>
      </c>
      <c r="HD285" s="37"/>
      <c r="HE285" s="37" t="s">
        <v>344</v>
      </c>
      <c r="HF285" s="37"/>
      <c r="HG285" s="37" t="s">
        <v>344</v>
      </c>
      <c r="HH285" s="37"/>
      <c r="HI285" s="37" t="s">
        <v>344</v>
      </c>
      <c r="HJ285" s="37"/>
      <c r="HK285" s="37" t="s">
        <v>344</v>
      </c>
      <c r="HL285" s="37" t="s">
        <v>344</v>
      </c>
      <c r="HM285" s="37" t="s">
        <v>344</v>
      </c>
      <c r="HN285" s="37" t="s">
        <v>344</v>
      </c>
      <c r="HO285" s="37" t="s">
        <v>344</v>
      </c>
      <c r="HP285" s="37" t="s">
        <v>344</v>
      </c>
      <c r="HQ285" s="37" t="s">
        <v>344</v>
      </c>
      <c r="HR285" s="37" t="s">
        <v>344</v>
      </c>
      <c r="HS285" s="37" t="s">
        <v>344</v>
      </c>
      <c r="HT285" s="37" t="s">
        <v>344</v>
      </c>
      <c r="HU285" s="37" t="s">
        <v>344</v>
      </c>
      <c r="HV285" s="37" t="s">
        <v>344</v>
      </c>
      <c r="HW285" s="37" t="s">
        <v>345</v>
      </c>
      <c r="HX285" s="37" t="s">
        <v>344</v>
      </c>
      <c r="HY285" s="37" t="s">
        <v>344</v>
      </c>
      <c r="HZ285" s="37" t="s">
        <v>344</v>
      </c>
      <c r="IA285" s="37" t="s">
        <v>344</v>
      </c>
      <c r="IB285" s="37" t="s">
        <v>344</v>
      </c>
      <c r="IC285" s="37" t="s">
        <v>344</v>
      </c>
      <c r="ID285" s="37"/>
      <c r="IE285" s="37" t="s">
        <v>344</v>
      </c>
      <c r="IF285" s="37"/>
      <c r="IG285" s="37" t="s">
        <v>344</v>
      </c>
      <c r="IH285" s="37"/>
      <c r="II285" s="37" t="s">
        <v>344</v>
      </c>
      <c r="IJ285" s="37"/>
      <c r="IK285" s="37" t="s">
        <v>344</v>
      </c>
      <c r="IL285" s="37"/>
      <c r="IM285" s="37" t="s">
        <v>344</v>
      </c>
      <c r="IN285" s="37" t="s">
        <v>345</v>
      </c>
      <c r="IO285" s="37" t="s">
        <v>344</v>
      </c>
      <c r="IP285" s="37" t="s">
        <v>344</v>
      </c>
      <c r="IQ285" s="37" t="s">
        <v>345</v>
      </c>
      <c r="IR285" s="37" t="s">
        <v>344</v>
      </c>
      <c r="IS285" s="37" t="s">
        <v>344</v>
      </c>
      <c r="IT285" s="37" t="s">
        <v>344</v>
      </c>
      <c r="IU285" s="37" t="s">
        <v>344</v>
      </c>
      <c r="IV285" s="37" t="s">
        <v>344</v>
      </c>
      <c r="IW285" s="37" t="s">
        <v>344</v>
      </c>
      <c r="IX285" s="37" t="s">
        <v>344</v>
      </c>
      <c r="IY285" s="37" t="s">
        <v>345</v>
      </c>
      <c r="IZ285" s="37" t="s">
        <v>344</v>
      </c>
      <c r="JA285" s="37"/>
      <c r="JB285" s="37"/>
    </row>
    <row r="286" spans="1:262" x14ac:dyDescent="0.3">
      <c r="A286" s="36" t="s">
        <v>338</v>
      </c>
      <c r="B286" s="37">
        <v>254</v>
      </c>
      <c r="C286" s="37" t="s">
        <v>1548</v>
      </c>
      <c r="D286" s="37">
        <v>14</v>
      </c>
      <c r="E286" s="37" t="s">
        <v>387</v>
      </c>
      <c r="F286" s="37">
        <v>87360500</v>
      </c>
      <c r="G286" s="37" t="s">
        <v>1549</v>
      </c>
      <c r="H286" s="37" t="s">
        <v>1548</v>
      </c>
      <c r="I286" s="37" t="s">
        <v>1486</v>
      </c>
      <c r="J286" s="37">
        <v>17</v>
      </c>
      <c r="K286" s="37" t="s">
        <v>1282</v>
      </c>
      <c r="L286" s="37"/>
      <c r="M286" s="37" t="s">
        <v>345</v>
      </c>
      <c r="N286" s="37" t="s">
        <v>344</v>
      </c>
      <c r="O286" s="37" t="s">
        <v>344</v>
      </c>
      <c r="P286" s="37" t="s">
        <v>344</v>
      </c>
      <c r="Q286" s="37" t="s">
        <v>344</v>
      </c>
      <c r="R286" s="37"/>
      <c r="S286" s="37" t="s">
        <v>1487</v>
      </c>
      <c r="T286" s="37"/>
      <c r="U286" s="37" t="s">
        <v>1270</v>
      </c>
      <c r="V286" s="37"/>
      <c r="W286" s="37" t="s">
        <v>345</v>
      </c>
      <c r="X286" s="37" t="s">
        <v>345</v>
      </c>
      <c r="Y286" s="37" t="s">
        <v>344</v>
      </c>
      <c r="Z286" s="37" t="s">
        <v>344</v>
      </c>
      <c r="AA286" s="37" t="s">
        <v>344</v>
      </c>
      <c r="AB286" s="37" t="s">
        <v>344</v>
      </c>
      <c r="AC286" s="37" t="s">
        <v>344</v>
      </c>
      <c r="AD286" s="37" t="s">
        <v>345</v>
      </c>
      <c r="AE286" s="37" t="s">
        <v>345</v>
      </c>
      <c r="AF286" s="37" t="s">
        <v>344</v>
      </c>
      <c r="AG286" s="37" t="s">
        <v>344</v>
      </c>
      <c r="AH286" s="37" t="s">
        <v>345</v>
      </c>
      <c r="AI286" s="37" t="s">
        <v>344</v>
      </c>
      <c r="AJ286" s="37" t="s">
        <v>344</v>
      </c>
      <c r="AK286" s="37" t="s">
        <v>368</v>
      </c>
      <c r="AL286" s="37" t="s">
        <v>368</v>
      </c>
      <c r="AM286" s="37" t="s">
        <v>368</v>
      </c>
      <c r="AN286" s="37" t="s">
        <v>368</v>
      </c>
      <c r="AO286" s="37" t="s">
        <v>368</v>
      </c>
      <c r="AP286" s="37" t="s">
        <v>368</v>
      </c>
      <c r="AQ286" s="37" t="s">
        <v>345</v>
      </c>
      <c r="AR286" s="37" t="s">
        <v>344</v>
      </c>
      <c r="AS286" s="37" t="s">
        <v>344</v>
      </c>
      <c r="AT286" s="37" t="s">
        <v>344</v>
      </c>
      <c r="AU286" s="37" t="s">
        <v>345</v>
      </c>
      <c r="AV286" s="37" t="s">
        <v>344</v>
      </c>
      <c r="AW286" s="37" t="s">
        <v>344</v>
      </c>
      <c r="AX286" s="37" t="s">
        <v>344</v>
      </c>
      <c r="AY286" s="37" t="s">
        <v>733</v>
      </c>
      <c r="AZ286" s="37" t="s">
        <v>733</v>
      </c>
      <c r="BA286" s="37" t="s">
        <v>737</v>
      </c>
      <c r="BB286" s="37" t="s">
        <v>731</v>
      </c>
      <c r="BC286" s="37" t="s">
        <v>731</v>
      </c>
      <c r="BD286" s="37" t="s">
        <v>732</v>
      </c>
      <c r="BE286" s="37" t="s">
        <v>348</v>
      </c>
      <c r="BF286" s="37" t="s">
        <v>348</v>
      </c>
      <c r="BG286" s="37" t="s">
        <v>349</v>
      </c>
      <c r="BH286" s="37" t="s">
        <v>349</v>
      </c>
      <c r="BI286" s="37" t="s">
        <v>350</v>
      </c>
      <c r="BJ286" s="37" t="s">
        <v>391</v>
      </c>
      <c r="BK286" s="37" t="s">
        <v>354</v>
      </c>
      <c r="BL286" s="37" t="s">
        <v>391</v>
      </c>
      <c r="BM286" s="37" t="s">
        <v>391</v>
      </c>
      <c r="BN286" s="37" t="s">
        <v>391</v>
      </c>
      <c r="BO286" s="37" t="s">
        <v>391</v>
      </c>
      <c r="BP286" s="37" t="s">
        <v>391</v>
      </c>
      <c r="BQ286" s="37" t="s">
        <v>358</v>
      </c>
      <c r="BR286" s="37" t="s">
        <v>1296</v>
      </c>
      <c r="BS286" s="37" t="s">
        <v>391</v>
      </c>
      <c r="BT286" s="37" t="s">
        <v>391</v>
      </c>
      <c r="BU286" s="37" t="s">
        <v>391</v>
      </c>
      <c r="BV286" s="37" t="s">
        <v>391</v>
      </c>
      <c r="BW286" s="37" t="s">
        <v>391</v>
      </c>
      <c r="BX286" s="37" t="s">
        <v>391</v>
      </c>
      <c r="BY286" s="37" t="s">
        <v>391</v>
      </c>
      <c r="BZ286" s="37" t="s">
        <v>391</v>
      </c>
      <c r="CA286" s="37" t="s">
        <v>391</v>
      </c>
      <c r="CB286" s="37" t="s">
        <v>391</v>
      </c>
      <c r="CC286" s="37" t="s">
        <v>391</v>
      </c>
      <c r="CD286" s="37" t="s">
        <v>391</v>
      </c>
      <c r="CE286" s="37" t="s">
        <v>391</v>
      </c>
      <c r="CF286" s="37" t="s">
        <v>391</v>
      </c>
      <c r="CG286" s="37" t="s">
        <v>393</v>
      </c>
      <c r="CH286" s="37" t="s">
        <v>392</v>
      </c>
      <c r="CI286" s="37" t="s">
        <v>393</v>
      </c>
      <c r="CJ286" s="37" t="s">
        <v>392</v>
      </c>
      <c r="CK286" s="37" t="s">
        <v>717</v>
      </c>
      <c r="CL286" s="37" t="s">
        <v>344</v>
      </c>
      <c r="CM286" s="37" t="s">
        <v>344</v>
      </c>
      <c r="CN286" s="37" t="s">
        <v>344</v>
      </c>
      <c r="CO286" s="37" t="s">
        <v>345</v>
      </c>
      <c r="CP286" s="37" t="s">
        <v>344</v>
      </c>
      <c r="CQ286" s="37" t="s">
        <v>344</v>
      </c>
      <c r="CR286" s="37" t="s">
        <v>655</v>
      </c>
      <c r="CS286" s="37">
        <v>18</v>
      </c>
      <c r="CT286" s="37">
        <v>50</v>
      </c>
      <c r="CU286" s="37"/>
      <c r="CV286" s="37"/>
      <c r="CW286" s="37" t="s">
        <v>363</v>
      </c>
      <c r="CX286" s="37" t="s">
        <v>396</v>
      </c>
      <c r="CY286" s="37" t="s">
        <v>396</v>
      </c>
      <c r="CZ286" s="37" t="s">
        <v>397</v>
      </c>
      <c r="DA286" s="37" t="s">
        <v>397</v>
      </c>
      <c r="DB286" s="37" t="s">
        <v>397</v>
      </c>
      <c r="DC286" s="37" t="s">
        <v>397</v>
      </c>
      <c r="DD286" s="37" t="s">
        <v>423</v>
      </c>
      <c r="DE286" s="37"/>
      <c r="DF286" s="37"/>
      <c r="DG286" s="37"/>
      <c r="DH286" s="37"/>
      <c r="DI286" s="37"/>
      <c r="DJ286" s="37" t="s">
        <v>1550</v>
      </c>
      <c r="DK286" s="37" t="s">
        <v>1357</v>
      </c>
      <c r="DL286" s="37" t="s">
        <v>368</v>
      </c>
      <c r="DM286" s="37" t="s">
        <v>368</v>
      </c>
      <c r="DN286" s="37" t="s">
        <v>368</v>
      </c>
      <c r="DO286" s="37" t="s">
        <v>345</v>
      </c>
      <c r="DP286" s="37" t="s">
        <v>368</v>
      </c>
      <c r="DQ286" s="37" t="s">
        <v>368</v>
      </c>
      <c r="DR286" s="37" t="s">
        <v>368</v>
      </c>
      <c r="DS286" s="37" t="s">
        <v>345</v>
      </c>
      <c r="DT286" s="37" t="s">
        <v>368</v>
      </c>
      <c r="DU286" s="37" t="s">
        <v>368</v>
      </c>
      <c r="DV286" s="37" t="s">
        <v>368</v>
      </c>
      <c r="DW286" s="37" t="s">
        <v>345</v>
      </c>
      <c r="DX286" s="37" t="s">
        <v>1258</v>
      </c>
      <c r="DY286" s="37" t="s">
        <v>1258</v>
      </c>
      <c r="DZ286" s="37" t="s">
        <v>1258</v>
      </c>
      <c r="EA286" s="37" t="s">
        <v>1258</v>
      </c>
      <c r="EB286" s="37" t="s">
        <v>1258</v>
      </c>
      <c r="EC286" s="37" t="s">
        <v>1258</v>
      </c>
      <c r="ED286" s="37" t="s">
        <v>1258</v>
      </c>
      <c r="EE286" s="37" t="s">
        <v>1272</v>
      </c>
      <c r="EF286" s="37" t="s">
        <v>1272</v>
      </c>
      <c r="EG286" s="37" t="s">
        <v>397</v>
      </c>
      <c r="EH286" s="37" t="s">
        <v>1258</v>
      </c>
      <c r="EI286" s="37" t="s">
        <v>1272</v>
      </c>
      <c r="EJ286" s="37" t="s">
        <v>1272</v>
      </c>
      <c r="EK286" s="37" t="s">
        <v>1258</v>
      </c>
      <c r="EL286" s="37" t="s">
        <v>1276</v>
      </c>
      <c r="EM286" s="37" t="s">
        <v>1260</v>
      </c>
      <c r="EN286" s="37" t="s">
        <v>1275</v>
      </c>
      <c r="EO286" s="37"/>
      <c r="EP286" s="37"/>
      <c r="EQ286" s="37" t="s">
        <v>717</v>
      </c>
      <c r="ER286" s="37" t="s">
        <v>1263</v>
      </c>
      <c r="ES286" s="37" t="s">
        <v>717</v>
      </c>
      <c r="ET286" s="37" t="s">
        <v>717</v>
      </c>
      <c r="EU286" s="37" t="s">
        <v>717</v>
      </c>
      <c r="EV286" s="37" t="s">
        <v>1265</v>
      </c>
      <c r="EW286" s="37"/>
      <c r="EX286" s="37" t="s">
        <v>368</v>
      </c>
      <c r="EY286" s="37" t="s">
        <v>368</v>
      </c>
      <c r="EZ286" s="37" t="s">
        <v>368</v>
      </c>
      <c r="FA286" s="37" t="s">
        <v>345</v>
      </c>
      <c r="FB286" s="37" t="s">
        <v>1266</v>
      </c>
      <c r="FC286" s="37"/>
      <c r="FD286" s="37" t="s">
        <v>1266</v>
      </c>
      <c r="FE286" s="37"/>
      <c r="FF286" s="37" t="s">
        <v>1322</v>
      </c>
      <c r="FG286" s="37" t="s">
        <v>1323</v>
      </c>
      <c r="FH286" s="37" t="s">
        <v>1301</v>
      </c>
      <c r="FI286" s="37" t="s">
        <v>385</v>
      </c>
      <c r="FJ286" s="37"/>
      <c r="FK286" s="37"/>
      <c r="FL286" s="37"/>
      <c r="FM286" s="37"/>
      <c r="FN286" s="37"/>
      <c r="FO286" s="37"/>
      <c r="FP286" s="37"/>
      <c r="FQ286" s="37"/>
      <c r="FR286" s="37"/>
      <c r="FS286" s="37"/>
      <c r="FT286" s="37"/>
      <c r="FU286" s="37"/>
      <c r="FV286" s="37"/>
      <c r="FW286" s="37"/>
      <c r="FX286" s="37"/>
      <c r="FY286" s="37"/>
      <c r="FZ286" s="37"/>
      <c r="GA286" s="37" t="s">
        <v>368</v>
      </c>
      <c r="GB286" s="37" t="s">
        <v>368</v>
      </c>
      <c r="GC286" s="37" t="s">
        <v>368</v>
      </c>
      <c r="GD286" s="37" t="s">
        <v>368</v>
      </c>
      <c r="GE286" s="37" t="s">
        <v>368</v>
      </c>
      <c r="GF286" s="37" t="s">
        <v>368</v>
      </c>
      <c r="GG286" s="37"/>
      <c r="GH286" s="37"/>
      <c r="GI286" s="37"/>
      <c r="GJ286" s="37"/>
      <c r="GK286" s="37"/>
      <c r="GL286" s="37" t="s">
        <v>344</v>
      </c>
      <c r="GM286" s="37" t="s">
        <v>344</v>
      </c>
      <c r="GN286" s="37" t="s">
        <v>345</v>
      </c>
      <c r="GO286" s="37" t="s">
        <v>344</v>
      </c>
      <c r="GP286" s="37" t="s">
        <v>344</v>
      </c>
      <c r="GQ286" s="37" t="s">
        <v>344</v>
      </c>
      <c r="GR286" s="37" t="s">
        <v>344</v>
      </c>
      <c r="GS286" s="37" t="s">
        <v>344</v>
      </c>
      <c r="GT286" s="37" t="s">
        <v>345</v>
      </c>
      <c r="GU286" s="37" t="s">
        <v>344</v>
      </c>
      <c r="GV286" s="37" t="s">
        <v>344</v>
      </c>
      <c r="GW286" s="37" t="s">
        <v>345</v>
      </c>
      <c r="GX286" s="37" t="s">
        <v>344</v>
      </c>
      <c r="GY286" s="37" t="s">
        <v>344</v>
      </c>
      <c r="GZ286" s="37" t="s">
        <v>345</v>
      </c>
      <c r="HA286" s="37" t="s">
        <v>344</v>
      </c>
      <c r="HB286" s="37"/>
      <c r="HC286" s="37" t="s">
        <v>344</v>
      </c>
      <c r="HD286" s="37"/>
      <c r="HE286" s="37" t="s">
        <v>344</v>
      </c>
      <c r="HF286" s="37"/>
      <c r="HG286" s="37" t="s">
        <v>344</v>
      </c>
      <c r="HH286" s="37"/>
      <c r="HI286" s="37" t="s">
        <v>344</v>
      </c>
      <c r="HJ286" s="37"/>
      <c r="HK286" s="37" t="s">
        <v>344</v>
      </c>
      <c r="HL286" s="37" t="s">
        <v>344</v>
      </c>
      <c r="HM286" s="37" t="s">
        <v>344</v>
      </c>
      <c r="HN286" s="37" t="s">
        <v>344</v>
      </c>
      <c r="HO286" s="37" t="s">
        <v>344</v>
      </c>
      <c r="HP286" s="37" t="s">
        <v>344</v>
      </c>
      <c r="HQ286" s="37" t="s">
        <v>344</v>
      </c>
      <c r="HR286" s="37" t="s">
        <v>344</v>
      </c>
      <c r="HS286" s="37" t="s">
        <v>344</v>
      </c>
      <c r="HT286" s="37" t="s">
        <v>344</v>
      </c>
      <c r="HU286" s="37" t="s">
        <v>344</v>
      </c>
      <c r="HV286" s="37" t="s">
        <v>344</v>
      </c>
      <c r="HW286" s="37" t="s">
        <v>344</v>
      </c>
      <c r="HX286" s="37" t="s">
        <v>344</v>
      </c>
      <c r="HY286" s="37" t="s">
        <v>344</v>
      </c>
      <c r="HZ286" s="37" t="s">
        <v>344</v>
      </c>
      <c r="IA286" s="37" t="s">
        <v>344</v>
      </c>
      <c r="IB286" s="37" t="s">
        <v>344</v>
      </c>
      <c r="IC286" s="37" t="s">
        <v>345</v>
      </c>
      <c r="ID286" s="37"/>
      <c r="IE286" s="37" t="s">
        <v>344</v>
      </c>
      <c r="IF286" s="37"/>
      <c r="IG286" s="37" t="s">
        <v>344</v>
      </c>
      <c r="IH286" s="37"/>
      <c r="II286" s="37" t="s">
        <v>344</v>
      </c>
      <c r="IJ286" s="37"/>
      <c r="IK286" s="37" t="s">
        <v>344</v>
      </c>
      <c r="IL286" s="37"/>
      <c r="IM286" s="37" t="s">
        <v>345</v>
      </c>
      <c r="IN286" s="37" t="s">
        <v>345</v>
      </c>
      <c r="IO286" s="37" t="s">
        <v>344</v>
      </c>
      <c r="IP286" s="37" t="s">
        <v>344</v>
      </c>
      <c r="IQ286" s="37" t="s">
        <v>345</v>
      </c>
      <c r="IR286" s="37" t="s">
        <v>345</v>
      </c>
      <c r="IS286" s="37" t="s">
        <v>344</v>
      </c>
      <c r="IT286" s="37" t="s">
        <v>345</v>
      </c>
      <c r="IU286" s="37" t="s">
        <v>344</v>
      </c>
      <c r="IV286" s="37" t="s">
        <v>344</v>
      </c>
      <c r="IW286" s="37" t="s">
        <v>344</v>
      </c>
      <c r="IX286" s="37" t="s">
        <v>344</v>
      </c>
      <c r="IY286" s="37" t="s">
        <v>345</v>
      </c>
      <c r="IZ286" s="37" t="s">
        <v>344</v>
      </c>
      <c r="JA286" s="37"/>
      <c r="JB286" s="37"/>
    </row>
    <row r="287" spans="1:262" x14ac:dyDescent="0.3">
      <c r="A287" s="36" t="s">
        <v>338</v>
      </c>
      <c r="B287" s="37">
        <v>255</v>
      </c>
      <c r="C287" s="37" t="s">
        <v>1551</v>
      </c>
      <c r="D287" s="37">
        <v>14</v>
      </c>
      <c r="E287" s="37" t="s">
        <v>387</v>
      </c>
      <c r="F287" s="37">
        <v>1037098492</v>
      </c>
      <c r="G287" s="37" t="s">
        <v>1552</v>
      </c>
      <c r="H287" s="37" t="s">
        <v>1551</v>
      </c>
      <c r="I287" s="37" t="s">
        <v>1486</v>
      </c>
      <c r="J287" s="37">
        <v>17</v>
      </c>
      <c r="K287" s="39" t="s">
        <v>343</v>
      </c>
      <c r="L287" s="39" t="s">
        <v>1553</v>
      </c>
      <c r="M287" s="37" t="s">
        <v>345</v>
      </c>
      <c r="N287" s="37" t="s">
        <v>344</v>
      </c>
      <c r="O287" s="37" t="s">
        <v>344</v>
      </c>
      <c r="P287" s="37" t="s">
        <v>344</v>
      </c>
      <c r="Q287" s="37" t="s">
        <v>344</v>
      </c>
      <c r="R287" s="37"/>
      <c r="S287" s="37" t="s">
        <v>1487</v>
      </c>
      <c r="T287" s="37"/>
      <c r="U287" s="37" t="s">
        <v>1270</v>
      </c>
      <c r="V287" s="37"/>
      <c r="W287" s="37" t="s">
        <v>344</v>
      </c>
      <c r="X287" s="37" t="s">
        <v>344</v>
      </c>
      <c r="Y287" s="37" t="s">
        <v>345</v>
      </c>
      <c r="Z287" s="37" t="s">
        <v>345</v>
      </c>
      <c r="AA287" s="37" t="s">
        <v>345</v>
      </c>
      <c r="AB287" s="37" t="s">
        <v>345</v>
      </c>
      <c r="AC287" s="37" t="s">
        <v>344</v>
      </c>
      <c r="AD287" s="37" t="s">
        <v>344</v>
      </c>
      <c r="AE287" s="37" t="s">
        <v>345</v>
      </c>
      <c r="AF287" s="37" t="s">
        <v>345</v>
      </c>
      <c r="AG287" s="37" t="s">
        <v>344</v>
      </c>
      <c r="AH287" s="37" t="s">
        <v>345</v>
      </c>
      <c r="AI287" s="37" t="s">
        <v>345</v>
      </c>
      <c r="AJ287" s="37" t="s">
        <v>344</v>
      </c>
      <c r="AK287" s="37" t="s">
        <v>344</v>
      </c>
      <c r="AL287" s="37" t="s">
        <v>345</v>
      </c>
      <c r="AM287" s="37" t="s">
        <v>344</v>
      </c>
      <c r="AN287" s="37" t="s">
        <v>344</v>
      </c>
      <c r="AO287" s="37" t="s">
        <v>345</v>
      </c>
      <c r="AP287" s="37" t="s">
        <v>345</v>
      </c>
      <c r="AQ287" s="37" t="s">
        <v>344</v>
      </c>
      <c r="AR287" s="37" t="s">
        <v>345</v>
      </c>
      <c r="AS287" s="37" t="s">
        <v>345</v>
      </c>
      <c r="AT287" s="37" t="s">
        <v>345</v>
      </c>
      <c r="AU287" s="37" t="s">
        <v>344</v>
      </c>
      <c r="AV287" s="37" t="s">
        <v>345</v>
      </c>
      <c r="AW287" s="37" t="s">
        <v>344</v>
      </c>
      <c r="AX287" s="37" t="s">
        <v>344</v>
      </c>
      <c r="AY287" s="37" t="s">
        <v>391</v>
      </c>
      <c r="AZ287" s="37" t="s">
        <v>391</v>
      </c>
      <c r="BA287" s="37" t="s">
        <v>391</v>
      </c>
      <c r="BB287" s="37" t="s">
        <v>391</v>
      </c>
      <c r="BC287" s="37" t="s">
        <v>391</v>
      </c>
      <c r="BD287" s="37" t="s">
        <v>391</v>
      </c>
      <c r="BE287" s="37" t="s">
        <v>348</v>
      </c>
      <c r="BF287" s="37" t="s">
        <v>390</v>
      </c>
      <c r="BG287" s="37" t="s">
        <v>390</v>
      </c>
      <c r="BH287" s="37" t="s">
        <v>390</v>
      </c>
      <c r="BI287" s="37" t="s">
        <v>390</v>
      </c>
      <c r="BJ287" s="37" t="s">
        <v>354</v>
      </c>
      <c r="BK287" s="37" t="s">
        <v>391</v>
      </c>
      <c r="BL287" s="37" t="s">
        <v>391</v>
      </c>
      <c r="BM287" s="37" t="s">
        <v>391</v>
      </c>
      <c r="BN287" s="37" t="s">
        <v>391</v>
      </c>
      <c r="BO287" s="37" t="s">
        <v>391</v>
      </c>
      <c r="BP287" s="37" t="s">
        <v>391</v>
      </c>
      <c r="BQ287" s="37" t="s">
        <v>407</v>
      </c>
      <c r="BR287" s="37" t="s">
        <v>1257</v>
      </c>
      <c r="BS287" s="37" t="s">
        <v>391</v>
      </c>
      <c r="BT287" s="37" t="s">
        <v>391</v>
      </c>
      <c r="BU287" s="37" t="s">
        <v>391</v>
      </c>
      <c r="BV287" s="37" t="s">
        <v>391</v>
      </c>
      <c r="BW287" s="37" t="s">
        <v>391</v>
      </c>
      <c r="BX287" s="37" t="s">
        <v>391</v>
      </c>
      <c r="BY287" s="37" t="s">
        <v>391</v>
      </c>
      <c r="BZ287" s="37" t="s">
        <v>391</v>
      </c>
      <c r="CA287" s="37" t="s">
        <v>391</v>
      </c>
      <c r="CB287" s="37" t="s">
        <v>391</v>
      </c>
      <c r="CC287" s="37" t="s">
        <v>391</v>
      </c>
      <c r="CD287" s="37" t="s">
        <v>391</v>
      </c>
      <c r="CE287" s="37" t="s">
        <v>391</v>
      </c>
      <c r="CF287" s="37" t="s">
        <v>391</v>
      </c>
      <c r="CG287" s="37" t="s">
        <v>393</v>
      </c>
      <c r="CH287" s="37" t="s">
        <v>421</v>
      </c>
      <c r="CI287" s="37" t="s">
        <v>420</v>
      </c>
      <c r="CJ287" s="37" t="s">
        <v>393</v>
      </c>
      <c r="CK287" s="37" t="s">
        <v>1554</v>
      </c>
      <c r="CL287" s="37" t="s">
        <v>345</v>
      </c>
      <c r="CM287" s="37" t="s">
        <v>344</v>
      </c>
      <c r="CN287" s="37" t="s">
        <v>345</v>
      </c>
      <c r="CO287" s="37" t="s">
        <v>344</v>
      </c>
      <c r="CP287" s="37" t="s">
        <v>345</v>
      </c>
      <c r="CQ287" s="37" t="s">
        <v>344</v>
      </c>
      <c r="CR287" s="37" t="s">
        <v>655</v>
      </c>
      <c r="CS287" s="37">
        <v>80</v>
      </c>
      <c r="CT287" s="37">
        <v>99</v>
      </c>
      <c r="CU287" s="37"/>
      <c r="CV287" s="37"/>
      <c r="CW287" s="37" t="s">
        <v>395</v>
      </c>
      <c r="CX287" s="37" t="s">
        <v>396</v>
      </c>
      <c r="CY287" s="37" t="s">
        <v>396</v>
      </c>
      <c r="CZ287" s="37" t="s">
        <v>397</v>
      </c>
      <c r="DA287" s="37" t="s">
        <v>397</v>
      </c>
      <c r="DB287" s="37" t="s">
        <v>397</v>
      </c>
      <c r="DC287" s="37" t="s">
        <v>397</v>
      </c>
      <c r="DD287" s="37" t="s">
        <v>366</v>
      </c>
      <c r="DE287" s="37"/>
      <c r="DF287" s="37"/>
      <c r="DG287" s="37"/>
      <c r="DH287" s="37"/>
      <c r="DI287" s="37"/>
      <c r="DJ287" s="37" t="s">
        <v>1555</v>
      </c>
      <c r="DK287" s="37" t="s">
        <v>344</v>
      </c>
      <c r="DL287" s="37" t="s">
        <v>368</v>
      </c>
      <c r="DM287" s="37" t="s">
        <v>368</v>
      </c>
      <c r="DN287" s="37" t="s">
        <v>368</v>
      </c>
      <c r="DO287" s="37" t="s">
        <v>368</v>
      </c>
      <c r="DP287" s="37" t="s">
        <v>368</v>
      </c>
      <c r="DQ287" s="37" t="s">
        <v>368</v>
      </c>
      <c r="DR287" s="37" t="s">
        <v>368</v>
      </c>
      <c r="DS287" s="37" t="s">
        <v>345</v>
      </c>
      <c r="DT287" s="37" t="s">
        <v>368</v>
      </c>
      <c r="DU287" s="37" t="s">
        <v>368</v>
      </c>
      <c r="DV287" s="37" t="s">
        <v>368</v>
      </c>
      <c r="DW287" s="37" t="s">
        <v>345</v>
      </c>
      <c r="DX287" s="37" t="s">
        <v>1258</v>
      </c>
      <c r="DY287" s="37" t="s">
        <v>1258</v>
      </c>
      <c r="DZ287" s="37" t="s">
        <v>1272</v>
      </c>
      <c r="EA287" s="37" t="s">
        <v>1258</v>
      </c>
      <c r="EB287" s="37" t="s">
        <v>1258</v>
      </c>
      <c r="EC287" s="37" t="s">
        <v>1258</v>
      </c>
      <c r="ED287" s="37" t="s">
        <v>1272</v>
      </c>
      <c r="EE287" s="37" t="s">
        <v>397</v>
      </c>
      <c r="EF287" s="37" t="s">
        <v>397</v>
      </c>
      <c r="EG287" s="37" t="s">
        <v>1272</v>
      </c>
      <c r="EH287" s="37" t="s">
        <v>397</v>
      </c>
      <c r="EI287" s="37" t="s">
        <v>397</v>
      </c>
      <c r="EJ287" s="37" t="s">
        <v>397</v>
      </c>
      <c r="EK287" s="37" t="s">
        <v>1273</v>
      </c>
      <c r="EL287" s="37" t="s">
        <v>1261</v>
      </c>
      <c r="EM287" s="37" t="s">
        <v>1259</v>
      </c>
      <c r="EN287" s="37" t="s">
        <v>1276</v>
      </c>
      <c r="EO287" s="37"/>
      <c r="EP287" s="37"/>
      <c r="EQ287" s="37" t="s">
        <v>1263</v>
      </c>
      <c r="ER287" s="37" t="s">
        <v>1264</v>
      </c>
      <c r="ES287" s="37" t="s">
        <v>1263</v>
      </c>
      <c r="ET287" s="37" t="s">
        <v>1277</v>
      </c>
      <c r="EU287" s="37" t="s">
        <v>1277</v>
      </c>
      <c r="EV287" s="37" t="s">
        <v>1265</v>
      </c>
      <c r="EW287" s="37"/>
      <c r="EX287" s="37" t="s">
        <v>368</v>
      </c>
      <c r="EY287" s="37" t="s">
        <v>368</v>
      </c>
      <c r="EZ287" s="37" t="s">
        <v>368</v>
      </c>
      <c r="FA287" s="37" t="s">
        <v>345</v>
      </c>
      <c r="FB287" s="37" t="s">
        <v>1266</v>
      </c>
      <c r="FC287" s="37"/>
      <c r="FD287" s="37" t="s">
        <v>401</v>
      </c>
      <c r="FE287" s="37"/>
      <c r="FF287" s="37" t="s">
        <v>1322</v>
      </c>
      <c r="FG287" s="37" t="s">
        <v>441</v>
      </c>
      <c r="FH287" s="37" t="s">
        <v>1301</v>
      </c>
      <c r="FI287" s="37" t="s">
        <v>1294</v>
      </c>
      <c r="FJ287" s="37"/>
      <c r="FK287" s="37"/>
      <c r="FL287" s="37"/>
      <c r="FM287" s="37"/>
      <c r="FN287" s="37"/>
      <c r="FO287" s="37"/>
      <c r="FP287" s="37"/>
      <c r="FQ287" s="37"/>
      <c r="FR287" s="37"/>
      <c r="FS287" s="37"/>
      <c r="FT287" s="37"/>
      <c r="FU287" s="37"/>
      <c r="FV287" s="37"/>
      <c r="FW287" s="37"/>
      <c r="FX287" s="37"/>
      <c r="FY287" s="37"/>
      <c r="FZ287" s="37"/>
      <c r="GA287" s="37" t="s">
        <v>368</v>
      </c>
      <c r="GB287" s="37" t="s">
        <v>368</v>
      </c>
      <c r="GC287" s="37" t="s">
        <v>368</v>
      </c>
      <c r="GD287" s="37" t="s">
        <v>368</v>
      </c>
      <c r="GE287" s="37" t="s">
        <v>368</v>
      </c>
      <c r="GF287" s="37" t="s">
        <v>368</v>
      </c>
      <c r="GG287" s="37"/>
      <c r="GH287" s="37"/>
      <c r="GI287" s="37"/>
      <c r="GJ287" s="37"/>
      <c r="GK287" s="37"/>
      <c r="GL287" s="37" t="s">
        <v>344</v>
      </c>
      <c r="GM287" s="37" t="s">
        <v>344</v>
      </c>
      <c r="GN287" s="37" t="s">
        <v>344</v>
      </c>
      <c r="GO287" s="37" t="s">
        <v>344</v>
      </c>
      <c r="GP287" s="37" t="s">
        <v>344</v>
      </c>
      <c r="GQ287" s="37" t="s">
        <v>344</v>
      </c>
      <c r="GR287" s="37" t="s">
        <v>344</v>
      </c>
      <c r="GS287" s="37" t="s">
        <v>344</v>
      </c>
      <c r="GT287" s="37" t="s">
        <v>344</v>
      </c>
      <c r="GU287" s="37" t="s">
        <v>344</v>
      </c>
      <c r="GV287" s="37" t="s">
        <v>344</v>
      </c>
      <c r="GW287" s="37" t="s">
        <v>345</v>
      </c>
      <c r="GX287" s="37" t="s">
        <v>344</v>
      </c>
      <c r="GY287" s="37" t="s">
        <v>344</v>
      </c>
      <c r="GZ287" s="37" t="s">
        <v>344</v>
      </c>
      <c r="HA287" s="37" t="s">
        <v>344</v>
      </c>
      <c r="HB287" s="37"/>
      <c r="HC287" s="37" t="s">
        <v>345</v>
      </c>
      <c r="HD287" s="37" t="s">
        <v>443</v>
      </c>
      <c r="HE287" s="37" t="s">
        <v>345</v>
      </c>
      <c r="HF287" s="37" t="s">
        <v>1556</v>
      </c>
      <c r="HG287" s="37" t="s">
        <v>344</v>
      </c>
      <c r="HH287" s="37"/>
      <c r="HI287" s="37" t="s">
        <v>344</v>
      </c>
      <c r="HJ287" s="37"/>
      <c r="HK287" s="37" t="s">
        <v>344</v>
      </c>
      <c r="HL287" s="37" t="s">
        <v>344</v>
      </c>
      <c r="HM287" s="37" t="s">
        <v>344</v>
      </c>
      <c r="HN287" s="37" t="s">
        <v>344</v>
      </c>
      <c r="HO287" s="37" t="s">
        <v>344</v>
      </c>
      <c r="HP287" s="37" t="s">
        <v>344</v>
      </c>
      <c r="HQ287" s="37" t="s">
        <v>344</v>
      </c>
      <c r="HR287" s="37" t="s">
        <v>344</v>
      </c>
      <c r="HS287" s="37" t="s">
        <v>344</v>
      </c>
      <c r="HT287" s="37" t="s">
        <v>344</v>
      </c>
      <c r="HU287" s="37" t="s">
        <v>344</v>
      </c>
      <c r="HV287" s="37" t="s">
        <v>344</v>
      </c>
      <c r="HW287" s="37" t="s">
        <v>344</v>
      </c>
      <c r="HX287" s="37" t="s">
        <v>344</v>
      </c>
      <c r="HY287" s="37" t="s">
        <v>344</v>
      </c>
      <c r="HZ287" s="37" t="s">
        <v>344</v>
      </c>
      <c r="IA287" s="37" t="s">
        <v>344</v>
      </c>
      <c r="IB287" s="37" t="s">
        <v>344</v>
      </c>
      <c r="IC287" s="37" t="s">
        <v>345</v>
      </c>
      <c r="ID287" s="37"/>
      <c r="IE287" s="37" t="s">
        <v>344</v>
      </c>
      <c r="IF287" s="37"/>
      <c r="IG287" s="37" t="s">
        <v>344</v>
      </c>
      <c r="IH287" s="37"/>
      <c r="II287" s="37" t="s">
        <v>344</v>
      </c>
      <c r="IJ287" s="37"/>
      <c r="IK287" s="37" t="s">
        <v>344</v>
      </c>
      <c r="IL287" s="37"/>
      <c r="IM287" s="37" t="s">
        <v>345</v>
      </c>
      <c r="IN287" s="37" t="s">
        <v>345</v>
      </c>
      <c r="IO287" s="37" t="s">
        <v>344</v>
      </c>
      <c r="IP287" s="37" t="s">
        <v>344</v>
      </c>
      <c r="IQ287" s="37" t="s">
        <v>345</v>
      </c>
      <c r="IR287" s="37" t="s">
        <v>344</v>
      </c>
      <c r="IS287" s="37" t="s">
        <v>344</v>
      </c>
      <c r="IT287" s="37" t="s">
        <v>345</v>
      </c>
      <c r="IU287" s="37" t="s">
        <v>344</v>
      </c>
      <c r="IV287" s="37" t="s">
        <v>344</v>
      </c>
      <c r="IW287" s="37" t="s">
        <v>344</v>
      </c>
      <c r="IX287" s="37" t="s">
        <v>344</v>
      </c>
      <c r="IY287" s="37" t="s">
        <v>344</v>
      </c>
      <c r="IZ287" s="37" t="s">
        <v>344</v>
      </c>
      <c r="JA287" s="37" t="s">
        <v>748</v>
      </c>
      <c r="JB287" s="37" t="s">
        <v>1557</v>
      </c>
    </row>
    <row r="288" spans="1:262" x14ac:dyDescent="0.3">
      <c r="A288" s="36" t="s">
        <v>338</v>
      </c>
      <c r="B288" s="37">
        <v>256</v>
      </c>
      <c r="C288" s="37" t="s">
        <v>1558</v>
      </c>
      <c r="D288" s="37">
        <v>14</v>
      </c>
      <c r="E288" s="37" t="s">
        <v>387</v>
      </c>
      <c r="F288" s="37">
        <v>39247683</v>
      </c>
      <c r="G288" s="37" t="s">
        <v>1559</v>
      </c>
      <c r="H288" s="37" t="s">
        <v>1558</v>
      </c>
      <c r="I288" s="37" t="s">
        <v>1486</v>
      </c>
      <c r="J288" s="37">
        <v>17</v>
      </c>
      <c r="K288" s="37" t="s">
        <v>1282</v>
      </c>
      <c r="L288" s="37"/>
      <c r="M288" s="37" t="s">
        <v>345</v>
      </c>
      <c r="N288" s="37" t="s">
        <v>344</v>
      </c>
      <c r="O288" s="37" t="s">
        <v>344</v>
      </c>
      <c r="P288" s="37" t="s">
        <v>344</v>
      </c>
      <c r="Q288" s="37" t="s">
        <v>344</v>
      </c>
      <c r="R288" s="37"/>
      <c r="S288" s="37" t="s">
        <v>1487</v>
      </c>
      <c r="T288" s="37"/>
      <c r="U288" s="37" t="s">
        <v>1457</v>
      </c>
      <c r="V288" s="37"/>
      <c r="W288" s="37" t="s">
        <v>368</v>
      </c>
      <c r="X288" s="37" t="s">
        <v>368</v>
      </c>
      <c r="Y288" s="37" t="s">
        <v>368</v>
      </c>
      <c r="Z288" s="37" t="s">
        <v>368</v>
      </c>
      <c r="AA288" s="37" t="s">
        <v>368</v>
      </c>
      <c r="AB288" s="37" t="s">
        <v>368</v>
      </c>
      <c r="AC288" s="37" t="s">
        <v>345</v>
      </c>
      <c r="AD288" s="37" t="s">
        <v>345</v>
      </c>
      <c r="AE288" s="37" t="s">
        <v>345</v>
      </c>
      <c r="AF288" s="37" t="s">
        <v>345</v>
      </c>
      <c r="AG288" s="37" t="s">
        <v>344</v>
      </c>
      <c r="AH288" s="37" t="s">
        <v>344</v>
      </c>
      <c r="AI288" s="37" t="s">
        <v>344</v>
      </c>
      <c r="AJ288" s="37" t="s">
        <v>344</v>
      </c>
      <c r="AK288" s="37" t="s">
        <v>344</v>
      </c>
      <c r="AL288" s="37" t="s">
        <v>344</v>
      </c>
      <c r="AM288" s="37" t="s">
        <v>345</v>
      </c>
      <c r="AN288" s="37" t="s">
        <v>345</v>
      </c>
      <c r="AO288" s="37" t="s">
        <v>344</v>
      </c>
      <c r="AP288" s="37" t="s">
        <v>345</v>
      </c>
      <c r="AQ288" s="37" t="s">
        <v>344</v>
      </c>
      <c r="AR288" s="37" t="s">
        <v>344</v>
      </c>
      <c r="AS288" s="37" t="s">
        <v>345</v>
      </c>
      <c r="AT288" s="37" t="s">
        <v>345</v>
      </c>
      <c r="AU288" s="37" t="s">
        <v>345</v>
      </c>
      <c r="AV288" s="37" t="s">
        <v>345</v>
      </c>
      <c r="AW288" s="37" t="s">
        <v>344</v>
      </c>
      <c r="AX288" s="37" t="s">
        <v>344</v>
      </c>
      <c r="AY288" s="37" t="s">
        <v>391</v>
      </c>
      <c r="AZ288" s="37" t="s">
        <v>731</v>
      </c>
      <c r="BA288" s="37" t="s">
        <v>733</v>
      </c>
      <c r="BB288" s="37" t="s">
        <v>733</v>
      </c>
      <c r="BC288" s="37" t="s">
        <v>733</v>
      </c>
      <c r="BD288" s="37" t="s">
        <v>733</v>
      </c>
      <c r="BE288" s="37" t="s">
        <v>390</v>
      </c>
      <c r="BF288" s="37" t="s">
        <v>390</v>
      </c>
      <c r="BG288" s="37" t="s">
        <v>390</v>
      </c>
      <c r="BH288" s="37" t="s">
        <v>348</v>
      </c>
      <c r="BI288" s="37" t="s">
        <v>390</v>
      </c>
      <c r="BJ288" s="37" t="s">
        <v>391</v>
      </c>
      <c r="BK288" s="37" t="s">
        <v>391</v>
      </c>
      <c r="BL288" s="37" t="s">
        <v>391</v>
      </c>
      <c r="BM288" s="37" t="s">
        <v>391</v>
      </c>
      <c r="BN288" s="37" t="s">
        <v>391</v>
      </c>
      <c r="BO288" s="37" t="s">
        <v>391</v>
      </c>
      <c r="BP288" s="37" t="s">
        <v>391</v>
      </c>
      <c r="BQ288" s="37" t="s">
        <v>455</v>
      </c>
      <c r="BR288" s="37" t="s">
        <v>1296</v>
      </c>
      <c r="BS288" s="37" t="s">
        <v>391</v>
      </c>
      <c r="BT288" s="37" t="s">
        <v>391</v>
      </c>
      <c r="BU288" s="37" t="s">
        <v>391</v>
      </c>
      <c r="BV288" s="37" t="s">
        <v>391</v>
      </c>
      <c r="BW288" s="37" t="s">
        <v>391</v>
      </c>
      <c r="BX288" s="37" t="s">
        <v>391</v>
      </c>
      <c r="BY288" s="37" t="s">
        <v>391</v>
      </c>
      <c r="BZ288" s="37" t="s">
        <v>391</v>
      </c>
      <c r="CA288" s="37" t="s">
        <v>391</v>
      </c>
      <c r="CB288" s="37" t="s">
        <v>391</v>
      </c>
      <c r="CC288" s="37" t="s">
        <v>356</v>
      </c>
      <c r="CD288" s="37" t="s">
        <v>355</v>
      </c>
      <c r="CE288" s="37" t="s">
        <v>357</v>
      </c>
      <c r="CF288" s="37" t="s">
        <v>354</v>
      </c>
      <c r="CG288" s="37" t="s">
        <v>393</v>
      </c>
      <c r="CH288" s="37" t="s">
        <v>360</v>
      </c>
      <c r="CI288" s="37" t="s">
        <v>360</v>
      </c>
      <c r="CJ288" s="37" t="s">
        <v>360</v>
      </c>
      <c r="CK288" s="37" t="s">
        <v>717</v>
      </c>
      <c r="CL288" s="37" t="s">
        <v>344</v>
      </c>
      <c r="CM288" s="37" t="s">
        <v>344</v>
      </c>
      <c r="CN288" s="37" t="s">
        <v>344</v>
      </c>
      <c r="CO288" s="37" t="s">
        <v>345</v>
      </c>
      <c r="CP288" s="37" t="s">
        <v>345</v>
      </c>
      <c r="CQ288" s="37" t="s">
        <v>344</v>
      </c>
      <c r="CR288" s="37" t="s">
        <v>672</v>
      </c>
      <c r="CS288" s="37">
        <v>96</v>
      </c>
      <c r="CT288" s="37">
        <v>94</v>
      </c>
      <c r="CU288" s="37"/>
      <c r="CV288" s="37"/>
      <c r="CW288" s="37" t="s">
        <v>363</v>
      </c>
      <c r="CX288" s="37" t="s">
        <v>396</v>
      </c>
      <c r="CY288" s="37" t="s">
        <v>363</v>
      </c>
      <c r="CZ288" s="37" t="s">
        <v>397</v>
      </c>
      <c r="DA288" s="37" t="s">
        <v>366</v>
      </c>
      <c r="DB288" s="37" t="s">
        <v>366</v>
      </c>
      <c r="DC288" s="37" t="s">
        <v>423</v>
      </c>
      <c r="DD288" s="37" t="s">
        <v>423</v>
      </c>
      <c r="DE288" s="37"/>
      <c r="DF288" s="37"/>
      <c r="DG288" s="37"/>
      <c r="DH288" s="37"/>
      <c r="DI288" s="37"/>
      <c r="DJ288" s="37" t="s">
        <v>1560</v>
      </c>
      <c r="DK288" s="37" t="s">
        <v>344</v>
      </c>
      <c r="DL288" s="37" t="s">
        <v>368</v>
      </c>
      <c r="DM288" s="37" t="s">
        <v>368</v>
      </c>
      <c r="DN288" s="37" t="s">
        <v>368</v>
      </c>
      <c r="DO288" s="37" t="s">
        <v>368</v>
      </c>
      <c r="DP288" s="37" t="s">
        <v>368</v>
      </c>
      <c r="DQ288" s="37" t="s">
        <v>368</v>
      </c>
      <c r="DR288" s="37" t="s">
        <v>368</v>
      </c>
      <c r="DS288" s="37" t="s">
        <v>345</v>
      </c>
      <c r="DT288" s="37" t="s">
        <v>345</v>
      </c>
      <c r="DU288" s="37" t="s">
        <v>345</v>
      </c>
      <c r="DV288" s="37" t="s">
        <v>344</v>
      </c>
      <c r="DW288" s="37" t="s">
        <v>344</v>
      </c>
      <c r="DX288" s="37" t="s">
        <v>1258</v>
      </c>
      <c r="DY288" s="37" t="s">
        <v>1258</v>
      </c>
      <c r="DZ288" s="37" t="s">
        <v>1258</v>
      </c>
      <c r="EA288" s="37" t="s">
        <v>1258</v>
      </c>
      <c r="EB288" s="37" t="s">
        <v>1258</v>
      </c>
      <c r="EC288" s="37" t="s">
        <v>1258</v>
      </c>
      <c r="ED288" s="37" t="s">
        <v>1258</v>
      </c>
      <c r="EE288" s="37" t="s">
        <v>397</v>
      </c>
      <c r="EF288" s="37" t="s">
        <v>397</v>
      </c>
      <c r="EG288" s="37" t="s">
        <v>397</v>
      </c>
      <c r="EH288" s="37" t="s">
        <v>397</v>
      </c>
      <c r="EI288" s="37" t="s">
        <v>397</v>
      </c>
      <c r="EJ288" s="37" t="s">
        <v>397</v>
      </c>
      <c r="EK288" s="37" t="s">
        <v>397</v>
      </c>
      <c r="EL288" s="37" t="s">
        <v>1260</v>
      </c>
      <c r="EM288" s="37" t="s">
        <v>1259</v>
      </c>
      <c r="EN288" s="37" t="s">
        <v>1275</v>
      </c>
      <c r="EO288" s="37"/>
      <c r="EP288" s="37"/>
      <c r="EQ288" s="37" t="s">
        <v>717</v>
      </c>
      <c r="ER288" s="37" t="s">
        <v>1277</v>
      </c>
      <c r="ES288" s="37" t="s">
        <v>1263</v>
      </c>
      <c r="ET288" s="37" t="s">
        <v>1277</v>
      </c>
      <c r="EU288" s="37" t="s">
        <v>1263</v>
      </c>
      <c r="EV288" s="37" t="s">
        <v>1265</v>
      </c>
      <c r="EW288" s="37"/>
      <c r="EX288" s="37" t="s">
        <v>368</v>
      </c>
      <c r="EY288" s="37" t="s">
        <v>368</v>
      </c>
      <c r="EZ288" s="37" t="s">
        <v>368</v>
      </c>
      <c r="FA288" s="37" t="s">
        <v>345</v>
      </c>
      <c r="FB288" s="37" t="s">
        <v>1266</v>
      </c>
      <c r="FC288" s="37"/>
      <c r="FD288" s="37" t="s">
        <v>1266</v>
      </c>
      <c r="FE288" s="37"/>
      <c r="FF288" s="37" t="s">
        <v>431</v>
      </c>
      <c r="FG288" s="37" t="s">
        <v>441</v>
      </c>
      <c r="FH288" s="37" t="s">
        <v>460</v>
      </c>
      <c r="FI288" s="37" t="s">
        <v>442</v>
      </c>
      <c r="FJ288" s="37"/>
      <c r="FK288" s="37"/>
      <c r="FL288" s="37"/>
      <c r="FM288" s="37"/>
      <c r="FN288" s="37"/>
      <c r="FO288" s="37"/>
      <c r="FP288" s="37"/>
      <c r="FQ288" s="37"/>
      <c r="FR288" s="37"/>
      <c r="FS288" s="37"/>
      <c r="FT288" s="37"/>
      <c r="FU288" s="37"/>
      <c r="FV288" s="37"/>
      <c r="FW288" s="37"/>
      <c r="FX288" s="37"/>
      <c r="FY288" s="37"/>
      <c r="FZ288" s="37"/>
      <c r="GA288" s="37" t="s">
        <v>368</v>
      </c>
      <c r="GB288" s="37" t="s">
        <v>368</v>
      </c>
      <c r="GC288" s="37" t="s">
        <v>368</v>
      </c>
      <c r="GD288" s="37" t="s">
        <v>368</v>
      </c>
      <c r="GE288" s="37" t="s">
        <v>368</v>
      </c>
      <c r="GF288" s="37" t="s">
        <v>368</v>
      </c>
      <c r="GG288" s="37"/>
      <c r="GH288" s="37"/>
      <c r="GI288" s="37"/>
      <c r="GJ288" s="37"/>
      <c r="GK288" s="37"/>
      <c r="GL288" s="37" t="s">
        <v>344</v>
      </c>
      <c r="GM288" s="37" t="s">
        <v>344</v>
      </c>
      <c r="GN288" s="37" t="s">
        <v>345</v>
      </c>
      <c r="GO288" s="37" t="s">
        <v>345</v>
      </c>
      <c r="GP288" s="37" t="s">
        <v>344</v>
      </c>
      <c r="GQ288" s="37" t="s">
        <v>344</v>
      </c>
      <c r="GR288" s="37" t="s">
        <v>344</v>
      </c>
      <c r="GS288" s="37" t="s">
        <v>344</v>
      </c>
      <c r="GT288" s="37" t="s">
        <v>345</v>
      </c>
      <c r="GU288" s="37" t="s">
        <v>344</v>
      </c>
      <c r="GV288" s="37" t="s">
        <v>344</v>
      </c>
      <c r="GW288" s="37" t="s">
        <v>345</v>
      </c>
      <c r="GX288" s="37" t="s">
        <v>344</v>
      </c>
      <c r="GY288" s="37" t="s">
        <v>344</v>
      </c>
      <c r="GZ288" s="37" t="s">
        <v>344</v>
      </c>
      <c r="HA288" s="37" t="s">
        <v>344</v>
      </c>
      <c r="HB288" s="37"/>
      <c r="HC288" s="37" t="s">
        <v>344</v>
      </c>
      <c r="HD288" s="37"/>
      <c r="HE288" s="37" t="s">
        <v>344</v>
      </c>
      <c r="HF288" s="37"/>
      <c r="HG288" s="37" t="s">
        <v>344</v>
      </c>
      <c r="HH288" s="37"/>
      <c r="HI288" s="37" t="s">
        <v>344</v>
      </c>
      <c r="HJ288" s="37"/>
      <c r="HK288" s="37" t="s">
        <v>345</v>
      </c>
      <c r="HL288" s="37" t="s">
        <v>345</v>
      </c>
      <c r="HM288" s="37" t="s">
        <v>344</v>
      </c>
      <c r="HN288" s="37" t="s">
        <v>345</v>
      </c>
      <c r="HO288" s="37" t="s">
        <v>344</v>
      </c>
      <c r="HP288" s="37" t="s">
        <v>344</v>
      </c>
      <c r="HQ288" s="37" t="s">
        <v>344</v>
      </c>
      <c r="HR288" s="37" t="s">
        <v>345</v>
      </c>
      <c r="HS288" s="37" t="s">
        <v>345</v>
      </c>
      <c r="HT288" s="37" t="s">
        <v>345</v>
      </c>
      <c r="HU288" s="37" t="s">
        <v>345</v>
      </c>
      <c r="HV288" s="37" t="s">
        <v>345</v>
      </c>
      <c r="HW288" s="37" t="s">
        <v>345</v>
      </c>
      <c r="HX288" s="37" t="s">
        <v>345</v>
      </c>
      <c r="HY288" s="37" t="s">
        <v>344</v>
      </c>
      <c r="HZ288" s="37" t="s">
        <v>344</v>
      </c>
      <c r="IA288" s="37" t="s">
        <v>344</v>
      </c>
      <c r="IB288" s="37" t="s">
        <v>344</v>
      </c>
      <c r="IC288" s="37" t="s">
        <v>344</v>
      </c>
      <c r="ID288" s="37"/>
      <c r="IE288" s="37" t="s">
        <v>344</v>
      </c>
      <c r="IF288" s="37"/>
      <c r="IG288" s="37" t="s">
        <v>344</v>
      </c>
      <c r="IH288" s="37"/>
      <c r="II288" s="37" t="s">
        <v>344</v>
      </c>
      <c r="IJ288" s="37"/>
      <c r="IK288" s="37" t="s">
        <v>344</v>
      </c>
      <c r="IL288" s="37"/>
      <c r="IM288" s="37" t="s">
        <v>344</v>
      </c>
      <c r="IN288" s="37" t="s">
        <v>345</v>
      </c>
      <c r="IO288" s="37" t="s">
        <v>345</v>
      </c>
      <c r="IP288" s="37" t="s">
        <v>344</v>
      </c>
      <c r="IQ288" s="37" t="s">
        <v>345</v>
      </c>
      <c r="IR288" s="37" t="s">
        <v>344</v>
      </c>
      <c r="IS288" s="37" t="s">
        <v>344</v>
      </c>
      <c r="IT288" s="37" t="s">
        <v>345</v>
      </c>
      <c r="IU288" s="37" t="s">
        <v>344</v>
      </c>
      <c r="IV288" s="37" t="s">
        <v>344</v>
      </c>
      <c r="IW288" s="37" t="s">
        <v>344</v>
      </c>
      <c r="IX288" s="37" t="s">
        <v>344</v>
      </c>
      <c r="IY288" s="37" t="s">
        <v>345</v>
      </c>
      <c r="IZ288" s="37" t="s">
        <v>344</v>
      </c>
      <c r="JA288" s="37"/>
      <c r="JB288" s="37"/>
    </row>
    <row r="289" spans="1:262" x14ac:dyDescent="0.3">
      <c r="A289" s="36" t="s">
        <v>338</v>
      </c>
      <c r="B289" s="37">
        <v>258</v>
      </c>
      <c r="C289" s="37" t="s">
        <v>1561</v>
      </c>
      <c r="D289" s="37">
        <v>14</v>
      </c>
      <c r="E289" s="37" t="s">
        <v>387</v>
      </c>
      <c r="F289" s="37">
        <v>1934959107</v>
      </c>
      <c r="G289" s="37" t="s">
        <v>1562</v>
      </c>
      <c r="H289" s="37" t="s">
        <v>1561</v>
      </c>
      <c r="I289" s="37" t="s">
        <v>1486</v>
      </c>
      <c r="J289" s="37">
        <v>17</v>
      </c>
      <c r="K289" s="37" t="s">
        <v>1282</v>
      </c>
      <c r="L289" s="37"/>
      <c r="M289" s="37" t="s">
        <v>345</v>
      </c>
      <c r="N289" s="37" t="s">
        <v>344</v>
      </c>
      <c r="O289" s="37" t="s">
        <v>344</v>
      </c>
      <c r="P289" s="37" t="s">
        <v>344</v>
      </c>
      <c r="Q289" s="37" t="s">
        <v>344</v>
      </c>
      <c r="R289" s="37"/>
      <c r="S289" s="37" t="s">
        <v>1487</v>
      </c>
      <c r="T289" s="37"/>
      <c r="U289" s="37" t="s">
        <v>1270</v>
      </c>
      <c r="V289" s="37"/>
      <c r="W289" s="37" t="s">
        <v>345</v>
      </c>
      <c r="X289" s="37" t="s">
        <v>344</v>
      </c>
      <c r="Y289" s="37" t="s">
        <v>344</v>
      </c>
      <c r="Z289" s="37" t="s">
        <v>344</v>
      </c>
      <c r="AA289" s="37" t="s">
        <v>344</v>
      </c>
      <c r="AB289" s="37" t="s">
        <v>344</v>
      </c>
      <c r="AC289" s="37" t="s">
        <v>344</v>
      </c>
      <c r="AD289" s="37" t="s">
        <v>344</v>
      </c>
      <c r="AE289" s="37" t="s">
        <v>345</v>
      </c>
      <c r="AF289" s="37" t="s">
        <v>344</v>
      </c>
      <c r="AG289" s="37" t="s">
        <v>344</v>
      </c>
      <c r="AH289" s="37" t="s">
        <v>344</v>
      </c>
      <c r="AI289" s="37" t="s">
        <v>344</v>
      </c>
      <c r="AJ289" s="37" t="s">
        <v>344</v>
      </c>
      <c r="AK289" s="37" t="s">
        <v>345</v>
      </c>
      <c r="AL289" s="37" t="s">
        <v>344</v>
      </c>
      <c r="AM289" s="37" t="s">
        <v>344</v>
      </c>
      <c r="AN289" s="37" t="s">
        <v>344</v>
      </c>
      <c r="AO289" s="37" t="s">
        <v>344</v>
      </c>
      <c r="AP289" s="37" t="s">
        <v>344</v>
      </c>
      <c r="AQ289" s="37" t="s">
        <v>344</v>
      </c>
      <c r="AR289" s="37" t="s">
        <v>345</v>
      </c>
      <c r="AS289" s="37" t="s">
        <v>344</v>
      </c>
      <c r="AT289" s="37" t="s">
        <v>344</v>
      </c>
      <c r="AU289" s="37" t="s">
        <v>344</v>
      </c>
      <c r="AV289" s="37" t="s">
        <v>344</v>
      </c>
      <c r="AW289" s="37" t="s">
        <v>344</v>
      </c>
      <c r="AX289" s="37" t="s">
        <v>344</v>
      </c>
      <c r="AY289" s="37" t="s">
        <v>391</v>
      </c>
      <c r="AZ289" s="37" t="s">
        <v>391</v>
      </c>
      <c r="BA289" s="37" t="s">
        <v>391</v>
      </c>
      <c r="BB289" s="37" t="s">
        <v>391</v>
      </c>
      <c r="BC289" s="37" t="s">
        <v>391</v>
      </c>
      <c r="BD289" s="37" t="s">
        <v>391</v>
      </c>
      <c r="BE289" s="37" t="s">
        <v>350</v>
      </c>
      <c r="BF289" s="37" t="s">
        <v>350</v>
      </c>
      <c r="BG289" s="37" t="s">
        <v>350</v>
      </c>
      <c r="BH289" s="37" t="s">
        <v>349</v>
      </c>
      <c r="BI289" s="37" t="s">
        <v>348</v>
      </c>
      <c r="BJ289" s="37" t="s">
        <v>391</v>
      </c>
      <c r="BK289" s="37" t="s">
        <v>391</v>
      </c>
      <c r="BL289" s="37" t="s">
        <v>391</v>
      </c>
      <c r="BM289" s="37" t="s">
        <v>391</v>
      </c>
      <c r="BN289" s="37" t="s">
        <v>391</v>
      </c>
      <c r="BO289" s="37" t="s">
        <v>391</v>
      </c>
      <c r="BP289" s="37" t="s">
        <v>391</v>
      </c>
      <c r="BQ289" s="37" t="s">
        <v>419</v>
      </c>
      <c r="BR289" s="37" t="s">
        <v>1257</v>
      </c>
      <c r="BS289" s="37" t="s">
        <v>391</v>
      </c>
      <c r="BT289" s="37" t="s">
        <v>391</v>
      </c>
      <c r="BU289" s="37" t="s">
        <v>391</v>
      </c>
      <c r="BV289" s="37" t="s">
        <v>391</v>
      </c>
      <c r="BW289" s="37" t="s">
        <v>391</v>
      </c>
      <c r="BX289" s="37" t="s">
        <v>391</v>
      </c>
      <c r="BY289" s="37" t="s">
        <v>391</v>
      </c>
      <c r="BZ289" s="37" t="s">
        <v>391</v>
      </c>
      <c r="CA289" s="37" t="s">
        <v>391</v>
      </c>
      <c r="CB289" s="37" t="s">
        <v>391</v>
      </c>
      <c r="CC289" s="37" t="s">
        <v>391</v>
      </c>
      <c r="CD289" s="37" t="s">
        <v>391</v>
      </c>
      <c r="CE289" s="37" t="s">
        <v>391</v>
      </c>
      <c r="CF289" s="37" t="s">
        <v>391</v>
      </c>
      <c r="CG289" s="37" t="s">
        <v>393</v>
      </c>
      <c r="CH289" s="37" t="s">
        <v>420</v>
      </c>
      <c r="CI289" s="37" t="s">
        <v>393</v>
      </c>
      <c r="CJ289" s="37" t="s">
        <v>392</v>
      </c>
      <c r="CK289" s="37" t="s">
        <v>1563</v>
      </c>
      <c r="CL289" s="37" t="s">
        <v>344</v>
      </c>
      <c r="CM289" s="37" t="s">
        <v>344</v>
      </c>
      <c r="CN289" s="37" t="s">
        <v>344</v>
      </c>
      <c r="CO289" s="37" t="s">
        <v>345</v>
      </c>
      <c r="CP289" s="37" t="s">
        <v>344</v>
      </c>
      <c r="CQ289" s="37" t="s">
        <v>344</v>
      </c>
      <c r="CR289" s="37" t="s">
        <v>655</v>
      </c>
      <c r="CS289" s="37">
        <v>100</v>
      </c>
      <c r="CT289" s="37">
        <v>100</v>
      </c>
      <c r="CU289" s="37"/>
      <c r="CV289" s="37"/>
      <c r="CW289" s="37" t="s">
        <v>364</v>
      </c>
      <c r="CX289" s="37" t="s">
        <v>364</v>
      </c>
      <c r="CY289" s="37" t="s">
        <v>396</v>
      </c>
      <c r="CZ289" s="37" t="s">
        <v>397</v>
      </c>
      <c r="DA289" s="37" t="s">
        <v>397</v>
      </c>
      <c r="DB289" s="37" t="s">
        <v>397</v>
      </c>
      <c r="DC289" s="37" t="s">
        <v>366</v>
      </c>
      <c r="DD289" s="37" t="s">
        <v>423</v>
      </c>
      <c r="DE289" s="37"/>
      <c r="DF289" s="37"/>
      <c r="DG289" s="37"/>
      <c r="DH289" s="37"/>
      <c r="DI289" s="37"/>
      <c r="DJ289" s="37" t="s">
        <v>1564</v>
      </c>
      <c r="DK289" s="37" t="s">
        <v>1565</v>
      </c>
      <c r="DL289" s="37" t="s">
        <v>368</v>
      </c>
      <c r="DM289" s="37" t="s">
        <v>368</v>
      </c>
      <c r="DN289" s="37" t="s">
        <v>368</v>
      </c>
      <c r="DO289" s="37" t="s">
        <v>345</v>
      </c>
      <c r="DP289" s="37" t="s">
        <v>368</v>
      </c>
      <c r="DQ289" s="37" t="s">
        <v>368</v>
      </c>
      <c r="DR289" s="37" t="s">
        <v>368</v>
      </c>
      <c r="DS289" s="37" t="s">
        <v>345</v>
      </c>
      <c r="DT289" s="37" t="s">
        <v>344</v>
      </c>
      <c r="DU289" s="37" t="s">
        <v>344</v>
      </c>
      <c r="DV289" s="37" t="s">
        <v>345</v>
      </c>
      <c r="DW289" s="37" t="s">
        <v>344</v>
      </c>
      <c r="DX289" s="37" t="s">
        <v>1258</v>
      </c>
      <c r="DY289" s="37" t="s">
        <v>1258</v>
      </c>
      <c r="DZ289" s="37" t="s">
        <v>1258</v>
      </c>
      <c r="EA289" s="37" t="s">
        <v>1258</v>
      </c>
      <c r="EB289" s="37" t="s">
        <v>1258</v>
      </c>
      <c r="EC289" s="37" t="s">
        <v>1258</v>
      </c>
      <c r="ED289" s="37" t="s">
        <v>1258</v>
      </c>
      <c r="EE289" s="37" t="s">
        <v>1258</v>
      </c>
      <c r="EF289" s="37" t="s">
        <v>1258</v>
      </c>
      <c r="EG289" s="37" t="s">
        <v>1258</v>
      </c>
      <c r="EH289" s="37" t="s">
        <v>1272</v>
      </c>
      <c r="EI289" s="37" t="s">
        <v>1258</v>
      </c>
      <c r="EJ289" s="37" t="s">
        <v>1258</v>
      </c>
      <c r="EK289" s="37" t="s">
        <v>1272</v>
      </c>
      <c r="EL289" s="37" t="s">
        <v>1259</v>
      </c>
      <c r="EM289" s="37" t="s">
        <v>1276</v>
      </c>
      <c r="EN289" s="37" t="s">
        <v>1261</v>
      </c>
      <c r="EO289" s="37"/>
      <c r="EP289" s="37"/>
      <c r="EQ289" s="37" t="s">
        <v>717</v>
      </c>
      <c r="ER289" s="37" t="s">
        <v>717</v>
      </c>
      <c r="ES289" s="37" t="s">
        <v>717</v>
      </c>
      <c r="ET289" s="37" t="s">
        <v>717</v>
      </c>
      <c r="EU289" s="37" t="s">
        <v>717</v>
      </c>
      <c r="EV289" s="37" t="s">
        <v>1265</v>
      </c>
      <c r="EW289" s="37"/>
      <c r="EX289" s="38" t="s">
        <v>345</v>
      </c>
      <c r="EY289" s="38" t="s">
        <v>344</v>
      </c>
      <c r="EZ289" s="38" t="s">
        <v>344</v>
      </c>
      <c r="FA289" s="38" t="s">
        <v>344</v>
      </c>
      <c r="FB289" s="37" t="s">
        <v>1266</v>
      </c>
      <c r="FC289" s="37"/>
      <c r="FD289" s="37" t="s">
        <v>1266</v>
      </c>
      <c r="FE289" s="37"/>
      <c r="FF289" s="37" t="s">
        <v>1322</v>
      </c>
      <c r="FG289" s="37" t="s">
        <v>1323</v>
      </c>
      <c r="FH289" s="37" t="s">
        <v>1301</v>
      </c>
      <c r="FI289" s="37" t="s">
        <v>385</v>
      </c>
      <c r="FJ289" s="37"/>
      <c r="FK289" s="37"/>
      <c r="FL289" s="37"/>
      <c r="FM289" s="37"/>
      <c r="FN289" s="37"/>
      <c r="FO289" s="37"/>
      <c r="FP289" s="37"/>
      <c r="FQ289" s="37"/>
      <c r="FR289" s="37"/>
      <c r="FS289" s="37"/>
      <c r="FT289" s="37"/>
      <c r="FU289" s="37"/>
      <c r="FV289" s="37"/>
      <c r="FW289" s="37"/>
      <c r="FX289" s="37"/>
      <c r="FY289" s="37"/>
      <c r="FZ289" s="37"/>
      <c r="GA289" s="37" t="s">
        <v>368</v>
      </c>
      <c r="GB289" s="37" t="s">
        <v>368</v>
      </c>
      <c r="GC289" s="37" t="s">
        <v>368</v>
      </c>
      <c r="GD289" s="37" t="s">
        <v>368</v>
      </c>
      <c r="GE289" s="37" t="s">
        <v>368</v>
      </c>
      <c r="GF289" s="37" t="s">
        <v>368</v>
      </c>
      <c r="GG289" s="37"/>
      <c r="GH289" s="37"/>
      <c r="GI289" s="37"/>
      <c r="GJ289" s="37"/>
      <c r="GK289" s="37"/>
      <c r="GL289" s="37" t="s">
        <v>344</v>
      </c>
      <c r="GM289" s="37" t="s">
        <v>344</v>
      </c>
      <c r="GN289" s="37" t="s">
        <v>345</v>
      </c>
      <c r="GO289" s="37" t="s">
        <v>345</v>
      </c>
      <c r="GP289" s="37" t="s">
        <v>344</v>
      </c>
      <c r="GQ289" s="37" t="s">
        <v>344</v>
      </c>
      <c r="GR289" s="37" t="s">
        <v>344</v>
      </c>
      <c r="GS289" s="37" t="s">
        <v>344</v>
      </c>
      <c r="GT289" s="37" t="s">
        <v>344</v>
      </c>
      <c r="GU289" s="37" t="s">
        <v>344</v>
      </c>
      <c r="GV289" s="37" t="s">
        <v>344</v>
      </c>
      <c r="GW289" s="37" t="s">
        <v>345</v>
      </c>
      <c r="GX289" s="37" t="s">
        <v>344</v>
      </c>
      <c r="GY289" s="37" t="s">
        <v>344</v>
      </c>
      <c r="GZ289" s="37" t="s">
        <v>344</v>
      </c>
      <c r="HA289" s="37" t="s">
        <v>344</v>
      </c>
      <c r="HB289" s="37"/>
      <c r="HC289" s="37" t="s">
        <v>344</v>
      </c>
      <c r="HD289" s="37"/>
      <c r="HE289" s="37" t="s">
        <v>344</v>
      </c>
      <c r="HF289" s="37"/>
      <c r="HG289" s="37" t="s">
        <v>344</v>
      </c>
      <c r="HH289" s="37"/>
      <c r="HI289" s="37" t="s">
        <v>344</v>
      </c>
      <c r="HJ289" s="37"/>
      <c r="HK289" s="37" t="s">
        <v>344</v>
      </c>
      <c r="HL289" s="37" t="s">
        <v>345</v>
      </c>
      <c r="HM289" s="37" t="s">
        <v>344</v>
      </c>
      <c r="HN289" s="37" t="s">
        <v>345</v>
      </c>
      <c r="HO289" s="37" t="s">
        <v>344</v>
      </c>
      <c r="HP289" s="37" t="s">
        <v>344</v>
      </c>
      <c r="HQ289" s="37" t="s">
        <v>345</v>
      </c>
      <c r="HR289" s="37" t="s">
        <v>344</v>
      </c>
      <c r="HS289" s="37" t="s">
        <v>345</v>
      </c>
      <c r="HT289" s="37" t="s">
        <v>344</v>
      </c>
      <c r="HU289" s="37" t="s">
        <v>344</v>
      </c>
      <c r="HV289" s="37" t="s">
        <v>344</v>
      </c>
      <c r="HW289" s="37" t="s">
        <v>344</v>
      </c>
      <c r="HX289" s="37" t="s">
        <v>344</v>
      </c>
      <c r="HY289" s="37" t="s">
        <v>344</v>
      </c>
      <c r="HZ289" s="37" t="s">
        <v>344</v>
      </c>
      <c r="IA289" s="37" t="s">
        <v>344</v>
      </c>
      <c r="IB289" s="37" t="s">
        <v>344</v>
      </c>
      <c r="IC289" s="37" t="s">
        <v>344</v>
      </c>
      <c r="ID289" s="37"/>
      <c r="IE289" s="37" t="s">
        <v>344</v>
      </c>
      <c r="IF289" s="37"/>
      <c r="IG289" s="37" t="s">
        <v>344</v>
      </c>
      <c r="IH289" s="37"/>
      <c r="II289" s="37" t="s">
        <v>344</v>
      </c>
      <c r="IJ289" s="37"/>
      <c r="IK289" s="37" t="s">
        <v>344</v>
      </c>
      <c r="IL289" s="37"/>
      <c r="IM289" s="37" t="s">
        <v>345</v>
      </c>
      <c r="IN289" s="37" t="s">
        <v>345</v>
      </c>
      <c r="IO289" s="37" t="s">
        <v>344</v>
      </c>
      <c r="IP289" s="37" t="s">
        <v>344</v>
      </c>
      <c r="IQ289" s="37" t="s">
        <v>345</v>
      </c>
      <c r="IR289" s="37" t="s">
        <v>344</v>
      </c>
      <c r="IS289" s="37" t="s">
        <v>344</v>
      </c>
      <c r="IT289" s="37" t="s">
        <v>345</v>
      </c>
      <c r="IU289" s="37" t="s">
        <v>344</v>
      </c>
      <c r="IV289" s="37" t="s">
        <v>344</v>
      </c>
      <c r="IW289" s="37" t="s">
        <v>344</v>
      </c>
      <c r="IX289" s="37" t="s">
        <v>344</v>
      </c>
      <c r="IY289" s="37" t="s">
        <v>345</v>
      </c>
      <c r="IZ289" s="37" t="s">
        <v>344</v>
      </c>
      <c r="JA289" s="37"/>
      <c r="JB289" s="37"/>
    </row>
    <row r="290" spans="1:262" x14ac:dyDescent="0.3">
      <c r="A290" s="36" t="s">
        <v>338</v>
      </c>
      <c r="B290" s="37">
        <v>259</v>
      </c>
      <c r="C290" s="37" t="s">
        <v>1566</v>
      </c>
      <c r="D290" s="37">
        <v>14</v>
      </c>
      <c r="E290" s="37" t="s">
        <v>387</v>
      </c>
      <c r="F290" s="37">
        <v>163036225</v>
      </c>
      <c r="G290" s="37" t="s">
        <v>1567</v>
      </c>
      <c r="H290" s="37" t="s">
        <v>1566</v>
      </c>
      <c r="I290" s="37" t="s">
        <v>1486</v>
      </c>
      <c r="J290" s="37">
        <v>17</v>
      </c>
      <c r="K290" s="37" t="s">
        <v>1282</v>
      </c>
      <c r="L290" s="37"/>
      <c r="M290" s="37" t="s">
        <v>345</v>
      </c>
      <c r="N290" s="37" t="s">
        <v>345</v>
      </c>
      <c r="O290" s="37" t="s">
        <v>344</v>
      </c>
      <c r="P290" s="37" t="s">
        <v>344</v>
      </c>
      <c r="Q290" s="37" t="s">
        <v>344</v>
      </c>
      <c r="R290" s="37"/>
      <c r="S290" s="37" t="s">
        <v>1487</v>
      </c>
      <c r="T290" s="37"/>
      <c r="U290" s="37" t="s">
        <v>1270</v>
      </c>
      <c r="V290" s="37"/>
      <c r="W290" s="37" t="s">
        <v>345</v>
      </c>
      <c r="X290" s="37" t="s">
        <v>344</v>
      </c>
      <c r="Y290" s="37" t="s">
        <v>344</v>
      </c>
      <c r="Z290" s="37" t="s">
        <v>344</v>
      </c>
      <c r="AA290" s="37" t="s">
        <v>344</v>
      </c>
      <c r="AB290" s="37" t="s">
        <v>344</v>
      </c>
      <c r="AC290" s="37" t="s">
        <v>344</v>
      </c>
      <c r="AD290" s="37" t="s">
        <v>344</v>
      </c>
      <c r="AE290" s="37" t="s">
        <v>344</v>
      </c>
      <c r="AF290" s="37" t="s">
        <v>344</v>
      </c>
      <c r="AG290" s="37" t="s">
        <v>345</v>
      </c>
      <c r="AH290" s="37" t="s">
        <v>344</v>
      </c>
      <c r="AI290" s="37" t="s">
        <v>344</v>
      </c>
      <c r="AJ290" s="37" t="s">
        <v>344</v>
      </c>
      <c r="AK290" s="37" t="s">
        <v>344</v>
      </c>
      <c r="AL290" s="37" t="s">
        <v>344</v>
      </c>
      <c r="AM290" s="37" t="s">
        <v>345</v>
      </c>
      <c r="AN290" s="37" t="s">
        <v>344</v>
      </c>
      <c r="AO290" s="37" t="s">
        <v>344</v>
      </c>
      <c r="AP290" s="37" t="s">
        <v>344</v>
      </c>
      <c r="AQ290" s="37" t="s">
        <v>344</v>
      </c>
      <c r="AR290" s="37" t="s">
        <v>344</v>
      </c>
      <c r="AS290" s="37" t="s">
        <v>344</v>
      </c>
      <c r="AT290" s="37" t="s">
        <v>345</v>
      </c>
      <c r="AU290" s="37" t="s">
        <v>344</v>
      </c>
      <c r="AV290" s="37" t="s">
        <v>344</v>
      </c>
      <c r="AW290" s="37" t="s">
        <v>344</v>
      </c>
      <c r="AX290" s="37" t="s">
        <v>344</v>
      </c>
      <c r="AY290" s="37" t="s">
        <v>732</v>
      </c>
      <c r="AZ290" s="37" t="s">
        <v>391</v>
      </c>
      <c r="BA290" s="37" t="s">
        <v>733</v>
      </c>
      <c r="BB290" s="37" t="s">
        <v>732</v>
      </c>
      <c r="BC290" s="37" t="s">
        <v>733</v>
      </c>
      <c r="BD290" s="37" t="s">
        <v>732</v>
      </c>
      <c r="BE290" s="37" t="s">
        <v>390</v>
      </c>
      <c r="BF290" s="37" t="s">
        <v>350</v>
      </c>
      <c r="BG290" s="37" t="s">
        <v>350</v>
      </c>
      <c r="BH290" s="37" t="s">
        <v>348</v>
      </c>
      <c r="BI290" s="37" t="s">
        <v>390</v>
      </c>
      <c r="BJ290" s="37" t="s">
        <v>351</v>
      </c>
      <c r="BK290" s="37" t="s">
        <v>354</v>
      </c>
      <c r="BL290" s="37" t="s">
        <v>352</v>
      </c>
      <c r="BM290" s="37" t="s">
        <v>356</v>
      </c>
      <c r="BN290" s="37" t="s">
        <v>353</v>
      </c>
      <c r="BO290" s="37" t="s">
        <v>351</v>
      </c>
      <c r="BP290" s="37" t="s">
        <v>355</v>
      </c>
      <c r="BQ290" s="37" t="s">
        <v>358</v>
      </c>
      <c r="BR290" s="37" t="s">
        <v>1257</v>
      </c>
      <c r="BS290" s="37" t="s">
        <v>354</v>
      </c>
      <c r="BT290" s="37" t="s">
        <v>356</v>
      </c>
      <c r="BU290" s="37" t="s">
        <v>351</v>
      </c>
      <c r="BV290" s="37" t="s">
        <v>357</v>
      </c>
      <c r="BW290" s="37" t="s">
        <v>355</v>
      </c>
      <c r="BX290" s="37" t="s">
        <v>353</v>
      </c>
      <c r="BY290" s="37" t="s">
        <v>352</v>
      </c>
      <c r="BZ290" s="37" t="s">
        <v>351</v>
      </c>
      <c r="CA290" s="37" t="s">
        <v>354</v>
      </c>
      <c r="CB290" s="37" t="s">
        <v>356</v>
      </c>
      <c r="CC290" s="37" t="s">
        <v>354</v>
      </c>
      <c r="CD290" s="37" t="s">
        <v>353</v>
      </c>
      <c r="CE290" s="37" t="s">
        <v>354</v>
      </c>
      <c r="CF290" s="37" t="s">
        <v>356</v>
      </c>
      <c r="CG290" s="37" t="s">
        <v>420</v>
      </c>
      <c r="CH290" s="37" t="s">
        <v>360</v>
      </c>
      <c r="CI290" s="37" t="s">
        <v>392</v>
      </c>
      <c r="CJ290" s="37" t="s">
        <v>360</v>
      </c>
      <c r="CK290" s="37" t="s">
        <v>717</v>
      </c>
      <c r="CL290" s="37" t="s">
        <v>344</v>
      </c>
      <c r="CM290" s="37" t="s">
        <v>345</v>
      </c>
      <c r="CN290" s="37" t="s">
        <v>344</v>
      </c>
      <c r="CO290" s="37" t="s">
        <v>345</v>
      </c>
      <c r="CP290" s="37" t="s">
        <v>345</v>
      </c>
      <c r="CQ290" s="37" t="s">
        <v>344</v>
      </c>
      <c r="CR290" s="37" t="s">
        <v>667</v>
      </c>
      <c r="CS290" s="37">
        <v>24</v>
      </c>
      <c r="CT290" s="37">
        <v>100</v>
      </c>
      <c r="CU290" s="37">
        <v>61</v>
      </c>
      <c r="CV290" s="37">
        <v>1</v>
      </c>
      <c r="CW290" s="37" t="s">
        <v>396</v>
      </c>
      <c r="CX290" s="37" t="s">
        <v>364</v>
      </c>
      <c r="CY290" s="37" t="s">
        <v>396</v>
      </c>
      <c r="CZ290" s="37" t="s">
        <v>397</v>
      </c>
      <c r="DA290" s="37" t="s">
        <v>366</v>
      </c>
      <c r="DB290" s="37" t="s">
        <v>397</v>
      </c>
      <c r="DC290" s="37" t="s">
        <v>397</v>
      </c>
      <c r="DD290" s="37" t="s">
        <v>397</v>
      </c>
      <c r="DE290" s="37" t="s">
        <v>397</v>
      </c>
      <c r="DF290" s="37" t="s">
        <v>366</v>
      </c>
      <c r="DG290" s="37" t="s">
        <v>397</v>
      </c>
      <c r="DH290" s="37" t="s">
        <v>397</v>
      </c>
      <c r="DI290" s="37" t="s">
        <v>397</v>
      </c>
      <c r="DJ290" s="37" t="s">
        <v>1568</v>
      </c>
      <c r="DK290" s="37" t="s">
        <v>1357</v>
      </c>
      <c r="DL290" s="37" t="s">
        <v>368</v>
      </c>
      <c r="DM290" s="37" t="s">
        <v>368</v>
      </c>
      <c r="DN290" s="37" t="s">
        <v>368</v>
      </c>
      <c r="DO290" s="37" t="s">
        <v>345</v>
      </c>
      <c r="DP290" s="37" t="s">
        <v>368</v>
      </c>
      <c r="DQ290" s="37" t="s">
        <v>368</v>
      </c>
      <c r="DR290" s="37" t="s">
        <v>368</v>
      </c>
      <c r="DS290" s="37" t="s">
        <v>345</v>
      </c>
      <c r="DT290" s="37" t="s">
        <v>368</v>
      </c>
      <c r="DU290" s="37" t="s">
        <v>368</v>
      </c>
      <c r="DV290" s="37" t="s">
        <v>368</v>
      </c>
      <c r="DW290" s="37" t="s">
        <v>345</v>
      </c>
      <c r="DX290" s="37" t="s">
        <v>1258</v>
      </c>
      <c r="DY290" s="37" t="s">
        <v>1258</v>
      </c>
      <c r="DZ290" s="37" t="s">
        <v>1258</v>
      </c>
      <c r="EA290" s="37" t="s">
        <v>1258</v>
      </c>
      <c r="EB290" s="37" t="s">
        <v>1258</v>
      </c>
      <c r="EC290" s="37" t="s">
        <v>1258</v>
      </c>
      <c r="ED290" s="37" t="s">
        <v>1258</v>
      </c>
      <c r="EE290" s="37" t="s">
        <v>1258</v>
      </c>
      <c r="EF290" s="37" t="s">
        <v>397</v>
      </c>
      <c r="EG290" s="37" t="s">
        <v>1258</v>
      </c>
      <c r="EH290" s="37" t="s">
        <v>397</v>
      </c>
      <c r="EI290" s="37" t="s">
        <v>397</v>
      </c>
      <c r="EJ290" s="37" t="s">
        <v>397</v>
      </c>
      <c r="EK290" s="37" t="s">
        <v>397</v>
      </c>
      <c r="EL290" s="37" t="s">
        <v>1276</v>
      </c>
      <c r="EM290" s="37" t="s">
        <v>1275</v>
      </c>
      <c r="EN290" s="37" t="s">
        <v>1259</v>
      </c>
      <c r="EO290" s="37"/>
      <c r="EP290" s="37"/>
      <c r="EQ290" s="37" t="s">
        <v>1262</v>
      </c>
      <c r="ER290" s="37" t="s">
        <v>1262</v>
      </c>
      <c r="ES290" s="37" t="s">
        <v>1262</v>
      </c>
      <c r="ET290" s="37" t="s">
        <v>1262</v>
      </c>
      <c r="EU290" s="37" t="s">
        <v>1262</v>
      </c>
      <c r="EV290" s="37" t="s">
        <v>1265</v>
      </c>
      <c r="EW290" s="37"/>
      <c r="EX290" s="37" t="s">
        <v>368</v>
      </c>
      <c r="EY290" s="37" t="s">
        <v>368</v>
      </c>
      <c r="EZ290" s="37" t="s">
        <v>368</v>
      </c>
      <c r="FA290" s="37" t="s">
        <v>345</v>
      </c>
      <c r="FB290" s="37" t="s">
        <v>1266</v>
      </c>
      <c r="FC290" s="37"/>
      <c r="FD290" s="37" t="s">
        <v>1266</v>
      </c>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t="s">
        <v>368</v>
      </c>
      <c r="GB290" s="37" t="s">
        <v>368</v>
      </c>
      <c r="GC290" s="37" t="s">
        <v>368</v>
      </c>
      <c r="GD290" s="37" t="s">
        <v>368</v>
      </c>
      <c r="GE290" s="37" t="s">
        <v>368</v>
      </c>
      <c r="GF290" s="37" t="s">
        <v>368</v>
      </c>
      <c r="GG290" s="37"/>
      <c r="GH290" s="37"/>
      <c r="GI290" s="37"/>
      <c r="GJ290" s="37"/>
      <c r="GK290" s="37"/>
      <c r="GL290" s="37" t="s">
        <v>344</v>
      </c>
      <c r="GM290" s="37" t="s">
        <v>344</v>
      </c>
      <c r="GN290" s="37" t="s">
        <v>344</v>
      </c>
      <c r="GO290" s="37" t="s">
        <v>344</v>
      </c>
      <c r="GP290" s="37" t="s">
        <v>344</v>
      </c>
      <c r="GQ290" s="37" t="s">
        <v>344</v>
      </c>
      <c r="GR290" s="37" t="s">
        <v>344</v>
      </c>
      <c r="GS290" s="37" t="s">
        <v>344</v>
      </c>
      <c r="GT290" s="37" t="s">
        <v>344</v>
      </c>
      <c r="GU290" s="37" t="s">
        <v>344</v>
      </c>
      <c r="GV290" s="37" t="s">
        <v>344</v>
      </c>
      <c r="GW290" s="37" t="s">
        <v>344</v>
      </c>
      <c r="GX290" s="37" t="s">
        <v>344</v>
      </c>
      <c r="GY290" s="37" t="s">
        <v>344</v>
      </c>
      <c r="GZ290" s="37" t="s">
        <v>344</v>
      </c>
      <c r="HA290" s="37" t="s">
        <v>345</v>
      </c>
      <c r="HB290" s="37"/>
      <c r="HC290" s="37" t="s">
        <v>344</v>
      </c>
      <c r="HD290" s="37"/>
      <c r="HE290" s="37" t="s">
        <v>344</v>
      </c>
      <c r="HF290" s="37"/>
      <c r="HG290" s="37" t="s">
        <v>344</v>
      </c>
      <c r="HH290" s="37"/>
      <c r="HI290" s="37" t="s">
        <v>344</v>
      </c>
      <c r="HJ290" s="37"/>
      <c r="HK290" s="37" t="s">
        <v>344</v>
      </c>
      <c r="HL290" s="37" t="s">
        <v>344</v>
      </c>
      <c r="HM290" s="37" t="s">
        <v>344</v>
      </c>
      <c r="HN290" s="37" t="s">
        <v>344</v>
      </c>
      <c r="HO290" s="37" t="s">
        <v>344</v>
      </c>
      <c r="HP290" s="37" t="s">
        <v>344</v>
      </c>
      <c r="HQ290" s="37" t="s">
        <v>344</v>
      </c>
      <c r="HR290" s="37" t="s">
        <v>344</v>
      </c>
      <c r="HS290" s="37" t="s">
        <v>344</v>
      </c>
      <c r="HT290" s="37" t="s">
        <v>344</v>
      </c>
      <c r="HU290" s="37" t="s">
        <v>344</v>
      </c>
      <c r="HV290" s="37" t="s">
        <v>344</v>
      </c>
      <c r="HW290" s="37" t="s">
        <v>344</v>
      </c>
      <c r="HX290" s="37" t="s">
        <v>344</v>
      </c>
      <c r="HY290" s="37" t="s">
        <v>344</v>
      </c>
      <c r="HZ290" s="37" t="s">
        <v>344</v>
      </c>
      <c r="IA290" s="37" t="s">
        <v>344</v>
      </c>
      <c r="IB290" s="37" t="s">
        <v>344</v>
      </c>
      <c r="IC290" s="37" t="s">
        <v>345</v>
      </c>
      <c r="ID290" s="37"/>
      <c r="IE290" s="37" t="s">
        <v>344</v>
      </c>
      <c r="IF290" s="37"/>
      <c r="IG290" s="37" t="s">
        <v>344</v>
      </c>
      <c r="IH290" s="37"/>
      <c r="II290" s="37" t="s">
        <v>344</v>
      </c>
      <c r="IJ290" s="37"/>
      <c r="IK290" s="37" t="s">
        <v>344</v>
      </c>
      <c r="IL290" s="37"/>
      <c r="IM290" s="37" t="s">
        <v>345</v>
      </c>
      <c r="IN290" s="37" t="s">
        <v>345</v>
      </c>
      <c r="IO290" s="37" t="s">
        <v>345</v>
      </c>
      <c r="IP290" s="37" t="s">
        <v>344</v>
      </c>
      <c r="IQ290" s="37" t="s">
        <v>345</v>
      </c>
      <c r="IR290" s="37" t="s">
        <v>344</v>
      </c>
      <c r="IS290" s="37" t="s">
        <v>344</v>
      </c>
      <c r="IT290" s="37" t="s">
        <v>344</v>
      </c>
      <c r="IU290" s="37" t="s">
        <v>344</v>
      </c>
      <c r="IV290" s="37" t="s">
        <v>344</v>
      </c>
      <c r="IW290" s="37" t="s">
        <v>344</v>
      </c>
      <c r="IX290" s="37" t="s">
        <v>344</v>
      </c>
      <c r="IY290" s="37" t="s">
        <v>345</v>
      </c>
      <c r="IZ290" s="37" t="s">
        <v>344</v>
      </c>
      <c r="JA290" s="37"/>
      <c r="JB290" s="37" t="s">
        <v>485</v>
      </c>
    </row>
    <row r="291" spans="1:262" x14ac:dyDescent="0.3">
      <c r="A291" s="36" t="s">
        <v>338</v>
      </c>
      <c r="B291" s="37">
        <v>260</v>
      </c>
      <c r="C291" s="37" t="s">
        <v>1569</v>
      </c>
      <c r="D291" s="37">
        <v>14</v>
      </c>
      <c r="E291" s="37" t="s">
        <v>387</v>
      </c>
      <c r="F291" s="37">
        <v>458165859</v>
      </c>
      <c r="G291" s="37" t="s">
        <v>1570</v>
      </c>
      <c r="H291" s="37" t="s">
        <v>1569</v>
      </c>
      <c r="I291" s="37" t="s">
        <v>1486</v>
      </c>
      <c r="J291" s="37">
        <v>16</v>
      </c>
      <c r="K291" s="37" t="s">
        <v>1282</v>
      </c>
      <c r="L291" s="37"/>
      <c r="M291" s="37" t="s">
        <v>345</v>
      </c>
      <c r="N291" s="37" t="s">
        <v>344</v>
      </c>
      <c r="O291" s="37" t="s">
        <v>344</v>
      </c>
      <c r="P291" s="37" t="s">
        <v>344</v>
      </c>
      <c r="Q291" s="37" t="s">
        <v>344</v>
      </c>
      <c r="R291" s="37"/>
      <c r="S291" s="37" t="s">
        <v>1487</v>
      </c>
      <c r="T291" s="37"/>
      <c r="U291" s="37" t="s">
        <v>1270</v>
      </c>
      <c r="V291" s="37"/>
      <c r="W291" s="37" t="s">
        <v>368</v>
      </c>
      <c r="X291" s="37" t="s">
        <v>368</v>
      </c>
      <c r="Y291" s="37" t="s">
        <v>368</v>
      </c>
      <c r="Z291" s="37" t="s">
        <v>368</v>
      </c>
      <c r="AA291" s="37" t="s">
        <v>368</v>
      </c>
      <c r="AB291" s="37" t="s">
        <v>368</v>
      </c>
      <c r="AC291" s="37" t="s">
        <v>345</v>
      </c>
      <c r="AD291" s="37" t="s">
        <v>368</v>
      </c>
      <c r="AE291" s="37" t="s">
        <v>368</v>
      </c>
      <c r="AF291" s="37" t="s">
        <v>368</v>
      </c>
      <c r="AG291" s="37" t="s">
        <v>368</v>
      </c>
      <c r="AH291" s="37" t="s">
        <v>368</v>
      </c>
      <c r="AI291" s="37" t="s">
        <v>368</v>
      </c>
      <c r="AJ291" s="37" t="s">
        <v>345</v>
      </c>
      <c r="AK291" s="37" t="s">
        <v>368</v>
      </c>
      <c r="AL291" s="37" t="s">
        <v>368</v>
      </c>
      <c r="AM291" s="37" t="s">
        <v>368</v>
      </c>
      <c r="AN291" s="37" t="s">
        <v>368</v>
      </c>
      <c r="AO291" s="37" t="s">
        <v>368</v>
      </c>
      <c r="AP291" s="37" t="s">
        <v>368</v>
      </c>
      <c r="AQ291" s="37" t="s">
        <v>345</v>
      </c>
      <c r="AR291" s="37" t="s">
        <v>344</v>
      </c>
      <c r="AS291" s="37" t="s">
        <v>345</v>
      </c>
      <c r="AT291" s="37" t="s">
        <v>344</v>
      </c>
      <c r="AU291" s="37" t="s">
        <v>344</v>
      </c>
      <c r="AV291" s="37" t="s">
        <v>344</v>
      </c>
      <c r="AW291" s="37" t="s">
        <v>344</v>
      </c>
      <c r="AX291" s="37" t="s">
        <v>344</v>
      </c>
      <c r="AY291" s="37" t="s">
        <v>391</v>
      </c>
      <c r="AZ291" s="37" t="s">
        <v>391</v>
      </c>
      <c r="BA291" s="37" t="s">
        <v>391</v>
      </c>
      <c r="BB291" s="37" t="s">
        <v>391</v>
      </c>
      <c r="BC291" s="37" t="s">
        <v>391</v>
      </c>
      <c r="BD291" s="37" t="s">
        <v>391</v>
      </c>
      <c r="BE291" s="37" t="s">
        <v>390</v>
      </c>
      <c r="BF291" s="37" t="s">
        <v>349</v>
      </c>
      <c r="BG291" s="37" t="s">
        <v>390</v>
      </c>
      <c r="BH291" s="37" t="s">
        <v>349</v>
      </c>
      <c r="BI291" s="37" t="s">
        <v>390</v>
      </c>
      <c r="BJ291" s="37" t="s">
        <v>391</v>
      </c>
      <c r="BK291" s="37" t="s">
        <v>391</v>
      </c>
      <c r="BL291" s="37" t="s">
        <v>391</v>
      </c>
      <c r="BM291" s="37" t="s">
        <v>391</v>
      </c>
      <c r="BN291" s="37" t="s">
        <v>391</v>
      </c>
      <c r="BO291" s="37" t="s">
        <v>391</v>
      </c>
      <c r="BP291" s="37" t="s">
        <v>391</v>
      </c>
      <c r="BQ291" s="37" t="s">
        <v>358</v>
      </c>
      <c r="BR291" s="37" t="s">
        <v>1257</v>
      </c>
      <c r="BS291" s="37" t="s">
        <v>391</v>
      </c>
      <c r="BT291" s="37" t="s">
        <v>391</v>
      </c>
      <c r="BU291" s="37" t="s">
        <v>391</v>
      </c>
      <c r="BV291" s="37" t="s">
        <v>391</v>
      </c>
      <c r="BW291" s="37" t="s">
        <v>391</v>
      </c>
      <c r="BX291" s="37" t="s">
        <v>391</v>
      </c>
      <c r="BY291" s="37" t="s">
        <v>391</v>
      </c>
      <c r="BZ291" s="37" t="s">
        <v>391</v>
      </c>
      <c r="CA291" s="37" t="s">
        <v>391</v>
      </c>
      <c r="CB291" s="37" t="s">
        <v>391</v>
      </c>
      <c r="CC291" s="37" t="s">
        <v>391</v>
      </c>
      <c r="CD291" s="37" t="s">
        <v>391</v>
      </c>
      <c r="CE291" s="37" t="s">
        <v>391</v>
      </c>
      <c r="CF291" s="37" t="s">
        <v>391</v>
      </c>
      <c r="CG291" s="37" t="s">
        <v>393</v>
      </c>
      <c r="CH291" s="37" t="s">
        <v>421</v>
      </c>
      <c r="CI291" s="37" t="s">
        <v>420</v>
      </c>
      <c r="CJ291" s="37" t="s">
        <v>360</v>
      </c>
      <c r="CK291" s="37" t="s">
        <v>391</v>
      </c>
      <c r="CL291" s="37" t="s">
        <v>344</v>
      </c>
      <c r="CM291" s="37" t="s">
        <v>344</v>
      </c>
      <c r="CN291" s="37" t="s">
        <v>344</v>
      </c>
      <c r="CO291" s="37" t="s">
        <v>345</v>
      </c>
      <c r="CP291" s="37" t="s">
        <v>344</v>
      </c>
      <c r="CQ291" s="37" t="s">
        <v>344</v>
      </c>
      <c r="CR291" s="37" t="s">
        <v>667</v>
      </c>
      <c r="CS291" s="37">
        <v>23</v>
      </c>
      <c r="CT291" s="37">
        <v>99</v>
      </c>
      <c r="CU291" s="37"/>
      <c r="CV291" s="37"/>
      <c r="CW291" s="37" t="s">
        <v>395</v>
      </c>
      <c r="CX291" s="37" t="s">
        <v>396</v>
      </c>
      <c r="CY291" s="37" t="s">
        <v>364</v>
      </c>
      <c r="CZ291" s="37" t="s">
        <v>365</v>
      </c>
      <c r="DA291" s="37" t="s">
        <v>366</v>
      </c>
      <c r="DB291" s="37" t="s">
        <v>397</v>
      </c>
      <c r="DC291" s="37" t="s">
        <v>365</v>
      </c>
      <c r="DD291" s="37" t="s">
        <v>423</v>
      </c>
      <c r="DE291" s="37"/>
      <c r="DF291" s="37"/>
      <c r="DG291" s="37"/>
      <c r="DH291" s="37"/>
      <c r="DI291" s="37"/>
      <c r="DJ291" s="37"/>
      <c r="DK291" s="37" t="s">
        <v>1403</v>
      </c>
      <c r="DL291" s="37" t="s">
        <v>368</v>
      </c>
      <c r="DM291" s="37" t="s">
        <v>368</v>
      </c>
      <c r="DN291" s="37" t="s">
        <v>368</v>
      </c>
      <c r="DO291" s="37" t="s">
        <v>345</v>
      </c>
      <c r="DP291" s="37" t="s">
        <v>368</v>
      </c>
      <c r="DQ291" s="37" t="s">
        <v>368</v>
      </c>
      <c r="DR291" s="37" t="s">
        <v>368</v>
      </c>
      <c r="DS291" s="37" t="s">
        <v>345</v>
      </c>
      <c r="DT291" s="37" t="s">
        <v>345</v>
      </c>
      <c r="DU291" s="37" t="s">
        <v>344</v>
      </c>
      <c r="DV291" s="37" t="s">
        <v>344</v>
      </c>
      <c r="DW291" s="37" t="s">
        <v>344</v>
      </c>
      <c r="DX291" s="37" t="s">
        <v>1258</v>
      </c>
      <c r="DY291" s="37" t="s">
        <v>1258</v>
      </c>
      <c r="DZ291" s="37" t="s">
        <v>1258</v>
      </c>
      <c r="EA291" s="37" t="s">
        <v>1258</v>
      </c>
      <c r="EB291" s="37" t="s">
        <v>1258</v>
      </c>
      <c r="EC291" s="37" t="s">
        <v>1258</v>
      </c>
      <c r="ED291" s="37" t="s">
        <v>1258</v>
      </c>
      <c r="EE291" s="37" t="s">
        <v>397</v>
      </c>
      <c r="EF291" s="37" t="s">
        <v>397</v>
      </c>
      <c r="EG291" s="37" t="s">
        <v>1273</v>
      </c>
      <c r="EH291" s="37" t="s">
        <v>397</v>
      </c>
      <c r="EI291" s="37" t="s">
        <v>397</v>
      </c>
      <c r="EJ291" s="37" t="s">
        <v>397</v>
      </c>
      <c r="EK291" s="37" t="s">
        <v>397</v>
      </c>
      <c r="EL291" s="37" t="s">
        <v>1261</v>
      </c>
      <c r="EM291" s="37" t="s">
        <v>1275</v>
      </c>
      <c r="EN291" s="37" t="s">
        <v>1260</v>
      </c>
      <c r="EO291" s="37"/>
      <c r="EP291" s="37"/>
      <c r="EQ291" s="37" t="s">
        <v>1262</v>
      </c>
      <c r="ER291" s="37" t="s">
        <v>1264</v>
      </c>
      <c r="ES291" s="37" t="s">
        <v>1264</v>
      </c>
      <c r="ET291" s="37" t="s">
        <v>1263</v>
      </c>
      <c r="EU291" s="37" t="s">
        <v>717</v>
      </c>
      <c r="EV291" s="37" t="s">
        <v>1265</v>
      </c>
      <c r="EW291" s="37"/>
      <c r="EX291" s="37" t="s">
        <v>368</v>
      </c>
      <c r="EY291" s="37" t="s">
        <v>368</v>
      </c>
      <c r="EZ291" s="37" t="s">
        <v>368</v>
      </c>
      <c r="FA291" s="37" t="s">
        <v>345</v>
      </c>
      <c r="FB291" s="37" t="s">
        <v>1266</v>
      </c>
      <c r="FC291" s="37"/>
      <c r="FD291" s="37" t="s">
        <v>1266</v>
      </c>
      <c r="FE291" s="37"/>
      <c r="FF291" s="37" t="s">
        <v>431</v>
      </c>
      <c r="FG291" s="37" t="s">
        <v>441</v>
      </c>
      <c r="FH291" s="37" t="s">
        <v>460</v>
      </c>
      <c r="FI291" s="37" t="s">
        <v>1286</v>
      </c>
      <c r="FJ291" s="37"/>
      <c r="FK291" s="37"/>
      <c r="FL291" s="37"/>
      <c r="FM291" s="37"/>
      <c r="FN291" s="37"/>
      <c r="FO291" s="37"/>
      <c r="FP291" s="37"/>
      <c r="FQ291" s="37"/>
      <c r="FR291" s="37"/>
      <c r="FS291" s="37"/>
      <c r="FT291" s="37"/>
      <c r="FU291" s="37"/>
      <c r="FV291" s="37"/>
      <c r="FW291" s="37"/>
      <c r="FX291" s="37"/>
      <c r="FY291" s="37"/>
      <c r="FZ291" s="37"/>
      <c r="GA291" s="37" t="s">
        <v>368</v>
      </c>
      <c r="GB291" s="37" t="s">
        <v>368</v>
      </c>
      <c r="GC291" s="37" t="s">
        <v>368</v>
      </c>
      <c r="GD291" s="37" t="s">
        <v>368</v>
      </c>
      <c r="GE291" s="37" t="s">
        <v>368</v>
      </c>
      <c r="GF291" s="37" t="s">
        <v>368</v>
      </c>
      <c r="GG291" s="37"/>
      <c r="GH291" s="37"/>
      <c r="GI291" s="37"/>
      <c r="GJ291" s="37"/>
      <c r="GK291" s="37"/>
      <c r="GL291" s="37" t="s">
        <v>344</v>
      </c>
      <c r="GM291" s="37" t="s">
        <v>344</v>
      </c>
      <c r="GN291" s="37" t="s">
        <v>345</v>
      </c>
      <c r="GO291" s="37" t="s">
        <v>345</v>
      </c>
      <c r="GP291" s="37" t="s">
        <v>344</v>
      </c>
      <c r="GQ291" s="37" t="s">
        <v>344</v>
      </c>
      <c r="GR291" s="37" t="s">
        <v>344</v>
      </c>
      <c r="GS291" s="37" t="s">
        <v>344</v>
      </c>
      <c r="GT291" s="37" t="s">
        <v>344</v>
      </c>
      <c r="GU291" s="37" t="s">
        <v>344</v>
      </c>
      <c r="GV291" s="37" t="s">
        <v>345</v>
      </c>
      <c r="GW291" s="37" t="s">
        <v>345</v>
      </c>
      <c r="GX291" s="37" t="s">
        <v>344</v>
      </c>
      <c r="GY291" s="37" t="s">
        <v>344</v>
      </c>
      <c r="GZ291" s="37" t="s">
        <v>344</v>
      </c>
      <c r="HA291" s="37" t="s">
        <v>344</v>
      </c>
      <c r="HB291" s="37"/>
      <c r="HC291" s="37" t="s">
        <v>344</v>
      </c>
      <c r="HD291" s="37"/>
      <c r="HE291" s="37" t="s">
        <v>344</v>
      </c>
      <c r="HF291" s="37"/>
      <c r="HG291" s="37" t="s">
        <v>344</v>
      </c>
      <c r="HH291" s="37"/>
      <c r="HI291" s="37" t="s">
        <v>344</v>
      </c>
      <c r="HJ291" s="37"/>
      <c r="HK291" s="37" t="s">
        <v>344</v>
      </c>
      <c r="HL291" s="37" t="s">
        <v>344</v>
      </c>
      <c r="HM291" s="37" t="s">
        <v>344</v>
      </c>
      <c r="HN291" s="37" t="s">
        <v>344</v>
      </c>
      <c r="HO291" s="37" t="s">
        <v>344</v>
      </c>
      <c r="HP291" s="37" t="s">
        <v>344</v>
      </c>
      <c r="HQ291" s="37" t="s">
        <v>344</v>
      </c>
      <c r="HR291" s="37" t="s">
        <v>344</v>
      </c>
      <c r="HS291" s="37" t="s">
        <v>344</v>
      </c>
      <c r="HT291" s="37" t="s">
        <v>344</v>
      </c>
      <c r="HU291" s="37" t="s">
        <v>344</v>
      </c>
      <c r="HV291" s="37" t="s">
        <v>344</v>
      </c>
      <c r="HW291" s="37" t="s">
        <v>345</v>
      </c>
      <c r="HX291" s="37" t="s">
        <v>344</v>
      </c>
      <c r="HY291" s="37" t="s">
        <v>344</v>
      </c>
      <c r="HZ291" s="37" t="s">
        <v>344</v>
      </c>
      <c r="IA291" s="37" t="s">
        <v>344</v>
      </c>
      <c r="IB291" s="37" t="s">
        <v>344</v>
      </c>
      <c r="IC291" s="37" t="s">
        <v>344</v>
      </c>
      <c r="ID291" s="37"/>
      <c r="IE291" s="37" t="s">
        <v>344</v>
      </c>
      <c r="IF291" s="37"/>
      <c r="IG291" s="37" t="s">
        <v>344</v>
      </c>
      <c r="IH291" s="37"/>
      <c r="II291" s="37" t="s">
        <v>344</v>
      </c>
      <c r="IJ291" s="37"/>
      <c r="IK291" s="37" t="s">
        <v>344</v>
      </c>
      <c r="IL291" s="37"/>
      <c r="IM291" s="37" t="s">
        <v>345</v>
      </c>
      <c r="IN291" s="37" t="s">
        <v>345</v>
      </c>
      <c r="IO291" s="37" t="s">
        <v>344</v>
      </c>
      <c r="IP291" s="37" t="s">
        <v>344</v>
      </c>
      <c r="IQ291" s="37" t="s">
        <v>344</v>
      </c>
      <c r="IR291" s="37" t="s">
        <v>344</v>
      </c>
      <c r="IS291" s="37" t="s">
        <v>344</v>
      </c>
      <c r="IT291" s="37" t="s">
        <v>344</v>
      </c>
      <c r="IU291" s="37" t="s">
        <v>344</v>
      </c>
      <c r="IV291" s="37" t="s">
        <v>344</v>
      </c>
      <c r="IW291" s="37" t="s">
        <v>344</v>
      </c>
      <c r="IX291" s="37" t="s">
        <v>344</v>
      </c>
      <c r="IY291" s="37" t="s">
        <v>345</v>
      </c>
      <c r="IZ291" s="37" t="s">
        <v>344</v>
      </c>
      <c r="JA291" s="37"/>
      <c r="JB291" s="37"/>
    </row>
    <row r="292" spans="1:262" x14ac:dyDescent="0.3">
      <c r="A292" s="36" t="s">
        <v>338</v>
      </c>
      <c r="B292" s="37">
        <v>262</v>
      </c>
      <c r="C292" s="37" t="s">
        <v>1571</v>
      </c>
      <c r="D292" s="37">
        <v>14</v>
      </c>
      <c r="E292" s="37" t="s">
        <v>387</v>
      </c>
      <c r="F292" s="37">
        <v>2093863673</v>
      </c>
      <c r="G292" s="37" t="s">
        <v>1572</v>
      </c>
      <c r="H292" s="37" t="s">
        <v>1571</v>
      </c>
      <c r="I292" s="37" t="s">
        <v>1486</v>
      </c>
      <c r="J292" s="37">
        <v>16</v>
      </c>
      <c r="K292" s="37" t="s">
        <v>1282</v>
      </c>
      <c r="L292" s="37"/>
      <c r="M292" s="37" t="s">
        <v>345</v>
      </c>
      <c r="N292" s="37" t="s">
        <v>344</v>
      </c>
      <c r="O292" s="37" t="s">
        <v>344</v>
      </c>
      <c r="P292" s="37" t="s">
        <v>344</v>
      </c>
      <c r="Q292" s="37" t="s">
        <v>344</v>
      </c>
      <c r="R292" s="37"/>
      <c r="S292" s="37" t="s">
        <v>1487</v>
      </c>
      <c r="T292" s="37"/>
      <c r="U292" s="37" t="s">
        <v>1256</v>
      </c>
      <c r="V292" s="37"/>
      <c r="W292" s="37" t="s">
        <v>368</v>
      </c>
      <c r="X292" s="37" t="s">
        <v>368</v>
      </c>
      <c r="Y292" s="37" t="s">
        <v>368</v>
      </c>
      <c r="Z292" s="37" t="s">
        <v>368</v>
      </c>
      <c r="AA292" s="37" t="s">
        <v>368</v>
      </c>
      <c r="AB292" s="37" t="s">
        <v>368</v>
      </c>
      <c r="AC292" s="37" t="s">
        <v>345</v>
      </c>
      <c r="AD292" s="37" t="s">
        <v>368</v>
      </c>
      <c r="AE292" s="37" t="s">
        <v>368</v>
      </c>
      <c r="AF292" s="37" t="s">
        <v>368</v>
      </c>
      <c r="AG292" s="37" t="s">
        <v>368</v>
      </c>
      <c r="AH292" s="37" t="s">
        <v>368</v>
      </c>
      <c r="AI292" s="37" t="s">
        <v>368</v>
      </c>
      <c r="AJ292" s="37" t="s">
        <v>345</v>
      </c>
      <c r="AK292" s="37" t="s">
        <v>368</v>
      </c>
      <c r="AL292" s="37" t="s">
        <v>368</v>
      </c>
      <c r="AM292" s="37" t="s">
        <v>368</v>
      </c>
      <c r="AN292" s="37" t="s">
        <v>368</v>
      </c>
      <c r="AO292" s="37" t="s">
        <v>368</v>
      </c>
      <c r="AP292" s="37" t="s">
        <v>368</v>
      </c>
      <c r="AQ292" s="37" t="s">
        <v>345</v>
      </c>
      <c r="AR292" s="37" t="s">
        <v>368</v>
      </c>
      <c r="AS292" s="37" t="s">
        <v>368</v>
      </c>
      <c r="AT292" s="37" t="s">
        <v>368</v>
      </c>
      <c r="AU292" s="37" t="s">
        <v>368</v>
      </c>
      <c r="AV292" s="37" t="s">
        <v>368</v>
      </c>
      <c r="AW292" s="37" t="s">
        <v>368</v>
      </c>
      <c r="AX292" s="37" t="s">
        <v>345</v>
      </c>
      <c r="AY292" s="37" t="s">
        <v>391</v>
      </c>
      <c r="AZ292" s="37" t="s">
        <v>391</v>
      </c>
      <c r="BA292" s="37" t="s">
        <v>391</v>
      </c>
      <c r="BB292" s="37" t="s">
        <v>391</v>
      </c>
      <c r="BC292" s="37" t="s">
        <v>391</v>
      </c>
      <c r="BD292" s="37" t="s">
        <v>391</v>
      </c>
      <c r="BE292" s="37" t="s">
        <v>349</v>
      </c>
      <c r="BF292" s="37" t="s">
        <v>349</v>
      </c>
      <c r="BG292" s="37" t="s">
        <v>390</v>
      </c>
      <c r="BH292" s="37" t="s">
        <v>390</v>
      </c>
      <c r="BI292" s="37" t="s">
        <v>390</v>
      </c>
      <c r="BJ292" s="37" t="s">
        <v>391</v>
      </c>
      <c r="BK292" s="37" t="s">
        <v>391</v>
      </c>
      <c r="BL292" s="37" t="s">
        <v>391</v>
      </c>
      <c r="BM292" s="37" t="s">
        <v>391</v>
      </c>
      <c r="BN292" s="37" t="s">
        <v>391</v>
      </c>
      <c r="BO292" s="37" t="s">
        <v>391</v>
      </c>
      <c r="BP292" s="37" t="s">
        <v>391</v>
      </c>
      <c r="BQ292" s="37" t="s">
        <v>407</v>
      </c>
      <c r="BR292" s="37" t="s">
        <v>1257</v>
      </c>
      <c r="BS292" s="37" t="s">
        <v>391</v>
      </c>
      <c r="BT292" s="37" t="s">
        <v>391</v>
      </c>
      <c r="BU292" s="37" t="s">
        <v>391</v>
      </c>
      <c r="BV292" s="37" t="s">
        <v>391</v>
      </c>
      <c r="BW292" s="37" t="s">
        <v>391</v>
      </c>
      <c r="BX292" s="37" t="s">
        <v>391</v>
      </c>
      <c r="BY292" s="37" t="s">
        <v>391</v>
      </c>
      <c r="BZ292" s="37" t="s">
        <v>391</v>
      </c>
      <c r="CA292" s="37" t="s">
        <v>391</v>
      </c>
      <c r="CB292" s="37" t="s">
        <v>391</v>
      </c>
      <c r="CC292" s="37" t="s">
        <v>391</v>
      </c>
      <c r="CD292" s="37" t="s">
        <v>391</v>
      </c>
      <c r="CE292" s="37" t="s">
        <v>391</v>
      </c>
      <c r="CF292" s="37" t="s">
        <v>391</v>
      </c>
      <c r="CG292" s="37" t="s">
        <v>392</v>
      </c>
      <c r="CH292" s="37" t="s">
        <v>421</v>
      </c>
      <c r="CI292" s="37" t="s">
        <v>393</v>
      </c>
      <c r="CJ292" s="37" t="s">
        <v>360</v>
      </c>
      <c r="CK292" s="37"/>
      <c r="CL292" s="37" t="s">
        <v>345</v>
      </c>
      <c r="CM292" s="37" t="s">
        <v>344</v>
      </c>
      <c r="CN292" s="37" t="s">
        <v>344</v>
      </c>
      <c r="CO292" s="37" t="s">
        <v>345</v>
      </c>
      <c r="CP292" s="37" t="s">
        <v>345</v>
      </c>
      <c r="CQ292" s="37" t="s">
        <v>344</v>
      </c>
      <c r="CR292" s="37" t="s">
        <v>667</v>
      </c>
      <c r="CS292" s="37">
        <v>100</v>
      </c>
      <c r="CT292" s="37">
        <v>100</v>
      </c>
      <c r="CU292" s="37"/>
      <c r="CV292" s="37"/>
      <c r="CW292" s="37" t="s">
        <v>364</v>
      </c>
      <c r="CX292" s="37" t="s">
        <v>396</v>
      </c>
      <c r="CY292" s="37" t="s">
        <v>364</v>
      </c>
      <c r="CZ292" s="37" t="s">
        <v>397</v>
      </c>
      <c r="DA292" s="37" t="s">
        <v>397</v>
      </c>
      <c r="DB292" s="37" t="s">
        <v>397</v>
      </c>
      <c r="DC292" s="37" t="s">
        <v>397</v>
      </c>
      <c r="DD292" s="37" t="s">
        <v>397</v>
      </c>
      <c r="DE292" s="37"/>
      <c r="DF292" s="37"/>
      <c r="DG292" s="37"/>
      <c r="DH292" s="37"/>
      <c r="DI292" s="37"/>
      <c r="DJ292" s="37"/>
      <c r="DK292" s="37" t="s">
        <v>1462</v>
      </c>
      <c r="DL292" s="37" t="s">
        <v>368</v>
      </c>
      <c r="DM292" s="37" t="s">
        <v>368</v>
      </c>
      <c r="DN292" s="37" t="s">
        <v>368</v>
      </c>
      <c r="DO292" s="37" t="s">
        <v>345</v>
      </c>
      <c r="DP292" s="37" t="s">
        <v>368</v>
      </c>
      <c r="DQ292" s="37" t="s">
        <v>368</v>
      </c>
      <c r="DR292" s="37" t="s">
        <v>368</v>
      </c>
      <c r="DS292" s="37" t="s">
        <v>345</v>
      </c>
      <c r="DT292" s="37" t="s">
        <v>368</v>
      </c>
      <c r="DU292" s="37" t="s">
        <v>368</v>
      </c>
      <c r="DV292" s="37" t="s">
        <v>368</v>
      </c>
      <c r="DW292" s="37" t="s">
        <v>345</v>
      </c>
      <c r="DX292" s="37" t="s">
        <v>1258</v>
      </c>
      <c r="DY292" s="37" t="s">
        <v>1258</v>
      </c>
      <c r="DZ292" s="37" t="s">
        <v>1258</v>
      </c>
      <c r="EA292" s="37" t="s">
        <v>1258</v>
      </c>
      <c r="EB292" s="37" t="s">
        <v>1258</v>
      </c>
      <c r="EC292" s="37" t="s">
        <v>1258</v>
      </c>
      <c r="ED292" s="37" t="s">
        <v>1258</v>
      </c>
      <c r="EE292" s="37" t="s">
        <v>397</v>
      </c>
      <c r="EF292" s="37" t="s">
        <v>1274</v>
      </c>
      <c r="EG292" s="37" t="s">
        <v>397</v>
      </c>
      <c r="EH292" s="37" t="s">
        <v>1274</v>
      </c>
      <c r="EI292" s="37" t="s">
        <v>1274</v>
      </c>
      <c r="EJ292" s="37" t="s">
        <v>397</v>
      </c>
      <c r="EK292" s="37" t="s">
        <v>1274</v>
      </c>
      <c r="EL292" s="37" t="s">
        <v>1276</v>
      </c>
      <c r="EM292" s="37" t="s">
        <v>1260</v>
      </c>
      <c r="EN292" s="37" t="s">
        <v>1275</v>
      </c>
      <c r="EO292" s="37"/>
      <c r="EP292" s="37"/>
      <c r="EQ292" s="37" t="s">
        <v>717</v>
      </c>
      <c r="ER292" s="37" t="s">
        <v>717</v>
      </c>
      <c r="ES292" s="37" t="s">
        <v>717</v>
      </c>
      <c r="ET292" s="37" t="s">
        <v>717</v>
      </c>
      <c r="EU292" s="37" t="s">
        <v>717</v>
      </c>
      <c r="EV292" s="37" t="s">
        <v>400</v>
      </c>
      <c r="EW292" s="37"/>
      <c r="EX292" s="38" t="s">
        <v>344</v>
      </c>
      <c r="EY292" s="38" t="s">
        <v>345</v>
      </c>
      <c r="EZ292" s="38" t="s">
        <v>344</v>
      </c>
      <c r="FA292" s="38" t="s">
        <v>344</v>
      </c>
      <c r="FB292" s="37" t="s">
        <v>1266</v>
      </c>
      <c r="FC292" s="37"/>
      <c r="FD292" s="37" t="s">
        <v>1266</v>
      </c>
      <c r="FE292" s="37"/>
      <c r="FF292" s="37" t="s">
        <v>431</v>
      </c>
      <c r="FG292" s="37" t="s">
        <v>441</v>
      </c>
      <c r="FH292" s="37" t="s">
        <v>460</v>
      </c>
      <c r="FI292" s="37" t="s">
        <v>442</v>
      </c>
      <c r="FJ292" s="37"/>
      <c r="FK292" s="37"/>
      <c r="FL292" s="37"/>
      <c r="FM292" s="37"/>
      <c r="FN292" s="37"/>
      <c r="FO292" s="37"/>
      <c r="FP292" s="37"/>
      <c r="FQ292" s="37"/>
      <c r="FR292" s="37"/>
      <c r="FS292" s="37"/>
      <c r="FT292" s="37"/>
      <c r="FU292" s="37"/>
      <c r="FV292" s="37"/>
      <c r="FW292" s="37"/>
      <c r="FX292" s="37"/>
      <c r="FY292" s="37"/>
      <c r="FZ292" s="37"/>
      <c r="GA292" s="37" t="s">
        <v>368</v>
      </c>
      <c r="GB292" s="37" t="s">
        <v>368</v>
      </c>
      <c r="GC292" s="37" t="s">
        <v>368</v>
      </c>
      <c r="GD292" s="37" t="s">
        <v>368</v>
      </c>
      <c r="GE292" s="37" t="s">
        <v>368</v>
      </c>
      <c r="GF292" s="37" t="s">
        <v>368</v>
      </c>
      <c r="GG292" s="37"/>
      <c r="GH292" s="37"/>
      <c r="GI292" s="37"/>
      <c r="GJ292" s="37"/>
      <c r="GK292" s="37"/>
      <c r="GL292" s="37" t="s">
        <v>344</v>
      </c>
      <c r="GM292" s="37" t="s">
        <v>344</v>
      </c>
      <c r="GN292" s="37" t="s">
        <v>344</v>
      </c>
      <c r="GO292" s="37" t="s">
        <v>345</v>
      </c>
      <c r="GP292" s="37" t="s">
        <v>344</v>
      </c>
      <c r="GQ292" s="37" t="s">
        <v>344</v>
      </c>
      <c r="GR292" s="37" t="s">
        <v>344</v>
      </c>
      <c r="GS292" s="37" t="s">
        <v>344</v>
      </c>
      <c r="GT292" s="37" t="s">
        <v>345</v>
      </c>
      <c r="GU292" s="37" t="s">
        <v>344</v>
      </c>
      <c r="GV292" s="37" t="s">
        <v>344</v>
      </c>
      <c r="GW292" s="37" t="s">
        <v>345</v>
      </c>
      <c r="GX292" s="37" t="s">
        <v>344</v>
      </c>
      <c r="GY292" s="37" t="s">
        <v>344</v>
      </c>
      <c r="GZ292" s="37" t="s">
        <v>344</v>
      </c>
      <c r="HA292" s="37" t="s">
        <v>344</v>
      </c>
      <c r="HB292" s="37"/>
      <c r="HC292" s="37" t="s">
        <v>344</v>
      </c>
      <c r="HD292" s="37"/>
      <c r="HE292" s="37" t="s">
        <v>344</v>
      </c>
      <c r="HF292" s="37"/>
      <c r="HG292" s="37" t="s">
        <v>344</v>
      </c>
      <c r="HH292" s="37"/>
      <c r="HI292" s="37" t="s">
        <v>344</v>
      </c>
      <c r="HJ292" s="37"/>
      <c r="HK292" s="37" t="s">
        <v>344</v>
      </c>
      <c r="HL292" s="37" t="s">
        <v>344</v>
      </c>
      <c r="HM292" s="37" t="s">
        <v>344</v>
      </c>
      <c r="HN292" s="37" t="s">
        <v>344</v>
      </c>
      <c r="HO292" s="37" t="s">
        <v>344</v>
      </c>
      <c r="HP292" s="37" t="s">
        <v>344</v>
      </c>
      <c r="HQ292" s="37" t="s">
        <v>344</v>
      </c>
      <c r="HR292" s="37" t="s">
        <v>344</v>
      </c>
      <c r="HS292" s="37" t="s">
        <v>344</v>
      </c>
      <c r="HT292" s="37" t="s">
        <v>345</v>
      </c>
      <c r="HU292" s="37" t="s">
        <v>344</v>
      </c>
      <c r="HV292" s="37" t="s">
        <v>344</v>
      </c>
      <c r="HW292" s="37" t="s">
        <v>345</v>
      </c>
      <c r="HX292" s="37" t="s">
        <v>344</v>
      </c>
      <c r="HY292" s="37" t="s">
        <v>344</v>
      </c>
      <c r="HZ292" s="37" t="s">
        <v>344</v>
      </c>
      <c r="IA292" s="37" t="s">
        <v>344</v>
      </c>
      <c r="IB292" s="37" t="s">
        <v>344</v>
      </c>
      <c r="IC292" s="37" t="s">
        <v>344</v>
      </c>
      <c r="ID292" s="37"/>
      <c r="IE292" s="37" t="s">
        <v>344</v>
      </c>
      <c r="IF292" s="37"/>
      <c r="IG292" s="37" t="s">
        <v>344</v>
      </c>
      <c r="IH292" s="37"/>
      <c r="II292" s="37" t="s">
        <v>344</v>
      </c>
      <c r="IJ292" s="37"/>
      <c r="IK292" s="37" t="s">
        <v>344</v>
      </c>
      <c r="IL292" s="37"/>
      <c r="IM292" s="37" t="s">
        <v>345</v>
      </c>
      <c r="IN292" s="37" t="s">
        <v>345</v>
      </c>
      <c r="IO292" s="37" t="s">
        <v>344</v>
      </c>
      <c r="IP292" s="37" t="s">
        <v>344</v>
      </c>
      <c r="IQ292" s="37" t="s">
        <v>344</v>
      </c>
      <c r="IR292" s="37" t="s">
        <v>344</v>
      </c>
      <c r="IS292" s="37" t="s">
        <v>344</v>
      </c>
      <c r="IT292" s="37" t="s">
        <v>344</v>
      </c>
      <c r="IU292" s="37" t="s">
        <v>344</v>
      </c>
      <c r="IV292" s="37" t="s">
        <v>344</v>
      </c>
      <c r="IW292" s="37" t="s">
        <v>344</v>
      </c>
      <c r="IX292" s="37" t="s">
        <v>344</v>
      </c>
      <c r="IY292" s="37" t="s">
        <v>345</v>
      </c>
      <c r="IZ292" s="37" t="s">
        <v>344</v>
      </c>
      <c r="JA292" s="37"/>
      <c r="JB292" s="37"/>
    </row>
    <row r="293" spans="1:262" x14ac:dyDescent="0.3">
      <c r="A293" s="36" t="s">
        <v>338</v>
      </c>
      <c r="B293" s="37">
        <v>263</v>
      </c>
      <c r="C293" s="37" t="s">
        <v>1573</v>
      </c>
      <c r="D293" s="37">
        <v>14</v>
      </c>
      <c r="E293" s="37" t="s">
        <v>387</v>
      </c>
      <c r="F293" s="37">
        <v>270970639</v>
      </c>
      <c r="G293" s="37" t="s">
        <v>1574</v>
      </c>
      <c r="H293" s="37" t="s">
        <v>1573</v>
      </c>
      <c r="I293" s="37" t="s">
        <v>1486</v>
      </c>
      <c r="J293" s="37">
        <v>16</v>
      </c>
      <c r="K293" s="37" t="s">
        <v>1255</v>
      </c>
      <c r="L293" s="37"/>
      <c r="M293" s="37" t="s">
        <v>345</v>
      </c>
      <c r="N293" s="37" t="s">
        <v>344</v>
      </c>
      <c r="O293" s="37" t="s">
        <v>344</v>
      </c>
      <c r="P293" s="37" t="s">
        <v>344</v>
      </c>
      <c r="Q293" s="37" t="s">
        <v>344</v>
      </c>
      <c r="R293" s="37"/>
      <c r="S293" s="37" t="s">
        <v>1487</v>
      </c>
      <c r="T293" s="37"/>
      <c r="U293" s="37" t="s">
        <v>1270</v>
      </c>
      <c r="V293" s="37"/>
      <c r="W293" s="37" t="s">
        <v>344</v>
      </c>
      <c r="X293" s="37" t="s">
        <v>345</v>
      </c>
      <c r="Y293" s="37" t="s">
        <v>344</v>
      </c>
      <c r="Z293" s="37" t="s">
        <v>344</v>
      </c>
      <c r="AA293" s="37" t="s">
        <v>344</v>
      </c>
      <c r="AB293" s="37" t="s">
        <v>344</v>
      </c>
      <c r="AC293" s="37" t="s">
        <v>344</v>
      </c>
      <c r="AD293" s="37" t="s">
        <v>344</v>
      </c>
      <c r="AE293" s="37" t="s">
        <v>345</v>
      </c>
      <c r="AF293" s="37" t="s">
        <v>344</v>
      </c>
      <c r="AG293" s="37" t="s">
        <v>344</v>
      </c>
      <c r="AH293" s="37" t="s">
        <v>344</v>
      </c>
      <c r="AI293" s="37" t="s">
        <v>344</v>
      </c>
      <c r="AJ293" s="37" t="s">
        <v>344</v>
      </c>
      <c r="AK293" s="37" t="s">
        <v>345</v>
      </c>
      <c r="AL293" s="37" t="s">
        <v>344</v>
      </c>
      <c r="AM293" s="37" t="s">
        <v>345</v>
      </c>
      <c r="AN293" s="37" t="s">
        <v>344</v>
      </c>
      <c r="AO293" s="37" t="s">
        <v>344</v>
      </c>
      <c r="AP293" s="37" t="s">
        <v>344</v>
      </c>
      <c r="AQ293" s="37" t="s">
        <v>344</v>
      </c>
      <c r="AR293" s="37" t="s">
        <v>344</v>
      </c>
      <c r="AS293" s="37" t="s">
        <v>345</v>
      </c>
      <c r="AT293" s="37" t="s">
        <v>344</v>
      </c>
      <c r="AU293" s="37" t="s">
        <v>345</v>
      </c>
      <c r="AV293" s="37" t="s">
        <v>344</v>
      </c>
      <c r="AW293" s="37" t="s">
        <v>344</v>
      </c>
      <c r="AX293" s="37" t="s">
        <v>344</v>
      </c>
      <c r="AY293" s="37" t="s">
        <v>733</v>
      </c>
      <c r="AZ293" s="37" t="s">
        <v>731</v>
      </c>
      <c r="BA293" s="37" t="s">
        <v>733</v>
      </c>
      <c r="BB293" s="37" t="s">
        <v>731</v>
      </c>
      <c r="BC293" s="37" t="s">
        <v>391</v>
      </c>
      <c r="BD293" s="37" t="s">
        <v>733</v>
      </c>
      <c r="BE293" s="37" t="s">
        <v>348</v>
      </c>
      <c r="BF293" s="37" t="s">
        <v>348</v>
      </c>
      <c r="BG293" s="37" t="s">
        <v>349</v>
      </c>
      <c r="BH293" s="37" t="s">
        <v>348</v>
      </c>
      <c r="BI293" s="37" t="s">
        <v>348</v>
      </c>
      <c r="BJ293" s="37" t="s">
        <v>391</v>
      </c>
      <c r="BK293" s="37" t="s">
        <v>356</v>
      </c>
      <c r="BL293" s="37" t="s">
        <v>391</v>
      </c>
      <c r="BM293" s="37" t="s">
        <v>391</v>
      </c>
      <c r="BN293" s="37" t="s">
        <v>352</v>
      </c>
      <c r="BO293" s="37" t="s">
        <v>356</v>
      </c>
      <c r="BP293" s="37" t="s">
        <v>391</v>
      </c>
      <c r="BQ293" s="37" t="s">
        <v>358</v>
      </c>
      <c r="BR293" s="37" t="s">
        <v>1257</v>
      </c>
      <c r="BS293" s="37" t="s">
        <v>356</v>
      </c>
      <c r="BT293" s="37" t="s">
        <v>391</v>
      </c>
      <c r="BU293" s="37" t="s">
        <v>391</v>
      </c>
      <c r="BV293" s="37" t="s">
        <v>391</v>
      </c>
      <c r="BW293" s="37" t="s">
        <v>391</v>
      </c>
      <c r="BX293" s="37" t="s">
        <v>351</v>
      </c>
      <c r="BY293" s="37" t="s">
        <v>354</v>
      </c>
      <c r="BZ293" s="37" t="s">
        <v>391</v>
      </c>
      <c r="CA293" s="37" t="s">
        <v>356</v>
      </c>
      <c r="CB293" s="37" t="s">
        <v>391</v>
      </c>
      <c r="CC293" s="37" t="s">
        <v>391</v>
      </c>
      <c r="CD293" s="37" t="s">
        <v>391</v>
      </c>
      <c r="CE293" s="37" t="s">
        <v>391</v>
      </c>
      <c r="CF293" s="37" t="s">
        <v>352</v>
      </c>
      <c r="CG293" s="37" t="s">
        <v>392</v>
      </c>
      <c r="CH293" s="37" t="s">
        <v>392</v>
      </c>
      <c r="CI293" s="37" t="s">
        <v>420</v>
      </c>
      <c r="CJ293" s="37" t="s">
        <v>420</v>
      </c>
      <c r="CK293" s="37" t="s">
        <v>1575</v>
      </c>
      <c r="CL293" s="37" t="s">
        <v>344</v>
      </c>
      <c r="CM293" s="37" t="s">
        <v>344</v>
      </c>
      <c r="CN293" s="37" t="s">
        <v>345</v>
      </c>
      <c r="CO293" s="37" t="s">
        <v>345</v>
      </c>
      <c r="CP293" s="37" t="s">
        <v>345</v>
      </c>
      <c r="CQ293" s="37" t="s">
        <v>345</v>
      </c>
      <c r="CR293" s="37" t="s">
        <v>655</v>
      </c>
      <c r="CS293" s="37">
        <v>64</v>
      </c>
      <c r="CT293" s="37">
        <v>100</v>
      </c>
      <c r="CU293" s="37"/>
      <c r="CV293" s="37"/>
      <c r="CW293" s="37" t="s">
        <v>363</v>
      </c>
      <c r="CX293" s="37" t="s">
        <v>363</v>
      </c>
      <c r="CY293" s="37" t="s">
        <v>395</v>
      </c>
      <c r="CZ293" s="37" t="s">
        <v>717</v>
      </c>
      <c r="DA293" s="37" t="s">
        <v>397</v>
      </c>
      <c r="DB293" s="37" t="s">
        <v>366</v>
      </c>
      <c r="DC293" s="37" t="s">
        <v>397</v>
      </c>
      <c r="DD293" s="37" t="s">
        <v>365</v>
      </c>
      <c r="DE293" s="37"/>
      <c r="DF293" s="37"/>
      <c r="DG293" s="37"/>
      <c r="DH293" s="37"/>
      <c r="DI293" s="37"/>
      <c r="DJ293" s="37" t="s">
        <v>1576</v>
      </c>
      <c r="DK293" s="37" t="s">
        <v>344</v>
      </c>
      <c r="DL293" s="37" t="s">
        <v>368</v>
      </c>
      <c r="DM293" s="37" t="s">
        <v>368</v>
      </c>
      <c r="DN293" s="37" t="s">
        <v>368</v>
      </c>
      <c r="DO293" s="37" t="s">
        <v>368</v>
      </c>
      <c r="DP293" s="37" t="s">
        <v>368</v>
      </c>
      <c r="DQ293" s="37" t="s">
        <v>368</v>
      </c>
      <c r="DR293" s="37" t="s">
        <v>368</v>
      </c>
      <c r="DS293" s="37" t="s">
        <v>345</v>
      </c>
      <c r="DT293" s="37" t="s">
        <v>345</v>
      </c>
      <c r="DU293" s="37" t="s">
        <v>344</v>
      </c>
      <c r="DV293" s="37" t="s">
        <v>344</v>
      </c>
      <c r="DW293" s="37" t="s">
        <v>344</v>
      </c>
      <c r="DX293" s="37" t="s">
        <v>1258</v>
      </c>
      <c r="DY293" s="37" t="s">
        <v>1258</v>
      </c>
      <c r="DZ293" s="37" t="s">
        <v>1258</v>
      </c>
      <c r="EA293" s="37" t="s">
        <v>1258</v>
      </c>
      <c r="EB293" s="37" t="s">
        <v>1258</v>
      </c>
      <c r="EC293" s="37" t="s">
        <v>1258</v>
      </c>
      <c r="ED293" s="37" t="s">
        <v>1258</v>
      </c>
      <c r="EE293" s="37" t="s">
        <v>397</v>
      </c>
      <c r="EF293" s="37" t="s">
        <v>397</v>
      </c>
      <c r="EG293" s="37" t="s">
        <v>397</v>
      </c>
      <c r="EH293" s="37" t="s">
        <v>397</v>
      </c>
      <c r="EI293" s="37" t="s">
        <v>397</v>
      </c>
      <c r="EJ293" s="37" t="s">
        <v>397</v>
      </c>
      <c r="EK293" s="37" t="s">
        <v>397</v>
      </c>
      <c r="EL293" s="37" t="s">
        <v>1259</v>
      </c>
      <c r="EM293" s="37" t="s">
        <v>1276</v>
      </c>
      <c r="EN293" s="37" t="s">
        <v>1261</v>
      </c>
      <c r="EO293" s="37"/>
      <c r="EP293" s="37"/>
      <c r="EQ293" s="37" t="s">
        <v>1264</v>
      </c>
      <c r="ER293" s="37" t="s">
        <v>1263</v>
      </c>
      <c r="ES293" s="37" t="s">
        <v>1264</v>
      </c>
      <c r="ET293" s="37" t="s">
        <v>717</v>
      </c>
      <c r="EU293" s="37" t="s">
        <v>1277</v>
      </c>
      <c r="EV293" s="37" t="s">
        <v>1265</v>
      </c>
      <c r="EW293" s="37"/>
      <c r="EX293" s="37" t="s">
        <v>368</v>
      </c>
      <c r="EY293" s="37" t="s">
        <v>368</v>
      </c>
      <c r="EZ293" s="37" t="s">
        <v>368</v>
      </c>
      <c r="FA293" s="37" t="s">
        <v>345</v>
      </c>
      <c r="FB293" s="37" t="s">
        <v>1266</v>
      </c>
      <c r="FC293" s="37"/>
      <c r="FD293" s="37" t="s">
        <v>1266</v>
      </c>
      <c r="FE293" s="37"/>
      <c r="FF293" s="37" t="s">
        <v>431</v>
      </c>
      <c r="FG293" s="37" t="s">
        <v>441</v>
      </c>
      <c r="FH293" s="37" t="s">
        <v>460</v>
      </c>
      <c r="FI293" s="37" t="s">
        <v>1286</v>
      </c>
      <c r="FJ293" s="37"/>
      <c r="FK293" s="37"/>
      <c r="FL293" s="37"/>
      <c r="FM293" s="37"/>
      <c r="FN293" s="37"/>
      <c r="FO293" s="37"/>
      <c r="FP293" s="37"/>
      <c r="FQ293" s="37"/>
      <c r="FR293" s="37"/>
      <c r="FS293" s="37"/>
      <c r="FT293" s="37"/>
      <c r="FU293" s="37"/>
      <c r="FV293" s="37"/>
      <c r="FW293" s="37"/>
      <c r="FX293" s="37"/>
      <c r="FY293" s="37"/>
      <c r="FZ293" s="37"/>
      <c r="GA293" s="37" t="s">
        <v>368</v>
      </c>
      <c r="GB293" s="37" t="s">
        <v>368</v>
      </c>
      <c r="GC293" s="37" t="s">
        <v>368</v>
      </c>
      <c r="GD293" s="37" t="s">
        <v>368</v>
      </c>
      <c r="GE293" s="37" t="s">
        <v>368</v>
      </c>
      <c r="GF293" s="37" t="s">
        <v>368</v>
      </c>
      <c r="GG293" s="37"/>
      <c r="GH293" s="37"/>
      <c r="GI293" s="37"/>
      <c r="GJ293" s="37"/>
      <c r="GK293" s="37"/>
      <c r="GL293" s="37" t="s">
        <v>344</v>
      </c>
      <c r="GM293" s="37" t="s">
        <v>344</v>
      </c>
      <c r="GN293" s="37" t="s">
        <v>344</v>
      </c>
      <c r="GO293" s="37" t="s">
        <v>344</v>
      </c>
      <c r="GP293" s="37" t="s">
        <v>344</v>
      </c>
      <c r="GQ293" s="37" t="s">
        <v>344</v>
      </c>
      <c r="GR293" s="37" t="s">
        <v>344</v>
      </c>
      <c r="GS293" s="37" t="s">
        <v>344</v>
      </c>
      <c r="GT293" s="37" t="s">
        <v>344</v>
      </c>
      <c r="GU293" s="37" t="s">
        <v>344</v>
      </c>
      <c r="GV293" s="37" t="s">
        <v>344</v>
      </c>
      <c r="GW293" s="37" t="s">
        <v>344</v>
      </c>
      <c r="GX293" s="37" t="s">
        <v>344</v>
      </c>
      <c r="GY293" s="37" t="s">
        <v>344</v>
      </c>
      <c r="GZ293" s="37" t="s">
        <v>344</v>
      </c>
      <c r="HA293" s="37" t="s">
        <v>345</v>
      </c>
      <c r="HB293" s="37"/>
      <c r="HC293" s="37" t="s">
        <v>344</v>
      </c>
      <c r="HD293" s="37"/>
      <c r="HE293" s="37" t="s">
        <v>344</v>
      </c>
      <c r="HF293" s="37"/>
      <c r="HG293" s="37" t="s">
        <v>344</v>
      </c>
      <c r="HH293" s="37"/>
      <c r="HI293" s="37" t="s">
        <v>344</v>
      </c>
      <c r="HJ293" s="37"/>
      <c r="HK293" s="37" t="s">
        <v>344</v>
      </c>
      <c r="HL293" s="37" t="s">
        <v>344</v>
      </c>
      <c r="HM293" s="37" t="s">
        <v>344</v>
      </c>
      <c r="HN293" s="37" t="s">
        <v>344</v>
      </c>
      <c r="HO293" s="37" t="s">
        <v>344</v>
      </c>
      <c r="HP293" s="37" t="s">
        <v>344</v>
      </c>
      <c r="HQ293" s="37" t="s">
        <v>344</v>
      </c>
      <c r="HR293" s="37" t="s">
        <v>344</v>
      </c>
      <c r="HS293" s="37" t="s">
        <v>344</v>
      </c>
      <c r="HT293" s="37" t="s">
        <v>344</v>
      </c>
      <c r="HU293" s="37" t="s">
        <v>344</v>
      </c>
      <c r="HV293" s="37" t="s">
        <v>345</v>
      </c>
      <c r="HW293" s="37" t="s">
        <v>344</v>
      </c>
      <c r="HX293" s="37" t="s">
        <v>344</v>
      </c>
      <c r="HY293" s="37" t="s">
        <v>344</v>
      </c>
      <c r="HZ293" s="37" t="s">
        <v>344</v>
      </c>
      <c r="IA293" s="37" t="s">
        <v>344</v>
      </c>
      <c r="IB293" s="37" t="s">
        <v>344</v>
      </c>
      <c r="IC293" s="37" t="s">
        <v>344</v>
      </c>
      <c r="ID293" s="37"/>
      <c r="IE293" s="37" t="s">
        <v>344</v>
      </c>
      <c r="IF293" s="37"/>
      <c r="IG293" s="37" t="s">
        <v>344</v>
      </c>
      <c r="IH293" s="37"/>
      <c r="II293" s="37" t="s">
        <v>344</v>
      </c>
      <c r="IJ293" s="37"/>
      <c r="IK293" s="37" t="s">
        <v>344</v>
      </c>
      <c r="IL293" s="37"/>
      <c r="IM293" s="37" t="s">
        <v>345</v>
      </c>
      <c r="IN293" s="37" t="s">
        <v>345</v>
      </c>
      <c r="IO293" s="37" t="s">
        <v>344</v>
      </c>
      <c r="IP293" s="37" t="s">
        <v>344</v>
      </c>
      <c r="IQ293" s="37" t="s">
        <v>345</v>
      </c>
      <c r="IR293" s="37" t="s">
        <v>344</v>
      </c>
      <c r="IS293" s="37" t="s">
        <v>344</v>
      </c>
      <c r="IT293" s="37" t="s">
        <v>345</v>
      </c>
      <c r="IU293" s="37" t="s">
        <v>344</v>
      </c>
      <c r="IV293" s="37" t="s">
        <v>344</v>
      </c>
      <c r="IW293" s="37" t="s">
        <v>345</v>
      </c>
      <c r="IX293" s="37" t="s">
        <v>344</v>
      </c>
      <c r="IY293" s="37" t="s">
        <v>344</v>
      </c>
      <c r="IZ293" s="37" t="s">
        <v>344</v>
      </c>
      <c r="JA293" s="37"/>
      <c r="JB293" s="37"/>
    </row>
    <row r="294" spans="1:262" x14ac:dyDescent="0.3">
      <c r="A294" s="36" t="s">
        <v>338</v>
      </c>
      <c r="B294" s="37">
        <v>266</v>
      </c>
      <c r="C294" s="37" t="s">
        <v>1577</v>
      </c>
      <c r="D294" s="37">
        <v>14</v>
      </c>
      <c r="E294" s="37" t="s">
        <v>387</v>
      </c>
      <c r="F294" s="37">
        <v>438049253</v>
      </c>
      <c r="G294" s="37" t="s">
        <v>1578</v>
      </c>
      <c r="H294" s="37" t="s">
        <v>1577</v>
      </c>
      <c r="I294" s="37" t="s">
        <v>1486</v>
      </c>
      <c r="J294" s="37">
        <v>16</v>
      </c>
      <c r="K294" s="37" t="s">
        <v>1282</v>
      </c>
      <c r="L294" s="37"/>
      <c r="M294" s="37" t="s">
        <v>345</v>
      </c>
      <c r="N294" s="37" t="s">
        <v>344</v>
      </c>
      <c r="O294" s="37" t="s">
        <v>344</v>
      </c>
      <c r="P294" s="37" t="s">
        <v>344</v>
      </c>
      <c r="Q294" s="37" t="s">
        <v>344</v>
      </c>
      <c r="R294" s="37"/>
      <c r="S294" s="37" t="s">
        <v>1487</v>
      </c>
      <c r="T294" s="37"/>
      <c r="U294" s="37" t="s">
        <v>1457</v>
      </c>
      <c r="V294" s="37"/>
      <c r="W294" s="37" t="s">
        <v>368</v>
      </c>
      <c r="X294" s="37" t="s">
        <v>368</v>
      </c>
      <c r="Y294" s="37" t="s">
        <v>368</v>
      </c>
      <c r="Z294" s="37" t="s">
        <v>368</v>
      </c>
      <c r="AA294" s="37" t="s">
        <v>368</v>
      </c>
      <c r="AB294" s="37" t="s">
        <v>368</v>
      </c>
      <c r="AC294" s="37" t="s">
        <v>345</v>
      </c>
      <c r="AD294" s="37" t="s">
        <v>368</v>
      </c>
      <c r="AE294" s="37" t="s">
        <v>368</v>
      </c>
      <c r="AF294" s="37" t="s">
        <v>368</v>
      </c>
      <c r="AG294" s="37" t="s">
        <v>368</v>
      </c>
      <c r="AH294" s="37" t="s">
        <v>368</v>
      </c>
      <c r="AI294" s="37" t="s">
        <v>368</v>
      </c>
      <c r="AJ294" s="37" t="s">
        <v>345</v>
      </c>
      <c r="AK294" s="37" t="s">
        <v>368</v>
      </c>
      <c r="AL294" s="37" t="s">
        <v>368</v>
      </c>
      <c r="AM294" s="37" t="s">
        <v>368</v>
      </c>
      <c r="AN294" s="37" t="s">
        <v>368</v>
      </c>
      <c r="AO294" s="37" t="s">
        <v>368</v>
      </c>
      <c r="AP294" s="37" t="s">
        <v>368</v>
      </c>
      <c r="AQ294" s="37" t="s">
        <v>345</v>
      </c>
      <c r="AR294" s="37" t="s">
        <v>368</v>
      </c>
      <c r="AS294" s="37" t="s">
        <v>368</v>
      </c>
      <c r="AT294" s="37" t="s">
        <v>368</v>
      </c>
      <c r="AU294" s="37" t="s">
        <v>368</v>
      </c>
      <c r="AV294" s="37" t="s">
        <v>368</v>
      </c>
      <c r="AW294" s="37" t="s">
        <v>368</v>
      </c>
      <c r="AX294" s="37" t="s">
        <v>345</v>
      </c>
      <c r="AY294" s="37" t="s">
        <v>732</v>
      </c>
      <c r="AZ294" s="37" t="s">
        <v>732</v>
      </c>
      <c r="BA294" s="37" t="s">
        <v>737</v>
      </c>
      <c r="BB294" s="37" t="s">
        <v>731</v>
      </c>
      <c r="BC294" s="37" t="s">
        <v>733</v>
      </c>
      <c r="BD294" s="37" t="s">
        <v>731</v>
      </c>
      <c r="BE294" s="37" t="s">
        <v>390</v>
      </c>
      <c r="BF294" s="37" t="s">
        <v>348</v>
      </c>
      <c r="BG294" s="37" t="s">
        <v>390</v>
      </c>
      <c r="BH294" s="37" t="s">
        <v>390</v>
      </c>
      <c r="BI294" s="37" t="s">
        <v>390</v>
      </c>
      <c r="BJ294" s="37" t="s">
        <v>391</v>
      </c>
      <c r="BK294" s="37" t="s">
        <v>391</v>
      </c>
      <c r="BL294" s="37" t="s">
        <v>391</v>
      </c>
      <c r="BM294" s="37" t="s">
        <v>391</v>
      </c>
      <c r="BN294" s="37" t="s">
        <v>391</v>
      </c>
      <c r="BO294" s="37" t="s">
        <v>391</v>
      </c>
      <c r="BP294" s="37" t="s">
        <v>391</v>
      </c>
      <c r="BQ294" s="37" t="s">
        <v>407</v>
      </c>
      <c r="BR294" s="37" t="s">
        <v>1339</v>
      </c>
      <c r="BS294" s="37" t="s">
        <v>391</v>
      </c>
      <c r="BT294" s="37" t="s">
        <v>391</v>
      </c>
      <c r="BU294" s="37" t="s">
        <v>391</v>
      </c>
      <c r="BV294" s="37" t="s">
        <v>391</v>
      </c>
      <c r="BW294" s="37" t="s">
        <v>391</v>
      </c>
      <c r="BX294" s="37" t="s">
        <v>391</v>
      </c>
      <c r="BY294" s="37" t="s">
        <v>391</v>
      </c>
      <c r="BZ294" s="37" t="s">
        <v>391</v>
      </c>
      <c r="CA294" s="37" t="s">
        <v>391</v>
      </c>
      <c r="CB294" s="37" t="s">
        <v>391</v>
      </c>
      <c r="CC294" s="37" t="s">
        <v>391</v>
      </c>
      <c r="CD294" s="37" t="s">
        <v>391</v>
      </c>
      <c r="CE294" s="37" t="s">
        <v>391</v>
      </c>
      <c r="CF294" s="37" t="s">
        <v>391</v>
      </c>
      <c r="CG294" s="37" t="s">
        <v>420</v>
      </c>
      <c r="CH294" s="37" t="s">
        <v>421</v>
      </c>
      <c r="CI294" s="37" t="s">
        <v>421</v>
      </c>
      <c r="CJ294" s="37" t="s">
        <v>392</v>
      </c>
      <c r="CK294" s="37"/>
      <c r="CL294" s="37" t="s">
        <v>345</v>
      </c>
      <c r="CM294" s="37" t="s">
        <v>344</v>
      </c>
      <c r="CN294" s="37" t="s">
        <v>344</v>
      </c>
      <c r="CO294" s="37" t="s">
        <v>345</v>
      </c>
      <c r="CP294" s="37" t="s">
        <v>345</v>
      </c>
      <c r="CQ294" s="37" t="s">
        <v>344</v>
      </c>
      <c r="CR294" s="37" t="s">
        <v>655</v>
      </c>
      <c r="CS294" s="37">
        <v>75</v>
      </c>
      <c r="CT294" s="37">
        <v>72</v>
      </c>
      <c r="CU294" s="37"/>
      <c r="CV294" s="37"/>
      <c r="CW294" s="37" t="s">
        <v>364</v>
      </c>
      <c r="CX294" s="37" t="s">
        <v>396</v>
      </c>
      <c r="CY294" s="37" t="s">
        <v>364</v>
      </c>
      <c r="CZ294" s="37" t="s">
        <v>397</v>
      </c>
      <c r="DA294" s="37" t="s">
        <v>397</v>
      </c>
      <c r="DB294" s="37" t="s">
        <v>397</v>
      </c>
      <c r="DC294" s="37" t="s">
        <v>397</v>
      </c>
      <c r="DD294" s="37" t="s">
        <v>397</v>
      </c>
      <c r="DE294" s="37"/>
      <c r="DF294" s="37"/>
      <c r="DG294" s="37"/>
      <c r="DH294" s="37"/>
      <c r="DI294" s="37"/>
      <c r="DJ294" s="37"/>
      <c r="DK294" s="37" t="s">
        <v>1357</v>
      </c>
      <c r="DL294" s="37" t="s">
        <v>368</v>
      </c>
      <c r="DM294" s="37" t="s">
        <v>368</v>
      </c>
      <c r="DN294" s="37" t="s">
        <v>368</v>
      </c>
      <c r="DO294" s="37" t="s">
        <v>345</v>
      </c>
      <c r="DP294" s="37" t="s">
        <v>368</v>
      </c>
      <c r="DQ294" s="37" t="s">
        <v>368</v>
      </c>
      <c r="DR294" s="37" t="s">
        <v>368</v>
      </c>
      <c r="DS294" s="37" t="s">
        <v>345</v>
      </c>
      <c r="DT294" s="37" t="s">
        <v>368</v>
      </c>
      <c r="DU294" s="37" t="s">
        <v>368</v>
      </c>
      <c r="DV294" s="37" t="s">
        <v>368</v>
      </c>
      <c r="DW294" s="37" t="s">
        <v>345</v>
      </c>
      <c r="DX294" s="37" t="s">
        <v>1258</v>
      </c>
      <c r="DY294" s="37" t="s">
        <v>1258</v>
      </c>
      <c r="DZ294" s="37" t="s">
        <v>1258</v>
      </c>
      <c r="EA294" s="37" t="s">
        <v>1258</v>
      </c>
      <c r="EB294" s="37" t="s">
        <v>1258</v>
      </c>
      <c r="EC294" s="37" t="s">
        <v>1258</v>
      </c>
      <c r="ED294" s="37" t="s">
        <v>1258</v>
      </c>
      <c r="EE294" s="37" t="s">
        <v>397</v>
      </c>
      <c r="EF294" s="37" t="s">
        <v>397</v>
      </c>
      <c r="EG294" s="37" t="s">
        <v>397</v>
      </c>
      <c r="EH294" s="37" t="s">
        <v>397</v>
      </c>
      <c r="EI294" s="37" t="s">
        <v>397</v>
      </c>
      <c r="EJ294" s="37" t="s">
        <v>397</v>
      </c>
      <c r="EK294" s="37" t="s">
        <v>397</v>
      </c>
      <c r="EL294" s="37" t="s">
        <v>1261</v>
      </c>
      <c r="EM294" s="37" t="s">
        <v>1275</v>
      </c>
      <c r="EN294" s="37" t="s">
        <v>1259</v>
      </c>
      <c r="EO294" s="37"/>
      <c r="EP294" s="37"/>
      <c r="EQ294" s="37" t="s">
        <v>1263</v>
      </c>
      <c r="ER294" s="37" t="s">
        <v>717</v>
      </c>
      <c r="ES294" s="37" t="s">
        <v>717</v>
      </c>
      <c r="ET294" s="37" t="s">
        <v>717</v>
      </c>
      <c r="EU294" s="37" t="s">
        <v>717</v>
      </c>
      <c r="EV294" s="37" t="s">
        <v>1265</v>
      </c>
      <c r="EW294" s="37"/>
      <c r="EX294" s="37" t="s">
        <v>368</v>
      </c>
      <c r="EY294" s="37" t="s">
        <v>368</v>
      </c>
      <c r="EZ294" s="37" t="s">
        <v>368</v>
      </c>
      <c r="FA294" s="37" t="s">
        <v>345</v>
      </c>
      <c r="FB294" s="37" t="s">
        <v>1266</v>
      </c>
      <c r="FC294" s="37"/>
      <c r="FD294" s="37" t="s">
        <v>1266</v>
      </c>
      <c r="FE294" s="37"/>
      <c r="FF294" s="37" t="s">
        <v>431</v>
      </c>
      <c r="FG294" s="37" t="s">
        <v>441</v>
      </c>
      <c r="FH294" s="37" t="s">
        <v>460</v>
      </c>
      <c r="FI294" s="37" t="s">
        <v>442</v>
      </c>
      <c r="FJ294" s="37"/>
      <c r="FK294" s="37"/>
      <c r="FL294" s="37"/>
      <c r="FM294" s="37"/>
      <c r="FN294" s="37"/>
      <c r="FO294" s="37"/>
      <c r="FP294" s="37"/>
      <c r="FQ294" s="37"/>
      <c r="FR294" s="37"/>
      <c r="FS294" s="37"/>
      <c r="FT294" s="37"/>
      <c r="FU294" s="37"/>
      <c r="FV294" s="37"/>
      <c r="FW294" s="37"/>
      <c r="FX294" s="37"/>
      <c r="FY294" s="37"/>
      <c r="FZ294" s="37"/>
      <c r="GA294" s="37" t="s">
        <v>368</v>
      </c>
      <c r="GB294" s="37" t="s">
        <v>368</v>
      </c>
      <c r="GC294" s="37" t="s">
        <v>368</v>
      </c>
      <c r="GD294" s="37" t="s">
        <v>368</v>
      </c>
      <c r="GE294" s="37" t="s">
        <v>368</v>
      </c>
      <c r="GF294" s="37" t="s">
        <v>368</v>
      </c>
      <c r="GG294" s="37"/>
      <c r="GH294" s="37"/>
      <c r="GI294" s="37"/>
      <c r="GJ294" s="37"/>
      <c r="GK294" s="37"/>
      <c r="GL294" s="37" t="s">
        <v>344</v>
      </c>
      <c r="GM294" s="37" t="s">
        <v>344</v>
      </c>
      <c r="GN294" s="37" t="s">
        <v>344</v>
      </c>
      <c r="GO294" s="37" t="s">
        <v>344</v>
      </c>
      <c r="GP294" s="37" t="s">
        <v>344</v>
      </c>
      <c r="GQ294" s="37" t="s">
        <v>344</v>
      </c>
      <c r="GR294" s="37" t="s">
        <v>344</v>
      </c>
      <c r="GS294" s="37" t="s">
        <v>344</v>
      </c>
      <c r="GT294" s="37" t="s">
        <v>344</v>
      </c>
      <c r="GU294" s="37" t="s">
        <v>344</v>
      </c>
      <c r="GV294" s="37" t="s">
        <v>344</v>
      </c>
      <c r="GW294" s="37" t="s">
        <v>345</v>
      </c>
      <c r="GX294" s="37" t="s">
        <v>344</v>
      </c>
      <c r="GY294" s="37" t="s">
        <v>344</v>
      </c>
      <c r="GZ294" s="37" t="s">
        <v>344</v>
      </c>
      <c r="HA294" s="37" t="s">
        <v>344</v>
      </c>
      <c r="HB294" s="37"/>
      <c r="HC294" s="37" t="s">
        <v>344</v>
      </c>
      <c r="HD294" s="37"/>
      <c r="HE294" s="37" t="s">
        <v>344</v>
      </c>
      <c r="HF294" s="37"/>
      <c r="HG294" s="37" t="s">
        <v>344</v>
      </c>
      <c r="HH294" s="37"/>
      <c r="HI294" s="37" t="s">
        <v>344</v>
      </c>
      <c r="HJ294" s="37"/>
      <c r="HK294" s="37" t="s">
        <v>344</v>
      </c>
      <c r="HL294" s="37" t="s">
        <v>344</v>
      </c>
      <c r="HM294" s="37" t="s">
        <v>344</v>
      </c>
      <c r="HN294" s="37" t="s">
        <v>344</v>
      </c>
      <c r="HO294" s="37" t="s">
        <v>344</v>
      </c>
      <c r="HP294" s="37" t="s">
        <v>344</v>
      </c>
      <c r="HQ294" s="37" t="s">
        <v>344</v>
      </c>
      <c r="HR294" s="37" t="s">
        <v>344</v>
      </c>
      <c r="HS294" s="37" t="s">
        <v>344</v>
      </c>
      <c r="HT294" s="37" t="s">
        <v>345</v>
      </c>
      <c r="HU294" s="37" t="s">
        <v>344</v>
      </c>
      <c r="HV294" s="37" t="s">
        <v>344</v>
      </c>
      <c r="HW294" s="37" t="s">
        <v>345</v>
      </c>
      <c r="HX294" s="37" t="s">
        <v>344</v>
      </c>
      <c r="HY294" s="37" t="s">
        <v>344</v>
      </c>
      <c r="HZ294" s="37" t="s">
        <v>344</v>
      </c>
      <c r="IA294" s="37" t="s">
        <v>344</v>
      </c>
      <c r="IB294" s="37" t="s">
        <v>344</v>
      </c>
      <c r="IC294" s="37" t="s">
        <v>344</v>
      </c>
      <c r="ID294" s="37"/>
      <c r="IE294" s="37" t="s">
        <v>344</v>
      </c>
      <c r="IF294" s="37"/>
      <c r="IG294" s="37" t="s">
        <v>344</v>
      </c>
      <c r="IH294" s="37"/>
      <c r="II294" s="37" t="s">
        <v>344</v>
      </c>
      <c r="IJ294" s="37"/>
      <c r="IK294" s="37" t="s">
        <v>344</v>
      </c>
      <c r="IL294" s="37"/>
      <c r="IM294" s="37" t="s">
        <v>345</v>
      </c>
      <c r="IN294" s="37" t="s">
        <v>345</v>
      </c>
      <c r="IO294" s="37" t="s">
        <v>344</v>
      </c>
      <c r="IP294" s="37" t="s">
        <v>344</v>
      </c>
      <c r="IQ294" s="37" t="s">
        <v>344</v>
      </c>
      <c r="IR294" s="37" t="s">
        <v>345</v>
      </c>
      <c r="IS294" s="37" t="s">
        <v>344</v>
      </c>
      <c r="IT294" s="37" t="s">
        <v>344</v>
      </c>
      <c r="IU294" s="37" t="s">
        <v>344</v>
      </c>
      <c r="IV294" s="37" t="s">
        <v>344</v>
      </c>
      <c r="IW294" s="37" t="s">
        <v>344</v>
      </c>
      <c r="IX294" s="37" t="s">
        <v>344</v>
      </c>
      <c r="IY294" s="37" t="s">
        <v>345</v>
      </c>
      <c r="IZ294" s="37" t="s">
        <v>344</v>
      </c>
      <c r="JA294" s="37"/>
      <c r="JB294" s="37"/>
    </row>
    <row r="295" spans="1:262" x14ac:dyDescent="0.3">
      <c r="A295" s="36" t="s">
        <v>338</v>
      </c>
      <c r="B295" s="37">
        <v>267</v>
      </c>
      <c r="C295" s="37" t="s">
        <v>1579</v>
      </c>
      <c r="D295" s="37">
        <v>14</v>
      </c>
      <c r="E295" s="37" t="s">
        <v>387</v>
      </c>
      <c r="F295" s="37">
        <v>308261696</v>
      </c>
      <c r="G295" s="37" t="s">
        <v>1580</v>
      </c>
      <c r="H295" s="37" t="s">
        <v>1579</v>
      </c>
      <c r="I295" s="37" t="s">
        <v>1486</v>
      </c>
      <c r="J295" s="37">
        <v>17</v>
      </c>
      <c r="K295" s="37" t="s">
        <v>1255</v>
      </c>
      <c r="L295" s="37"/>
      <c r="M295" s="37" t="s">
        <v>345</v>
      </c>
      <c r="N295" s="37" t="s">
        <v>344</v>
      </c>
      <c r="O295" s="37" t="s">
        <v>344</v>
      </c>
      <c r="P295" s="37" t="s">
        <v>344</v>
      </c>
      <c r="Q295" s="37" t="s">
        <v>344</v>
      </c>
      <c r="R295" s="37"/>
      <c r="S295" s="37" t="s">
        <v>1487</v>
      </c>
      <c r="T295" s="37"/>
      <c r="U295" s="37" t="s">
        <v>343</v>
      </c>
      <c r="V295" s="37" t="s">
        <v>1581</v>
      </c>
      <c r="W295" s="37" t="s">
        <v>344</v>
      </c>
      <c r="X295" s="37" t="s">
        <v>344</v>
      </c>
      <c r="Y295" s="37" t="s">
        <v>345</v>
      </c>
      <c r="Z295" s="37" t="s">
        <v>344</v>
      </c>
      <c r="AA295" s="37" t="s">
        <v>344</v>
      </c>
      <c r="AB295" s="37" t="s">
        <v>344</v>
      </c>
      <c r="AC295" s="37" t="s">
        <v>344</v>
      </c>
      <c r="AD295" s="37" t="s">
        <v>344</v>
      </c>
      <c r="AE295" s="37" t="s">
        <v>345</v>
      </c>
      <c r="AF295" s="37" t="s">
        <v>344</v>
      </c>
      <c r="AG295" s="37" t="s">
        <v>344</v>
      </c>
      <c r="AH295" s="37" t="s">
        <v>344</v>
      </c>
      <c r="AI295" s="37" t="s">
        <v>344</v>
      </c>
      <c r="AJ295" s="37" t="s">
        <v>344</v>
      </c>
      <c r="AK295" s="37" t="s">
        <v>344</v>
      </c>
      <c r="AL295" s="37" t="s">
        <v>345</v>
      </c>
      <c r="AM295" s="37" t="s">
        <v>344</v>
      </c>
      <c r="AN295" s="37" t="s">
        <v>344</v>
      </c>
      <c r="AO295" s="37" t="s">
        <v>344</v>
      </c>
      <c r="AP295" s="37" t="s">
        <v>344</v>
      </c>
      <c r="AQ295" s="37" t="s">
        <v>344</v>
      </c>
      <c r="AR295" s="37" t="s">
        <v>344</v>
      </c>
      <c r="AS295" s="37" t="s">
        <v>344</v>
      </c>
      <c r="AT295" s="37" t="s">
        <v>344</v>
      </c>
      <c r="AU295" s="37" t="s">
        <v>345</v>
      </c>
      <c r="AV295" s="37" t="s">
        <v>344</v>
      </c>
      <c r="AW295" s="37" t="s">
        <v>344</v>
      </c>
      <c r="AX295" s="37" t="s">
        <v>344</v>
      </c>
      <c r="AY295" s="37" t="s">
        <v>733</v>
      </c>
      <c r="AZ295" s="37" t="s">
        <v>733</v>
      </c>
      <c r="BA295" s="37" t="s">
        <v>737</v>
      </c>
      <c r="BB295" s="37" t="s">
        <v>731</v>
      </c>
      <c r="BC295" s="37" t="s">
        <v>732</v>
      </c>
      <c r="BD295" s="37" t="s">
        <v>737</v>
      </c>
      <c r="BE295" s="37" t="s">
        <v>390</v>
      </c>
      <c r="BF295" s="37" t="s">
        <v>390</v>
      </c>
      <c r="BG295" s="37" t="s">
        <v>390</v>
      </c>
      <c r="BH295" s="37" t="s">
        <v>390</v>
      </c>
      <c r="BI295" s="37" t="s">
        <v>390</v>
      </c>
      <c r="BJ295" s="37" t="s">
        <v>357</v>
      </c>
      <c r="BK295" s="37" t="s">
        <v>354</v>
      </c>
      <c r="BL295" s="37" t="s">
        <v>352</v>
      </c>
      <c r="BM295" s="37" t="s">
        <v>391</v>
      </c>
      <c r="BN295" s="37" t="s">
        <v>351</v>
      </c>
      <c r="BO295" s="37" t="s">
        <v>356</v>
      </c>
      <c r="BP295" s="37" t="s">
        <v>357</v>
      </c>
      <c r="BQ295" s="37" t="s">
        <v>689</v>
      </c>
      <c r="BR295" s="37" t="s">
        <v>344</v>
      </c>
      <c r="BS295" s="37" t="s">
        <v>354</v>
      </c>
      <c r="BT295" s="37" t="s">
        <v>354</v>
      </c>
      <c r="BU295" s="37" t="s">
        <v>354</v>
      </c>
      <c r="BV295" s="37" t="s">
        <v>354</v>
      </c>
      <c r="BW295" s="37" t="s">
        <v>354</v>
      </c>
      <c r="BX295" s="37" t="s">
        <v>354</v>
      </c>
      <c r="BY295" s="37" t="s">
        <v>354</v>
      </c>
      <c r="BZ295" s="37" t="s">
        <v>354</v>
      </c>
      <c r="CA295" s="37" t="s">
        <v>354</v>
      </c>
      <c r="CB295" s="37" t="s">
        <v>354</v>
      </c>
      <c r="CC295" s="37" t="s">
        <v>354</v>
      </c>
      <c r="CD295" s="37" t="s">
        <v>354</v>
      </c>
      <c r="CE295" s="37" t="s">
        <v>354</v>
      </c>
      <c r="CF295" s="37" t="s">
        <v>354</v>
      </c>
      <c r="CG295" s="37" t="s">
        <v>393</v>
      </c>
      <c r="CH295" s="37" t="s">
        <v>421</v>
      </c>
      <c r="CI295" s="37" t="s">
        <v>421</v>
      </c>
      <c r="CJ295" s="37" t="s">
        <v>420</v>
      </c>
      <c r="CK295" s="37" t="s">
        <v>717</v>
      </c>
      <c r="CL295" s="37" t="s">
        <v>344</v>
      </c>
      <c r="CM295" s="37" t="s">
        <v>344</v>
      </c>
      <c r="CN295" s="37" t="s">
        <v>344</v>
      </c>
      <c r="CO295" s="37" t="s">
        <v>344</v>
      </c>
      <c r="CP295" s="37" t="s">
        <v>345</v>
      </c>
      <c r="CQ295" s="37" t="s">
        <v>344</v>
      </c>
      <c r="CR295" s="37" t="s">
        <v>655</v>
      </c>
      <c r="CS295" s="37">
        <v>100</v>
      </c>
      <c r="CT295" s="37">
        <v>100</v>
      </c>
      <c r="CU295" s="37"/>
      <c r="CV295" s="37"/>
      <c r="CW295" s="37" t="s">
        <v>363</v>
      </c>
      <c r="CX295" s="37" t="s">
        <v>364</v>
      </c>
      <c r="CY295" s="37" t="s">
        <v>363</v>
      </c>
      <c r="CZ295" s="37" t="s">
        <v>397</v>
      </c>
      <c r="DA295" s="37" t="s">
        <v>397</v>
      </c>
      <c r="DB295" s="37" t="s">
        <v>397</v>
      </c>
      <c r="DC295" s="37" t="s">
        <v>366</v>
      </c>
      <c r="DD295" s="37" t="s">
        <v>365</v>
      </c>
      <c r="DE295" s="37"/>
      <c r="DF295" s="37"/>
      <c r="DG295" s="37"/>
      <c r="DH295" s="37"/>
      <c r="DI295" s="37"/>
      <c r="DJ295" s="37" t="s">
        <v>1582</v>
      </c>
      <c r="DK295" s="37" t="s">
        <v>1403</v>
      </c>
      <c r="DL295" s="37" t="s">
        <v>344</v>
      </c>
      <c r="DM295" s="37" t="s">
        <v>345</v>
      </c>
      <c r="DN295" s="37" t="s">
        <v>344</v>
      </c>
      <c r="DO295" s="37" t="s">
        <v>344</v>
      </c>
      <c r="DP295" s="37" t="s">
        <v>344</v>
      </c>
      <c r="DQ295" s="37" t="s">
        <v>345</v>
      </c>
      <c r="DR295" s="37" t="s">
        <v>345</v>
      </c>
      <c r="DS295" s="37" t="s">
        <v>344</v>
      </c>
      <c r="DT295" s="37" t="s">
        <v>344</v>
      </c>
      <c r="DU295" s="37" t="s">
        <v>345</v>
      </c>
      <c r="DV295" s="37" t="s">
        <v>345</v>
      </c>
      <c r="DW295" s="37" t="s">
        <v>344</v>
      </c>
      <c r="DX295" s="37" t="s">
        <v>1258</v>
      </c>
      <c r="DY295" s="37" t="s">
        <v>1258</v>
      </c>
      <c r="DZ295" s="37" t="s">
        <v>1258</v>
      </c>
      <c r="EA295" s="37" t="s">
        <v>1258</v>
      </c>
      <c r="EB295" s="37" t="s">
        <v>1258</v>
      </c>
      <c r="EC295" s="37" t="s">
        <v>1258</v>
      </c>
      <c r="ED295" s="37" t="s">
        <v>1258</v>
      </c>
      <c r="EE295" s="37" t="s">
        <v>397</v>
      </c>
      <c r="EF295" s="37" t="s">
        <v>1274</v>
      </c>
      <c r="EG295" s="37" t="s">
        <v>397</v>
      </c>
      <c r="EH295" s="37" t="s">
        <v>397</v>
      </c>
      <c r="EI295" s="37" t="s">
        <v>397</v>
      </c>
      <c r="EJ295" s="37" t="s">
        <v>397</v>
      </c>
      <c r="EK295" s="37" t="s">
        <v>397</v>
      </c>
      <c r="EL295" s="37" t="s">
        <v>1259</v>
      </c>
      <c r="EM295" s="37" t="s">
        <v>1276</v>
      </c>
      <c r="EN295" s="37" t="s">
        <v>1260</v>
      </c>
      <c r="EO295" s="37"/>
      <c r="EP295" s="37"/>
      <c r="EQ295" s="37" t="s">
        <v>1263</v>
      </c>
      <c r="ER295" s="37" t="s">
        <v>1262</v>
      </c>
      <c r="ES295" s="37" t="s">
        <v>1262</v>
      </c>
      <c r="ET295" s="37" t="s">
        <v>1264</v>
      </c>
      <c r="EU295" s="37" t="s">
        <v>1278</v>
      </c>
      <c r="EV295" s="37" t="s">
        <v>1265</v>
      </c>
      <c r="EW295" s="37"/>
      <c r="EX295" s="37" t="s">
        <v>368</v>
      </c>
      <c r="EY295" s="37" t="s">
        <v>368</v>
      </c>
      <c r="EZ295" s="37" t="s">
        <v>368</v>
      </c>
      <c r="FA295" s="37" t="s">
        <v>345</v>
      </c>
      <c r="FB295" s="37" t="s">
        <v>1266</v>
      </c>
      <c r="FC295" s="37"/>
      <c r="FD295" s="37" t="s">
        <v>1266</v>
      </c>
      <c r="FE295" s="37"/>
      <c r="FF295" s="37" t="s">
        <v>477</v>
      </c>
      <c r="FG295" s="37" t="s">
        <v>402</v>
      </c>
      <c r="FH295" s="37" t="s">
        <v>1301</v>
      </c>
      <c r="FI295" s="37" t="s">
        <v>1286</v>
      </c>
      <c r="FJ295" s="37"/>
      <c r="FK295" s="37"/>
      <c r="FL295" s="37"/>
      <c r="FM295" s="37"/>
      <c r="FN295" s="37"/>
      <c r="FO295" s="37"/>
      <c r="FP295" s="37"/>
      <c r="FQ295" s="37"/>
      <c r="FR295" s="37"/>
      <c r="FS295" s="37"/>
      <c r="FT295" s="37"/>
      <c r="FU295" s="37"/>
      <c r="FV295" s="37"/>
      <c r="FW295" s="37"/>
      <c r="FX295" s="37"/>
      <c r="FY295" s="37"/>
      <c r="FZ295" s="37"/>
      <c r="GA295" s="37" t="s">
        <v>368</v>
      </c>
      <c r="GB295" s="37" t="s">
        <v>368</v>
      </c>
      <c r="GC295" s="37" t="s">
        <v>368</v>
      </c>
      <c r="GD295" s="37" t="s">
        <v>368</v>
      </c>
      <c r="GE295" s="37" t="s">
        <v>368</v>
      </c>
      <c r="GF295" s="37" t="s">
        <v>368</v>
      </c>
      <c r="GG295" s="37"/>
      <c r="GH295" s="37"/>
      <c r="GI295" s="37"/>
      <c r="GJ295" s="37"/>
      <c r="GK295" s="37"/>
      <c r="GL295" s="37" t="s">
        <v>344</v>
      </c>
      <c r="GM295" s="37" t="s">
        <v>344</v>
      </c>
      <c r="GN295" s="37" t="s">
        <v>345</v>
      </c>
      <c r="GO295" s="37" t="s">
        <v>345</v>
      </c>
      <c r="GP295" s="37" t="s">
        <v>344</v>
      </c>
      <c r="GQ295" s="37" t="s">
        <v>344</v>
      </c>
      <c r="GR295" s="37" t="s">
        <v>344</v>
      </c>
      <c r="GS295" s="37" t="s">
        <v>344</v>
      </c>
      <c r="GT295" s="37" t="s">
        <v>344</v>
      </c>
      <c r="GU295" s="37" t="s">
        <v>344</v>
      </c>
      <c r="GV295" s="37" t="s">
        <v>344</v>
      </c>
      <c r="GW295" s="37" t="s">
        <v>344</v>
      </c>
      <c r="GX295" s="37" t="s">
        <v>344</v>
      </c>
      <c r="GY295" s="37" t="s">
        <v>344</v>
      </c>
      <c r="GZ295" s="37" t="s">
        <v>344</v>
      </c>
      <c r="HA295" s="37" t="s">
        <v>344</v>
      </c>
      <c r="HB295" s="37"/>
      <c r="HC295" s="37" t="s">
        <v>344</v>
      </c>
      <c r="HD295" s="37"/>
      <c r="HE295" s="37" t="s">
        <v>344</v>
      </c>
      <c r="HF295" s="37"/>
      <c r="HG295" s="37" t="s">
        <v>344</v>
      </c>
      <c r="HH295" s="37"/>
      <c r="HI295" s="37" t="s">
        <v>344</v>
      </c>
      <c r="HJ295" s="37"/>
      <c r="HK295" s="37" t="s">
        <v>344</v>
      </c>
      <c r="HL295" s="37" t="s">
        <v>344</v>
      </c>
      <c r="HM295" s="37" t="s">
        <v>344</v>
      </c>
      <c r="HN295" s="37" t="s">
        <v>344</v>
      </c>
      <c r="HO295" s="37" t="s">
        <v>344</v>
      </c>
      <c r="HP295" s="37" t="s">
        <v>344</v>
      </c>
      <c r="HQ295" s="37" t="s">
        <v>344</v>
      </c>
      <c r="HR295" s="37" t="s">
        <v>344</v>
      </c>
      <c r="HS295" s="37" t="s">
        <v>344</v>
      </c>
      <c r="HT295" s="37" t="s">
        <v>344</v>
      </c>
      <c r="HU295" s="37" t="s">
        <v>344</v>
      </c>
      <c r="HV295" s="37" t="s">
        <v>344</v>
      </c>
      <c r="HW295" s="37" t="s">
        <v>344</v>
      </c>
      <c r="HX295" s="37" t="s">
        <v>344</v>
      </c>
      <c r="HY295" s="37" t="s">
        <v>344</v>
      </c>
      <c r="HZ295" s="37" t="s">
        <v>344</v>
      </c>
      <c r="IA295" s="37" t="s">
        <v>344</v>
      </c>
      <c r="IB295" s="37" t="s">
        <v>344</v>
      </c>
      <c r="IC295" s="37" t="s">
        <v>345</v>
      </c>
      <c r="ID295" s="37"/>
      <c r="IE295" s="37" t="s">
        <v>344</v>
      </c>
      <c r="IF295" s="37"/>
      <c r="IG295" s="37" t="s">
        <v>344</v>
      </c>
      <c r="IH295" s="37"/>
      <c r="II295" s="37" t="s">
        <v>344</v>
      </c>
      <c r="IJ295" s="37"/>
      <c r="IK295" s="37" t="s">
        <v>344</v>
      </c>
      <c r="IL295" s="37"/>
      <c r="IM295" s="37" t="s">
        <v>345</v>
      </c>
      <c r="IN295" s="37" t="s">
        <v>345</v>
      </c>
      <c r="IO295" s="37" t="s">
        <v>344</v>
      </c>
      <c r="IP295" s="37" t="s">
        <v>344</v>
      </c>
      <c r="IQ295" s="37" t="s">
        <v>345</v>
      </c>
      <c r="IR295" s="37" t="s">
        <v>344</v>
      </c>
      <c r="IS295" s="37" t="s">
        <v>344</v>
      </c>
      <c r="IT295" s="37" t="s">
        <v>344</v>
      </c>
      <c r="IU295" s="37" t="s">
        <v>344</v>
      </c>
      <c r="IV295" s="37" t="s">
        <v>344</v>
      </c>
      <c r="IW295" s="37" t="s">
        <v>345</v>
      </c>
      <c r="IX295" s="37" t="s">
        <v>344</v>
      </c>
      <c r="IY295" s="37" t="s">
        <v>345</v>
      </c>
      <c r="IZ295" s="37" t="s">
        <v>344</v>
      </c>
      <c r="JA295" s="37"/>
      <c r="JB295" s="37"/>
    </row>
    <row r="296" spans="1:262" x14ac:dyDescent="0.3">
      <c r="A296" s="40" t="s">
        <v>813</v>
      </c>
      <c r="B296" s="41">
        <v>272</v>
      </c>
      <c r="C296" s="41" t="s">
        <v>1583</v>
      </c>
      <c r="D296" s="41">
        <v>14</v>
      </c>
      <c r="E296" s="41" t="s">
        <v>340</v>
      </c>
      <c r="F296" s="41">
        <v>882325939</v>
      </c>
      <c r="G296" s="41" t="s">
        <v>1584</v>
      </c>
      <c r="H296" s="41" t="s">
        <v>1583</v>
      </c>
      <c r="I296" s="41" t="s">
        <v>1585</v>
      </c>
      <c r="J296" s="41">
        <v>17</v>
      </c>
      <c r="K296" s="41" t="s">
        <v>1255</v>
      </c>
      <c r="L296" s="41"/>
      <c r="M296" s="41" t="s">
        <v>345</v>
      </c>
      <c r="N296" s="41" t="s">
        <v>345</v>
      </c>
      <c r="O296" s="41" t="s">
        <v>344</v>
      </c>
      <c r="P296" s="41" t="s">
        <v>344</v>
      </c>
      <c r="Q296" s="41" t="s">
        <v>344</v>
      </c>
      <c r="R296" s="41"/>
      <c r="S296" s="41" t="s">
        <v>522</v>
      </c>
      <c r="T296" s="41"/>
      <c r="U296" s="41" t="s">
        <v>1457</v>
      </c>
      <c r="V296" s="41"/>
      <c r="W296" s="41" t="s">
        <v>345</v>
      </c>
      <c r="X296" s="41" t="s">
        <v>345</v>
      </c>
      <c r="Y296" s="41" t="s">
        <v>344</v>
      </c>
      <c r="Z296" s="41" t="s">
        <v>344</v>
      </c>
      <c r="AA296" s="41" t="s">
        <v>344</v>
      </c>
      <c r="AB296" s="41" t="s">
        <v>344</v>
      </c>
      <c r="AC296" s="41" t="s">
        <v>344</v>
      </c>
      <c r="AD296" s="41" t="s">
        <v>344</v>
      </c>
      <c r="AE296" s="41" t="s">
        <v>345</v>
      </c>
      <c r="AF296" s="41" t="s">
        <v>344</v>
      </c>
      <c r="AG296" s="41" t="s">
        <v>345</v>
      </c>
      <c r="AH296" s="41" t="s">
        <v>344</v>
      </c>
      <c r="AI296" s="41" t="s">
        <v>344</v>
      </c>
      <c r="AJ296" s="41" t="s">
        <v>344</v>
      </c>
      <c r="AK296" s="41" t="s">
        <v>344</v>
      </c>
      <c r="AL296" s="41" t="s">
        <v>345</v>
      </c>
      <c r="AM296" s="41" t="s">
        <v>344</v>
      </c>
      <c r="AN296" s="41" t="s">
        <v>344</v>
      </c>
      <c r="AO296" s="41" t="s">
        <v>345</v>
      </c>
      <c r="AP296" s="41" t="s">
        <v>345</v>
      </c>
      <c r="AQ296" s="41" t="s">
        <v>344</v>
      </c>
      <c r="AR296" s="41" t="s">
        <v>344</v>
      </c>
      <c r="AS296" s="41" t="s">
        <v>345</v>
      </c>
      <c r="AT296" s="41" t="s">
        <v>345</v>
      </c>
      <c r="AU296" s="41" t="s">
        <v>345</v>
      </c>
      <c r="AV296" s="41" t="s">
        <v>344</v>
      </c>
      <c r="AW296" s="41" t="s">
        <v>345</v>
      </c>
      <c r="AX296" s="41" t="s">
        <v>344</v>
      </c>
      <c r="AY296" s="41" t="s">
        <v>733</v>
      </c>
      <c r="AZ296" s="41" t="s">
        <v>391</v>
      </c>
      <c r="BA296" s="41" t="s">
        <v>391</v>
      </c>
      <c r="BB296" s="41" t="s">
        <v>391</v>
      </c>
      <c r="BC296" s="41" t="s">
        <v>391</v>
      </c>
      <c r="BD296" s="41" t="s">
        <v>391</v>
      </c>
      <c r="BE296" s="41" t="s">
        <v>349</v>
      </c>
      <c r="BF296" s="41" t="s">
        <v>349</v>
      </c>
      <c r="BG296" s="41" t="s">
        <v>390</v>
      </c>
      <c r="BH296" s="41" t="s">
        <v>390</v>
      </c>
      <c r="BI296" s="41" t="s">
        <v>390</v>
      </c>
      <c r="BJ296" s="41" t="s">
        <v>391</v>
      </c>
      <c r="BK296" s="41" t="s">
        <v>356</v>
      </c>
      <c r="BL296" s="41" t="s">
        <v>391</v>
      </c>
      <c r="BM296" s="41" t="s">
        <v>391</v>
      </c>
      <c r="BN296" s="41" t="s">
        <v>356</v>
      </c>
      <c r="BO296" s="41" t="s">
        <v>391</v>
      </c>
      <c r="BP296" s="41" t="s">
        <v>391</v>
      </c>
      <c r="BQ296" s="41" t="s">
        <v>358</v>
      </c>
      <c r="BR296" s="41" t="s">
        <v>1257</v>
      </c>
      <c r="BS296" s="41" t="s">
        <v>355</v>
      </c>
      <c r="BT296" s="41" t="s">
        <v>354</v>
      </c>
      <c r="BU296" s="41" t="s">
        <v>352</v>
      </c>
      <c r="BV296" s="41" t="s">
        <v>352</v>
      </c>
      <c r="BW296" s="41" t="s">
        <v>391</v>
      </c>
      <c r="BX296" s="41" t="s">
        <v>351</v>
      </c>
      <c r="BY296" s="41" t="s">
        <v>352</v>
      </c>
      <c r="BZ296" s="41" t="s">
        <v>352</v>
      </c>
      <c r="CA296" s="41" t="s">
        <v>355</v>
      </c>
      <c r="CB296" s="41" t="s">
        <v>391</v>
      </c>
      <c r="CC296" s="41" t="s">
        <v>391</v>
      </c>
      <c r="CD296" s="41" t="s">
        <v>391</v>
      </c>
      <c r="CE296" s="41" t="s">
        <v>391</v>
      </c>
      <c r="CF296" s="41" t="s">
        <v>391</v>
      </c>
      <c r="CG296" s="41" t="s">
        <v>360</v>
      </c>
      <c r="CH296" s="41" t="s">
        <v>421</v>
      </c>
      <c r="CI296" s="41" t="s">
        <v>420</v>
      </c>
      <c r="CJ296" s="41" t="s">
        <v>393</v>
      </c>
      <c r="CK296" s="41" t="s">
        <v>1152</v>
      </c>
      <c r="CL296" s="41" t="s">
        <v>344</v>
      </c>
      <c r="CM296" s="41" t="s">
        <v>344</v>
      </c>
      <c r="CN296" s="41" t="s">
        <v>344</v>
      </c>
      <c r="CO296" s="41" t="s">
        <v>345</v>
      </c>
      <c r="CP296" s="41" t="s">
        <v>345</v>
      </c>
      <c r="CQ296" s="41" t="s">
        <v>344</v>
      </c>
      <c r="CR296" s="41" t="s">
        <v>667</v>
      </c>
      <c r="CS296" s="41">
        <v>50</v>
      </c>
      <c r="CT296" s="41">
        <v>77</v>
      </c>
      <c r="CU296" s="41">
        <v>50</v>
      </c>
      <c r="CV296" s="41">
        <v>20</v>
      </c>
      <c r="CW296" s="41" t="s">
        <v>395</v>
      </c>
      <c r="CX296" s="41" t="s">
        <v>396</v>
      </c>
      <c r="CY296" s="41" t="s">
        <v>396</v>
      </c>
      <c r="CZ296" s="41" t="s">
        <v>717</v>
      </c>
      <c r="DA296" s="41" t="s">
        <v>717</v>
      </c>
      <c r="DB296" s="41" t="s">
        <v>717</v>
      </c>
      <c r="DC296" s="41" t="s">
        <v>717</v>
      </c>
      <c r="DD296" s="41" t="s">
        <v>717</v>
      </c>
      <c r="DE296" s="41" t="s">
        <v>717</v>
      </c>
      <c r="DF296" s="41" t="s">
        <v>717</v>
      </c>
      <c r="DG296" s="41" t="s">
        <v>717</v>
      </c>
      <c r="DH296" s="41" t="s">
        <v>717</v>
      </c>
      <c r="DI296" s="41" t="s">
        <v>717</v>
      </c>
      <c r="DJ296" s="41"/>
      <c r="DK296" s="41" t="s">
        <v>344</v>
      </c>
      <c r="DL296" s="41" t="s">
        <v>368</v>
      </c>
      <c r="DM296" s="41" t="s">
        <v>368</v>
      </c>
      <c r="DN296" s="41" t="s">
        <v>368</v>
      </c>
      <c r="DO296" s="41" t="s">
        <v>368</v>
      </c>
      <c r="DP296" s="41" t="s">
        <v>368</v>
      </c>
      <c r="DQ296" s="41" t="s">
        <v>368</v>
      </c>
      <c r="DR296" s="41" t="s">
        <v>368</v>
      </c>
      <c r="DS296" s="41" t="s">
        <v>345</v>
      </c>
      <c r="DT296" s="41" t="s">
        <v>368</v>
      </c>
      <c r="DU296" s="41" t="s">
        <v>368</v>
      </c>
      <c r="DV296" s="41" t="s">
        <v>368</v>
      </c>
      <c r="DW296" s="41" t="s">
        <v>345</v>
      </c>
      <c r="DX296" s="41" t="s">
        <v>1258</v>
      </c>
      <c r="DY296" s="41" t="s">
        <v>1258</v>
      </c>
      <c r="DZ296" s="41" t="s">
        <v>397</v>
      </c>
      <c r="EA296" s="41" t="s">
        <v>1258</v>
      </c>
      <c r="EB296" s="41" t="s">
        <v>1258</v>
      </c>
      <c r="EC296" s="41" t="s">
        <v>1258</v>
      </c>
      <c r="ED296" s="41" t="s">
        <v>1258</v>
      </c>
      <c r="EE296" s="41" t="s">
        <v>1258</v>
      </c>
      <c r="EF296" s="41" t="s">
        <v>1258</v>
      </c>
      <c r="EG296" s="41" t="s">
        <v>397</v>
      </c>
      <c r="EH296" s="41" t="s">
        <v>1258</v>
      </c>
      <c r="EI296" s="41" t="s">
        <v>1258</v>
      </c>
      <c r="EJ296" s="41" t="s">
        <v>1258</v>
      </c>
      <c r="EK296" s="41" t="s">
        <v>1258</v>
      </c>
      <c r="EL296" s="41" t="s">
        <v>1276</v>
      </c>
      <c r="EM296" s="41" t="s">
        <v>1260</v>
      </c>
      <c r="EN296" s="41" t="s">
        <v>1275</v>
      </c>
      <c r="EO296" s="41"/>
      <c r="EP296" s="41"/>
      <c r="EQ296" s="41" t="s">
        <v>717</v>
      </c>
      <c r="ER296" s="41" t="s">
        <v>717</v>
      </c>
      <c r="ES296" s="41" t="s">
        <v>717</v>
      </c>
      <c r="ET296" s="41" t="s">
        <v>717</v>
      </c>
      <c r="EU296" s="41" t="s">
        <v>717</v>
      </c>
      <c r="EV296" s="41" t="s">
        <v>1265</v>
      </c>
      <c r="EW296" s="41"/>
      <c r="EX296" s="41" t="s">
        <v>368</v>
      </c>
      <c r="EY296" s="41" t="s">
        <v>368</v>
      </c>
      <c r="EZ296" s="41" t="s">
        <v>368</v>
      </c>
      <c r="FA296" s="41" t="s">
        <v>345</v>
      </c>
      <c r="FB296" s="41" t="s">
        <v>1321</v>
      </c>
      <c r="FC296" s="41"/>
      <c r="FD296" s="41" t="s">
        <v>1266</v>
      </c>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t="s">
        <v>368</v>
      </c>
      <c r="GB296" s="41" t="s">
        <v>368</v>
      </c>
      <c r="GC296" s="41" t="s">
        <v>368</v>
      </c>
      <c r="GD296" s="41" t="s">
        <v>368</v>
      </c>
      <c r="GE296" s="41" t="s">
        <v>368</v>
      </c>
      <c r="GF296" s="41" t="s">
        <v>368</v>
      </c>
      <c r="GG296" s="41"/>
      <c r="GH296" s="41"/>
      <c r="GI296" s="41"/>
      <c r="GJ296" s="41"/>
      <c r="GK296" s="41"/>
      <c r="GL296" s="41" t="s">
        <v>344</v>
      </c>
      <c r="GM296" s="41" t="s">
        <v>344</v>
      </c>
      <c r="GN296" s="41" t="s">
        <v>344</v>
      </c>
      <c r="GO296" s="41" t="s">
        <v>344</v>
      </c>
      <c r="GP296" s="41" t="s">
        <v>344</v>
      </c>
      <c r="GQ296" s="41" t="s">
        <v>344</v>
      </c>
      <c r="GR296" s="41" t="s">
        <v>344</v>
      </c>
      <c r="GS296" s="41" t="s">
        <v>344</v>
      </c>
      <c r="GT296" s="41" t="s">
        <v>344</v>
      </c>
      <c r="GU296" s="41" t="s">
        <v>344</v>
      </c>
      <c r="GV296" s="41" t="s">
        <v>344</v>
      </c>
      <c r="GW296" s="41" t="s">
        <v>344</v>
      </c>
      <c r="GX296" s="41" t="s">
        <v>344</v>
      </c>
      <c r="GY296" s="41" t="s">
        <v>344</v>
      </c>
      <c r="GZ296" s="41" t="s">
        <v>344</v>
      </c>
      <c r="HA296" s="41" t="s">
        <v>345</v>
      </c>
      <c r="HB296" s="41"/>
      <c r="HC296" s="41" t="s">
        <v>344</v>
      </c>
      <c r="HD296" s="41"/>
      <c r="HE296" s="41" t="s">
        <v>344</v>
      </c>
      <c r="HF296" s="41"/>
      <c r="HG296" s="41" t="s">
        <v>344</v>
      </c>
      <c r="HH296" s="41"/>
      <c r="HI296" s="41" t="s">
        <v>344</v>
      </c>
      <c r="HJ296" s="41"/>
      <c r="HK296" s="41" t="s">
        <v>344</v>
      </c>
      <c r="HL296" s="41" t="s">
        <v>344</v>
      </c>
      <c r="HM296" s="41" t="s">
        <v>344</v>
      </c>
      <c r="HN296" s="41" t="s">
        <v>344</v>
      </c>
      <c r="HO296" s="41" t="s">
        <v>344</v>
      </c>
      <c r="HP296" s="41" t="s">
        <v>344</v>
      </c>
      <c r="HQ296" s="41" t="s">
        <v>344</v>
      </c>
      <c r="HR296" s="41" t="s">
        <v>344</v>
      </c>
      <c r="HS296" s="41" t="s">
        <v>344</v>
      </c>
      <c r="HT296" s="41" t="s">
        <v>344</v>
      </c>
      <c r="HU296" s="41" t="s">
        <v>344</v>
      </c>
      <c r="HV296" s="41" t="s">
        <v>344</v>
      </c>
      <c r="HW296" s="41" t="s">
        <v>344</v>
      </c>
      <c r="HX296" s="41" t="s">
        <v>344</v>
      </c>
      <c r="HY296" s="41" t="s">
        <v>344</v>
      </c>
      <c r="HZ296" s="41" t="s">
        <v>344</v>
      </c>
      <c r="IA296" s="41" t="s">
        <v>344</v>
      </c>
      <c r="IB296" s="41" t="s">
        <v>344</v>
      </c>
      <c r="IC296" s="41" t="s">
        <v>345</v>
      </c>
      <c r="ID296" s="41"/>
      <c r="IE296" s="41" t="s">
        <v>344</v>
      </c>
      <c r="IF296" s="41"/>
      <c r="IG296" s="41" t="s">
        <v>344</v>
      </c>
      <c r="IH296" s="41"/>
      <c r="II296" s="41" t="s">
        <v>344</v>
      </c>
      <c r="IJ296" s="41"/>
      <c r="IK296" s="41" t="s">
        <v>344</v>
      </c>
      <c r="IL296" s="41"/>
      <c r="IM296" s="41" t="s">
        <v>345</v>
      </c>
      <c r="IN296" s="41" t="s">
        <v>345</v>
      </c>
      <c r="IO296" s="41" t="s">
        <v>344</v>
      </c>
      <c r="IP296" s="41" t="s">
        <v>345</v>
      </c>
      <c r="IQ296" s="41" t="s">
        <v>345</v>
      </c>
      <c r="IR296" s="41" t="s">
        <v>345</v>
      </c>
      <c r="IS296" s="41" t="s">
        <v>344</v>
      </c>
      <c r="IT296" s="41" t="s">
        <v>345</v>
      </c>
      <c r="IU296" s="41" t="s">
        <v>344</v>
      </c>
      <c r="IV296" s="41" t="s">
        <v>344</v>
      </c>
      <c r="IW296" s="41" t="s">
        <v>344</v>
      </c>
      <c r="IX296" s="41" t="s">
        <v>344</v>
      </c>
      <c r="IY296" s="41" t="s">
        <v>344</v>
      </c>
      <c r="IZ296" s="41" t="s">
        <v>344</v>
      </c>
      <c r="JA296" s="41"/>
      <c r="JB296" s="41"/>
    </row>
    <row r="297" spans="1:262" x14ac:dyDescent="0.3">
      <c r="A297" s="40" t="s">
        <v>813</v>
      </c>
      <c r="B297" s="41">
        <v>273</v>
      </c>
      <c r="C297" s="41" t="s">
        <v>1586</v>
      </c>
      <c r="D297" s="41">
        <v>14</v>
      </c>
      <c r="E297" s="41" t="s">
        <v>387</v>
      </c>
      <c r="F297" s="41">
        <v>1192909113</v>
      </c>
      <c r="G297" s="41" t="s">
        <v>1587</v>
      </c>
      <c r="H297" s="41" t="s">
        <v>1586</v>
      </c>
      <c r="I297" s="41" t="s">
        <v>1585</v>
      </c>
      <c r="J297" s="41">
        <v>17</v>
      </c>
      <c r="K297" s="41" t="s">
        <v>1255</v>
      </c>
      <c r="L297" s="41"/>
      <c r="M297" s="41" t="s">
        <v>345</v>
      </c>
      <c r="N297" s="41" t="s">
        <v>345</v>
      </c>
      <c r="O297" s="41" t="s">
        <v>344</v>
      </c>
      <c r="P297" s="41" t="s">
        <v>344</v>
      </c>
      <c r="Q297" s="41" t="s">
        <v>344</v>
      </c>
      <c r="R297" s="41"/>
      <c r="S297" s="41" t="s">
        <v>438</v>
      </c>
      <c r="T297" s="41"/>
      <c r="U297" s="41" t="s">
        <v>1256</v>
      </c>
      <c r="V297" s="41"/>
      <c r="W297" s="41" t="s">
        <v>345</v>
      </c>
      <c r="X297" s="41" t="s">
        <v>344</v>
      </c>
      <c r="Y297" s="41" t="s">
        <v>344</v>
      </c>
      <c r="Z297" s="41" t="s">
        <v>344</v>
      </c>
      <c r="AA297" s="41" t="s">
        <v>344</v>
      </c>
      <c r="AB297" s="41" t="s">
        <v>344</v>
      </c>
      <c r="AC297" s="41" t="s">
        <v>344</v>
      </c>
      <c r="AD297" s="41" t="s">
        <v>344</v>
      </c>
      <c r="AE297" s="41" t="s">
        <v>345</v>
      </c>
      <c r="AF297" s="41" t="s">
        <v>344</v>
      </c>
      <c r="AG297" s="41" t="s">
        <v>344</v>
      </c>
      <c r="AH297" s="41" t="s">
        <v>345</v>
      </c>
      <c r="AI297" s="41" t="s">
        <v>344</v>
      </c>
      <c r="AJ297" s="41" t="s">
        <v>344</v>
      </c>
      <c r="AK297" s="41" t="s">
        <v>345</v>
      </c>
      <c r="AL297" s="41" t="s">
        <v>344</v>
      </c>
      <c r="AM297" s="41" t="s">
        <v>344</v>
      </c>
      <c r="AN297" s="41" t="s">
        <v>344</v>
      </c>
      <c r="AO297" s="41" t="s">
        <v>344</v>
      </c>
      <c r="AP297" s="41" t="s">
        <v>345</v>
      </c>
      <c r="AQ297" s="41" t="s">
        <v>344</v>
      </c>
      <c r="AR297" s="41" t="s">
        <v>345</v>
      </c>
      <c r="AS297" s="41" t="s">
        <v>344</v>
      </c>
      <c r="AT297" s="41" t="s">
        <v>344</v>
      </c>
      <c r="AU297" s="41" t="s">
        <v>345</v>
      </c>
      <c r="AV297" s="41" t="s">
        <v>344</v>
      </c>
      <c r="AW297" s="41" t="s">
        <v>344</v>
      </c>
      <c r="AX297" s="41" t="s">
        <v>344</v>
      </c>
      <c r="AY297" s="41" t="s">
        <v>732</v>
      </c>
      <c r="AZ297" s="41" t="s">
        <v>733</v>
      </c>
      <c r="BA297" s="41" t="s">
        <v>737</v>
      </c>
      <c r="BB297" s="41" t="s">
        <v>731</v>
      </c>
      <c r="BC297" s="41" t="s">
        <v>732</v>
      </c>
      <c r="BD297" s="41" t="s">
        <v>732</v>
      </c>
      <c r="BE297" s="41" t="s">
        <v>348</v>
      </c>
      <c r="BF297" s="41" t="s">
        <v>348</v>
      </c>
      <c r="BG297" s="41" t="s">
        <v>350</v>
      </c>
      <c r="BH297" s="41" t="s">
        <v>349</v>
      </c>
      <c r="BI297" s="41" t="s">
        <v>348</v>
      </c>
      <c r="BJ297" s="41" t="s">
        <v>352</v>
      </c>
      <c r="BK297" s="41" t="s">
        <v>354</v>
      </c>
      <c r="BL297" s="41" t="s">
        <v>351</v>
      </c>
      <c r="BM297" s="41" t="s">
        <v>356</v>
      </c>
      <c r="BN297" s="41" t="s">
        <v>353</v>
      </c>
      <c r="BO297" s="41" t="s">
        <v>357</v>
      </c>
      <c r="BP297" s="41" t="s">
        <v>355</v>
      </c>
      <c r="BQ297" s="41" t="s">
        <v>358</v>
      </c>
      <c r="BR297" s="41" t="s">
        <v>1296</v>
      </c>
      <c r="BS297" s="41" t="s">
        <v>353</v>
      </c>
      <c r="BT297" s="41" t="s">
        <v>356</v>
      </c>
      <c r="BU297" s="41" t="s">
        <v>354</v>
      </c>
      <c r="BV297" s="41" t="s">
        <v>355</v>
      </c>
      <c r="BW297" s="41" t="s">
        <v>351</v>
      </c>
      <c r="BX297" s="41" t="s">
        <v>357</v>
      </c>
      <c r="BY297" s="41" t="s">
        <v>352</v>
      </c>
      <c r="BZ297" s="41" t="s">
        <v>355</v>
      </c>
      <c r="CA297" s="41" t="s">
        <v>352</v>
      </c>
      <c r="CB297" s="41" t="s">
        <v>354</v>
      </c>
      <c r="CC297" s="41" t="s">
        <v>357</v>
      </c>
      <c r="CD297" s="41" t="s">
        <v>356</v>
      </c>
      <c r="CE297" s="41" t="s">
        <v>353</v>
      </c>
      <c r="CF297" s="41" t="s">
        <v>351</v>
      </c>
      <c r="CG297" s="41" t="s">
        <v>392</v>
      </c>
      <c r="CH297" s="41" t="s">
        <v>421</v>
      </c>
      <c r="CI297" s="41" t="s">
        <v>392</v>
      </c>
      <c r="CJ297" s="41" t="s">
        <v>421</v>
      </c>
      <c r="CK297" s="41" t="s">
        <v>1588</v>
      </c>
      <c r="CL297" s="41" t="s">
        <v>344</v>
      </c>
      <c r="CM297" s="41" t="s">
        <v>344</v>
      </c>
      <c r="CN297" s="41" t="s">
        <v>344</v>
      </c>
      <c r="CO297" s="41" t="s">
        <v>345</v>
      </c>
      <c r="CP297" s="41" t="s">
        <v>345</v>
      </c>
      <c r="CQ297" s="41" t="s">
        <v>344</v>
      </c>
      <c r="CR297" s="41" t="s">
        <v>655</v>
      </c>
      <c r="CS297" s="41">
        <v>75</v>
      </c>
      <c r="CT297" s="41">
        <v>95</v>
      </c>
      <c r="CU297" s="41">
        <v>5</v>
      </c>
      <c r="CV297" s="41">
        <v>1</v>
      </c>
      <c r="CW297" s="41" t="s">
        <v>396</v>
      </c>
      <c r="CX297" s="41" t="s">
        <v>395</v>
      </c>
      <c r="CY297" s="41" t="s">
        <v>363</v>
      </c>
      <c r="CZ297" s="41" t="s">
        <v>397</v>
      </c>
      <c r="DA297" s="41" t="s">
        <v>366</v>
      </c>
      <c r="DB297" s="41" t="s">
        <v>366</v>
      </c>
      <c r="DC297" s="41" t="s">
        <v>366</v>
      </c>
      <c r="DD297" s="41" t="s">
        <v>365</v>
      </c>
      <c r="DE297" s="41" t="s">
        <v>397</v>
      </c>
      <c r="DF297" s="41" t="s">
        <v>397</v>
      </c>
      <c r="DG297" s="41" t="s">
        <v>397</v>
      </c>
      <c r="DH297" s="41" t="s">
        <v>397</v>
      </c>
      <c r="DI297" s="41" t="s">
        <v>397</v>
      </c>
      <c r="DJ297" s="41" t="s">
        <v>1589</v>
      </c>
      <c r="DK297" s="41" t="s">
        <v>344</v>
      </c>
      <c r="DL297" s="41" t="s">
        <v>368</v>
      </c>
      <c r="DM297" s="41" t="s">
        <v>368</v>
      </c>
      <c r="DN297" s="41" t="s">
        <v>368</v>
      </c>
      <c r="DO297" s="41" t="s">
        <v>368</v>
      </c>
      <c r="DP297" s="41" t="s">
        <v>345</v>
      </c>
      <c r="DQ297" s="41" t="s">
        <v>345</v>
      </c>
      <c r="DR297" s="41" t="s">
        <v>345</v>
      </c>
      <c r="DS297" s="41" t="s">
        <v>344</v>
      </c>
      <c r="DT297" s="41" t="s">
        <v>344</v>
      </c>
      <c r="DU297" s="41" t="s">
        <v>344</v>
      </c>
      <c r="DV297" s="41" t="s">
        <v>345</v>
      </c>
      <c r="DW297" s="41" t="s">
        <v>344</v>
      </c>
      <c r="DX297" s="41" t="s">
        <v>1258</v>
      </c>
      <c r="DY297" s="41" t="s">
        <v>1258</v>
      </c>
      <c r="DZ297" s="41" t="s">
        <v>1258</v>
      </c>
      <c r="EA297" s="41" t="s">
        <v>1272</v>
      </c>
      <c r="EB297" s="41" t="s">
        <v>1258</v>
      </c>
      <c r="EC297" s="41" t="s">
        <v>1258</v>
      </c>
      <c r="ED297" s="41" t="s">
        <v>1258</v>
      </c>
      <c r="EE297" s="41" t="s">
        <v>1274</v>
      </c>
      <c r="EF297" s="41" t="s">
        <v>397</v>
      </c>
      <c r="EG297" s="41" t="s">
        <v>1273</v>
      </c>
      <c r="EH297" s="41" t="s">
        <v>1272</v>
      </c>
      <c r="EI297" s="41" t="s">
        <v>1273</v>
      </c>
      <c r="EJ297" s="41" t="s">
        <v>1273</v>
      </c>
      <c r="EK297" s="41" t="s">
        <v>397</v>
      </c>
      <c r="EL297" s="41" t="s">
        <v>1260</v>
      </c>
      <c r="EM297" s="41" t="s">
        <v>1276</v>
      </c>
      <c r="EN297" s="41" t="s">
        <v>1259</v>
      </c>
      <c r="EO297" s="41"/>
      <c r="EP297" s="41"/>
      <c r="EQ297" s="41" t="s">
        <v>1264</v>
      </c>
      <c r="ER297" s="41" t="s">
        <v>1264</v>
      </c>
      <c r="ES297" s="41" t="s">
        <v>1277</v>
      </c>
      <c r="ET297" s="41" t="s">
        <v>1277</v>
      </c>
      <c r="EU297" s="41" t="s">
        <v>1277</v>
      </c>
      <c r="EV297" s="41" t="s">
        <v>1265</v>
      </c>
      <c r="EW297" s="41"/>
      <c r="EX297" s="41" t="s">
        <v>368</v>
      </c>
      <c r="EY297" s="41" t="s">
        <v>368</v>
      </c>
      <c r="EZ297" s="41" t="s">
        <v>368</v>
      </c>
      <c r="FA297" s="41" t="s">
        <v>345</v>
      </c>
      <c r="FB297" s="41" t="s">
        <v>1266</v>
      </c>
      <c r="FC297" s="41"/>
      <c r="FD297" s="41" t="s">
        <v>1291</v>
      </c>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t="s">
        <v>368</v>
      </c>
      <c r="GB297" s="41" t="s">
        <v>368</v>
      </c>
      <c r="GC297" s="41" t="s">
        <v>368</v>
      </c>
      <c r="GD297" s="41" t="s">
        <v>368</v>
      </c>
      <c r="GE297" s="41" t="s">
        <v>368</v>
      </c>
      <c r="GF297" s="41" t="s">
        <v>368</v>
      </c>
      <c r="GG297" s="41"/>
      <c r="GH297" s="41"/>
      <c r="GI297" s="41"/>
      <c r="GJ297" s="41"/>
      <c r="GK297" s="41"/>
      <c r="GL297" s="41" t="s">
        <v>344</v>
      </c>
      <c r="GM297" s="41" t="s">
        <v>344</v>
      </c>
      <c r="GN297" s="41" t="s">
        <v>345</v>
      </c>
      <c r="GO297" s="41" t="s">
        <v>345</v>
      </c>
      <c r="GP297" s="41" t="s">
        <v>344</v>
      </c>
      <c r="GQ297" s="41" t="s">
        <v>344</v>
      </c>
      <c r="GR297" s="41" t="s">
        <v>344</v>
      </c>
      <c r="GS297" s="41" t="s">
        <v>344</v>
      </c>
      <c r="GT297" s="41" t="s">
        <v>344</v>
      </c>
      <c r="GU297" s="41" t="s">
        <v>344</v>
      </c>
      <c r="GV297" s="41" t="s">
        <v>345</v>
      </c>
      <c r="GW297" s="41" t="s">
        <v>344</v>
      </c>
      <c r="GX297" s="41" t="s">
        <v>344</v>
      </c>
      <c r="GY297" s="41" t="s">
        <v>344</v>
      </c>
      <c r="GZ297" s="41" t="s">
        <v>344</v>
      </c>
      <c r="HA297" s="41" t="s">
        <v>344</v>
      </c>
      <c r="HB297" s="41"/>
      <c r="HC297" s="41" t="s">
        <v>344</v>
      </c>
      <c r="HD297" s="41"/>
      <c r="HE297" s="41" t="s">
        <v>344</v>
      </c>
      <c r="HF297" s="41"/>
      <c r="HG297" s="41" t="s">
        <v>344</v>
      </c>
      <c r="HH297" s="41"/>
      <c r="HI297" s="41" t="s">
        <v>344</v>
      </c>
      <c r="HJ297" s="41"/>
      <c r="HK297" s="41" t="s">
        <v>344</v>
      </c>
      <c r="HL297" s="41" t="s">
        <v>344</v>
      </c>
      <c r="HM297" s="41" t="s">
        <v>344</v>
      </c>
      <c r="HN297" s="41" t="s">
        <v>345</v>
      </c>
      <c r="HO297" s="41" t="s">
        <v>344</v>
      </c>
      <c r="HP297" s="41" t="s">
        <v>344</v>
      </c>
      <c r="HQ297" s="41" t="s">
        <v>344</v>
      </c>
      <c r="HR297" s="41" t="s">
        <v>345</v>
      </c>
      <c r="HS297" s="41" t="s">
        <v>345</v>
      </c>
      <c r="HT297" s="41" t="s">
        <v>344</v>
      </c>
      <c r="HU297" s="41" t="s">
        <v>345</v>
      </c>
      <c r="HV297" s="41" t="s">
        <v>344</v>
      </c>
      <c r="HW297" s="41" t="s">
        <v>345</v>
      </c>
      <c r="HX297" s="41" t="s">
        <v>344</v>
      </c>
      <c r="HY297" s="41" t="s">
        <v>344</v>
      </c>
      <c r="HZ297" s="41" t="s">
        <v>344</v>
      </c>
      <c r="IA297" s="41" t="s">
        <v>344</v>
      </c>
      <c r="IB297" s="41" t="s">
        <v>344</v>
      </c>
      <c r="IC297" s="41" t="s">
        <v>344</v>
      </c>
      <c r="ID297" s="41"/>
      <c r="IE297" s="41" t="s">
        <v>344</v>
      </c>
      <c r="IF297" s="41"/>
      <c r="IG297" s="41" t="s">
        <v>344</v>
      </c>
      <c r="IH297" s="41"/>
      <c r="II297" s="41" t="s">
        <v>344</v>
      </c>
      <c r="IJ297" s="41"/>
      <c r="IK297" s="41" t="s">
        <v>344</v>
      </c>
      <c r="IL297" s="41"/>
      <c r="IM297" s="41" t="s">
        <v>345</v>
      </c>
      <c r="IN297" s="41" t="s">
        <v>345</v>
      </c>
      <c r="IO297" s="41" t="s">
        <v>345</v>
      </c>
      <c r="IP297" s="41" t="s">
        <v>344</v>
      </c>
      <c r="IQ297" s="41" t="s">
        <v>345</v>
      </c>
      <c r="IR297" s="41" t="s">
        <v>345</v>
      </c>
      <c r="IS297" s="41" t="s">
        <v>344</v>
      </c>
      <c r="IT297" s="41" t="s">
        <v>345</v>
      </c>
      <c r="IU297" s="41" t="s">
        <v>345</v>
      </c>
      <c r="IV297" s="41" t="s">
        <v>344</v>
      </c>
      <c r="IW297" s="41" t="s">
        <v>344</v>
      </c>
      <c r="IX297" s="41" t="s">
        <v>344</v>
      </c>
      <c r="IY297" s="41" t="s">
        <v>345</v>
      </c>
      <c r="IZ297" s="41" t="s">
        <v>344</v>
      </c>
      <c r="JA297" s="41"/>
      <c r="JB297" s="41" t="s">
        <v>1590</v>
      </c>
    </row>
    <row r="298" spans="1:262" x14ac:dyDescent="0.3">
      <c r="A298" s="40" t="s">
        <v>813</v>
      </c>
      <c r="B298" s="41">
        <v>274</v>
      </c>
      <c r="C298" s="41" t="s">
        <v>1591</v>
      </c>
      <c r="D298" s="41">
        <v>14</v>
      </c>
      <c r="E298" s="41" t="s">
        <v>340</v>
      </c>
      <c r="F298" s="41">
        <v>61062662</v>
      </c>
      <c r="G298" s="41" t="s">
        <v>1592</v>
      </c>
      <c r="H298" s="41" t="s">
        <v>1591</v>
      </c>
      <c r="I298" s="41" t="s">
        <v>1593</v>
      </c>
      <c r="J298" s="41">
        <v>17</v>
      </c>
      <c r="K298" s="41" t="s">
        <v>1255</v>
      </c>
      <c r="L298" s="41"/>
      <c r="M298" s="41" t="s">
        <v>345</v>
      </c>
      <c r="N298" s="41" t="s">
        <v>345</v>
      </c>
      <c r="O298" s="41" t="s">
        <v>344</v>
      </c>
      <c r="P298" s="41" t="s">
        <v>344</v>
      </c>
      <c r="Q298" s="41" t="s">
        <v>344</v>
      </c>
      <c r="R298" s="41"/>
      <c r="S298" s="41" t="s">
        <v>522</v>
      </c>
      <c r="T298" s="41"/>
      <c r="U298" s="41" t="s">
        <v>1256</v>
      </c>
      <c r="V298" s="41"/>
      <c r="W298" s="41" t="s">
        <v>344</v>
      </c>
      <c r="X298" s="41" t="s">
        <v>345</v>
      </c>
      <c r="Y298" s="41" t="s">
        <v>345</v>
      </c>
      <c r="Z298" s="41" t="s">
        <v>344</v>
      </c>
      <c r="AA298" s="41" t="s">
        <v>344</v>
      </c>
      <c r="AB298" s="41" t="s">
        <v>344</v>
      </c>
      <c r="AC298" s="41" t="s">
        <v>344</v>
      </c>
      <c r="AD298" s="41" t="s">
        <v>344</v>
      </c>
      <c r="AE298" s="41" t="s">
        <v>345</v>
      </c>
      <c r="AF298" s="41" t="s">
        <v>344</v>
      </c>
      <c r="AG298" s="41" t="s">
        <v>344</v>
      </c>
      <c r="AH298" s="41" t="s">
        <v>344</v>
      </c>
      <c r="AI298" s="41" t="s">
        <v>345</v>
      </c>
      <c r="AJ298" s="41" t="s">
        <v>344</v>
      </c>
      <c r="AK298" s="41" t="s">
        <v>344</v>
      </c>
      <c r="AL298" s="41" t="s">
        <v>345</v>
      </c>
      <c r="AM298" s="41" t="s">
        <v>344</v>
      </c>
      <c r="AN298" s="41" t="s">
        <v>344</v>
      </c>
      <c r="AO298" s="41" t="s">
        <v>344</v>
      </c>
      <c r="AP298" s="41" t="s">
        <v>344</v>
      </c>
      <c r="AQ298" s="41" t="s">
        <v>344</v>
      </c>
      <c r="AR298" s="41" t="s">
        <v>345</v>
      </c>
      <c r="AS298" s="41" t="s">
        <v>344</v>
      </c>
      <c r="AT298" s="41" t="s">
        <v>344</v>
      </c>
      <c r="AU298" s="41" t="s">
        <v>344</v>
      </c>
      <c r="AV298" s="41" t="s">
        <v>345</v>
      </c>
      <c r="AW298" s="41" t="s">
        <v>345</v>
      </c>
      <c r="AX298" s="41" t="s">
        <v>344</v>
      </c>
      <c r="AY298" s="41" t="s">
        <v>733</v>
      </c>
      <c r="AZ298" s="41" t="s">
        <v>731</v>
      </c>
      <c r="BA298" s="41" t="s">
        <v>732</v>
      </c>
      <c r="BB298" s="41" t="s">
        <v>732</v>
      </c>
      <c r="BC298" s="41" t="s">
        <v>733</v>
      </c>
      <c r="BD298" s="41" t="s">
        <v>737</v>
      </c>
      <c r="BE298" s="41" t="s">
        <v>390</v>
      </c>
      <c r="BF298" s="41" t="s">
        <v>349</v>
      </c>
      <c r="BG298" s="41" t="s">
        <v>390</v>
      </c>
      <c r="BH298" s="41" t="s">
        <v>349</v>
      </c>
      <c r="BI298" s="41" t="s">
        <v>349</v>
      </c>
      <c r="BJ298" s="41" t="s">
        <v>353</v>
      </c>
      <c r="BK298" s="41" t="s">
        <v>354</v>
      </c>
      <c r="BL298" s="41" t="s">
        <v>353</v>
      </c>
      <c r="BM298" s="41" t="s">
        <v>357</v>
      </c>
      <c r="BN298" s="41" t="s">
        <v>391</v>
      </c>
      <c r="BO298" s="41" t="s">
        <v>354</v>
      </c>
      <c r="BP298" s="41" t="s">
        <v>354</v>
      </c>
      <c r="BQ298" s="41" t="s">
        <v>358</v>
      </c>
      <c r="BR298" s="41" t="s">
        <v>1296</v>
      </c>
      <c r="BS298" s="41" t="s">
        <v>354</v>
      </c>
      <c r="BT298" s="41" t="s">
        <v>353</v>
      </c>
      <c r="BU298" s="41" t="s">
        <v>354</v>
      </c>
      <c r="BV298" s="41" t="s">
        <v>356</v>
      </c>
      <c r="BW298" s="41" t="s">
        <v>354</v>
      </c>
      <c r="BX298" s="41" t="s">
        <v>354</v>
      </c>
      <c r="BY298" s="41" t="s">
        <v>353</v>
      </c>
      <c r="BZ298" s="41" t="s">
        <v>354</v>
      </c>
      <c r="CA298" s="41" t="s">
        <v>357</v>
      </c>
      <c r="CB298" s="41" t="s">
        <v>354</v>
      </c>
      <c r="CC298" s="41" t="s">
        <v>356</v>
      </c>
      <c r="CD298" s="41" t="s">
        <v>353</v>
      </c>
      <c r="CE298" s="41" t="s">
        <v>353</v>
      </c>
      <c r="CF298" s="41" t="s">
        <v>357</v>
      </c>
      <c r="CG298" s="41" t="s">
        <v>392</v>
      </c>
      <c r="CH298" s="41" t="s">
        <v>420</v>
      </c>
      <c r="CI298" s="41" t="s">
        <v>420</v>
      </c>
      <c r="CJ298" s="41" t="s">
        <v>392</v>
      </c>
      <c r="CK298" s="41" t="s">
        <v>1594</v>
      </c>
      <c r="CL298" s="41" t="s">
        <v>344</v>
      </c>
      <c r="CM298" s="41" t="s">
        <v>345</v>
      </c>
      <c r="CN298" s="41" t="s">
        <v>344</v>
      </c>
      <c r="CO298" s="41" t="s">
        <v>345</v>
      </c>
      <c r="CP298" s="41" t="s">
        <v>344</v>
      </c>
      <c r="CQ298" s="41" t="s">
        <v>344</v>
      </c>
      <c r="CR298" s="41" t="s">
        <v>655</v>
      </c>
      <c r="CS298" s="41">
        <v>40</v>
      </c>
      <c r="CT298" s="41">
        <v>40</v>
      </c>
      <c r="CU298" s="41">
        <v>70</v>
      </c>
      <c r="CV298" s="41">
        <v>25</v>
      </c>
      <c r="CW298" s="41" t="s">
        <v>363</v>
      </c>
      <c r="CX298" s="41" t="s">
        <v>396</v>
      </c>
      <c r="CY298" s="41" t="s">
        <v>396</v>
      </c>
      <c r="CZ298" s="41" t="s">
        <v>397</v>
      </c>
      <c r="DA298" s="41" t="s">
        <v>397</v>
      </c>
      <c r="DB298" s="41" t="s">
        <v>397</v>
      </c>
      <c r="DC298" s="41" t="s">
        <v>366</v>
      </c>
      <c r="DD298" s="41" t="s">
        <v>366</v>
      </c>
      <c r="DE298" s="41" t="s">
        <v>366</v>
      </c>
      <c r="DF298" s="41" t="s">
        <v>365</v>
      </c>
      <c r="DG298" s="41" t="s">
        <v>397</v>
      </c>
      <c r="DH298" s="41" t="s">
        <v>397</v>
      </c>
      <c r="DI298" s="41" t="s">
        <v>397</v>
      </c>
      <c r="DJ298" s="41" t="s">
        <v>1595</v>
      </c>
      <c r="DK298" s="41" t="s">
        <v>344</v>
      </c>
      <c r="DL298" s="41" t="s">
        <v>368</v>
      </c>
      <c r="DM298" s="41" t="s">
        <v>368</v>
      </c>
      <c r="DN298" s="41" t="s">
        <v>368</v>
      </c>
      <c r="DO298" s="41" t="s">
        <v>368</v>
      </c>
      <c r="DP298" s="41" t="s">
        <v>344</v>
      </c>
      <c r="DQ298" s="41" t="s">
        <v>345</v>
      </c>
      <c r="DR298" s="41" t="s">
        <v>344</v>
      </c>
      <c r="DS298" s="41" t="s">
        <v>344</v>
      </c>
      <c r="DT298" s="41" t="s">
        <v>344</v>
      </c>
      <c r="DU298" s="41" t="s">
        <v>345</v>
      </c>
      <c r="DV298" s="41" t="s">
        <v>344</v>
      </c>
      <c r="DW298" s="41" t="s">
        <v>344</v>
      </c>
      <c r="DX298" s="41" t="s">
        <v>1273</v>
      </c>
      <c r="DY298" s="41" t="s">
        <v>1272</v>
      </c>
      <c r="DZ298" s="41" t="s">
        <v>397</v>
      </c>
      <c r="EA298" s="41" t="s">
        <v>1273</v>
      </c>
      <c r="EB298" s="41" t="s">
        <v>397</v>
      </c>
      <c r="EC298" s="41" t="s">
        <v>397</v>
      </c>
      <c r="ED298" s="41" t="s">
        <v>397</v>
      </c>
      <c r="EE298" s="41" t="s">
        <v>1258</v>
      </c>
      <c r="EF298" s="41" t="s">
        <v>1273</v>
      </c>
      <c r="EG298" s="41" t="s">
        <v>1258</v>
      </c>
      <c r="EH298" s="41" t="s">
        <v>1258</v>
      </c>
      <c r="EI298" s="41" t="s">
        <v>1274</v>
      </c>
      <c r="EJ298" s="41" t="s">
        <v>1272</v>
      </c>
      <c r="EK298" s="41" t="s">
        <v>1258</v>
      </c>
      <c r="EL298" s="41" t="s">
        <v>1275</v>
      </c>
      <c r="EM298" s="41" t="s">
        <v>1260</v>
      </c>
      <c r="EN298" s="41" t="s">
        <v>1259</v>
      </c>
      <c r="EO298" s="41"/>
      <c r="EP298" s="41"/>
      <c r="EQ298" s="41" t="s">
        <v>1263</v>
      </c>
      <c r="ER298" s="41" t="s">
        <v>1264</v>
      </c>
      <c r="ES298" s="41" t="s">
        <v>1262</v>
      </c>
      <c r="ET298" s="41" t="s">
        <v>1263</v>
      </c>
      <c r="EU298" s="41" t="s">
        <v>1262</v>
      </c>
      <c r="EV298" s="41" t="s">
        <v>1265</v>
      </c>
      <c r="EW298" s="41"/>
      <c r="EX298" s="41" t="s">
        <v>368</v>
      </c>
      <c r="EY298" s="41" t="s">
        <v>368</v>
      </c>
      <c r="EZ298" s="41" t="s">
        <v>368</v>
      </c>
      <c r="FA298" s="41" t="s">
        <v>345</v>
      </c>
      <c r="FB298" s="41" t="s">
        <v>1321</v>
      </c>
      <c r="FC298" s="41"/>
      <c r="FD298" s="41" t="s">
        <v>1321</v>
      </c>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t="s">
        <v>368</v>
      </c>
      <c r="GB298" s="41" t="s">
        <v>368</v>
      </c>
      <c r="GC298" s="41" t="s">
        <v>368</v>
      </c>
      <c r="GD298" s="41" t="s">
        <v>368</v>
      </c>
      <c r="GE298" s="41" t="s">
        <v>368</v>
      </c>
      <c r="GF298" s="41" t="s">
        <v>368</v>
      </c>
      <c r="GG298" s="41"/>
      <c r="GH298" s="41"/>
      <c r="GI298" s="41"/>
      <c r="GJ298" s="41"/>
      <c r="GK298" s="41"/>
      <c r="GL298" s="41" t="s">
        <v>344</v>
      </c>
      <c r="GM298" s="41" t="s">
        <v>344</v>
      </c>
      <c r="GN298" s="41" t="s">
        <v>344</v>
      </c>
      <c r="GO298" s="41" t="s">
        <v>344</v>
      </c>
      <c r="GP298" s="41" t="s">
        <v>344</v>
      </c>
      <c r="GQ298" s="41" t="s">
        <v>344</v>
      </c>
      <c r="GR298" s="41" t="s">
        <v>344</v>
      </c>
      <c r="GS298" s="41" t="s">
        <v>344</v>
      </c>
      <c r="GT298" s="41" t="s">
        <v>344</v>
      </c>
      <c r="GU298" s="41" t="s">
        <v>344</v>
      </c>
      <c r="GV298" s="41" t="s">
        <v>344</v>
      </c>
      <c r="GW298" s="41" t="s">
        <v>344</v>
      </c>
      <c r="GX298" s="41" t="s">
        <v>344</v>
      </c>
      <c r="GY298" s="41" t="s">
        <v>345</v>
      </c>
      <c r="GZ298" s="41" t="s">
        <v>345</v>
      </c>
      <c r="HA298" s="41" t="s">
        <v>344</v>
      </c>
      <c r="HB298" s="41"/>
      <c r="HC298" s="41" t="s">
        <v>344</v>
      </c>
      <c r="HD298" s="41"/>
      <c r="HE298" s="41" t="s">
        <v>344</v>
      </c>
      <c r="HF298" s="41"/>
      <c r="HG298" s="41" t="s">
        <v>344</v>
      </c>
      <c r="HH298" s="41"/>
      <c r="HI298" s="41" t="s">
        <v>344</v>
      </c>
      <c r="HJ298" s="41"/>
      <c r="HK298" s="41" t="s">
        <v>344</v>
      </c>
      <c r="HL298" s="41" t="s">
        <v>344</v>
      </c>
      <c r="HM298" s="41" t="s">
        <v>344</v>
      </c>
      <c r="HN298" s="41" t="s">
        <v>344</v>
      </c>
      <c r="HO298" s="41" t="s">
        <v>344</v>
      </c>
      <c r="HP298" s="41" t="s">
        <v>344</v>
      </c>
      <c r="HQ298" s="41" t="s">
        <v>344</v>
      </c>
      <c r="HR298" s="41" t="s">
        <v>344</v>
      </c>
      <c r="HS298" s="41" t="s">
        <v>344</v>
      </c>
      <c r="HT298" s="41" t="s">
        <v>344</v>
      </c>
      <c r="HU298" s="41" t="s">
        <v>344</v>
      </c>
      <c r="HV298" s="41" t="s">
        <v>344</v>
      </c>
      <c r="HW298" s="41" t="s">
        <v>345</v>
      </c>
      <c r="HX298" s="41" t="s">
        <v>344</v>
      </c>
      <c r="HY298" s="41" t="s">
        <v>344</v>
      </c>
      <c r="HZ298" s="41" t="s">
        <v>344</v>
      </c>
      <c r="IA298" s="41" t="s">
        <v>344</v>
      </c>
      <c r="IB298" s="41" t="s">
        <v>344</v>
      </c>
      <c r="IC298" s="41" t="s">
        <v>344</v>
      </c>
      <c r="ID298" s="41"/>
      <c r="IE298" s="41" t="s">
        <v>344</v>
      </c>
      <c r="IF298" s="41"/>
      <c r="IG298" s="41" t="s">
        <v>344</v>
      </c>
      <c r="IH298" s="41"/>
      <c r="II298" s="41" t="s">
        <v>344</v>
      </c>
      <c r="IJ298" s="41"/>
      <c r="IK298" s="41" t="s">
        <v>344</v>
      </c>
      <c r="IL298" s="41"/>
      <c r="IM298" s="41" t="s">
        <v>345</v>
      </c>
      <c r="IN298" s="41" t="s">
        <v>345</v>
      </c>
      <c r="IO298" s="41" t="s">
        <v>344</v>
      </c>
      <c r="IP298" s="41" t="s">
        <v>344</v>
      </c>
      <c r="IQ298" s="41" t="s">
        <v>345</v>
      </c>
      <c r="IR298" s="41" t="s">
        <v>345</v>
      </c>
      <c r="IS298" s="41" t="s">
        <v>344</v>
      </c>
      <c r="IT298" s="41" t="s">
        <v>345</v>
      </c>
      <c r="IU298" s="41" t="s">
        <v>344</v>
      </c>
      <c r="IV298" s="41" t="s">
        <v>344</v>
      </c>
      <c r="IW298" s="41" t="s">
        <v>344</v>
      </c>
      <c r="IX298" s="41" t="s">
        <v>344</v>
      </c>
      <c r="IY298" s="41" t="s">
        <v>345</v>
      </c>
      <c r="IZ298" s="41" t="s">
        <v>344</v>
      </c>
      <c r="JA298" s="41"/>
      <c r="JB298" s="41" t="s">
        <v>1596</v>
      </c>
    </row>
    <row r="299" spans="1:262" x14ac:dyDescent="0.3">
      <c r="A299" s="40" t="s">
        <v>813</v>
      </c>
      <c r="B299" s="41">
        <v>275</v>
      </c>
      <c r="C299" s="41" t="s">
        <v>1597</v>
      </c>
      <c r="D299" s="41">
        <v>14</v>
      </c>
      <c r="E299" s="41" t="s">
        <v>340</v>
      </c>
      <c r="F299" s="41">
        <v>1475410395</v>
      </c>
      <c r="G299" s="41" t="s">
        <v>1598</v>
      </c>
      <c r="H299" s="41" t="s">
        <v>1597</v>
      </c>
      <c r="I299" s="41" t="s">
        <v>1593</v>
      </c>
      <c r="J299" s="41">
        <v>17</v>
      </c>
      <c r="K299" s="41" t="s">
        <v>1255</v>
      </c>
      <c r="L299" s="41"/>
      <c r="M299" s="41" t="s">
        <v>345</v>
      </c>
      <c r="N299" s="41" t="s">
        <v>345</v>
      </c>
      <c r="O299" s="41" t="s">
        <v>344</v>
      </c>
      <c r="P299" s="41" t="s">
        <v>344</v>
      </c>
      <c r="Q299" s="41" t="s">
        <v>344</v>
      </c>
      <c r="R299" s="41"/>
      <c r="S299" s="41" t="s">
        <v>522</v>
      </c>
      <c r="T299" s="41"/>
      <c r="U299" s="41" t="s">
        <v>1270</v>
      </c>
      <c r="V299" s="41"/>
      <c r="W299" s="41" t="s">
        <v>344</v>
      </c>
      <c r="X299" s="41" t="s">
        <v>345</v>
      </c>
      <c r="Y299" s="41" t="s">
        <v>344</v>
      </c>
      <c r="Z299" s="41" t="s">
        <v>344</v>
      </c>
      <c r="AA299" s="41" t="s">
        <v>344</v>
      </c>
      <c r="AB299" s="41" t="s">
        <v>345</v>
      </c>
      <c r="AC299" s="41" t="s">
        <v>344</v>
      </c>
      <c r="AD299" s="41" t="s">
        <v>345</v>
      </c>
      <c r="AE299" s="41" t="s">
        <v>345</v>
      </c>
      <c r="AF299" s="41" t="s">
        <v>344</v>
      </c>
      <c r="AG299" s="41" t="s">
        <v>344</v>
      </c>
      <c r="AH299" s="41" t="s">
        <v>345</v>
      </c>
      <c r="AI299" s="41" t="s">
        <v>345</v>
      </c>
      <c r="AJ299" s="41" t="s">
        <v>344</v>
      </c>
      <c r="AK299" s="41" t="s">
        <v>344</v>
      </c>
      <c r="AL299" s="41" t="s">
        <v>345</v>
      </c>
      <c r="AM299" s="41" t="s">
        <v>344</v>
      </c>
      <c r="AN299" s="41" t="s">
        <v>344</v>
      </c>
      <c r="AO299" s="41" t="s">
        <v>345</v>
      </c>
      <c r="AP299" s="41" t="s">
        <v>344</v>
      </c>
      <c r="AQ299" s="41" t="s">
        <v>344</v>
      </c>
      <c r="AR299" s="41" t="s">
        <v>345</v>
      </c>
      <c r="AS299" s="41" t="s">
        <v>344</v>
      </c>
      <c r="AT299" s="41" t="s">
        <v>345</v>
      </c>
      <c r="AU299" s="41" t="s">
        <v>345</v>
      </c>
      <c r="AV299" s="41" t="s">
        <v>344</v>
      </c>
      <c r="AW299" s="41" t="s">
        <v>345</v>
      </c>
      <c r="AX299" s="41" t="s">
        <v>344</v>
      </c>
      <c r="AY299" s="41" t="s">
        <v>732</v>
      </c>
      <c r="AZ299" s="41" t="s">
        <v>732</v>
      </c>
      <c r="BA299" s="41" t="s">
        <v>391</v>
      </c>
      <c r="BB299" s="41" t="s">
        <v>391</v>
      </c>
      <c r="BC299" s="41" t="s">
        <v>733</v>
      </c>
      <c r="BD299" s="41" t="s">
        <v>733</v>
      </c>
      <c r="BE299" s="41" t="s">
        <v>390</v>
      </c>
      <c r="BF299" s="41" t="s">
        <v>349</v>
      </c>
      <c r="BG299" s="41" t="s">
        <v>349</v>
      </c>
      <c r="BH299" s="41" t="s">
        <v>349</v>
      </c>
      <c r="BI299" s="41" t="s">
        <v>348</v>
      </c>
      <c r="BJ299" s="41" t="s">
        <v>391</v>
      </c>
      <c r="BK299" s="41" t="s">
        <v>391</v>
      </c>
      <c r="BL299" s="41" t="s">
        <v>391</v>
      </c>
      <c r="BM299" s="41" t="s">
        <v>391</v>
      </c>
      <c r="BN299" s="41" t="s">
        <v>391</v>
      </c>
      <c r="BO299" s="41" t="s">
        <v>391</v>
      </c>
      <c r="BP299" s="41" t="s">
        <v>391</v>
      </c>
      <c r="BQ299" s="41" t="s">
        <v>407</v>
      </c>
      <c r="BR299" s="41" t="s">
        <v>1296</v>
      </c>
      <c r="BS299" s="41" t="s">
        <v>391</v>
      </c>
      <c r="BT299" s="41" t="s">
        <v>391</v>
      </c>
      <c r="BU299" s="41" t="s">
        <v>391</v>
      </c>
      <c r="BV299" s="41" t="s">
        <v>391</v>
      </c>
      <c r="BW299" s="41" t="s">
        <v>391</v>
      </c>
      <c r="BX299" s="41" t="s">
        <v>391</v>
      </c>
      <c r="BY299" s="41" t="s">
        <v>391</v>
      </c>
      <c r="BZ299" s="41" t="s">
        <v>391</v>
      </c>
      <c r="CA299" s="41" t="s">
        <v>391</v>
      </c>
      <c r="CB299" s="41" t="s">
        <v>391</v>
      </c>
      <c r="CC299" s="41" t="s">
        <v>391</v>
      </c>
      <c r="CD299" s="41" t="s">
        <v>391</v>
      </c>
      <c r="CE299" s="41" t="s">
        <v>391</v>
      </c>
      <c r="CF299" s="41" t="s">
        <v>391</v>
      </c>
      <c r="CG299" s="41" t="s">
        <v>393</v>
      </c>
      <c r="CH299" s="41" t="s">
        <v>421</v>
      </c>
      <c r="CI299" s="41" t="s">
        <v>421</v>
      </c>
      <c r="CJ299" s="41" t="s">
        <v>393</v>
      </c>
      <c r="CK299" s="41" t="s">
        <v>510</v>
      </c>
      <c r="CL299" s="41" t="s">
        <v>345</v>
      </c>
      <c r="CM299" s="41" t="s">
        <v>344</v>
      </c>
      <c r="CN299" s="41" t="s">
        <v>345</v>
      </c>
      <c r="CO299" s="41" t="s">
        <v>345</v>
      </c>
      <c r="CP299" s="41" t="s">
        <v>344</v>
      </c>
      <c r="CQ299" s="41" t="s">
        <v>344</v>
      </c>
      <c r="CR299" s="41" t="s">
        <v>655</v>
      </c>
      <c r="CS299" s="41">
        <v>10</v>
      </c>
      <c r="CT299" s="41">
        <v>40</v>
      </c>
      <c r="CU299" s="41">
        <v>90</v>
      </c>
      <c r="CV299" s="41">
        <v>90</v>
      </c>
      <c r="CW299" s="41" t="s">
        <v>395</v>
      </c>
      <c r="CX299" s="41" t="s">
        <v>396</v>
      </c>
      <c r="CY299" s="41" t="s">
        <v>396</v>
      </c>
      <c r="CZ299" s="41" t="s">
        <v>397</v>
      </c>
      <c r="DA299" s="41" t="s">
        <v>397</v>
      </c>
      <c r="DB299" s="41" t="s">
        <v>397</v>
      </c>
      <c r="DC299" s="41" t="s">
        <v>397</v>
      </c>
      <c r="DD299" s="41" t="s">
        <v>397</v>
      </c>
      <c r="DE299" s="41" t="s">
        <v>366</v>
      </c>
      <c r="DF299" s="41" t="s">
        <v>365</v>
      </c>
      <c r="DG299" s="41" t="s">
        <v>397</v>
      </c>
      <c r="DH299" s="41" t="s">
        <v>397</v>
      </c>
      <c r="DI299" s="41" t="s">
        <v>397</v>
      </c>
      <c r="DJ299" s="41" t="s">
        <v>1599</v>
      </c>
      <c r="DK299" s="41" t="s">
        <v>344</v>
      </c>
      <c r="DL299" s="41" t="s">
        <v>368</v>
      </c>
      <c r="DM299" s="41" t="s">
        <v>368</v>
      </c>
      <c r="DN299" s="41" t="s">
        <v>368</v>
      </c>
      <c r="DO299" s="41" t="s">
        <v>368</v>
      </c>
      <c r="DP299" s="41" t="s">
        <v>368</v>
      </c>
      <c r="DQ299" s="41" t="s">
        <v>368</v>
      </c>
      <c r="DR299" s="41" t="s">
        <v>368</v>
      </c>
      <c r="DS299" s="41" t="s">
        <v>345</v>
      </c>
      <c r="DT299" s="41" t="s">
        <v>368</v>
      </c>
      <c r="DU299" s="41" t="s">
        <v>368</v>
      </c>
      <c r="DV299" s="41" t="s">
        <v>368</v>
      </c>
      <c r="DW299" s="41" t="s">
        <v>345</v>
      </c>
      <c r="DX299" s="41" t="s">
        <v>397</v>
      </c>
      <c r="DY299" s="41" t="s">
        <v>1274</v>
      </c>
      <c r="DZ299" s="41" t="s">
        <v>397</v>
      </c>
      <c r="EA299" s="41" t="s">
        <v>397</v>
      </c>
      <c r="EB299" s="41" t="s">
        <v>397</v>
      </c>
      <c r="EC299" s="41" t="s">
        <v>397</v>
      </c>
      <c r="ED299" s="41" t="s">
        <v>1273</v>
      </c>
      <c r="EE299" s="41" t="s">
        <v>1258</v>
      </c>
      <c r="EF299" s="41" t="s">
        <v>1258</v>
      </c>
      <c r="EG299" s="41" t="s">
        <v>1258</v>
      </c>
      <c r="EH299" s="41" t="s">
        <v>1258</v>
      </c>
      <c r="EI299" s="41" t="s">
        <v>1258</v>
      </c>
      <c r="EJ299" s="41" t="s">
        <v>1258</v>
      </c>
      <c r="EK299" s="41" t="s">
        <v>1258</v>
      </c>
      <c r="EL299" s="41" t="s">
        <v>1276</v>
      </c>
      <c r="EM299" s="41" t="s">
        <v>1275</v>
      </c>
      <c r="EN299" s="41" t="s">
        <v>1259</v>
      </c>
      <c r="EO299" s="41"/>
      <c r="EP299" s="41"/>
      <c r="EQ299" s="41" t="s">
        <v>1264</v>
      </c>
      <c r="ER299" s="41" t="s">
        <v>1277</v>
      </c>
      <c r="ES299" s="41" t="s">
        <v>1263</v>
      </c>
      <c r="ET299" s="41" t="s">
        <v>717</v>
      </c>
      <c r="EU299" s="41" t="s">
        <v>1264</v>
      </c>
      <c r="EV299" s="41" t="s">
        <v>1265</v>
      </c>
      <c r="EW299" s="41"/>
      <c r="EX299" s="41" t="s">
        <v>368</v>
      </c>
      <c r="EY299" s="41" t="s">
        <v>368</v>
      </c>
      <c r="EZ299" s="41" t="s">
        <v>368</v>
      </c>
      <c r="FA299" s="41" t="s">
        <v>345</v>
      </c>
      <c r="FB299" s="41" t="s">
        <v>1300</v>
      </c>
      <c r="FC299" s="41"/>
      <c r="FD299" s="41" t="s">
        <v>1266</v>
      </c>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t="s">
        <v>368</v>
      </c>
      <c r="GB299" s="41" t="s">
        <v>368</v>
      </c>
      <c r="GC299" s="41" t="s">
        <v>368</v>
      </c>
      <c r="GD299" s="41" t="s">
        <v>368</v>
      </c>
      <c r="GE299" s="41" t="s">
        <v>368</v>
      </c>
      <c r="GF299" s="41" t="s">
        <v>368</v>
      </c>
      <c r="GG299" s="41"/>
      <c r="GH299" s="41"/>
      <c r="GI299" s="41"/>
      <c r="GJ299" s="41"/>
      <c r="GK299" s="41"/>
      <c r="GL299" s="41" t="s">
        <v>344</v>
      </c>
      <c r="GM299" s="41" t="s">
        <v>344</v>
      </c>
      <c r="GN299" s="41" t="s">
        <v>344</v>
      </c>
      <c r="GO299" s="41" t="s">
        <v>344</v>
      </c>
      <c r="GP299" s="41" t="s">
        <v>344</v>
      </c>
      <c r="GQ299" s="41" t="s">
        <v>344</v>
      </c>
      <c r="GR299" s="41" t="s">
        <v>344</v>
      </c>
      <c r="GS299" s="41" t="s">
        <v>344</v>
      </c>
      <c r="GT299" s="41" t="s">
        <v>344</v>
      </c>
      <c r="GU299" s="41" t="s">
        <v>344</v>
      </c>
      <c r="GV299" s="41" t="s">
        <v>345</v>
      </c>
      <c r="GW299" s="41" t="s">
        <v>344</v>
      </c>
      <c r="GX299" s="41" t="s">
        <v>344</v>
      </c>
      <c r="GY299" s="41" t="s">
        <v>344</v>
      </c>
      <c r="GZ299" s="41" t="s">
        <v>344</v>
      </c>
      <c r="HA299" s="41" t="s">
        <v>344</v>
      </c>
      <c r="HB299" s="41"/>
      <c r="HC299" s="41" t="s">
        <v>344</v>
      </c>
      <c r="HD299" s="41"/>
      <c r="HE299" s="41" t="s">
        <v>345</v>
      </c>
      <c r="HF299" s="41" t="s">
        <v>1600</v>
      </c>
      <c r="HG299" s="41" t="s">
        <v>344</v>
      </c>
      <c r="HH299" s="41"/>
      <c r="HI299" s="41" t="s">
        <v>344</v>
      </c>
      <c r="HJ299" s="41"/>
      <c r="HK299" s="41" t="s">
        <v>344</v>
      </c>
      <c r="HL299" s="41" t="s">
        <v>344</v>
      </c>
      <c r="HM299" s="41" t="s">
        <v>344</v>
      </c>
      <c r="HN299" s="41" t="s">
        <v>344</v>
      </c>
      <c r="HO299" s="41" t="s">
        <v>345</v>
      </c>
      <c r="HP299" s="41" t="s">
        <v>344</v>
      </c>
      <c r="HQ299" s="41" t="s">
        <v>344</v>
      </c>
      <c r="HR299" s="41" t="s">
        <v>344</v>
      </c>
      <c r="HS299" s="41" t="s">
        <v>344</v>
      </c>
      <c r="HT299" s="41" t="s">
        <v>344</v>
      </c>
      <c r="HU299" s="41" t="s">
        <v>344</v>
      </c>
      <c r="HV299" s="41" t="s">
        <v>344</v>
      </c>
      <c r="HW299" s="41" t="s">
        <v>344</v>
      </c>
      <c r="HX299" s="41" t="s">
        <v>344</v>
      </c>
      <c r="HY299" s="41" t="s">
        <v>344</v>
      </c>
      <c r="HZ299" s="41" t="s">
        <v>344</v>
      </c>
      <c r="IA299" s="41" t="s">
        <v>344</v>
      </c>
      <c r="IB299" s="41" t="s">
        <v>345</v>
      </c>
      <c r="IC299" s="41" t="s">
        <v>344</v>
      </c>
      <c r="ID299" s="41"/>
      <c r="IE299" s="41" t="s">
        <v>344</v>
      </c>
      <c r="IF299" s="41"/>
      <c r="IG299" s="41" t="s">
        <v>344</v>
      </c>
      <c r="IH299" s="41"/>
      <c r="II299" s="41" t="s">
        <v>344</v>
      </c>
      <c r="IJ299" s="41"/>
      <c r="IK299" s="41" t="s">
        <v>344</v>
      </c>
      <c r="IL299" s="41"/>
      <c r="IM299" s="41" t="s">
        <v>345</v>
      </c>
      <c r="IN299" s="41" t="s">
        <v>344</v>
      </c>
      <c r="IO299" s="41" t="s">
        <v>344</v>
      </c>
      <c r="IP299" s="41" t="s">
        <v>344</v>
      </c>
      <c r="IQ299" s="41" t="s">
        <v>345</v>
      </c>
      <c r="IR299" s="41" t="s">
        <v>345</v>
      </c>
      <c r="IS299" s="41" t="s">
        <v>344</v>
      </c>
      <c r="IT299" s="41" t="s">
        <v>345</v>
      </c>
      <c r="IU299" s="41" t="s">
        <v>344</v>
      </c>
      <c r="IV299" s="41" t="s">
        <v>344</v>
      </c>
      <c r="IW299" s="41" t="s">
        <v>344</v>
      </c>
      <c r="IX299" s="41" t="s">
        <v>344</v>
      </c>
      <c r="IY299" s="41" t="s">
        <v>345</v>
      </c>
      <c r="IZ299" s="41" t="s">
        <v>344</v>
      </c>
      <c r="JA299" s="41"/>
      <c r="JB299" s="41" t="s">
        <v>1601</v>
      </c>
    </row>
    <row r="300" spans="1:262" ht="17.399999999999999" customHeight="1" x14ac:dyDescent="0.3">
      <c r="A300" s="40" t="s">
        <v>813</v>
      </c>
      <c r="B300" s="41">
        <v>276</v>
      </c>
      <c r="C300" s="41" t="s">
        <v>1602</v>
      </c>
      <c r="D300" s="41">
        <v>14</v>
      </c>
      <c r="E300" s="41" t="s">
        <v>387</v>
      </c>
      <c r="F300" s="41">
        <v>246276077</v>
      </c>
      <c r="G300" s="41" t="s">
        <v>1603</v>
      </c>
      <c r="H300" s="41" t="s">
        <v>1602</v>
      </c>
      <c r="I300" s="41" t="s">
        <v>1585</v>
      </c>
      <c r="J300" s="41">
        <v>17</v>
      </c>
      <c r="K300" s="41" t="s">
        <v>1255</v>
      </c>
      <c r="L300" s="41"/>
      <c r="M300" s="41" t="s">
        <v>345</v>
      </c>
      <c r="N300" s="41" t="s">
        <v>345</v>
      </c>
      <c r="O300" s="41" t="s">
        <v>344</v>
      </c>
      <c r="P300" s="41" t="s">
        <v>344</v>
      </c>
      <c r="Q300" s="41" t="s">
        <v>345</v>
      </c>
      <c r="R300" s="41"/>
      <c r="S300" s="41" t="s">
        <v>522</v>
      </c>
      <c r="T300" s="41"/>
      <c r="U300" s="41" t="s">
        <v>1270</v>
      </c>
      <c r="V300" s="41"/>
      <c r="W300" s="41" t="s">
        <v>368</v>
      </c>
      <c r="X300" s="41" t="s">
        <v>368</v>
      </c>
      <c r="Y300" s="41" t="s">
        <v>368</v>
      </c>
      <c r="Z300" s="41" t="s">
        <v>368</v>
      </c>
      <c r="AA300" s="41" t="s">
        <v>368</v>
      </c>
      <c r="AB300" s="41" t="s">
        <v>368</v>
      </c>
      <c r="AC300" s="41" t="s">
        <v>345</v>
      </c>
      <c r="AD300" s="41" t="s">
        <v>368</v>
      </c>
      <c r="AE300" s="41" t="s">
        <v>368</v>
      </c>
      <c r="AF300" s="41" t="s">
        <v>368</v>
      </c>
      <c r="AG300" s="41" t="s">
        <v>368</v>
      </c>
      <c r="AH300" s="41" t="s">
        <v>368</v>
      </c>
      <c r="AI300" s="41" t="s">
        <v>368</v>
      </c>
      <c r="AJ300" s="41" t="s">
        <v>345</v>
      </c>
      <c r="AK300" s="41" t="s">
        <v>368</v>
      </c>
      <c r="AL300" s="41" t="s">
        <v>368</v>
      </c>
      <c r="AM300" s="41" t="s">
        <v>368</v>
      </c>
      <c r="AN300" s="41" t="s">
        <v>368</v>
      </c>
      <c r="AO300" s="41" t="s">
        <v>368</v>
      </c>
      <c r="AP300" s="41" t="s">
        <v>368</v>
      </c>
      <c r="AQ300" s="41" t="s">
        <v>345</v>
      </c>
      <c r="AR300" s="41" t="s">
        <v>368</v>
      </c>
      <c r="AS300" s="41" t="s">
        <v>368</v>
      </c>
      <c r="AT300" s="41" t="s">
        <v>368</v>
      </c>
      <c r="AU300" s="41" t="s">
        <v>368</v>
      </c>
      <c r="AV300" s="41" t="s">
        <v>368</v>
      </c>
      <c r="AW300" s="41" t="s">
        <v>368</v>
      </c>
      <c r="AX300" s="41" t="s">
        <v>345</v>
      </c>
      <c r="AY300" s="41" t="s">
        <v>732</v>
      </c>
      <c r="AZ300" s="41" t="s">
        <v>733</v>
      </c>
      <c r="BA300" s="41" t="s">
        <v>732</v>
      </c>
      <c r="BB300" s="41" t="s">
        <v>731</v>
      </c>
      <c r="BC300" s="41" t="s">
        <v>391</v>
      </c>
      <c r="BD300" s="41" t="s">
        <v>732</v>
      </c>
      <c r="BE300" s="41" t="s">
        <v>390</v>
      </c>
      <c r="BF300" s="41" t="s">
        <v>348</v>
      </c>
      <c r="BG300" s="41" t="s">
        <v>390</v>
      </c>
      <c r="BH300" s="41" t="s">
        <v>390</v>
      </c>
      <c r="BI300" s="41" t="s">
        <v>348</v>
      </c>
      <c r="BJ300" s="41" t="s">
        <v>391</v>
      </c>
      <c r="BK300" s="41" t="s">
        <v>391</v>
      </c>
      <c r="BL300" s="41" t="s">
        <v>391</v>
      </c>
      <c r="BM300" s="41" t="s">
        <v>391</v>
      </c>
      <c r="BN300" s="41" t="s">
        <v>391</v>
      </c>
      <c r="BO300" s="41" t="s">
        <v>391</v>
      </c>
      <c r="BP300" s="41" t="s">
        <v>391</v>
      </c>
      <c r="BQ300" s="41" t="s">
        <v>358</v>
      </c>
      <c r="BR300" s="41" t="s">
        <v>1339</v>
      </c>
      <c r="BS300" s="41" t="s">
        <v>391</v>
      </c>
      <c r="BT300" s="41" t="s">
        <v>391</v>
      </c>
      <c r="BU300" s="41" t="s">
        <v>391</v>
      </c>
      <c r="BV300" s="41" t="s">
        <v>391</v>
      </c>
      <c r="BW300" s="41" t="s">
        <v>391</v>
      </c>
      <c r="BX300" s="41" t="s">
        <v>391</v>
      </c>
      <c r="BY300" s="41" t="s">
        <v>391</v>
      </c>
      <c r="BZ300" s="41" t="s">
        <v>391</v>
      </c>
      <c r="CA300" s="41" t="s">
        <v>391</v>
      </c>
      <c r="CB300" s="41" t="s">
        <v>391</v>
      </c>
      <c r="CC300" s="41" t="s">
        <v>391</v>
      </c>
      <c r="CD300" s="41" t="s">
        <v>391</v>
      </c>
      <c r="CE300" s="41" t="s">
        <v>391</v>
      </c>
      <c r="CF300" s="41" t="s">
        <v>391</v>
      </c>
      <c r="CG300" s="41" t="s">
        <v>360</v>
      </c>
      <c r="CH300" s="41" t="s">
        <v>421</v>
      </c>
      <c r="CI300" s="41" t="s">
        <v>392</v>
      </c>
      <c r="CJ300" s="41" t="s">
        <v>393</v>
      </c>
      <c r="CK300" s="41" t="s">
        <v>471</v>
      </c>
      <c r="CL300" s="41" t="s">
        <v>344</v>
      </c>
      <c r="CM300" s="41" t="s">
        <v>344</v>
      </c>
      <c r="CN300" s="41" t="s">
        <v>344</v>
      </c>
      <c r="CO300" s="41" t="s">
        <v>345</v>
      </c>
      <c r="CP300" s="41" t="s">
        <v>345</v>
      </c>
      <c r="CQ300" s="41" t="s">
        <v>345</v>
      </c>
      <c r="CR300" s="41" t="s">
        <v>667</v>
      </c>
      <c r="CS300" s="41">
        <v>25</v>
      </c>
      <c r="CT300" s="41">
        <v>80</v>
      </c>
      <c r="CU300" s="41">
        <v>40</v>
      </c>
      <c r="CV300" s="41">
        <v>1</v>
      </c>
      <c r="CW300" s="41" t="s">
        <v>396</v>
      </c>
      <c r="CX300" s="41" t="s">
        <v>396</v>
      </c>
      <c r="CY300" s="41" t="s">
        <v>471</v>
      </c>
      <c r="CZ300" s="41" t="s">
        <v>397</v>
      </c>
      <c r="DA300" s="41" t="s">
        <v>366</v>
      </c>
      <c r="DB300" s="41" t="s">
        <v>397</v>
      </c>
      <c r="DC300" s="41" t="s">
        <v>397</v>
      </c>
      <c r="DD300" s="41" t="s">
        <v>423</v>
      </c>
      <c r="DE300" s="41" t="s">
        <v>397</v>
      </c>
      <c r="DF300" s="41" t="s">
        <v>397</v>
      </c>
      <c r="DG300" s="41" t="s">
        <v>397</v>
      </c>
      <c r="DH300" s="41" t="s">
        <v>397</v>
      </c>
      <c r="DI300" s="41" t="s">
        <v>397</v>
      </c>
      <c r="DJ300" s="41" t="s">
        <v>1604</v>
      </c>
      <c r="DK300" s="41" t="s">
        <v>344</v>
      </c>
      <c r="DL300" s="41" t="s">
        <v>368</v>
      </c>
      <c r="DM300" s="41" t="s">
        <v>368</v>
      </c>
      <c r="DN300" s="41" t="s">
        <v>368</v>
      </c>
      <c r="DO300" s="41" t="s">
        <v>368</v>
      </c>
      <c r="DP300" s="41" t="s">
        <v>368</v>
      </c>
      <c r="DQ300" s="41" t="s">
        <v>368</v>
      </c>
      <c r="DR300" s="41" t="s">
        <v>368</v>
      </c>
      <c r="DS300" s="41" t="s">
        <v>345</v>
      </c>
      <c r="DT300" s="41" t="s">
        <v>345</v>
      </c>
      <c r="DU300" s="41" t="s">
        <v>345</v>
      </c>
      <c r="DV300" s="41" t="s">
        <v>344</v>
      </c>
      <c r="DW300" s="41" t="s">
        <v>344</v>
      </c>
      <c r="DX300" s="41" t="s">
        <v>1274</v>
      </c>
      <c r="DY300" s="41" t="s">
        <v>1272</v>
      </c>
      <c r="DZ300" s="41" t="s">
        <v>397</v>
      </c>
      <c r="EA300" s="41" t="s">
        <v>397</v>
      </c>
      <c r="EB300" s="41" t="s">
        <v>397</v>
      </c>
      <c r="EC300" s="41" t="s">
        <v>1274</v>
      </c>
      <c r="ED300" s="41" t="s">
        <v>1258</v>
      </c>
      <c r="EE300" s="41" t="s">
        <v>1258</v>
      </c>
      <c r="EF300" s="41" t="s">
        <v>397</v>
      </c>
      <c r="EG300" s="41" t="s">
        <v>1258</v>
      </c>
      <c r="EH300" s="41" t="s">
        <v>1258</v>
      </c>
      <c r="EI300" s="41" t="s">
        <v>1258</v>
      </c>
      <c r="EJ300" s="41" t="s">
        <v>1274</v>
      </c>
      <c r="EK300" s="41" t="s">
        <v>397</v>
      </c>
      <c r="EL300" s="41" t="s">
        <v>1260</v>
      </c>
      <c r="EM300" s="41" t="s">
        <v>1261</v>
      </c>
      <c r="EN300" s="41" t="s">
        <v>1276</v>
      </c>
      <c r="EO300" s="41"/>
      <c r="EP300" s="41"/>
      <c r="EQ300" s="41" t="s">
        <v>1277</v>
      </c>
      <c r="ER300" s="41" t="s">
        <v>1264</v>
      </c>
      <c r="ES300" s="41" t="s">
        <v>1263</v>
      </c>
      <c r="ET300" s="41" t="s">
        <v>1277</v>
      </c>
      <c r="EU300" s="41" t="s">
        <v>1278</v>
      </c>
      <c r="EV300" s="41" t="s">
        <v>400</v>
      </c>
      <c r="EW300" s="41"/>
      <c r="EX300" s="171" t="s">
        <v>344</v>
      </c>
      <c r="EY300" s="171" t="s">
        <v>344</v>
      </c>
      <c r="EZ300" s="171" t="s">
        <v>345</v>
      </c>
      <c r="FA300" s="171" t="s">
        <v>344</v>
      </c>
      <c r="FB300" s="41" t="s">
        <v>1321</v>
      </c>
      <c r="FC300" s="41"/>
      <c r="FD300" s="41" t="s">
        <v>1266</v>
      </c>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t="s">
        <v>368</v>
      </c>
      <c r="GB300" s="41" t="s">
        <v>368</v>
      </c>
      <c r="GC300" s="41" t="s">
        <v>368</v>
      </c>
      <c r="GD300" s="41" t="s">
        <v>368</v>
      </c>
      <c r="GE300" s="41" t="s">
        <v>368</v>
      </c>
      <c r="GF300" s="41" t="s">
        <v>368</v>
      </c>
      <c r="GG300" s="41"/>
      <c r="GH300" s="41"/>
      <c r="GI300" s="41"/>
      <c r="GJ300" s="41"/>
      <c r="GK300" s="41"/>
      <c r="GL300" s="41" t="s">
        <v>344</v>
      </c>
      <c r="GM300" s="41" t="s">
        <v>344</v>
      </c>
      <c r="GN300" s="41" t="s">
        <v>344</v>
      </c>
      <c r="GO300" s="41" t="s">
        <v>344</v>
      </c>
      <c r="GP300" s="41" t="s">
        <v>344</v>
      </c>
      <c r="GQ300" s="41" t="s">
        <v>344</v>
      </c>
      <c r="GR300" s="41" t="s">
        <v>344</v>
      </c>
      <c r="GS300" s="41" t="s">
        <v>344</v>
      </c>
      <c r="GT300" s="41" t="s">
        <v>344</v>
      </c>
      <c r="GU300" s="41" t="s">
        <v>344</v>
      </c>
      <c r="GV300" s="41" t="s">
        <v>344</v>
      </c>
      <c r="GW300" s="41" t="s">
        <v>344</v>
      </c>
      <c r="GX300" s="41" t="s">
        <v>344</v>
      </c>
      <c r="GY300" s="41" t="s">
        <v>344</v>
      </c>
      <c r="GZ300" s="41" t="s">
        <v>344</v>
      </c>
      <c r="HA300" s="41" t="s">
        <v>345</v>
      </c>
      <c r="HB300" s="41"/>
      <c r="HC300" s="41" t="s">
        <v>344</v>
      </c>
      <c r="HD300" s="41"/>
      <c r="HE300" s="41" t="s">
        <v>344</v>
      </c>
      <c r="HF300" s="41"/>
      <c r="HG300" s="41" t="s">
        <v>344</v>
      </c>
      <c r="HH300" s="41"/>
      <c r="HI300" s="41" t="s">
        <v>344</v>
      </c>
      <c r="HJ300" s="41"/>
      <c r="HK300" s="41" t="s">
        <v>344</v>
      </c>
      <c r="HL300" s="41" t="s">
        <v>344</v>
      </c>
      <c r="HM300" s="41" t="s">
        <v>344</v>
      </c>
      <c r="HN300" s="41" t="s">
        <v>344</v>
      </c>
      <c r="HO300" s="41" t="s">
        <v>344</v>
      </c>
      <c r="HP300" s="41" t="s">
        <v>344</v>
      </c>
      <c r="HQ300" s="41" t="s">
        <v>344</v>
      </c>
      <c r="HR300" s="41" t="s">
        <v>344</v>
      </c>
      <c r="HS300" s="41" t="s">
        <v>344</v>
      </c>
      <c r="HT300" s="41" t="s">
        <v>344</v>
      </c>
      <c r="HU300" s="41" t="s">
        <v>344</v>
      </c>
      <c r="HV300" s="41" t="s">
        <v>344</v>
      </c>
      <c r="HW300" s="41" t="s">
        <v>345</v>
      </c>
      <c r="HX300" s="41" t="s">
        <v>345</v>
      </c>
      <c r="HY300" s="41" t="s">
        <v>344</v>
      </c>
      <c r="HZ300" s="41" t="s">
        <v>345</v>
      </c>
      <c r="IA300" s="41" t="s">
        <v>344</v>
      </c>
      <c r="IB300" s="41" t="s">
        <v>345</v>
      </c>
      <c r="IC300" s="41" t="s">
        <v>344</v>
      </c>
      <c r="ID300" s="41"/>
      <c r="IE300" s="41" t="s">
        <v>344</v>
      </c>
      <c r="IF300" s="41"/>
      <c r="IG300" s="41" t="s">
        <v>344</v>
      </c>
      <c r="IH300" s="41"/>
      <c r="II300" s="41" t="s">
        <v>344</v>
      </c>
      <c r="IJ300" s="41"/>
      <c r="IK300" s="41" t="s">
        <v>344</v>
      </c>
      <c r="IL300" s="41"/>
      <c r="IM300" s="41" t="s">
        <v>344</v>
      </c>
      <c r="IN300" s="41" t="s">
        <v>344</v>
      </c>
      <c r="IO300" s="41" t="s">
        <v>344</v>
      </c>
      <c r="IP300" s="41" t="s">
        <v>344</v>
      </c>
      <c r="IQ300" s="41" t="s">
        <v>344</v>
      </c>
      <c r="IR300" s="41" t="s">
        <v>344</v>
      </c>
      <c r="IS300" s="41" t="s">
        <v>344</v>
      </c>
      <c r="IT300" s="41" t="s">
        <v>345</v>
      </c>
      <c r="IU300" s="41" t="s">
        <v>345</v>
      </c>
      <c r="IV300" s="41" t="s">
        <v>344</v>
      </c>
      <c r="IW300" s="41" t="s">
        <v>345</v>
      </c>
      <c r="IX300" s="41" t="s">
        <v>344</v>
      </c>
      <c r="IY300" s="41" t="s">
        <v>344</v>
      </c>
      <c r="IZ300" s="41" t="s">
        <v>344</v>
      </c>
      <c r="JA300" s="41"/>
      <c r="JB300" s="41"/>
    </row>
    <row r="301" spans="1:262" x14ac:dyDescent="0.3">
      <c r="A301" s="40" t="s">
        <v>813</v>
      </c>
      <c r="B301" s="41">
        <v>277</v>
      </c>
      <c r="C301" s="41" t="s">
        <v>1605</v>
      </c>
      <c r="D301" s="41">
        <v>14</v>
      </c>
      <c r="E301" s="41" t="s">
        <v>340</v>
      </c>
      <c r="F301" s="41">
        <v>212605894</v>
      </c>
      <c r="G301" s="41" t="s">
        <v>1603</v>
      </c>
      <c r="H301" s="41" t="s">
        <v>1605</v>
      </c>
      <c r="I301" s="41" t="s">
        <v>1593</v>
      </c>
      <c r="J301" s="41">
        <v>17</v>
      </c>
      <c r="K301" s="41" t="s">
        <v>1282</v>
      </c>
      <c r="L301" s="41"/>
      <c r="M301" s="41" t="s">
        <v>345</v>
      </c>
      <c r="N301" s="41" t="s">
        <v>345</v>
      </c>
      <c r="O301" s="41" t="s">
        <v>344</v>
      </c>
      <c r="P301" s="41" t="s">
        <v>344</v>
      </c>
      <c r="Q301" s="41" t="s">
        <v>344</v>
      </c>
      <c r="R301" s="41"/>
      <c r="S301" s="41" t="s">
        <v>522</v>
      </c>
      <c r="T301" s="41"/>
      <c r="U301" s="41" t="s">
        <v>1457</v>
      </c>
      <c r="V301" s="41"/>
      <c r="W301" s="41" t="s">
        <v>344</v>
      </c>
      <c r="X301" s="41" t="s">
        <v>345</v>
      </c>
      <c r="Y301" s="41" t="s">
        <v>344</v>
      </c>
      <c r="Z301" s="41" t="s">
        <v>344</v>
      </c>
      <c r="AA301" s="41" t="s">
        <v>344</v>
      </c>
      <c r="AB301" s="41" t="s">
        <v>344</v>
      </c>
      <c r="AC301" s="41" t="s">
        <v>344</v>
      </c>
      <c r="AD301" s="41" t="s">
        <v>345</v>
      </c>
      <c r="AE301" s="41" t="s">
        <v>345</v>
      </c>
      <c r="AF301" s="41" t="s">
        <v>344</v>
      </c>
      <c r="AG301" s="41" t="s">
        <v>345</v>
      </c>
      <c r="AH301" s="41" t="s">
        <v>344</v>
      </c>
      <c r="AI301" s="41" t="s">
        <v>344</v>
      </c>
      <c r="AJ301" s="41" t="s">
        <v>344</v>
      </c>
      <c r="AK301" s="41" t="s">
        <v>344</v>
      </c>
      <c r="AL301" s="41" t="s">
        <v>344</v>
      </c>
      <c r="AM301" s="41" t="s">
        <v>344</v>
      </c>
      <c r="AN301" s="41" t="s">
        <v>345</v>
      </c>
      <c r="AO301" s="41" t="s">
        <v>344</v>
      </c>
      <c r="AP301" s="41" t="s">
        <v>344</v>
      </c>
      <c r="AQ301" s="41" t="s">
        <v>344</v>
      </c>
      <c r="AR301" s="41" t="s">
        <v>344</v>
      </c>
      <c r="AS301" s="41" t="s">
        <v>344</v>
      </c>
      <c r="AT301" s="41" t="s">
        <v>344</v>
      </c>
      <c r="AU301" s="41" t="s">
        <v>344</v>
      </c>
      <c r="AV301" s="41" t="s">
        <v>345</v>
      </c>
      <c r="AW301" s="41" t="s">
        <v>345</v>
      </c>
      <c r="AX301" s="41" t="s">
        <v>344</v>
      </c>
      <c r="AY301" s="41" t="s">
        <v>732</v>
      </c>
      <c r="AZ301" s="41" t="s">
        <v>731</v>
      </c>
      <c r="BA301" s="41" t="s">
        <v>391</v>
      </c>
      <c r="BB301" s="41" t="s">
        <v>732</v>
      </c>
      <c r="BC301" s="41" t="s">
        <v>732</v>
      </c>
      <c r="BD301" s="41" t="s">
        <v>737</v>
      </c>
      <c r="BE301" s="41" t="s">
        <v>348</v>
      </c>
      <c r="BF301" s="41" t="s">
        <v>348</v>
      </c>
      <c r="BG301" s="41" t="s">
        <v>390</v>
      </c>
      <c r="BH301" s="41" t="s">
        <v>348</v>
      </c>
      <c r="BI301" s="41" t="s">
        <v>350</v>
      </c>
      <c r="BJ301" s="41" t="s">
        <v>357</v>
      </c>
      <c r="BK301" s="41" t="s">
        <v>356</v>
      </c>
      <c r="BL301" s="41" t="s">
        <v>357</v>
      </c>
      <c r="BM301" s="41" t="s">
        <v>352</v>
      </c>
      <c r="BN301" s="41" t="s">
        <v>352</v>
      </c>
      <c r="BO301" s="41" t="s">
        <v>356</v>
      </c>
      <c r="BP301" s="41" t="s">
        <v>352</v>
      </c>
      <c r="BQ301" s="41" t="s">
        <v>358</v>
      </c>
      <c r="BR301" s="41" t="s">
        <v>1296</v>
      </c>
      <c r="BS301" s="41" t="s">
        <v>354</v>
      </c>
      <c r="BT301" s="41" t="s">
        <v>351</v>
      </c>
      <c r="BU301" s="41" t="s">
        <v>352</v>
      </c>
      <c r="BV301" s="41" t="s">
        <v>355</v>
      </c>
      <c r="BW301" s="41" t="s">
        <v>356</v>
      </c>
      <c r="BX301" s="41" t="s">
        <v>353</v>
      </c>
      <c r="BY301" s="41" t="s">
        <v>357</v>
      </c>
      <c r="BZ301" s="41" t="s">
        <v>356</v>
      </c>
      <c r="CA301" s="41" t="s">
        <v>355</v>
      </c>
      <c r="CB301" s="41" t="s">
        <v>351</v>
      </c>
      <c r="CC301" s="41" t="s">
        <v>354</v>
      </c>
      <c r="CD301" s="41" t="s">
        <v>357</v>
      </c>
      <c r="CE301" s="41" t="s">
        <v>352</v>
      </c>
      <c r="CF301" s="41" t="s">
        <v>356</v>
      </c>
      <c r="CG301" s="41" t="s">
        <v>360</v>
      </c>
      <c r="CH301" s="41" t="s">
        <v>420</v>
      </c>
      <c r="CI301" s="41" t="s">
        <v>392</v>
      </c>
      <c r="CJ301" s="41" t="s">
        <v>360</v>
      </c>
      <c r="CK301" s="41" t="s">
        <v>1606</v>
      </c>
      <c r="CL301" s="41" t="s">
        <v>344</v>
      </c>
      <c r="CM301" s="41" t="s">
        <v>344</v>
      </c>
      <c r="CN301" s="41" t="s">
        <v>344</v>
      </c>
      <c r="CO301" s="41" t="s">
        <v>344</v>
      </c>
      <c r="CP301" s="41" t="s">
        <v>345</v>
      </c>
      <c r="CQ301" s="41" t="s">
        <v>344</v>
      </c>
      <c r="CR301" s="41" t="s">
        <v>667</v>
      </c>
      <c r="CS301" s="41">
        <v>80</v>
      </c>
      <c r="CT301" s="41">
        <v>20</v>
      </c>
      <c r="CU301" s="41">
        <v>100</v>
      </c>
      <c r="CV301" s="41">
        <v>80</v>
      </c>
      <c r="CW301" s="41" t="s">
        <v>363</v>
      </c>
      <c r="CX301" s="41" t="s">
        <v>395</v>
      </c>
      <c r="CY301" s="41" t="s">
        <v>396</v>
      </c>
      <c r="CZ301" s="41" t="s">
        <v>397</v>
      </c>
      <c r="DA301" s="41" t="s">
        <v>366</v>
      </c>
      <c r="DB301" s="41" t="s">
        <v>397</v>
      </c>
      <c r="DC301" s="41" t="s">
        <v>365</v>
      </c>
      <c r="DD301" s="41" t="s">
        <v>397</v>
      </c>
      <c r="DE301" s="41" t="s">
        <v>397</v>
      </c>
      <c r="DF301" s="41" t="s">
        <v>365</v>
      </c>
      <c r="DG301" s="41" t="s">
        <v>397</v>
      </c>
      <c r="DH301" s="41" t="s">
        <v>365</v>
      </c>
      <c r="DI301" s="41" t="s">
        <v>366</v>
      </c>
      <c r="DJ301" s="41"/>
      <c r="DK301" s="41" t="s">
        <v>344</v>
      </c>
      <c r="DL301" s="41" t="s">
        <v>368</v>
      </c>
      <c r="DM301" s="41" t="s">
        <v>368</v>
      </c>
      <c r="DN301" s="41" t="s">
        <v>368</v>
      </c>
      <c r="DO301" s="41" t="s">
        <v>368</v>
      </c>
      <c r="DP301" s="41" t="s">
        <v>345</v>
      </c>
      <c r="DQ301" s="41" t="s">
        <v>345</v>
      </c>
      <c r="DR301" s="41" t="s">
        <v>344</v>
      </c>
      <c r="DS301" s="41" t="s">
        <v>344</v>
      </c>
      <c r="DT301" s="41" t="s">
        <v>345</v>
      </c>
      <c r="DU301" s="41" t="s">
        <v>345</v>
      </c>
      <c r="DV301" s="41" t="s">
        <v>344</v>
      </c>
      <c r="DW301" s="41" t="s">
        <v>344</v>
      </c>
      <c r="DX301" s="41" t="s">
        <v>397</v>
      </c>
      <c r="DY301" s="41" t="s">
        <v>1272</v>
      </c>
      <c r="DZ301" s="41" t="s">
        <v>397</v>
      </c>
      <c r="EA301" s="41" t="s">
        <v>1273</v>
      </c>
      <c r="EB301" s="41" t="s">
        <v>397</v>
      </c>
      <c r="EC301" s="41" t="s">
        <v>1273</v>
      </c>
      <c r="ED301" s="41" t="s">
        <v>1258</v>
      </c>
      <c r="EE301" s="41" t="s">
        <v>1258</v>
      </c>
      <c r="EF301" s="41" t="s">
        <v>1258</v>
      </c>
      <c r="EG301" s="41" t="s">
        <v>1258</v>
      </c>
      <c r="EH301" s="41" t="s">
        <v>1258</v>
      </c>
      <c r="EI301" s="41" t="s">
        <v>1258</v>
      </c>
      <c r="EJ301" s="41" t="s">
        <v>1258</v>
      </c>
      <c r="EK301" s="41" t="s">
        <v>1258</v>
      </c>
      <c r="EL301" s="41" t="s">
        <v>1259</v>
      </c>
      <c r="EM301" s="41" t="s">
        <v>1276</v>
      </c>
      <c r="EN301" s="41" t="s">
        <v>1261</v>
      </c>
      <c r="EO301" s="41"/>
      <c r="EP301" s="41"/>
      <c r="EQ301" s="41" t="s">
        <v>1262</v>
      </c>
      <c r="ER301" s="41" t="s">
        <v>1264</v>
      </c>
      <c r="ES301" s="41" t="s">
        <v>1263</v>
      </c>
      <c r="ET301" s="41" t="s">
        <v>1277</v>
      </c>
      <c r="EU301" s="41" t="s">
        <v>1278</v>
      </c>
      <c r="EV301" s="41" t="s">
        <v>1265</v>
      </c>
      <c r="EW301" s="41"/>
      <c r="EX301" s="171" t="s">
        <v>344</v>
      </c>
      <c r="EY301" s="171" t="s">
        <v>344</v>
      </c>
      <c r="EZ301" s="171" t="s">
        <v>345</v>
      </c>
      <c r="FA301" s="171" t="s">
        <v>344</v>
      </c>
      <c r="FB301" s="41" t="s">
        <v>1321</v>
      </c>
      <c r="FC301" s="41"/>
      <c r="FD301" s="41" t="s">
        <v>1266</v>
      </c>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t="s">
        <v>368</v>
      </c>
      <c r="GB301" s="41" t="s">
        <v>368</v>
      </c>
      <c r="GC301" s="41" t="s">
        <v>368</v>
      </c>
      <c r="GD301" s="41" t="s">
        <v>368</v>
      </c>
      <c r="GE301" s="41" t="s">
        <v>368</v>
      </c>
      <c r="GF301" s="41" t="s">
        <v>368</v>
      </c>
      <c r="GG301" s="41"/>
      <c r="GH301" s="41"/>
      <c r="GI301" s="41"/>
      <c r="GJ301" s="41"/>
      <c r="GK301" s="41"/>
      <c r="GL301" s="41" t="s">
        <v>344</v>
      </c>
      <c r="GM301" s="41" t="s">
        <v>344</v>
      </c>
      <c r="GN301" s="41" t="s">
        <v>344</v>
      </c>
      <c r="GO301" s="41" t="s">
        <v>344</v>
      </c>
      <c r="GP301" s="41" t="s">
        <v>344</v>
      </c>
      <c r="GQ301" s="41" t="s">
        <v>344</v>
      </c>
      <c r="GR301" s="41" t="s">
        <v>344</v>
      </c>
      <c r="GS301" s="41" t="s">
        <v>344</v>
      </c>
      <c r="GT301" s="41" t="s">
        <v>344</v>
      </c>
      <c r="GU301" s="41" t="s">
        <v>344</v>
      </c>
      <c r="GV301" s="41" t="s">
        <v>345</v>
      </c>
      <c r="GW301" s="41" t="s">
        <v>344</v>
      </c>
      <c r="GX301" s="41" t="s">
        <v>344</v>
      </c>
      <c r="GY301" s="41" t="s">
        <v>344</v>
      </c>
      <c r="GZ301" s="41" t="s">
        <v>344</v>
      </c>
      <c r="HA301" s="41" t="s">
        <v>344</v>
      </c>
      <c r="HB301" s="41"/>
      <c r="HC301" s="41" t="s">
        <v>345</v>
      </c>
      <c r="HD301" s="41" t="s">
        <v>1607</v>
      </c>
      <c r="HE301" s="41" t="s">
        <v>344</v>
      </c>
      <c r="HF301" s="41"/>
      <c r="HG301" s="41" t="s">
        <v>344</v>
      </c>
      <c r="HH301" s="41"/>
      <c r="HI301" s="41" t="s">
        <v>344</v>
      </c>
      <c r="HJ301" s="41"/>
      <c r="HK301" s="41" t="s">
        <v>344</v>
      </c>
      <c r="HL301" s="41" t="s">
        <v>344</v>
      </c>
      <c r="HM301" s="41" t="s">
        <v>344</v>
      </c>
      <c r="HN301" s="41" t="s">
        <v>344</v>
      </c>
      <c r="HO301" s="41" t="s">
        <v>344</v>
      </c>
      <c r="HP301" s="41" t="s">
        <v>344</v>
      </c>
      <c r="HQ301" s="41" t="s">
        <v>344</v>
      </c>
      <c r="HR301" s="41" t="s">
        <v>344</v>
      </c>
      <c r="HS301" s="41" t="s">
        <v>344</v>
      </c>
      <c r="HT301" s="41" t="s">
        <v>344</v>
      </c>
      <c r="HU301" s="41" t="s">
        <v>344</v>
      </c>
      <c r="HV301" s="41" t="s">
        <v>344</v>
      </c>
      <c r="HW301" s="41" t="s">
        <v>344</v>
      </c>
      <c r="HX301" s="41" t="s">
        <v>345</v>
      </c>
      <c r="HY301" s="41" t="s">
        <v>345</v>
      </c>
      <c r="HZ301" s="41" t="s">
        <v>344</v>
      </c>
      <c r="IA301" s="41" t="s">
        <v>344</v>
      </c>
      <c r="IB301" s="41" t="s">
        <v>345</v>
      </c>
      <c r="IC301" s="41" t="s">
        <v>344</v>
      </c>
      <c r="ID301" s="41"/>
      <c r="IE301" s="41" t="s">
        <v>344</v>
      </c>
      <c r="IF301" s="41"/>
      <c r="IG301" s="41" t="s">
        <v>344</v>
      </c>
      <c r="IH301" s="41"/>
      <c r="II301" s="41" t="s">
        <v>344</v>
      </c>
      <c r="IJ301" s="41"/>
      <c r="IK301" s="41" t="s">
        <v>344</v>
      </c>
      <c r="IL301" s="41"/>
      <c r="IM301" s="41" t="s">
        <v>345</v>
      </c>
      <c r="IN301" s="41" t="s">
        <v>344</v>
      </c>
      <c r="IO301" s="41" t="s">
        <v>344</v>
      </c>
      <c r="IP301" s="41" t="s">
        <v>344</v>
      </c>
      <c r="IQ301" s="41" t="s">
        <v>345</v>
      </c>
      <c r="IR301" s="41" t="s">
        <v>345</v>
      </c>
      <c r="IS301" s="41" t="s">
        <v>344</v>
      </c>
      <c r="IT301" s="41" t="s">
        <v>345</v>
      </c>
      <c r="IU301" s="41" t="s">
        <v>344</v>
      </c>
      <c r="IV301" s="41" t="s">
        <v>344</v>
      </c>
      <c r="IW301" s="41" t="s">
        <v>345</v>
      </c>
      <c r="IX301" s="41" t="s">
        <v>344</v>
      </c>
      <c r="IY301" s="41" t="s">
        <v>344</v>
      </c>
      <c r="IZ301" s="41" t="s">
        <v>344</v>
      </c>
      <c r="JA301" s="41"/>
      <c r="JB301" s="41"/>
    </row>
    <row r="302" spans="1:262" x14ac:dyDescent="0.3">
      <c r="A302" s="40" t="s">
        <v>813</v>
      </c>
      <c r="B302" s="41">
        <v>278</v>
      </c>
      <c r="C302" s="41" t="s">
        <v>1608</v>
      </c>
      <c r="D302" s="41">
        <v>14</v>
      </c>
      <c r="E302" s="41" t="s">
        <v>340</v>
      </c>
      <c r="F302" s="41">
        <v>1521679657</v>
      </c>
      <c r="G302" s="41" t="s">
        <v>1609</v>
      </c>
      <c r="H302" s="41" t="s">
        <v>1608</v>
      </c>
      <c r="I302" s="41" t="s">
        <v>1593</v>
      </c>
      <c r="J302" s="41">
        <v>17</v>
      </c>
      <c r="K302" s="41" t="s">
        <v>1255</v>
      </c>
      <c r="L302" s="41"/>
      <c r="M302" s="41" t="s">
        <v>344</v>
      </c>
      <c r="N302" s="41" t="s">
        <v>345</v>
      </c>
      <c r="O302" s="41" t="s">
        <v>344</v>
      </c>
      <c r="P302" s="41" t="s">
        <v>344</v>
      </c>
      <c r="Q302" s="41" t="s">
        <v>344</v>
      </c>
      <c r="R302" s="41"/>
      <c r="S302" s="41" t="s">
        <v>522</v>
      </c>
      <c r="T302" s="41"/>
      <c r="U302" s="41" t="s">
        <v>1461</v>
      </c>
      <c r="V302" s="41"/>
      <c r="W302" s="41" t="s">
        <v>345</v>
      </c>
      <c r="X302" s="41" t="s">
        <v>344</v>
      </c>
      <c r="Y302" s="41" t="s">
        <v>344</v>
      </c>
      <c r="Z302" s="41" t="s">
        <v>344</v>
      </c>
      <c r="AA302" s="41" t="s">
        <v>344</v>
      </c>
      <c r="AB302" s="41" t="s">
        <v>344</v>
      </c>
      <c r="AC302" s="41" t="s">
        <v>344</v>
      </c>
      <c r="AD302" s="41" t="s">
        <v>345</v>
      </c>
      <c r="AE302" s="41" t="s">
        <v>344</v>
      </c>
      <c r="AF302" s="41" t="s">
        <v>344</v>
      </c>
      <c r="AG302" s="41" t="s">
        <v>344</v>
      </c>
      <c r="AH302" s="41" t="s">
        <v>344</v>
      </c>
      <c r="AI302" s="41" t="s">
        <v>344</v>
      </c>
      <c r="AJ302" s="41" t="s">
        <v>344</v>
      </c>
      <c r="AK302" s="41" t="s">
        <v>345</v>
      </c>
      <c r="AL302" s="41" t="s">
        <v>344</v>
      </c>
      <c r="AM302" s="41" t="s">
        <v>344</v>
      </c>
      <c r="AN302" s="41" t="s">
        <v>344</v>
      </c>
      <c r="AO302" s="41" t="s">
        <v>344</v>
      </c>
      <c r="AP302" s="41" t="s">
        <v>344</v>
      </c>
      <c r="AQ302" s="41" t="s">
        <v>344</v>
      </c>
      <c r="AR302" s="41" t="s">
        <v>344</v>
      </c>
      <c r="AS302" s="41" t="s">
        <v>344</v>
      </c>
      <c r="AT302" s="41" t="s">
        <v>344</v>
      </c>
      <c r="AU302" s="41" t="s">
        <v>344</v>
      </c>
      <c r="AV302" s="41" t="s">
        <v>345</v>
      </c>
      <c r="AW302" s="41" t="s">
        <v>344</v>
      </c>
      <c r="AX302" s="41" t="s">
        <v>344</v>
      </c>
      <c r="AY302" s="41" t="s">
        <v>391</v>
      </c>
      <c r="AZ302" s="41" t="s">
        <v>391</v>
      </c>
      <c r="BA302" s="41" t="s">
        <v>391</v>
      </c>
      <c r="BB302" s="41" t="s">
        <v>391</v>
      </c>
      <c r="BC302" s="41" t="s">
        <v>391</v>
      </c>
      <c r="BD302" s="41" t="s">
        <v>391</v>
      </c>
      <c r="BE302" s="41" t="s">
        <v>390</v>
      </c>
      <c r="BF302" s="41" t="s">
        <v>348</v>
      </c>
      <c r="BG302" s="41" t="s">
        <v>390</v>
      </c>
      <c r="BH302" s="41" t="s">
        <v>390</v>
      </c>
      <c r="BI302" s="41" t="s">
        <v>349</v>
      </c>
      <c r="BJ302" s="41" t="s">
        <v>391</v>
      </c>
      <c r="BK302" s="41" t="s">
        <v>391</v>
      </c>
      <c r="BL302" s="41" t="s">
        <v>391</v>
      </c>
      <c r="BM302" s="41" t="s">
        <v>391</v>
      </c>
      <c r="BN302" s="41" t="s">
        <v>391</v>
      </c>
      <c r="BO302" s="41" t="s">
        <v>391</v>
      </c>
      <c r="BP302" s="41" t="s">
        <v>391</v>
      </c>
      <c r="BQ302" s="41" t="s">
        <v>358</v>
      </c>
      <c r="BR302" s="41" t="s">
        <v>1257</v>
      </c>
      <c r="BS302" s="41" t="s">
        <v>391</v>
      </c>
      <c r="BT302" s="41" t="s">
        <v>391</v>
      </c>
      <c r="BU302" s="41" t="s">
        <v>391</v>
      </c>
      <c r="BV302" s="41" t="s">
        <v>391</v>
      </c>
      <c r="BW302" s="41" t="s">
        <v>391</v>
      </c>
      <c r="BX302" s="41" t="s">
        <v>391</v>
      </c>
      <c r="BY302" s="41" t="s">
        <v>391</v>
      </c>
      <c r="BZ302" s="41" t="s">
        <v>391</v>
      </c>
      <c r="CA302" s="41" t="s">
        <v>391</v>
      </c>
      <c r="CB302" s="41" t="s">
        <v>391</v>
      </c>
      <c r="CC302" s="41" t="s">
        <v>391</v>
      </c>
      <c r="CD302" s="41" t="s">
        <v>391</v>
      </c>
      <c r="CE302" s="41" t="s">
        <v>391</v>
      </c>
      <c r="CF302" s="41" t="s">
        <v>391</v>
      </c>
      <c r="CG302" s="41" t="s">
        <v>420</v>
      </c>
      <c r="CH302" s="41" t="s">
        <v>421</v>
      </c>
      <c r="CI302" s="41" t="s">
        <v>420</v>
      </c>
      <c r="CJ302" s="41" t="s">
        <v>421</v>
      </c>
      <c r="CK302" s="41" t="s">
        <v>510</v>
      </c>
      <c r="CL302" s="41" t="s">
        <v>344</v>
      </c>
      <c r="CM302" s="41" t="s">
        <v>344</v>
      </c>
      <c r="CN302" s="41" t="s">
        <v>345</v>
      </c>
      <c r="CO302" s="41" t="s">
        <v>344</v>
      </c>
      <c r="CP302" s="41" t="s">
        <v>345</v>
      </c>
      <c r="CQ302" s="41" t="s">
        <v>344</v>
      </c>
      <c r="CR302" s="41" t="s">
        <v>667</v>
      </c>
      <c r="CS302" s="41">
        <v>100</v>
      </c>
      <c r="CT302" s="41">
        <v>1</v>
      </c>
      <c r="CU302" s="41">
        <v>100</v>
      </c>
      <c r="CV302" s="41">
        <v>100</v>
      </c>
      <c r="CW302" s="41" t="s">
        <v>364</v>
      </c>
      <c r="CX302" s="41" t="s">
        <v>396</v>
      </c>
      <c r="CY302" s="41" t="s">
        <v>364</v>
      </c>
      <c r="CZ302" s="41" t="s">
        <v>717</v>
      </c>
      <c r="DA302" s="41" t="s">
        <v>423</v>
      </c>
      <c r="DB302" s="41" t="s">
        <v>397</v>
      </c>
      <c r="DC302" s="41" t="s">
        <v>397</v>
      </c>
      <c r="DD302" s="41" t="s">
        <v>366</v>
      </c>
      <c r="DE302" s="41" t="s">
        <v>717</v>
      </c>
      <c r="DF302" s="41" t="s">
        <v>365</v>
      </c>
      <c r="DG302" s="41" t="s">
        <v>397</v>
      </c>
      <c r="DH302" s="41" t="s">
        <v>397</v>
      </c>
      <c r="DI302" s="41" t="s">
        <v>366</v>
      </c>
      <c r="DJ302" s="41" t="s">
        <v>1610</v>
      </c>
      <c r="DK302" s="41" t="s">
        <v>344</v>
      </c>
      <c r="DL302" s="41" t="s">
        <v>368</v>
      </c>
      <c r="DM302" s="41" t="s">
        <v>368</v>
      </c>
      <c r="DN302" s="41" t="s">
        <v>368</v>
      </c>
      <c r="DO302" s="41" t="s">
        <v>368</v>
      </c>
      <c r="DP302" s="41" t="s">
        <v>368</v>
      </c>
      <c r="DQ302" s="41" t="s">
        <v>368</v>
      </c>
      <c r="DR302" s="41" t="s">
        <v>368</v>
      </c>
      <c r="DS302" s="41" t="s">
        <v>345</v>
      </c>
      <c r="DT302" s="41" t="s">
        <v>368</v>
      </c>
      <c r="DU302" s="41" t="s">
        <v>368</v>
      </c>
      <c r="DV302" s="41" t="s">
        <v>368</v>
      </c>
      <c r="DW302" s="41" t="s">
        <v>345</v>
      </c>
      <c r="DX302" s="41" t="s">
        <v>397</v>
      </c>
      <c r="DY302" s="41" t="s">
        <v>1273</v>
      </c>
      <c r="DZ302" s="41" t="s">
        <v>397</v>
      </c>
      <c r="EA302" s="41" t="s">
        <v>397</v>
      </c>
      <c r="EB302" s="41" t="s">
        <v>397</v>
      </c>
      <c r="EC302" s="41" t="s">
        <v>397</v>
      </c>
      <c r="ED302" s="41" t="s">
        <v>397</v>
      </c>
      <c r="EE302" s="41" t="s">
        <v>1258</v>
      </c>
      <c r="EF302" s="41" t="s">
        <v>1258</v>
      </c>
      <c r="EG302" s="41" t="s">
        <v>1258</v>
      </c>
      <c r="EH302" s="41" t="s">
        <v>1258</v>
      </c>
      <c r="EI302" s="41" t="s">
        <v>1258</v>
      </c>
      <c r="EJ302" s="41" t="s">
        <v>1258</v>
      </c>
      <c r="EK302" s="41" t="s">
        <v>1258</v>
      </c>
      <c r="EL302" s="41" t="s">
        <v>1259</v>
      </c>
      <c r="EM302" s="41" t="s">
        <v>1260</v>
      </c>
      <c r="EN302" s="41" t="s">
        <v>1276</v>
      </c>
      <c r="EO302" s="41"/>
      <c r="EP302" s="41"/>
      <c r="EQ302" s="41" t="s">
        <v>1262</v>
      </c>
      <c r="ER302" s="41" t="s">
        <v>717</v>
      </c>
      <c r="ES302" s="41" t="s">
        <v>1262</v>
      </c>
      <c r="ET302" s="41" t="s">
        <v>717</v>
      </c>
      <c r="EU302" s="41" t="s">
        <v>717</v>
      </c>
      <c r="EV302" s="41" t="s">
        <v>400</v>
      </c>
      <c r="EW302" s="41"/>
      <c r="EX302" s="41" t="s">
        <v>368</v>
      </c>
      <c r="EY302" s="41" t="s">
        <v>368</v>
      </c>
      <c r="EZ302" s="41" t="s">
        <v>368</v>
      </c>
      <c r="FA302" s="41" t="s">
        <v>345</v>
      </c>
      <c r="FB302" s="41" t="s">
        <v>1266</v>
      </c>
      <c r="FC302" s="41"/>
      <c r="FD302" s="41" t="s">
        <v>1266</v>
      </c>
      <c r="FE302" s="41"/>
      <c r="FF302" s="41" t="s">
        <v>382</v>
      </c>
      <c r="FG302" s="41" t="s">
        <v>1292</v>
      </c>
      <c r="FH302" s="41" t="s">
        <v>1293</v>
      </c>
      <c r="FI302" s="41" t="s">
        <v>1294</v>
      </c>
      <c r="FJ302" s="41"/>
      <c r="FK302" s="41"/>
      <c r="FL302" s="41"/>
      <c r="FM302" s="41"/>
      <c r="FN302" s="41"/>
      <c r="FO302" s="41"/>
      <c r="FP302" s="41"/>
      <c r="FQ302" s="41"/>
      <c r="FR302" s="41"/>
      <c r="FS302" s="41"/>
      <c r="FT302" s="41"/>
      <c r="FU302" s="41"/>
      <c r="FV302" s="41"/>
      <c r="FW302" s="41"/>
      <c r="FX302" s="41"/>
      <c r="FY302" s="41"/>
      <c r="FZ302" s="41"/>
      <c r="GA302" s="41" t="s">
        <v>368</v>
      </c>
      <c r="GB302" s="41" t="s">
        <v>368</v>
      </c>
      <c r="GC302" s="41" t="s">
        <v>368</v>
      </c>
      <c r="GD302" s="41" t="s">
        <v>368</v>
      </c>
      <c r="GE302" s="41" t="s">
        <v>368</v>
      </c>
      <c r="GF302" s="41" t="s">
        <v>368</v>
      </c>
      <c r="GG302" s="41"/>
      <c r="GH302" s="41"/>
      <c r="GI302" s="41"/>
      <c r="GJ302" s="41"/>
      <c r="GK302" s="41"/>
      <c r="GL302" s="41" t="s">
        <v>344</v>
      </c>
      <c r="GM302" s="41" t="s">
        <v>344</v>
      </c>
      <c r="GN302" s="41" t="s">
        <v>344</v>
      </c>
      <c r="GO302" s="41" t="s">
        <v>344</v>
      </c>
      <c r="GP302" s="41" t="s">
        <v>344</v>
      </c>
      <c r="GQ302" s="41" t="s">
        <v>344</v>
      </c>
      <c r="GR302" s="41" t="s">
        <v>344</v>
      </c>
      <c r="GS302" s="41" t="s">
        <v>344</v>
      </c>
      <c r="GT302" s="41" t="s">
        <v>344</v>
      </c>
      <c r="GU302" s="41" t="s">
        <v>344</v>
      </c>
      <c r="GV302" s="41" t="s">
        <v>344</v>
      </c>
      <c r="GW302" s="41" t="s">
        <v>344</v>
      </c>
      <c r="GX302" s="41" t="s">
        <v>344</v>
      </c>
      <c r="GY302" s="41" t="s">
        <v>344</v>
      </c>
      <c r="GZ302" s="41" t="s">
        <v>344</v>
      </c>
      <c r="HA302" s="41" t="s">
        <v>345</v>
      </c>
      <c r="HB302" s="41"/>
      <c r="HC302" s="41" t="s">
        <v>344</v>
      </c>
      <c r="HD302" s="41"/>
      <c r="HE302" s="41" t="s">
        <v>344</v>
      </c>
      <c r="HF302" s="41"/>
      <c r="HG302" s="41" t="s">
        <v>345</v>
      </c>
      <c r="HH302" s="41" t="s">
        <v>1611</v>
      </c>
      <c r="HI302" s="41" t="s">
        <v>344</v>
      </c>
      <c r="HJ302" s="41"/>
      <c r="HK302" s="41" t="s">
        <v>344</v>
      </c>
      <c r="HL302" s="41" t="s">
        <v>344</v>
      </c>
      <c r="HM302" s="41" t="s">
        <v>344</v>
      </c>
      <c r="HN302" s="41" t="s">
        <v>344</v>
      </c>
      <c r="HO302" s="41" t="s">
        <v>344</v>
      </c>
      <c r="HP302" s="41" t="s">
        <v>344</v>
      </c>
      <c r="HQ302" s="41" t="s">
        <v>344</v>
      </c>
      <c r="HR302" s="41" t="s">
        <v>344</v>
      </c>
      <c r="HS302" s="41" t="s">
        <v>344</v>
      </c>
      <c r="HT302" s="41" t="s">
        <v>344</v>
      </c>
      <c r="HU302" s="41" t="s">
        <v>344</v>
      </c>
      <c r="HV302" s="41" t="s">
        <v>344</v>
      </c>
      <c r="HW302" s="41" t="s">
        <v>344</v>
      </c>
      <c r="HX302" s="41" t="s">
        <v>344</v>
      </c>
      <c r="HY302" s="41" t="s">
        <v>344</v>
      </c>
      <c r="HZ302" s="41" t="s">
        <v>344</v>
      </c>
      <c r="IA302" s="41" t="s">
        <v>344</v>
      </c>
      <c r="IB302" s="41" t="s">
        <v>344</v>
      </c>
      <c r="IC302" s="41" t="s">
        <v>345</v>
      </c>
      <c r="ID302" s="41"/>
      <c r="IE302" s="41" t="s">
        <v>344</v>
      </c>
      <c r="IF302" s="41"/>
      <c r="IG302" s="41" t="s">
        <v>344</v>
      </c>
      <c r="IH302" s="41"/>
      <c r="II302" s="41" t="s">
        <v>345</v>
      </c>
      <c r="IJ302" s="41"/>
      <c r="IK302" s="41" t="s">
        <v>344</v>
      </c>
      <c r="IL302" s="41"/>
      <c r="IM302" s="41" t="s">
        <v>345</v>
      </c>
      <c r="IN302" s="41" t="s">
        <v>345</v>
      </c>
      <c r="IO302" s="41" t="s">
        <v>344</v>
      </c>
      <c r="IP302" s="41" t="s">
        <v>344</v>
      </c>
      <c r="IQ302" s="41" t="s">
        <v>345</v>
      </c>
      <c r="IR302" s="41" t="s">
        <v>345</v>
      </c>
      <c r="IS302" s="41" t="s">
        <v>344</v>
      </c>
      <c r="IT302" s="41" t="s">
        <v>345</v>
      </c>
      <c r="IU302" s="41" t="s">
        <v>345</v>
      </c>
      <c r="IV302" s="41" t="s">
        <v>344</v>
      </c>
      <c r="IW302" s="41" t="s">
        <v>344</v>
      </c>
      <c r="IX302" s="41" t="s">
        <v>344</v>
      </c>
      <c r="IY302" s="41" t="s">
        <v>345</v>
      </c>
      <c r="IZ302" s="41" t="s">
        <v>344</v>
      </c>
      <c r="JA302" s="41"/>
      <c r="JB302" s="41" t="s">
        <v>1612</v>
      </c>
    </row>
    <row r="303" spans="1:262" x14ac:dyDescent="0.3">
      <c r="A303" s="40" t="s">
        <v>813</v>
      </c>
      <c r="B303" s="41">
        <v>279</v>
      </c>
      <c r="C303" s="41" t="s">
        <v>1613</v>
      </c>
      <c r="D303" s="41">
        <v>14</v>
      </c>
      <c r="E303" s="41" t="s">
        <v>387</v>
      </c>
      <c r="F303" s="41">
        <v>2099318135</v>
      </c>
      <c r="G303" s="41" t="s">
        <v>1614</v>
      </c>
      <c r="H303" s="41" t="s">
        <v>1613</v>
      </c>
      <c r="I303" s="41" t="s">
        <v>1585</v>
      </c>
      <c r="J303" s="41">
        <v>17</v>
      </c>
      <c r="K303" s="41" t="s">
        <v>1255</v>
      </c>
      <c r="L303" s="41"/>
      <c r="M303" s="41" t="s">
        <v>345</v>
      </c>
      <c r="N303" s="41" t="s">
        <v>344</v>
      </c>
      <c r="O303" s="41" t="s">
        <v>344</v>
      </c>
      <c r="P303" s="41" t="s">
        <v>344</v>
      </c>
      <c r="Q303" s="41" t="s">
        <v>344</v>
      </c>
      <c r="R303" s="41"/>
      <c r="S303" s="41" t="s">
        <v>438</v>
      </c>
      <c r="T303" s="41"/>
      <c r="U303" s="41" t="s">
        <v>1270</v>
      </c>
      <c r="V303" s="41"/>
      <c r="W303" s="41" t="s">
        <v>344</v>
      </c>
      <c r="X303" s="41" t="s">
        <v>344</v>
      </c>
      <c r="Y303" s="41" t="s">
        <v>345</v>
      </c>
      <c r="Z303" s="41" t="s">
        <v>344</v>
      </c>
      <c r="AA303" s="41" t="s">
        <v>344</v>
      </c>
      <c r="AB303" s="41" t="s">
        <v>344</v>
      </c>
      <c r="AC303" s="41" t="s">
        <v>344</v>
      </c>
      <c r="AD303" s="41" t="s">
        <v>345</v>
      </c>
      <c r="AE303" s="41" t="s">
        <v>344</v>
      </c>
      <c r="AF303" s="41" t="s">
        <v>344</v>
      </c>
      <c r="AG303" s="41" t="s">
        <v>344</v>
      </c>
      <c r="AH303" s="41" t="s">
        <v>344</v>
      </c>
      <c r="AI303" s="41" t="s">
        <v>344</v>
      </c>
      <c r="AJ303" s="41" t="s">
        <v>344</v>
      </c>
      <c r="AK303" s="41" t="s">
        <v>345</v>
      </c>
      <c r="AL303" s="41" t="s">
        <v>344</v>
      </c>
      <c r="AM303" s="41" t="s">
        <v>344</v>
      </c>
      <c r="AN303" s="41" t="s">
        <v>344</v>
      </c>
      <c r="AO303" s="41" t="s">
        <v>344</v>
      </c>
      <c r="AP303" s="41" t="s">
        <v>344</v>
      </c>
      <c r="AQ303" s="41" t="s">
        <v>344</v>
      </c>
      <c r="AR303" s="41" t="s">
        <v>344</v>
      </c>
      <c r="AS303" s="41" t="s">
        <v>344</v>
      </c>
      <c r="AT303" s="41" t="s">
        <v>344</v>
      </c>
      <c r="AU303" s="41" t="s">
        <v>344</v>
      </c>
      <c r="AV303" s="41" t="s">
        <v>344</v>
      </c>
      <c r="AW303" s="41" t="s">
        <v>345</v>
      </c>
      <c r="AX303" s="41" t="s">
        <v>344</v>
      </c>
      <c r="AY303" s="41" t="s">
        <v>732</v>
      </c>
      <c r="AZ303" s="41" t="s">
        <v>732</v>
      </c>
      <c r="BA303" s="41" t="s">
        <v>732</v>
      </c>
      <c r="BB303" s="41" t="s">
        <v>732</v>
      </c>
      <c r="BC303" s="41" t="s">
        <v>733</v>
      </c>
      <c r="BD303" s="41" t="s">
        <v>391</v>
      </c>
      <c r="BE303" s="41" t="s">
        <v>390</v>
      </c>
      <c r="BF303" s="41" t="s">
        <v>348</v>
      </c>
      <c r="BG303" s="41" t="s">
        <v>390</v>
      </c>
      <c r="BH303" s="41" t="s">
        <v>390</v>
      </c>
      <c r="BI303" s="41" t="s">
        <v>349</v>
      </c>
      <c r="BJ303" s="41" t="s">
        <v>352</v>
      </c>
      <c r="BK303" s="41" t="s">
        <v>356</v>
      </c>
      <c r="BL303" s="41" t="s">
        <v>351</v>
      </c>
      <c r="BM303" s="41" t="s">
        <v>357</v>
      </c>
      <c r="BN303" s="41" t="s">
        <v>354</v>
      </c>
      <c r="BO303" s="41" t="s">
        <v>355</v>
      </c>
      <c r="BP303" s="41" t="s">
        <v>353</v>
      </c>
      <c r="BQ303" s="41" t="s">
        <v>407</v>
      </c>
      <c r="BR303" s="41" t="s">
        <v>1339</v>
      </c>
      <c r="BS303" s="41" t="s">
        <v>354</v>
      </c>
      <c r="BT303" s="41" t="s">
        <v>353</v>
      </c>
      <c r="BU303" s="41" t="s">
        <v>351</v>
      </c>
      <c r="BV303" s="41" t="s">
        <v>356</v>
      </c>
      <c r="BW303" s="41" t="s">
        <v>352</v>
      </c>
      <c r="BX303" s="41" t="s">
        <v>357</v>
      </c>
      <c r="BY303" s="41" t="s">
        <v>391</v>
      </c>
      <c r="BZ303" s="41" t="s">
        <v>352</v>
      </c>
      <c r="CA303" s="41" t="s">
        <v>354</v>
      </c>
      <c r="CB303" s="41" t="s">
        <v>356</v>
      </c>
      <c r="CC303" s="41" t="s">
        <v>351</v>
      </c>
      <c r="CD303" s="41" t="s">
        <v>353</v>
      </c>
      <c r="CE303" s="41" t="s">
        <v>355</v>
      </c>
      <c r="CF303" s="41" t="s">
        <v>357</v>
      </c>
      <c r="CG303" s="41" t="s">
        <v>420</v>
      </c>
      <c r="CH303" s="41" t="s">
        <v>420</v>
      </c>
      <c r="CI303" s="41" t="s">
        <v>393</v>
      </c>
      <c r="CJ303" s="41" t="s">
        <v>420</v>
      </c>
      <c r="CK303" s="41" t="s">
        <v>1615</v>
      </c>
      <c r="CL303" s="41" t="s">
        <v>345</v>
      </c>
      <c r="CM303" s="41" t="s">
        <v>344</v>
      </c>
      <c r="CN303" s="41" t="s">
        <v>344</v>
      </c>
      <c r="CO303" s="41" t="s">
        <v>344</v>
      </c>
      <c r="CP303" s="41" t="s">
        <v>345</v>
      </c>
      <c r="CQ303" s="41" t="s">
        <v>344</v>
      </c>
      <c r="CR303" s="41" t="s">
        <v>655</v>
      </c>
      <c r="CS303" s="41">
        <v>67</v>
      </c>
      <c r="CT303" s="41">
        <v>100</v>
      </c>
      <c r="CU303" s="41"/>
      <c r="CV303" s="41"/>
      <c r="CW303" s="41" t="s">
        <v>396</v>
      </c>
      <c r="CX303" s="41" t="s">
        <v>395</v>
      </c>
      <c r="CY303" s="41" t="s">
        <v>364</v>
      </c>
      <c r="CZ303" s="41" t="s">
        <v>365</v>
      </c>
      <c r="DA303" s="41" t="s">
        <v>365</v>
      </c>
      <c r="DB303" s="41" t="s">
        <v>365</v>
      </c>
      <c r="DC303" s="41" t="s">
        <v>365</v>
      </c>
      <c r="DD303" s="41" t="s">
        <v>423</v>
      </c>
      <c r="DE303" s="41"/>
      <c r="DF303" s="41"/>
      <c r="DG303" s="41"/>
      <c r="DH303" s="41"/>
      <c r="DI303" s="41"/>
      <c r="DJ303" s="41" t="s">
        <v>1616</v>
      </c>
      <c r="DK303" s="41" t="s">
        <v>344</v>
      </c>
      <c r="DL303" s="41" t="s">
        <v>368</v>
      </c>
      <c r="DM303" s="41" t="s">
        <v>368</v>
      </c>
      <c r="DN303" s="41" t="s">
        <v>368</v>
      </c>
      <c r="DO303" s="41" t="s">
        <v>368</v>
      </c>
      <c r="DP303" s="41" t="s">
        <v>344</v>
      </c>
      <c r="DQ303" s="41" t="s">
        <v>344</v>
      </c>
      <c r="DR303" s="41" t="s">
        <v>345</v>
      </c>
      <c r="DS303" s="41" t="s">
        <v>344</v>
      </c>
      <c r="DT303" s="41" t="s">
        <v>344</v>
      </c>
      <c r="DU303" s="41" t="s">
        <v>345</v>
      </c>
      <c r="DV303" s="41" t="s">
        <v>345</v>
      </c>
      <c r="DW303" s="41" t="s">
        <v>344</v>
      </c>
      <c r="DX303" s="41" t="s">
        <v>1258</v>
      </c>
      <c r="DY303" s="41" t="s">
        <v>1258</v>
      </c>
      <c r="DZ303" s="41" t="s">
        <v>1258</v>
      </c>
      <c r="EA303" s="41" t="s">
        <v>1258</v>
      </c>
      <c r="EB303" s="41" t="s">
        <v>1258</v>
      </c>
      <c r="EC303" s="41" t="s">
        <v>1258</v>
      </c>
      <c r="ED303" s="41" t="s">
        <v>1258</v>
      </c>
      <c r="EE303" s="41" t="s">
        <v>397</v>
      </c>
      <c r="EF303" s="41" t="s">
        <v>397</v>
      </c>
      <c r="EG303" s="41" t="s">
        <v>397</v>
      </c>
      <c r="EH303" s="41" t="s">
        <v>397</v>
      </c>
      <c r="EI303" s="41" t="s">
        <v>397</v>
      </c>
      <c r="EJ303" s="41" t="s">
        <v>397</v>
      </c>
      <c r="EK303" s="41" t="s">
        <v>397</v>
      </c>
      <c r="EL303" s="41" t="s">
        <v>1276</v>
      </c>
      <c r="EM303" s="41" t="s">
        <v>1261</v>
      </c>
      <c r="EN303" s="41" t="s">
        <v>1260</v>
      </c>
      <c r="EO303" s="41"/>
      <c r="EP303" s="41"/>
      <c r="EQ303" s="41" t="s">
        <v>1277</v>
      </c>
      <c r="ER303" s="41" t="s">
        <v>1264</v>
      </c>
      <c r="ES303" s="41" t="s">
        <v>1263</v>
      </c>
      <c r="ET303" s="41" t="s">
        <v>1278</v>
      </c>
      <c r="EU303" s="41" t="s">
        <v>1263</v>
      </c>
      <c r="EV303" s="41" t="s">
        <v>1265</v>
      </c>
      <c r="EW303" s="41"/>
      <c r="EX303" s="41" t="s">
        <v>368</v>
      </c>
      <c r="EY303" s="41" t="s">
        <v>368</v>
      </c>
      <c r="EZ303" s="41" t="s">
        <v>368</v>
      </c>
      <c r="FA303" s="41" t="s">
        <v>345</v>
      </c>
      <c r="FB303" s="41" t="s">
        <v>1266</v>
      </c>
      <c r="FC303" s="41"/>
      <c r="FD303" s="41" t="s">
        <v>1266</v>
      </c>
      <c r="FE303" s="41"/>
      <c r="FF303" s="41" t="s">
        <v>431</v>
      </c>
      <c r="FG303" s="41" t="s">
        <v>441</v>
      </c>
      <c r="FH303" s="41" t="s">
        <v>460</v>
      </c>
      <c r="FI303" s="41" t="s">
        <v>442</v>
      </c>
      <c r="FJ303" s="41"/>
      <c r="FK303" s="41"/>
      <c r="FL303" s="41"/>
      <c r="FM303" s="41"/>
      <c r="FN303" s="41"/>
      <c r="FO303" s="41"/>
      <c r="FP303" s="41"/>
      <c r="FQ303" s="41"/>
      <c r="FR303" s="41"/>
      <c r="FS303" s="41"/>
      <c r="FT303" s="41"/>
      <c r="FU303" s="41"/>
      <c r="FV303" s="41"/>
      <c r="FW303" s="41"/>
      <c r="FX303" s="41"/>
      <c r="FY303" s="41"/>
      <c r="FZ303" s="41"/>
      <c r="GA303" s="41" t="s">
        <v>368</v>
      </c>
      <c r="GB303" s="41" t="s">
        <v>368</v>
      </c>
      <c r="GC303" s="41" t="s">
        <v>368</v>
      </c>
      <c r="GD303" s="41" t="s">
        <v>368</v>
      </c>
      <c r="GE303" s="41" t="s">
        <v>368</v>
      </c>
      <c r="GF303" s="41" t="s">
        <v>368</v>
      </c>
      <c r="GG303" s="41"/>
      <c r="GH303" s="41"/>
      <c r="GI303" s="41"/>
      <c r="GJ303" s="41"/>
      <c r="GK303" s="41"/>
      <c r="GL303" s="41" t="s">
        <v>344</v>
      </c>
      <c r="GM303" s="41" t="s">
        <v>344</v>
      </c>
      <c r="GN303" s="41" t="s">
        <v>345</v>
      </c>
      <c r="GO303" s="41" t="s">
        <v>345</v>
      </c>
      <c r="GP303" s="41" t="s">
        <v>344</v>
      </c>
      <c r="GQ303" s="41" t="s">
        <v>344</v>
      </c>
      <c r="GR303" s="41" t="s">
        <v>344</v>
      </c>
      <c r="GS303" s="41" t="s">
        <v>344</v>
      </c>
      <c r="GT303" s="41" t="s">
        <v>344</v>
      </c>
      <c r="GU303" s="41" t="s">
        <v>344</v>
      </c>
      <c r="GV303" s="41" t="s">
        <v>344</v>
      </c>
      <c r="GW303" s="41" t="s">
        <v>345</v>
      </c>
      <c r="GX303" s="41" t="s">
        <v>344</v>
      </c>
      <c r="GY303" s="41" t="s">
        <v>345</v>
      </c>
      <c r="GZ303" s="41" t="s">
        <v>344</v>
      </c>
      <c r="HA303" s="41" t="s">
        <v>344</v>
      </c>
      <c r="HB303" s="41"/>
      <c r="HC303" s="41" t="s">
        <v>344</v>
      </c>
      <c r="HD303" s="41"/>
      <c r="HE303" s="41" t="s">
        <v>344</v>
      </c>
      <c r="HF303" s="41"/>
      <c r="HG303" s="41" t="s">
        <v>344</v>
      </c>
      <c r="HH303" s="41"/>
      <c r="HI303" s="41" t="s">
        <v>344</v>
      </c>
      <c r="HJ303" s="41"/>
      <c r="HK303" s="41" t="s">
        <v>344</v>
      </c>
      <c r="HL303" s="41" t="s">
        <v>344</v>
      </c>
      <c r="HM303" s="41" t="s">
        <v>344</v>
      </c>
      <c r="HN303" s="41" t="s">
        <v>344</v>
      </c>
      <c r="HO303" s="41" t="s">
        <v>344</v>
      </c>
      <c r="HP303" s="41" t="s">
        <v>344</v>
      </c>
      <c r="HQ303" s="41" t="s">
        <v>344</v>
      </c>
      <c r="HR303" s="41" t="s">
        <v>344</v>
      </c>
      <c r="HS303" s="41" t="s">
        <v>344</v>
      </c>
      <c r="HT303" s="41" t="s">
        <v>345</v>
      </c>
      <c r="HU303" s="41" t="s">
        <v>345</v>
      </c>
      <c r="HV303" s="41" t="s">
        <v>344</v>
      </c>
      <c r="HW303" s="41" t="s">
        <v>345</v>
      </c>
      <c r="HX303" s="41" t="s">
        <v>344</v>
      </c>
      <c r="HY303" s="41" t="s">
        <v>344</v>
      </c>
      <c r="HZ303" s="41" t="s">
        <v>344</v>
      </c>
      <c r="IA303" s="41" t="s">
        <v>344</v>
      </c>
      <c r="IB303" s="41" t="s">
        <v>344</v>
      </c>
      <c r="IC303" s="41" t="s">
        <v>344</v>
      </c>
      <c r="ID303" s="41"/>
      <c r="IE303" s="41" t="s">
        <v>344</v>
      </c>
      <c r="IF303" s="41"/>
      <c r="IG303" s="41" t="s">
        <v>344</v>
      </c>
      <c r="IH303" s="41"/>
      <c r="II303" s="41" t="s">
        <v>344</v>
      </c>
      <c r="IJ303" s="41"/>
      <c r="IK303" s="41" t="s">
        <v>344</v>
      </c>
      <c r="IL303" s="41"/>
      <c r="IM303" s="41" t="s">
        <v>345</v>
      </c>
      <c r="IN303" s="41" t="s">
        <v>345</v>
      </c>
      <c r="IO303" s="41" t="s">
        <v>345</v>
      </c>
      <c r="IP303" s="41" t="s">
        <v>344</v>
      </c>
      <c r="IQ303" s="41" t="s">
        <v>345</v>
      </c>
      <c r="IR303" s="41" t="s">
        <v>344</v>
      </c>
      <c r="IS303" s="41" t="s">
        <v>344</v>
      </c>
      <c r="IT303" s="41" t="s">
        <v>345</v>
      </c>
      <c r="IU303" s="41" t="s">
        <v>345</v>
      </c>
      <c r="IV303" s="41" t="s">
        <v>344</v>
      </c>
      <c r="IW303" s="41" t="s">
        <v>345</v>
      </c>
      <c r="IX303" s="41" t="s">
        <v>344</v>
      </c>
      <c r="IY303" s="41" t="s">
        <v>345</v>
      </c>
      <c r="IZ303" s="41" t="s">
        <v>344</v>
      </c>
      <c r="JA303" s="41"/>
      <c r="JB303" s="41"/>
    </row>
    <row r="304" spans="1:262" x14ac:dyDescent="0.3">
      <c r="A304" s="40" t="s">
        <v>813</v>
      </c>
      <c r="B304" s="41">
        <v>280</v>
      </c>
      <c r="C304" s="41" t="s">
        <v>1617</v>
      </c>
      <c r="D304" s="41">
        <v>14</v>
      </c>
      <c r="E304" s="41" t="s">
        <v>340</v>
      </c>
      <c r="F304" s="41">
        <v>1804767082</v>
      </c>
      <c r="G304" s="41" t="s">
        <v>1614</v>
      </c>
      <c r="H304" s="41" t="s">
        <v>1617</v>
      </c>
      <c r="I304" s="41" t="s">
        <v>1593</v>
      </c>
      <c r="J304" s="41">
        <v>16</v>
      </c>
      <c r="K304" s="41" t="s">
        <v>1255</v>
      </c>
      <c r="L304" s="41"/>
      <c r="M304" s="41" t="s">
        <v>345</v>
      </c>
      <c r="N304" s="41" t="s">
        <v>345</v>
      </c>
      <c r="O304" s="41" t="s">
        <v>344</v>
      </c>
      <c r="P304" s="41" t="s">
        <v>344</v>
      </c>
      <c r="Q304" s="41" t="s">
        <v>344</v>
      </c>
      <c r="R304" s="41"/>
      <c r="S304" s="41" t="s">
        <v>522</v>
      </c>
      <c r="T304" s="41"/>
      <c r="U304" s="41" t="s">
        <v>1457</v>
      </c>
      <c r="V304" s="41"/>
      <c r="W304" s="41" t="s">
        <v>345</v>
      </c>
      <c r="X304" s="41" t="s">
        <v>345</v>
      </c>
      <c r="Y304" s="41" t="s">
        <v>344</v>
      </c>
      <c r="Z304" s="41" t="s">
        <v>344</v>
      </c>
      <c r="AA304" s="41" t="s">
        <v>345</v>
      </c>
      <c r="AB304" s="41" t="s">
        <v>344</v>
      </c>
      <c r="AC304" s="41" t="s">
        <v>344</v>
      </c>
      <c r="AD304" s="41" t="s">
        <v>345</v>
      </c>
      <c r="AE304" s="41" t="s">
        <v>345</v>
      </c>
      <c r="AF304" s="41" t="s">
        <v>344</v>
      </c>
      <c r="AG304" s="41" t="s">
        <v>344</v>
      </c>
      <c r="AH304" s="41" t="s">
        <v>345</v>
      </c>
      <c r="AI304" s="41" t="s">
        <v>344</v>
      </c>
      <c r="AJ304" s="41" t="s">
        <v>344</v>
      </c>
      <c r="AK304" s="41" t="s">
        <v>344</v>
      </c>
      <c r="AL304" s="41" t="s">
        <v>344</v>
      </c>
      <c r="AM304" s="41" t="s">
        <v>345</v>
      </c>
      <c r="AN304" s="41" t="s">
        <v>344</v>
      </c>
      <c r="AO304" s="41" t="s">
        <v>345</v>
      </c>
      <c r="AP304" s="41" t="s">
        <v>344</v>
      </c>
      <c r="AQ304" s="41" t="s">
        <v>344</v>
      </c>
      <c r="AR304" s="41" t="s">
        <v>345</v>
      </c>
      <c r="AS304" s="41" t="s">
        <v>344</v>
      </c>
      <c r="AT304" s="41" t="s">
        <v>345</v>
      </c>
      <c r="AU304" s="41" t="s">
        <v>345</v>
      </c>
      <c r="AV304" s="41" t="s">
        <v>345</v>
      </c>
      <c r="AW304" s="41" t="s">
        <v>344</v>
      </c>
      <c r="AX304" s="41" t="s">
        <v>344</v>
      </c>
      <c r="AY304" s="41" t="s">
        <v>391</v>
      </c>
      <c r="AZ304" s="41" t="s">
        <v>391</v>
      </c>
      <c r="BA304" s="41" t="s">
        <v>391</v>
      </c>
      <c r="BB304" s="41" t="s">
        <v>391</v>
      </c>
      <c r="BC304" s="41" t="s">
        <v>391</v>
      </c>
      <c r="BD304" s="41" t="s">
        <v>391</v>
      </c>
      <c r="BE304" s="41" t="s">
        <v>390</v>
      </c>
      <c r="BF304" s="41" t="s">
        <v>348</v>
      </c>
      <c r="BG304" s="41" t="s">
        <v>390</v>
      </c>
      <c r="BH304" s="41" t="s">
        <v>349</v>
      </c>
      <c r="BI304" s="41" t="s">
        <v>390</v>
      </c>
      <c r="BJ304" s="41" t="s">
        <v>354</v>
      </c>
      <c r="BK304" s="41" t="s">
        <v>391</v>
      </c>
      <c r="BL304" s="41" t="s">
        <v>351</v>
      </c>
      <c r="BM304" s="41" t="s">
        <v>356</v>
      </c>
      <c r="BN304" s="41" t="s">
        <v>356</v>
      </c>
      <c r="BO304" s="41" t="s">
        <v>354</v>
      </c>
      <c r="BP304" s="41" t="s">
        <v>354</v>
      </c>
      <c r="BQ304" s="41" t="s">
        <v>455</v>
      </c>
      <c r="BR304" s="41" t="s">
        <v>1339</v>
      </c>
      <c r="BS304" s="41" t="s">
        <v>354</v>
      </c>
      <c r="BT304" s="41" t="s">
        <v>351</v>
      </c>
      <c r="BU304" s="41" t="s">
        <v>354</v>
      </c>
      <c r="BV304" s="41" t="s">
        <v>356</v>
      </c>
      <c r="BW304" s="41" t="s">
        <v>356</v>
      </c>
      <c r="BX304" s="41" t="s">
        <v>357</v>
      </c>
      <c r="BY304" s="41" t="s">
        <v>356</v>
      </c>
      <c r="BZ304" s="41" t="s">
        <v>356</v>
      </c>
      <c r="CA304" s="41" t="s">
        <v>357</v>
      </c>
      <c r="CB304" s="41" t="s">
        <v>353</v>
      </c>
      <c r="CC304" s="41" t="s">
        <v>351</v>
      </c>
      <c r="CD304" s="41" t="s">
        <v>355</v>
      </c>
      <c r="CE304" s="41" t="s">
        <v>353</v>
      </c>
      <c r="CF304" s="41" t="s">
        <v>357</v>
      </c>
      <c r="CG304" s="41" t="s">
        <v>360</v>
      </c>
      <c r="CH304" s="41" t="s">
        <v>421</v>
      </c>
      <c r="CI304" s="41" t="s">
        <v>420</v>
      </c>
      <c r="CJ304" s="41" t="s">
        <v>393</v>
      </c>
      <c r="CK304" s="41" t="s">
        <v>1618</v>
      </c>
      <c r="CL304" s="41" t="s">
        <v>344</v>
      </c>
      <c r="CM304" s="41" t="s">
        <v>344</v>
      </c>
      <c r="CN304" s="41" t="s">
        <v>344</v>
      </c>
      <c r="CO304" s="41" t="s">
        <v>344</v>
      </c>
      <c r="CP304" s="41" t="s">
        <v>345</v>
      </c>
      <c r="CQ304" s="41" t="s">
        <v>344</v>
      </c>
      <c r="CR304" s="41" t="s">
        <v>655</v>
      </c>
      <c r="CS304" s="41">
        <v>30</v>
      </c>
      <c r="CT304" s="41">
        <v>60</v>
      </c>
      <c r="CU304" s="41">
        <v>80</v>
      </c>
      <c r="CV304" s="41">
        <v>80</v>
      </c>
      <c r="CW304" s="41" t="s">
        <v>363</v>
      </c>
      <c r="CX304" s="41" t="s">
        <v>396</v>
      </c>
      <c r="CY304" s="41" t="s">
        <v>396</v>
      </c>
      <c r="CZ304" s="41" t="s">
        <v>397</v>
      </c>
      <c r="DA304" s="41" t="s">
        <v>397</v>
      </c>
      <c r="DB304" s="41" t="s">
        <v>397</v>
      </c>
      <c r="DC304" s="41" t="s">
        <v>397</v>
      </c>
      <c r="DD304" s="41" t="s">
        <v>397</v>
      </c>
      <c r="DE304" s="41" t="s">
        <v>397</v>
      </c>
      <c r="DF304" s="41" t="s">
        <v>397</v>
      </c>
      <c r="DG304" s="41" t="s">
        <v>397</v>
      </c>
      <c r="DH304" s="41" t="s">
        <v>397</v>
      </c>
      <c r="DI304" s="41" t="s">
        <v>397</v>
      </c>
      <c r="DJ304" s="41"/>
      <c r="DK304" s="41" t="s">
        <v>344</v>
      </c>
      <c r="DL304" s="41" t="s">
        <v>368</v>
      </c>
      <c r="DM304" s="41" t="s">
        <v>368</v>
      </c>
      <c r="DN304" s="41" t="s">
        <v>368</v>
      </c>
      <c r="DO304" s="41" t="s">
        <v>368</v>
      </c>
      <c r="DP304" s="41" t="s">
        <v>368</v>
      </c>
      <c r="DQ304" s="41" t="s">
        <v>368</v>
      </c>
      <c r="DR304" s="41" t="s">
        <v>368</v>
      </c>
      <c r="DS304" s="41" t="s">
        <v>345</v>
      </c>
      <c r="DT304" s="41" t="s">
        <v>368</v>
      </c>
      <c r="DU304" s="41" t="s">
        <v>368</v>
      </c>
      <c r="DV304" s="41" t="s">
        <v>368</v>
      </c>
      <c r="DW304" s="41" t="s">
        <v>345</v>
      </c>
      <c r="DX304" s="41" t="s">
        <v>397</v>
      </c>
      <c r="DY304" s="41" t="s">
        <v>397</v>
      </c>
      <c r="DZ304" s="41" t="s">
        <v>397</v>
      </c>
      <c r="EA304" s="41" t="s">
        <v>1273</v>
      </c>
      <c r="EB304" s="41" t="s">
        <v>397</v>
      </c>
      <c r="EC304" s="41" t="s">
        <v>397</v>
      </c>
      <c r="ED304" s="41" t="s">
        <v>397</v>
      </c>
      <c r="EE304" s="41" t="s">
        <v>1258</v>
      </c>
      <c r="EF304" s="41" t="s">
        <v>1258</v>
      </c>
      <c r="EG304" s="41" t="s">
        <v>1258</v>
      </c>
      <c r="EH304" s="41" t="s">
        <v>1258</v>
      </c>
      <c r="EI304" s="41" t="s">
        <v>1258</v>
      </c>
      <c r="EJ304" s="41" t="s">
        <v>1258</v>
      </c>
      <c r="EK304" s="41" t="s">
        <v>1258</v>
      </c>
      <c r="EL304" s="41" t="s">
        <v>1276</v>
      </c>
      <c r="EM304" s="41" t="s">
        <v>1261</v>
      </c>
      <c r="EN304" s="41" t="s">
        <v>1260</v>
      </c>
      <c r="EO304" s="41"/>
      <c r="EP304" s="41"/>
      <c r="EQ304" s="41" t="s">
        <v>1264</v>
      </c>
      <c r="ER304" s="41" t="s">
        <v>1277</v>
      </c>
      <c r="ES304" s="41" t="s">
        <v>1263</v>
      </c>
      <c r="ET304" s="41" t="s">
        <v>1264</v>
      </c>
      <c r="EU304" s="41" t="s">
        <v>1277</v>
      </c>
      <c r="EV304" s="41" t="s">
        <v>1265</v>
      </c>
      <c r="EW304" s="41"/>
      <c r="EX304" s="171" t="s">
        <v>345</v>
      </c>
      <c r="EY304" s="171" t="s">
        <v>344</v>
      </c>
      <c r="EZ304" s="171" t="s">
        <v>344</v>
      </c>
      <c r="FA304" s="171" t="s">
        <v>344</v>
      </c>
      <c r="FB304" s="41" t="s">
        <v>1300</v>
      </c>
      <c r="FC304" s="41"/>
      <c r="FD304" s="41" t="s">
        <v>1321</v>
      </c>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t="s">
        <v>368</v>
      </c>
      <c r="GB304" s="41" t="s">
        <v>368</v>
      </c>
      <c r="GC304" s="41" t="s">
        <v>368</v>
      </c>
      <c r="GD304" s="41" t="s">
        <v>368</v>
      </c>
      <c r="GE304" s="41" t="s">
        <v>368</v>
      </c>
      <c r="GF304" s="41" t="s">
        <v>368</v>
      </c>
      <c r="GG304" s="41"/>
      <c r="GH304" s="41"/>
      <c r="GI304" s="41"/>
      <c r="GJ304" s="41"/>
      <c r="GK304" s="41"/>
      <c r="GL304" s="41" t="s">
        <v>344</v>
      </c>
      <c r="GM304" s="41" t="s">
        <v>344</v>
      </c>
      <c r="GN304" s="41" t="s">
        <v>344</v>
      </c>
      <c r="GO304" s="41" t="s">
        <v>344</v>
      </c>
      <c r="GP304" s="41" t="s">
        <v>344</v>
      </c>
      <c r="GQ304" s="41" t="s">
        <v>344</v>
      </c>
      <c r="GR304" s="41" t="s">
        <v>344</v>
      </c>
      <c r="GS304" s="41" t="s">
        <v>344</v>
      </c>
      <c r="GT304" s="41" t="s">
        <v>344</v>
      </c>
      <c r="GU304" s="41" t="s">
        <v>344</v>
      </c>
      <c r="GV304" s="41" t="s">
        <v>344</v>
      </c>
      <c r="GW304" s="41" t="s">
        <v>344</v>
      </c>
      <c r="GX304" s="41" t="s">
        <v>344</v>
      </c>
      <c r="GY304" s="41" t="s">
        <v>344</v>
      </c>
      <c r="GZ304" s="41" t="s">
        <v>344</v>
      </c>
      <c r="HA304" s="41" t="s">
        <v>345</v>
      </c>
      <c r="HB304" s="41"/>
      <c r="HC304" s="41" t="s">
        <v>344</v>
      </c>
      <c r="HD304" s="41"/>
      <c r="HE304" s="41" t="s">
        <v>344</v>
      </c>
      <c r="HF304" s="41"/>
      <c r="HG304" s="41" t="s">
        <v>344</v>
      </c>
      <c r="HH304" s="41"/>
      <c r="HI304" s="41" t="s">
        <v>344</v>
      </c>
      <c r="HJ304" s="41"/>
      <c r="HK304" s="41" t="s">
        <v>344</v>
      </c>
      <c r="HL304" s="41" t="s">
        <v>344</v>
      </c>
      <c r="HM304" s="41" t="s">
        <v>344</v>
      </c>
      <c r="HN304" s="41" t="s">
        <v>344</v>
      </c>
      <c r="HO304" s="41" t="s">
        <v>344</v>
      </c>
      <c r="HP304" s="41" t="s">
        <v>344</v>
      </c>
      <c r="HQ304" s="41" t="s">
        <v>344</v>
      </c>
      <c r="HR304" s="41" t="s">
        <v>344</v>
      </c>
      <c r="HS304" s="41" t="s">
        <v>344</v>
      </c>
      <c r="HT304" s="41" t="s">
        <v>344</v>
      </c>
      <c r="HU304" s="41" t="s">
        <v>344</v>
      </c>
      <c r="HV304" s="41" t="s">
        <v>344</v>
      </c>
      <c r="HW304" s="41" t="s">
        <v>344</v>
      </c>
      <c r="HX304" s="41" t="s">
        <v>345</v>
      </c>
      <c r="HY304" s="41" t="s">
        <v>344</v>
      </c>
      <c r="HZ304" s="41" t="s">
        <v>344</v>
      </c>
      <c r="IA304" s="41" t="s">
        <v>344</v>
      </c>
      <c r="IB304" s="41" t="s">
        <v>345</v>
      </c>
      <c r="IC304" s="41" t="s">
        <v>344</v>
      </c>
      <c r="ID304" s="41"/>
      <c r="IE304" s="41" t="s">
        <v>344</v>
      </c>
      <c r="IF304" s="41"/>
      <c r="IG304" s="41" t="s">
        <v>344</v>
      </c>
      <c r="IH304" s="41"/>
      <c r="II304" s="41" t="s">
        <v>344</v>
      </c>
      <c r="IJ304" s="41"/>
      <c r="IK304" s="41" t="s">
        <v>344</v>
      </c>
      <c r="IL304" s="41"/>
      <c r="IM304" s="41" t="s">
        <v>345</v>
      </c>
      <c r="IN304" s="41" t="s">
        <v>345</v>
      </c>
      <c r="IO304" s="41" t="s">
        <v>344</v>
      </c>
      <c r="IP304" s="41" t="s">
        <v>345</v>
      </c>
      <c r="IQ304" s="41" t="s">
        <v>345</v>
      </c>
      <c r="IR304" s="41" t="s">
        <v>345</v>
      </c>
      <c r="IS304" s="41" t="s">
        <v>344</v>
      </c>
      <c r="IT304" s="41" t="s">
        <v>345</v>
      </c>
      <c r="IU304" s="41" t="s">
        <v>344</v>
      </c>
      <c r="IV304" s="41" t="s">
        <v>344</v>
      </c>
      <c r="IW304" s="41" t="s">
        <v>344</v>
      </c>
      <c r="IX304" s="41" t="s">
        <v>344</v>
      </c>
      <c r="IY304" s="41" t="s">
        <v>345</v>
      </c>
      <c r="IZ304" s="41" t="s">
        <v>344</v>
      </c>
      <c r="JA304" s="41"/>
      <c r="JB304" s="41" t="s">
        <v>1619</v>
      </c>
    </row>
    <row r="305" spans="1:262" x14ac:dyDescent="0.3">
      <c r="A305" s="40" t="s">
        <v>813</v>
      </c>
      <c r="B305" s="41">
        <v>281</v>
      </c>
      <c r="C305" s="41" t="s">
        <v>1620</v>
      </c>
      <c r="D305" s="41">
        <v>14</v>
      </c>
      <c r="E305" s="41" t="s">
        <v>340</v>
      </c>
      <c r="F305" s="41">
        <v>1966316352</v>
      </c>
      <c r="G305" s="41" t="s">
        <v>1621</v>
      </c>
      <c r="H305" s="41" t="s">
        <v>1620</v>
      </c>
      <c r="I305" s="41" t="s">
        <v>1593</v>
      </c>
      <c r="J305" s="41">
        <v>16</v>
      </c>
      <c r="K305" s="41" t="s">
        <v>1282</v>
      </c>
      <c r="L305" s="41"/>
      <c r="M305" s="41" t="s">
        <v>345</v>
      </c>
      <c r="N305" s="41" t="s">
        <v>345</v>
      </c>
      <c r="O305" s="41" t="s">
        <v>344</v>
      </c>
      <c r="P305" s="41" t="s">
        <v>344</v>
      </c>
      <c r="Q305" s="41" t="s">
        <v>344</v>
      </c>
      <c r="R305" s="41"/>
      <c r="S305" s="41" t="s">
        <v>522</v>
      </c>
      <c r="T305" s="41"/>
      <c r="U305" s="41" t="s">
        <v>1457</v>
      </c>
      <c r="V305" s="41"/>
      <c r="W305" s="41" t="s">
        <v>368</v>
      </c>
      <c r="X305" s="41" t="s">
        <v>368</v>
      </c>
      <c r="Y305" s="41" t="s">
        <v>368</v>
      </c>
      <c r="Z305" s="41" t="s">
        <v>368</v>
      </c>
      <c r="AA305" s="41" t="s">
        <v>368</v>
      </c>
      <c r="AB305" s="41" t="s">
        <v>368</v>
      </c>
      <c r="AC305" s="41" t="s">
        <v>345</v>
      </c>
      <c r="AD305" s="41" t="s">
        <v>344</v>
      </c>
      <c r="AE305" s="41" t="s">
        <v>344</v>
      </c>
      <c r="AF305" s="41" t="s">
        <v>344</v>
      </c>
      <c r="AG305" s="41" t="s">
        <v>344</v>
      </c>
      <c r="AH305" s="41" t="s">
        <v>345</v>
      </c>
      <c r="AI305" s="41" t="s">
        <v>344</v>
      </c>
      <c r="AJ305" s="41" t="s">
        <v>344</v>
      </c>
      <c r="AK305" s="41" t="s">
        <v>344</v>
      </c>
      <c r="AL305" s="41" t="s">
        <v>344</v>
      </c>
      <c r="AM305" s="41" t="s">
        <v>344</v>
      </c>
      <c r="AN305" s="41" t="s">
        <v>344</v>
      </c>
      <c r="AO305" s="41" t="s">
        <v>345</v>
      </c>
      <c r="AP305" s="41" t="s">
        <v>344</v>
      </c>
      <c r="AQ305" s="41" t="s">
        <v>344</v>
      </c>
      <c r="AR305" s="41" t="s">
        <v>368</v>
      </c>
      <c r="AS305" s="41" t="s">
        <v>368</v>
      </c>
      <c r="AT305" s="41" t="s">
        <v>368</v>
      </c>
      <c r="AU305" s="41" t="s">
        <v>368</v>
      </c>
      <c r="AV305" s="41" t="s">
        <v>368</v>
      </c>
      <c r="AW305" s="41" t="s">
        <v>368</v>
      </c>
      <c r="AX305" s="41" t="s">
        <v>345</v>
      </c>
      <c r="AY305" s="41" t="s">
        <v>731</v>
      </c>
      <c r="AZ305" s="41" t="s">
        <v>733</v>
      </c>
      <c r="BA305" s="34"/>
      <c r="BB305" s="34"/>
      <c r="BC305" s="41" t="s">
        <v>733</v>
      </c>
      <c r="BD305" s="41" t="s">
        <v>391</v>
      </c>
      <c r="BE305" s="41" t="s">
        <v>349</v>
      </c>
      <c r="BF305" s="41" t="s">
        <v>348</v>
      </c>
      <c r="BG305" s="41" t="s">
        <v>390</v>
      </c>
      <c r="BH305" s="41" t="s">
        <v>717</v>
      </c>
      <c r="BI305" s="41" t="s">
        <v>348</v>
      </c>
      <c r="BJ305" s="41" t="s">
        <v>356</v>
      </c>
      <c r="BK305" s="41" t="s">
        <v>352</v>
      </c>
      <c r="BL305" s="41" t="s">
        <v>352</v>
      </c>
      <c r="BM305" s="41" t="s">
        <v>353</v>
      </c>
      <c r="BN305" s="41" t="s">
        <v>353</v>
      </c>
      <c r="BO305" s="41" t="s">
        <v>352</v>
      </c>
      <c r="BP305" s="41" t="s">
        <v>391</v>
      </c>
      <c r="BQ305" s="41" t="s">
        <v>455</v>
      </c>
      <c r="BR305" s="41" t="s">
        <v>1296</v>
      </c>
      <c r="BS305" s="41" t="s">
        <v>352</v>
      </c>
      <c r="BT305" s="41" t="s">
        <v>353</v>
      </c>
      <c r="BU305" s="41" t="s">
        <v>356</v>
      </c>
      <c r="BV305" s="41" t="s">
        <v>352</v>
      </c>
      <c r="BW305" s="41" t="s">
        <v>353</v>
      </c>
      <c r="BX305" s="41" t="s">
        <v>353</v>
      </c>
      <c r="BY305" s="41" t="s">
        <v>353</v>
      </c>
      <c r="BZ305" s="41" t="s">
        <v>352</v>
      </c>
      <c r="CA305" s="41" t="s">
        <v>356</v>
      </c>
      <c r="CB305" s="41" t="s">
        <v>351</v>
      </c>
      <c r="CC305" s="41" t="s">
        <v>353</v>
      </c>
      <c r="CD305" s="41" t="s">
        <v>354</v>
      </c>
      <c r="CE305" s="41" t="s">
        <v>353</v>
      </c>
      <c r="CF305" s="41" t="s">
        <v>391</v>
      </c>
      <c r="CG305" s="41" t="s">
        <v>420</v>
      </c>
      <c r="CH305" s="41" t="s">
        <v>421</v>
      </c>
      <c r="CI305" s="41" t="s">
        <v>420</v>
      </c>
      <c r="CJ305" s="41" t="s">
        <v>392</v>
      </c>
      <c r="CK305" s="41" t="s">
        <v>510</v>
      </c>
      <c r="CL305" s="41" t="s">
        <v>344</v>
      </c>
      <c r="CM305" s="41" t="s">
        <v>344</v>
      </c>
      <c r="CN305" s="41" t="s">
        <v>344</v>
      </c>
      <c r="CO305" s="41" t="s">
        <v>344</v>
      </c>
      <c r="CP305" s="41" t="s">
        <v>345</v>
      </c>
      <c r="CQ305" s="41" t="s">
        <v>344</v>
      </c>
      <c r="CR305" s="41" t="s">
        <v>667</v>
      </c>
      <c r="CS305" s="41">
        <v>60</v>
      </c>
      <c r="CT305" s="41">
        <v>30</v>
      </c>
      <c r="CU305" s="41">
        <v>100</v>
      </c>
      <c r="CV305" s="41">
        <v>1</v>
      </c>
      <c r="CW305" s="41" t="s">
        <v>363</v>
      </c>
      <c r="CX305" s="41" t="s">
        <v>396</v>
      </c>
      <c r="CY305" s="41" t="s">
        <v>396</v>
      </c>
      <c r="CZ305" s="41" t="s">
        <v>397</v>
      </c>
      <c r="DA305" s="41" t="s">
        <v>397</v>
      </c>
      <c r="DB305" s="41" t="s">
        <v>397</v>
      </c>
      <c r="DC305" s="41" t="s">
        <v>397</v>
      </c>
      <c r="DD305" s="41" t="s">
        <v>397</v>
      </c>
      <c r="DE305" s="41" t="s">
        <v>397</v>
      </c>
      <c r="DF305" s="41" t="s">
        <v>397</v>
      </c>
      <c r="DG305" s="41" t="s">
        <v>397</v>
      </c>
      <c r="DH305" s="41" t="s">
        <v>397</v>
      </c>
      <c r="DI305" s="41" t="s">
        <v>397</v>
      </c>
      <c r="DJ305" s="41"/>
      <c r="DK305" s="41" t="s">
        <v>344</v>
      </c>
      <c r="DL305" s="41" t="s">
        <v>368</v>
      </c>
      <c r="DM305" s="41" t="s">
        <v>368</v>
      </c>
      <c r="DN305" s="41" t="s">
        <v>368</v>
      </c>
      <c r="DO305" s="41" t="s">
        <v>368</v>
      </c>
      <c r="DP305" s="41" t="s">
        <v>345</v>
      </c>
      <c r="DQ305" s="41" t="s">
        <v>344</v>
      </c>
      <c r="DR305" s="41" t="s">
        <v>344</v>
      </c>
      <c r="DS305" s="41" t="s">
        <v>344</v>
      </c>
      <c r="DT305" s="41" t="s">
        <v>344</v>
      </c>
      <c r="DU305" s="41" t="s">
        <v>345</v>
      </c>
      <c r="DV305" s="41" t="s">
        <v>344</v>
      </c>
      <c r="DW305" s="41" t="s">
        <v>344</v>
      </c>
      <c r="DX305" s="41" t="s">
        <v>397</v>
      </c>
      <c r="DY305" s="41" t="s">
        <v>1258</v>
      </c>
      <c r="DZ305" s="41" t="s">
        <v>1258</v>
      </c>
      <c r="EA305" s="41" t="s">
        <v>1272</v>
      </c>
      <c r="EB305" s="41" t="s">
        <v>1258</v>
      </c>
      <c r="EC305" s="41" t="s">
        <v>1274</v>
      </c>
      <c r="ED305" s="41" t="s">
        <v>1272</v>
      </c>
      <c r="EE305" s="41" t="s">
        <v>1258</v>
      </c>
      <c r="EF305" s="41" t="s">
        <v>1258</v>
      </c>
      <c r="EG305" s="41" t="s">
        <v>1258</v>
      </c>
      <c r="EH305" s="41" t="s">
        <v>1258</v>
      </c>
      <c r="EI305" s="41" t="s">
        <v>1258</v>
      </c>
      <c r="EJ305" s="41" t="s">
        <v>1258</v>
      </c>
      <c r="EK305" s="41" t="s">
        <v>1258</v>
      </c>
      <c r="EL305" s="41" t="s">
        <v>1260</v>
      </c>
      <c r="EM305" s="41" t="s">
        <v>1276</v>
      </c>
      <c r="EN305" s="41" t="s">
        <v>1259</v>
      </c>
      <c r="EO305" s="41"/>
      <c r="EP305" s="41"/>
      <c r="EQ305" s="41" t="s">
        <v>1264</v>
      </c>
      <c r="ER305" s="41" t="s">
        <v>1263</v>
      </c>
      <c r="ES305" s="41" t="s">
        <v>1262</v>
      </c>
      <c r="ET305" s="41" t="s">
        <v>1264</v>
      </c>
      <c r="EU305" s="41" t="s">
        <v>717</v>
      </c>
      <c r="EV305" s="41" t="s">
        <v>1265</v>
      </c>
      <c r="EW305" s="41"/>
      <c r="EX305" s="171" t="s">
        <v>368</v>
      </c>
      <c r="EY305" s="171" t="s">
        <v>368</v>
      </c>
      <c r="EZ305" s="171" t="s">
        <v>368</v>
      </c>
      <c r="FA305" s="171" t="s">
        <v>345</v>
      </c>
      <c r="FB305" s="41" t="s">
        <v>1300</v>
      </c>
      <c r="FC305" s="41"/>
      <c r="FD305" s="41" t="s">
        <v>1266</v>
      </c>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t="s">
        <v>368</v>
      </c>
      <c r="GB305" s="41" t="s">
        <v>368</v>
      </c>
      <c r="GC305" s="41" t="s">
        <v>368</v>
      </c>
      <c r="GD305" s="41" t="s">
        <v>368</v>
      </c>
      <c r="GE305" s="41" t="s">
        <v>368</v>
      </c>
      <c r="GF305" s="41" t="s">
        <v>368</v>
      </c>
      <c r="GG305" s="41"/>
      <c r="GH305" s="41"/>
      <c r="GI305" s="41"/>
      <c r="GJ305" s="41"/>
      <c r="GK305" s="41"/>
      <c r="GL305" s="41" t="s">
        <v>344</v>
      </c>
      <c r="GM305" s="41" t="s">
        <v>344</v>
      </c>
      <c r="GN305" s="41" t="s">
        <v>344</v>
      </c>
      <c r="GO305" s="41" t="s">
        <v>344</v>
      </c>
      <c r="GP305" s="41" t="s">
        <v>344</v>
      </c>
      <c r="GQ305" s="41" t="s">
        <v>344</v>
      </c>
      <c r="GR305" s="41" t="s">
        <v>344</v>
      </c>
      <c r="GS305" s="41" t="s">
        <v>344</v>
      </c>
      <c r="GT305" s="41" t="s">
        <v>344</v>
      </c>
      <c r="GU305" s="41" t="s">
        <v>344</v>
      </c>
      <c r="GV305" s="41" t="s">
        <v>344</v>
      </c>
      <c r="GW305" s="41" t="s">
        <v>344</v>
      </c>
      <c r="GX305" s="41" t="s">
        <v>344</v>
      </c>
      <c r="GY305" s="41" t="s">
        <v>344</v>
      </c>
      <c r="GZ305" s="41" t="s">
        <v>344</v>
      </c>
      <c r="HA305" s="41" t="s">
        <v>344</v>
      </c>
      <c r="HB305" s="41" t="s">
        <v>1622</v>
      </c>
      <c r="HC305" s="41" t="s">
        <v>345</v>
      </c>
      <c r="HD305" s="41" t="s">
        <v>1623</v>
      </c>
      <c r="HE305" s="41" t="s">
        <v>345</v>
      </c>
      <c r="HF305" s="41" t="s">
        <v>1622</v>
      </c>
      <c r="HG305" s="41" t="s">
        <v>344</v>
      </c>
      <c r="HH305" s="41"/>
      <c r="HI305" s="41" t="s">
        <v>344</v>
      </c>
      <c r="HJ305" s="41"/>
      <c r="HK305" s="41" t="s">
        <v>344</v>
      </c>
      <c r="HL305" s="41" t="s">
        <v>344</v>
      </c>
      <c r="HM305" s="41" t="s">
        <v>344</v>
      </c>
      <c r="HN305" s="41" t="s">
        <v>344</v>
      </c>
      <c r="HO305" s="41" t="s">
        <v>344</v>
      </c>
      <c r="HP305" s="41" t="s">
        <v>344</v>
      </c>
      <c r="HQ305" s="41" t="s">
        <v>344</v>
      </c>
      <c r="HR305" s="41" t="s">
        <v>344</v>
      </c>
      <c r="HS305" s="41" t="s">
        <v>344</v>
      </c>
      <c r="HT305" s="41" t="s">
        <v>344</v>
      </c>
      <c r="HU305" s="41" t="s">
        <v>344</v>
      </c>
      <c r="HV305" s="41" t="s">
        <v>344</v>
      </c>
      <c r="HW305" s="41" t="s">
        <v>344</v>
      </c>
      <c r="HX305" s="41" t="s">
        <v>344</v>
      </c>
      <c r="HY305" s="41" t="s">
        <v>344</v>
      </c>
      <c r="HZ305" s="41" t="s">
        <v>344</v>
      </c>
      <c r="IA305" s="41" t="s">
        <v>344</v>
      </c>
      <c r="IB305" s="41" t="s">
        <v>344</v>
      </c>
      <c r="IC305" s="41" t="s">
        <v>345</v>
      </c>
      <c r="ID305" s="41" t="s">
        <v>1624</v>
      </c>
      <c r="IE305" s="41" t="s">
        <v>344</v>
      </c>
      <c r="IF305" s="41"/>
      <c r="IG305" s="41" t="s">
        <v>344</v>
      </c>
      <c r="IH305" s="41"/>
      <c r="II305" s="41" t="s">
        <v>344</v>
      </c>
      <c r="IJ305" s="41"/>
      <c r="IK305" s="41" t="s">
        <v>344</v>
      </c>
      <c r="IL305" s="41"/>
      <c r="IM305" s="41" t="s">
        <v>344</v>
      </c>
      <c r="IN305" s="41" t="s">
        <v>344</v>
      </c>
      <c r="IO305" s="41" t="s">
        <v>344</v>
      </c>
      <c r="IP305" s="41" t="s">
        <v>344</v>
      </c>
      <c r="IQ305" s="41" t="s">
        <v>345</v>
      </c>
      <c r="IR305" s="41" t="s">
        <v>345</v>
      </c>
      <c r="IS305" s="41" t="s">
        <v>344</v>
      </c>
      <c r="IT305" s="41" t="s">
        <v>344</v>
      </c>
      <c r="IU305" s="41" t="s">
        <v>344</v>
      </c>
      <c r="IV305" s="41" t="s">
        <v>344</v>
      </c>
      <c r="IW305" s="41" t="s">
        <v>344</v>
      </c>
      <c r="IX305" s="41" t="s">
        <v>344</v>
      </c>
      <c r="IY305" s="41" t="s">
        <v>344</v>
      </c>
      <c r="IZ305" s="41" t="s">
        <v>344</v>
      </c>
      <c r="JA305" s="41"/>
      <c r="JB305" s="41"/>
    </row>
    <row r="306" spans="1:262" x14ac:dyDescent="0.3">
      <c r="A306" s="40" t="s">
        <v>813</v>
      </c>
      <c r="B306" s="41">
        <v>282</v>
      </c>
      <c r="C306" s="41" t="s">
        <v>1625</v>
      </c>
      <c r="D306" s="41">
        <v>14</v>
      </c>
      <c r="E306" s="41" t="s">
        <v>387</v>
      </c>
      <c r="F306" s="41">
        <v>1735409754</v>
      </c>
      <c r="G306" s="41" t="s">
        <v>1626</v>
      </c>
      <c r="H306" s="41" t="s">
        <v>1625</v>
      </c>
      <c r="I306" s="41" t="s">
        <v>1585</v>
      </c>
      <c r="J306" s="41">
        <v>17</v>
      </c>
      <c r="K306" s="41" t="s">
        <v>1255</v>
      </c>
      <c r="L306" s="41"/>
      <c r="M306" s="41" t="s">
        <v>345</v>
      </c>
      <c r="N306" s="41" t="s">
        <v>345</v>
      </c>
      <c r="O306" s="41" t="s">
        <v>344</v>
      </c>
      <c r="P306" s="41" t="s">
        <v>344</v>
      </c>
      <c r="Q306" s="41" t="s">
        <v>344</v>
      </c>
      <c r="R306" s="41"/>
      <c r="S306" s="41" t="s">
        <v>482</v>
      </c>
      <c r="T306" s="41"/>
      <c r="U306" s="41" t="s">
        <v>1270</v>
      </c>
      <c r="V306" s="41"/>
      <c r="W306" s="41" t="s">
        <v>344</v>
      </c>
      <c r="X306" s="41" t="s">
        <v>345</v>
      </c>
      <c r="Y306" s="41" t="s">
        <v>344</v>
      </c>
      <c r="Z306" s="41" t="s">
        <v>344</v>
      </c>
      <c r="AA306" s="41" t="s">
        <v>344</v>
      </c>
      <c r="AB306" s="41" t="s">
        <v>344</v>
      </c>
      <c r="AC306" s="41" t="s">
        <v>344</v>
      </c>
      <c r="AD306" s="41" t="s">
        <v>368</v>
      </c>
      <c r="AE306" s="41" t="s">
        <v>368</v>
      </c>
      <c r="AF306" s="41" t="s">
        <v>368</v>
      </c>
      <c r="AG306" s="41" t="s">
        <v>368</v>
      </c>
      <c r="AH306" s="41" t="s">
        <v>368</v>
      </c>
      <c r="AI306" s="41" t="s">
        <v>368</v>
      </c>
      <c r="AJ306" s="41" t="s">
        <v>345</v>
      </c>
      <c r="AK306" s="41" t="s">
        <v>345</v>
      </c>
      <c r="AL306" s="41" t="s">
        <v>344</v>
      </c>
      <c r="AM306" s="41" t="s">
        <v>344</v>
      </c>
      <c r="AN306" s="41" t="s">
        <v>344</v>
      </c>
      <c r="AO306" s="41" t="s">
        <v>344</v>
      </c>
      <c r="AP306" s="41" t="s">
        <v>344</v>
      </c>
      <c r="AQ306" s="41" t="s">
        <v>344</v>
      </c>
      <c r="AR306" s="41" t="s">
        <v>345</v>
      </c>
      <c r="AS306" s="41" t="s">
        <v>344</v>
      </c>
      <c r="AT306" s="41" t="s">
        <v>344</v>
      </c>
      <c r="AU306" s="41" t="s">
        <v>345</v>
      </c>
      <c r="AV306" s="41" t="s">
        <v>344</v>
      </c>
      <c r="AW306" s="41" t="s">
        <v>344</v>
      </c>
      <c r="AX306" s="41" t="s">
        <v>344</v>
      </c>
      <c r="AY306" s="41" t="s">
        <v>391</v>
      </c>
      <c r="AZ306" s="41" t="s">
        <v>391</v>
      </c>
      <c r="BA306" s="41" t="s">
        <v>391</v>
      </c>
      <c r="BB306" s="41" t="s">
        <v>391</v>
      </c>
      <c r="BC306" s="41" t="s">
        <v>391</v>
      </c>
      <c r="BD306" s="41" t="s">
        <v>391</v>
      </c>
      <c r="BE306" s="41" t="s">
        <v>349</v>
      </c>
      <c r="BF306" s="41" t="s">
        <v>349</v>
      </c>
      <c r="BG306" s="41" t="s">
        <v>390</v>
      </c>
      <c r="BH306" s="41" t="s">
        <v>348</v>
      </c>
      <c r="BI306" s="41" t="s">
        <v>348</v>
      </c>
      <c r="BJ306" s="41" t="s">
        <v>391</v>
      </c>
      <c r="BK306" s="41" t="s">
        <v>391</v>
      </c>
      <c r="BL306" s="41" t="s">
        <v>391</v>
      </c>
      <c r="BM306" s="41" t="s">
        <v>391</v>
      </c>
      <c r="BN306" s="41" t="s">
        <v>391</v>
      </c>
      <c r="BO306" s="41" t="s">
        <v>391</v>
      </c>
      <c r="BP306" s="41" t="s">
        <v>391</v>
      </c>
      <c r="BQ306" s="41" t="s">
        <v>419</v>
      </c>
      <c r="BR306" s="41" t="s">
        <v>344</v>
      </c>
      <c r="BS306" s="41" t="s">
        <v>391</v>
      </c>
      <c r="BT306" s="41" t="s">
        <v>391</v>
      </c>
      <c r="BU306" s="41" t="s">
        <v>391</v>
      </c>
      <c r="BV306" s="41" t="s">
        <v>391</v>
      </c>
      <c r="BW306" s="41" t="s">
        <v>391</v>
      </c>
      <c r="BX306" s="41" t="s">
        <v>391</v>
      </c>
      <c r="BY306" s="41" t="s">
        <v>391</v>
      </c>
      <c r="BZ306" s="41" t="s">
        <v>391</v>
      </c>
      <c r="CA306" s="41" t="s">
        <v>391</v>
      </c>
      <c r="CB306" s="41" t="s">
        <v>391</v>
      </c>
      <c r="CC306" s="41" t="s">
        <v>391</v>
      </c>
      <c r="CD306" s="41" t="s">
        <v>391</v>
      </c>
      <c r="CE306" s="41" t="s">
        <v>391</v>
      </c>
      <c r="CF306" s="41" t="s">
        <v>391</v>
      </c>
      <c r="CG306" s="41" t="s">
        <v>393</v>
      </c>
      <c r="CH306" s="41" t="s">
        <v>421</v>
      </c>
      <c r="CI306" s="41" t="s">
        <v>393</v>
      </c>
      <c r="CJ306" s="41" t="s">
        <v>421</v>
      </c>
      <c r="CK306" s="41" t="s">
        <v>717</v>
      </c>
      <c r="CL306" s="41" t="s">
        <v>344</v>
      </c>
      <c r="CM306" s="41" t="s">
        <v>344</v>
      </c>
      <c r="CN306" s="41" t="s">
        <v>344</v>
      </c>
      <c r="CO306" s="41" t="s">
        <v>345</v>
      </c>
      <c r="CP306" s="41" t="s">
        <v>345</v>
      </c>
      <c r="CQ306" s="41" t="s">
        <v>344</v>
      </c>
      <c r="CR306" s="41" t="s">
        <v>655</v>
      </c>
      <c r="CS306" s="41">
        <v>50</v>
      </c>
      <c r="CT306" s="41">
        <v>50</v>
      </c>
      <c r="CU306" s="41">
        <v>80</v>
      </c>
      <c r="CV306" s="41">
        <v>1</v>
      </c>
      <c r="CW306" s="41" t="s">
        <v>471</v>
      </c>
      <c r="CX306" s="41" t="s">
        <v>471</v>
      </c>
      <c r="CY306" s="41" t="s">
        <v>471</v>
      </c>
      <c r="CZ306" s="41" t="s">
        <v>397</v>
      </c>
      <c r="DA306" s="41" t="s">
        <v>397</v>
      </c>
      <c r="DB306" s="41" t="s">
        <v>397</v>
      </c>
      <c r="DC306" s="41" t="s">
        <v>397</v>
      </c>
      <c r="DD306" s="41" t="s">
        <v>397</v>
      </c>
      <c r="DE306" s="41" t="s">
        <v>397</v>
      </c>
      <c r="DF306" s="41" t="s">
        <v>365</v>
      </c>
      <c r="DG306" s="41" t="s">
        <v>366</v>
      </c>
      <c r="DH306" s="41" t="s">
        <v>397</v>
      </c>
      <c r="DI306" s="41" t="s">
        <v>366</v>
      </c>
      <c r="DJ306" s="41"/>
      <c r="DK306" s="41" t="s">
        <v>344</v>
      </c>
      <c r="DL306" s="41" t="s">
        <v>368</v>
      </c>
      <c r="DM306" s="41" t="s">
        <v>368</v>
      </c>
      <c r="DN306" s="41" t="s">
        <v>368</v>
      </c>
      <c r="DO306" s="41" t="s">
        <v>368</v>
      </c>
      <c r="DP306" s="41" t="s">
        <v>368</v>
      </c>
      <c r="DQ306" s="41" t="s">
        <v>368</v>
      </c>
      <c r="DR306" s="41" t="s">
        <v>368</v>
      </c>
      <c r="DS306" s="41" t="s">
        <v>345</v>
      </c>
      <c r="DT306" s="41" t="s">
        <v>368</v>
      </c>
      <c r="DU306" s="41" t="s">
        <v>368</v>
      </c>
      <c r="DV306" s="41" t="s">
        <v>368</v>
      </c>
      <c r="DW306" s="41" t="s">
        <v>345</v>
      </c>
      <c r="DX306" s="41" t="s">
        <v>397</v>
      </c>
      <c r="DY306" s="41" t="s">
        <v>1274</v>
      </c>
      <c r="DZ306" s="41" t="s">
        <v>1258</v>
      </c>
      <c r="EA306" s="41" t="s">
        <v>1272</v>
      </c>
      <c r="EB306" s="41" t="s">
        <v>397</v>
      </c>
      <c r="EC306" s="41" t="s">
        <v>397</v>
      </c>
      <c r="ED306" s="41" t="s">
        <v>1258</v>
      </c>
      <c r="EE306" s="41" t="s">
        <v>1258</v>
      </c>
      <c r="EF306" s="41" t="s">
        <v>1258</v>
      </c>
      <c r="EG306" s="41" t="s">
        <v>1272</v>
      </c>
      <c r="EH306" s="41" t="s">
        <v>1258</v>
      </c>
      <c r="EI306" s="41" t="s">
        <v>1258</v>
      </c>
      <c r="EJ306" s="41" t="s">
        <v>1272</v>
      </c>
      <c r="EK306" s="41" t="s">
        <v>1274</v>
      </c>
      <c r="EL306" s="41" t="s">
        <v>1260</v>
      </c>
      <c r="EM306" s="41" t="s">
        <v>1276</v>
      </c>
      <c r="EN306" s="41" t="s">
        <v>1259</v>
      </c>
      <c r="EO306" s="41"/>
      <c r="EP306" s="41"/>
      <c r="EQ306" s="41" t="s">
        <v>717</v>
      </c>
      <c r="ER306" s="41" t="s">
        <v>1263</v>
      </c>
      <c r="ES306" s="41" t="s">
        <v>1263</v>
      </c>
      <c r="ET306" s="41" t="s">
        <v>717</v>
      </c>
      <c r="EU306" s="41" t="s">
        <v>717</v>
      </c>
      <c r="EV306" s="41" t="s">
        <v>1265</v>
      </c>
      <c r="EW306" s="41"/>
      <c r="EX306" s="41" t="s">
        <v>368</v>
      </c>
      <c r="EY306" s="41" t="s">
        <v>368</v>
      </c>
      <c r="EZ306" s="41" t="s">
        <v>368</v>
      </c>
      <c r="FA306" s="41" t="s">
        <v>345</v>
      </c>
      <c r="FB306" s="41" t="s">
        <v>1266</v>
      </c>
      <c r="FC306" s="41"/>
      <c r="FD306" s="41" t="s">
        <v>1291</v>
      </c>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t="s">
        <v>368</v>
      </c>
      <c r="GB306" s="41" t="s">
        <v>368</v>
      </c>
      <c r="GC306" s="41" t="s">
        <v>368</v>
      </c>
      <c r="GD306" s="41" t="s">
        <v>368</v>
      </c>
      <c r="GE306" s="41" t="s">
        <v>368</v>
      </c>
      <c r="GF306" s="41" t="s">
        <v>368</v>
      </c>
      <c r="GG306" s="41"/>
      <c r="GH306" s="41"/>
      <c r="GI306" s="41"/>
      <c r="GJ306" s="41"/>
      <c r="GK306" s="41"/>
      <c r="GL306" s="41" t="s">
        <v>344</v>
      </c>
      <c r="GM306" s="41" t="s">
        <v>344</v>
      </c>
      <c r="GN306" s="41" t="s">
        <v>345</v>
      </c>
      <c r="GO306" s="41" t="s">
        <v>344</v>
      </c>
      <c r="GP306" s="41" t="s">
        <v>344</v>
      </c>
      <c r="GQ306" s="41" t="s">
        <v>344</v>
      </c>
      <c r="GR306" s="41" t="s">
        <v>344</v>
      </c>
      <c r="GS306" s="41" t="s">
        <v>344</v>
      </c>
      <c r="GT306" s="41" t="s">
        <v>345</v>
      </c>
      <c r="GU306" s="41" t="s">
        <v>344</v>
      </c>
      <c r="GV306" s="41" t="s">
        <v>344</v>
      </c>
      <c r="GW306" s="41" t="s">
        <v>344</v>
      </c>
      <c r="GX306" s="41" t="s">
        <v>344</v>
      </c>
      <c r="GY306" s="41" t="s">
        <v>344</v>
      </c>
      <c r="GZ306" s="41" t="s">
        <v>344</v>
      </c>
      <c r="HA306" s="41" t="s">
        <v>344</v>
      </c>
      <c r="HB306" s="41"/>
      <c r="HC306" s="41" t="s">
        <v>344</v>
      </c>
      <c r="HD306" s="41"/>
      <c r="HE306" s="41" t="s">
        <v>344</v>
      </c>
      <c r="HF306" s="41"/>
      <c r="HG306" s="41" t="s">
        <v>344</v>
      </c>
      <c r="HH306" s="41"/>
      <c r="HI306" s="41" t="s">
        <v>344</v>
      </c>
      <c r="HJ306" s="41"/>
      <c r="HK306" s="41" t="s">
        <v>344</v>
      </c>
      <c r="HL306" s="41" t="s">
        <v>344</v>
      </c>
      <c r="HM306" s="41" t="s">
        <v>344</v>
      </c>
      <c r="HN306" s="41" t="s">
        <v>345</v>
      </c>
      <c r="HO306" s="41" t="s">
        <v>344</v>
      </c>
      <c r="HP306" s="41" t="s">
        <v>344</v>
      </c>
      <c r="HQ306" s="41" t="s">
        <v>344</v>
      </c>
      <c r="HR306" s="41" t="s">
        <v>344</v>
      </c>
      <c r="HS306" s="41" t="s">
        <v>344</v>
      </c>
      <c r="HT306" s="41" t="s">
        <v>344</v>
      </c>
      <c r="HU306" s="41" t="s">
        <v>344</v>
      </c>
      <c r="HV306" s="41" t="s">
        <v>344</v>
      </c>
      <c r="HW306" s="41" t="s">
        <v>345</v>
      </c>
      <c r="HX306" s="41" t="s">
        <v>344</v>
      </c>
      <c r="HY306" s="41" t="s">
        <v>344</v>
      </c>
      <c r="HZ306" s="41" t="s">
        <v>344</v>
      </c>
      <c r="IA306" s="41" t="s">
        <v>344</v>
      </c>
      <c r="IB306" s="41" t="s">
        <v>344</v>
      </c>
      <c r="IC306" s="41" t="s">
        <v>344</v>
      </c>
      <c r="ID306" s="41"/>
      <c r="IE306" s="41" t="s">
        <v>344</v>
      </c>
      <c r="IF306" s="41"/>
      <c r="IG306" s="41" t="s">
        <v>344</v>
      </c>
      <c r="IH306" s="41"/>
      <c r="II306" s="41" t="s">
        <v>344</v>
      </c>
      <c r="IJ306" s="41"/>
      <c r="IK306" s="41" t="s">
        <v>344</v>
      </c>
      <c r="IL306" s="41"/>
      <c r="IM306" s="41" t="s">
        <v>345</v>
      </c>
      <c r="IN306" s="41" t="s">
        <v>344</v>
      </c>
      <c r="IO306" s="41" t="s">
        <v>344</v>
      </c>
      <c r="IP306" s="41" t="s">
        <v>344</v>
      </c>
      <c r="IQ306" s="41" t="s">
        <v>344</v>
      </c>
      <c r="IR306" s="41" t="s">
        <v>344</v>
      </c>
      <c r="IS306" s="41" t="s">
        <v>344</v>
      </c>
      <c r="IT306" s="41" t="s">
        <v>344</v>
      </c>
      <c r="IU306" s="41" t="s">
        <v>345</v>
      </c>
      <c r="IV306" s="41" t="s">
        <v>344</v>
      </c>
      <c r="IW306" s="41" t="s">
        <v>345</v>
      </c>
      <c r="IX306" s="41" t="s">
        <v>344</v>
      </c>
      <c r="IY306" s="41" t="s">
        <v>345</v>
      </c>
      <c r="IZ306" s="41" t="s">
        <v>344</v>
      </c>
      <c r="JA306" s="41"/>
      <c r="JB306" s="41"/>
    </row>
    <row r="307" spans="1:262" x14ac:dyDescent="0.3">
      <c r="A307" s="40" t="s">
        <v>813</v>
      </c>
      <c r="B307" s="41">
        <v>283</v>
      </c>
      <c r="C307" s="41" t="s">
        <v>1627</v>
      </c>
      <c r="D307" s="41">
        <v>14</v>
      </c>
      <c r="E307" s="41" t="s">
        <v>340</v>
      </c>
      <c r="F307" s="41">
        <v>1778070582</v>
      </c>
      <c r="G307" s="41" t="s">
        <v>1628</v>
      </c>
      <c r="H307" s="41" t="s">
        <v>1627</v>
      </c>
      <c r="I307" s="41" t="s">
        <v>1593</v>
      </c>
      <c r="J307" s="41">
        <v>17</v>
      </c>
      <c r="K307" s="41" t="s">
        <v>1255</v>
      </c>
      <c r="L307" s="41"/>
      <c r="M307" s="41" t="s">
        <v>345</v>
      </c>
      <c r="N307" s="41" t="s">
        <v>345</v>
      </c>
      <c r="O307" s="41" t="s">
        <v>344</v>
      </c>
      <c r="P307" s="41" t="s">
        <v>344</v>
      </c>
      <c r="Q307" s="41" t="s">
        <v>344</v>
      </c>
      <c r="R307" s="41"/>
      <c r="S307" s="41" t="s">
        <v>522</v>
      </c>
      <c r="T307" s="41"/>
      <c r="U307" s="41" t="s">
        <v>1461</v>
      </c>
      <c r="V307" s="41"/>
      <c r="W307" s="41" t="s">
        <v>368</v>
      </c>
      <c r="X307" s="41" t="s">
        <v>368</v>
      </c>
      <c r="Y307" s="41" t="s">
        <v>368</v>
      </c>
      <c r="Z307" s="41" t="s">
        <v>368</v>
      </c>
      <c r="AA307" s="41" t="s">
        <v>368</v>
      </c>
      <c r="AB307" s="41" t="s">
        <v>368</v>
      </c>
      <c r="AC307" s="41" t="s">
        <v>345</v>
      </c>
      <c r="AD307" s="41" t="s">
        <v>368</v>
      </c>
      <c r="AE307" s="41" t="s">
        <v>368</v>
      </c>
      <c r="AF307" s="41" t="s">
        <v>368</v>
      </c>
      <c r="AG307" s="41" t="s">
        <v>368</v>
      </c>
      <c r="AH307" s="41" t="s">
        <v>368</v>
      </c>
      <c r="AI307" s="41" t="s">
        <v>368</v>
      </c>
      <c r="AJ307" s="41" t="s">
        <v>345</v>
      </c>
      <c r="AK307" s="41" t="s">
        <v>368</v>
      </c>
      <c r="AL307" s="41" t="s">
        <v>368</v>
      </c>
      <c r="AM307" s="41" t="s">
        <v>368</v>
      </c>
      <c r="AN307" s="41" t="s">
        <v>368</v>
      </c>
      <c r="AO307" s="41" t="s">
        <v>368</v>
      </c>
      <c r="AP307" s="41" t="s">
        <v>368</v>
      </c>
      <c r="AQ307" s="41" t="s">
        <v>345</v>
      </c>
      <c r="AR307" s="41" t="s">
        <v>368</v>
      </c>
      <c r="AS307" s="41" t="s">
        <v>368</v>
      </c>
      <c r="AT307" s="41" t="s">
        <v>368</v>
      </c>
      <c r="AU307" s="41" t="s">
        <v>368</v>
      </c>
      <c r="AV307" s="41" t="s">
        <v>368</v>
      </c>
      <c r="AW307" s="41" t="s">
        <v>368</v>
      </c>
      <c r="AX307" s="41" t="s">
        <v>345</v>
      </c>
      <c r="AY307" s="41" t="s">
        <v>391</v>
      </c>
      <c r="AZ307" s="41" t="s">
        <v>391</v>
      </c>
      <c r="BA307" s="41" t="s">
        <v>391</v>
      </c>
      <c r="BB307" s="41" t="s">
        <v>391</v>
      </c>
      <c r="BC307" s="41" t="s">
        <v>391</v>
      </c>
      <c r="BD307" s="41" t="s">
        <v>391</v>
      </c>
      <c r="BE307" s="41" t="s">
        <v>390</v>
      </c>
      <c r="BF307" s="41" t="s">
        <v>390</v>
      </c>
      <c r="BG307" s="41" t="s">
        <v>390</v>
      </c>
      <c r="BH307" s="41" t="s">
        <v>390</v>
      </c>
      <c r="BI307" s="41" t="s">
        <v>390</v>
      </c>
      <c r="BJ307" s="41" t="s">
        <v>391</v>
      </c>
      <c r="BK307" s="41" t="s">
        <v>391</v>
      </c>
      <c r="BL307" s="41" t="s">
        <v>391</v>
      </c>
      <c r="BM307" s="41" t="s">
        <v>391</v>
      </c>
      <c r="BN307" s="41" t="s">
        <v>391</v>
      </c>
      <c r="BO307" s="41" t="s">
        <v>391</v>
      </c>
      <c r="BP307" s="41" t="s">
        <v>391</v>
      </c>
      <c r="BQ307" s="41" t="s">
        <v>455</v>
      </c>
      <c r="BR307" s="41" t="s">
        <v>1257</v>
      </c>
      <c r="BS307" s="41" t="s">
        <v>391</v>
      </c>
      <c r="BT307" s="41" t="s">
        <v>391</v>
      </c>
      <c r="BU307" s="41" t="s">
        <v>391</v>
      </c>
      <c r="BV307" s="41" t="s">
        <v>391</v>
      </c>
      <c r="BW307" s="41" t="s">
        <v>391</v>
      </c>
      <c r="BX307" s="41" t="s">
        <v>391</v>
      </c>
      <c r="BY307" s="41" t="s">
        <v>391</v>
      </c>
      <c r="BZ307" s="41" t="s">
        <v>391</v>
      </c>
      <c r="CA307" s="41" t="s">
        <v>391</v>
      </c>
      <c r="CB307" s="41" t="s">
        <v>391</v>
      </c>
      <c r="CC307" s="41" t="s">
        <v>391</v>
      </c>
      <c r="CD307" s="41" t="s">
        <v>391</v>
      </c>
      <c r="CE307" s="41" t="s">
        <v>391</v>
      </c>
      <c r="CF307" s="41" t="s">
        <v>391</v>
      </c>
      <c r="CG307" s="41" t="s">
        <v>421</v>
      </c>
      <c r="CH307" s="41" t="s">
        <v>421</v>
      </c>
      <c r="CI307" s="41" t="s">
        <v>421</v>
      </c>
      <c r="CJ307" s="41" t="s">
        <v>421</v>
      </c>
      <c r="CK307" s="41" t="s">
        <v>1629</v>
      </c>
      <c r="CL307" s="41" t="s">
        <v>344</v>
      </c>
      <c r="CM307" s="41" t="s">
        <v>344</v>
      </c>
      <c r="CN307" s="41" t="s">
        <v>344</v>
      </c>
      <c r="CO307" s="41" t="s">
        <v>345</v>
      </c>
      <c r="CP307" s="41" t="s">
        <v>345</v>
      </c>
      <c r="CQ307" s="41" t="s">
        <v>344</v>
      </c>
      <c r="CR307" s="41" t="s">
        <v>667</v>
      </c>
      <c r="CS307" s="41">
        <v>79</v>
      </c>
      <c r="CT307" s="41">
        <v>26</v>
      </c>
      <c r="CU307" s="41">
        <v>95</v>
      </c>
      <c r="CV307" s="41">
        <v>59</v>
      </c>
      <c r="CW307" s="41" t="s">
        <v>363</v>
      </c>
      <c r="CX307" s="41" t="s">
        <v>396</v>
      </c>
      <c r="CY307" s="41" t="s">
        <v>395</v>
      </c>
      <c r="CZ307" s="41" t="s">
        <v>397</v>
      </c>
      <c r="DA307" s="41" t="s">
        <v>397</v>
      </c>
      <c r="DB307" s="41" t="s">
        <v>397</v>
      </c>
      <c r="DC307" s="41" t="s">
        <v>397</v>
      </c>
      <c r="DD307" s="41" t="s">
        <v>397</v>
      </c>
      <c r="DE307" s="41" t="s">
        <v>397</v>
      </c>
      <c r="DF307" s="41" t="s">
        <v>397</v>
      </c>
      <c r="DG307" s="41" t="s">
        <v>397</v>
      </c>
      <c r="DH307" s="41" t="s">
        <v>397</v>
      </c>
      <c r="DI307" s="41" t="s">
        <v>397</v>
      </c>
      <c r="DJ307" s="41"/>
      <c r="DK307" s="41" t="s">
        <v>344</v>
      </c>
      <c r="DL307" s="41" t="s">
        <v>368</v>
      </c>
      <c r="DM307" s="41" t="s">
        <v>368</v>
      </c>
      <c r="DN307" s="41" t="s">
        <v>368</v>
      </c>
      <c r="DO307" s="41" t="s">
        <v>368</v>
      </c>
      <c r="DP307" s="41" t="s">
        <v>345</v>
      </c>
      <c r="DQ307" s="41" t="s">
        <v>344</v>
      </c>
      <c r="DR307" s="41" t="s">
        <v>344</v>
      </c>
      <c r="DS307" s="41" t="s">
        <v>344</v>
      </c>
      <c r="DT307" s="41" t="s">
        <v>344</v>
      </c>
      <c r="DU307" s="41" t="s">
        <v>345</v>
      </c>
      <c r="DV307" s="41" t="s">
        <v>344</v>
      </c>
      <c r="DW307" s="41" t="s">
        <v>344</v>
      </c>
      <c r="DX307" s="41" t="s">
        <v>397</v>
      </c>
      <c r="DY307" s="41" t="s">
        <v>1273</v>
      </c>
      <c r="DZ307" s="41" t="s">
        <v>397</v>
      </c>
      <c r="EA307" s="41" t="s">
        <v>1273</v>
      </c>
      <c r="EB307" s="41" t="s">
        <v>397</v>
      </c>
      <c r="EC307" s="41" t="s">
        <v>397</v>
      </c>
      <c r="ED307" s="41" t="s">
        <v>1273</v>
      </c>
      <c r="EE307" s="41" t="s">
        <v>1258</v>
      </c>
      <c r="EF307" s="41" t="s">
        <v>1258</v>
      </c>
      <c r="EG307" s="41" t="s">
        <v>397</v>
      </c>
      <c r="EH307" s="41" t="s">
        <v>1258</v>
      </c>
      <c r="EI307" s="41" t="s">
        <v>1258</v>
      </c>
      <c r="EJ307" s="41" t="s">
        <v>1258</v>
      </c>
      <c r="EK307" s="41" t="s">
        <v>1258</v>
      </c>
      <c r="EL307" s="41" t="s">
        <v>1276</v>
      </c>
      <c r="EM307" s="41" t="s">
        <v>1260</v>
      </c>
      <c r="EN307" s="41" t="s">
        <v>1275</v>
      </c>
      <c r="EO307" s="41"/>
      <c r="EP307" s="41"/>
      <c r="EQ307" s="41" t="s">
        <v>717</v>
      </c>
      <c r="ER307" s="41" t="s">
        <v>717</v>
      </c>
      <c r="ES307" s="41" t="s">
        <v>717</v>
      </c>
      <c r="ET307" s="41" t="s">
        <v>717</v>
      </c>
      <c r="EU307" s="41" t="s">
        <v>717</v>
      </c>
      <c r="EV307" s="41" t="s">
        <v>400</v>
      </c>
      <c r="EW307" s="41"/>
      <c r="EX307" s="41" t="s">
        <v>368</v>
      </c>
      <c r="EY307" s="41" t="s">
        <v>368</v>
      </c>
      <c r="EZ307" s="41" t="s">
        <v>368</v>
      </c>
      <c r="FA307" s="41" t="s">
        <v>345</v>
      </c>
      <c r="FB307" s="41" t="s">
        <v>1266</v>
      </c>
      <c r="FC307" s="41"/>
      <c r="FD307" s="41" t="s">
        <v>1266</v>
      </c>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t="s">
        <v>368</v>
      </c>
      <c r="GB307" s="41" t="s">
        <v>368</v>
      </c>
      <c r="GC307" s="41" t="s">
        <v>368</v>
      </c>
      <c r="GD307" s="41" t="s">
        <v>368</v>
      </c>
      <c r="GE307" s="41" t="s">
        <v>368</v>
      </c>
      <c r="GF307" s="41" t="s">
        <v>368</v>
      </c>
      <c r="GG307" s="41"/>
      <c r="GH307" s="41"/>
      <c r="GI307" s="41"/>
      <c r="GJ307" s="41"/>
      <c r="GK307" s="41"/>
      <c r="GL307" s="41" t="s">
        <v>344</v>
      </c>
      <c r="GM307" s="41" t="s">
        <v>344</v>
      </c>
      <c r="GN307" s="41" t="s">
        <v>344</v>
      </c>
      <c r="GO307" s="41" t="s">
        <v>344</v>
      </c>
      <c r="GP307" s="41" t="s">
        <v>344</v>
      </c>
      <c r="GQ307" s="41" t="s">
        <v>344</v>
      </c>
      <c r="GR307" s="41" t="s">
        <v>344</v>
      </c>
      <c r="GS307" s="41" t="s">
        <v>344</v>
      </c>
      <c r="GT307" s="41" t="s">
        <v>344</v>
      </c>
      <c r="GU307" s="41" t="s">
        <v>344</v>
      </c>
      <c r="GV307" s="41" t="s">
        <v>344</v>
      </c>
      <c r="GW307" s="41" t="s">
        <v>344</v>
      </c>
      <c r="GX307" s="41" t="s">
        <v>344</v>
      </c>
      <c r="GY307" s="41" t="s">
        <v>344</v>
      </c>
      <c r="GZ307" s="41" t="s">
        <v>344</v>
      </c>
      <c r="HA307" s="41" t="s">
        <v>345</v>
      </c>
      <c r="HB307" s="41"/>
      <c r="HC307" s="41" t="s">
        <v>344</v>
      </c>
      <c r="HD307" s="41"/>
      <c r="HE307" s="41" t="s">
        <v>344</v>
      </c>
      <c r="HF307" s="41"/>
      <c r="HG307" s="41" t="s">
        <v>344</v>
      </c>
      <c r="HH307" s="41"/>
      <c r="HI307" s="41" t="s">
        <v>344</v>
      </c>
      <c r="HJ307" s="41"/>
      <c r="HK307" s="41" t="s">
        <v>344</v>
      </c>
      <c r="HL307" s="41" t="s">
        <v>344</v>
      </c>
      <c r="HM307" s="41" t="s">
        <v>345</v>
      </c>
      <c r="HN307" s="41" t="s">
        <v>344</v>
      </c>
      <c r="HO307" s="41" t="s">
        <v>344</v>
      </c>
      <c r="HP307" s="41" t="s">
        <v>344</v>
      </c>
      <c r="HQ307" s="41" t="s">
        <v>344</v>
      </c>
      <c r="HR307" s="41" t="s">
        <v>344</v>
      </c>
      <c r="HS307" s="41" t="s">
        <v>344</v>
      </c>
      <c r="HT307" s="41" t="s">
        <v>344</v>
      </c>
      <c r="HU307" s="41" t="s">
        <v>344</v>
      </c>
      <c r="HV307" s="41" t="s">
        <v>344</v>
      </c>
      <c r="HW307" s="41" t="s">
        <v>345</v>
      </c>
      <c r="HX307" s="41" t="s">
        <v>345</v>
      </c>
      <c r="HY307" s="41" t="s">
        <v>344</v>
      </c>
      <c r="HZ307" s="41" t="s">
        <v>344</v>
      </c>
      <c r="IA307" s="41" t="s">
        <v>344</v>
      </c>
      <c r="IB307" s="41" t="s">
        <v>344</v>
      </c>
      <c r="IC307" s="41" t="s">
        <v>344</v>
      </c>
      <c r="ID307" s="41"/>
      <c r="IE307" s="41" t="s">
        <v>344</v>
      </c>
      <c r="IF307" s="41"/>
      <c r="IG307" s="41" t="s">
        <v>344</v>
      </c>
      <c r="IH307" s="41"/>
      <c r="II307" s="41" t="s">
        <v>344</v>
      </c>
      <c r="IJ307" s="41"/>
      <c r="IK307" s="41" t="s">
        <v>344</v>
      </c>
      <c r="IL307" s="41"/>
      <c r="IM307" s="41" t="s">
        <v>345</v>
      </c>
      <c r="IN307" s="41" t="s">
        <v>345</v>
      </c>
      <c r="IO307" s="41" t="s">
        <v>344</v>
      </c>
      <c r="IP307" s="41" t="s">
        <v>344</v>
      </c>
      <c r="IQ307" s="41" t="s">
        <v>345</v>
      </c>
      <c r="IR307" s="41" t="s">
        <v>345</v>
      </c>
      <c r="IS307" s="41" t="s">
        <v>344</v>
      </c>
      <c r="IT307" s="41" t="s">
        <v>345</v>
      </c>
      <c r="IU307" s="41" t="s">
        <v>344</v>
      </c>
      <c r="IV307" s="41" t="s">
        <v>344</v>
      </c>
      <c r="IW307" s="41" t="s">
        <v>344</v>
      </c>
      <c r="IX307" s="41" t="s">
        <v>344</v>
      </c>
      <c r="IY307" s="41" t="s">
        <v>345</v>
      </c>
      <c r="IZ307" s="41" t="s">
        <v>344</v>
      </c>
      <c r="JA307" s="41"/>
      <c r="JB307" s="41"/>
    </row>
    <row r="308" spans="1:262" x14ac:dyDescent="0.3">
      <c r="A308" s="40" t="s">
        <v>813</v>
      </c>
      <c r="B308" s="41">
        <v>284</v>
      </c>
      <c r="C308" s="41" t="s">
        <v>1630</v>
      </c>
      <c r="D308" s="41">
        <v>14</v>
      </c>
      <c r="E308" s="41" t="s">
        <v>340</v>
      </c>
      <c r="F308" s="41">
        <v>1134738167</v>
      </c>
      <c r="G308" s="41" t="s">
        <v>1631</v>
      </c>
      <c r="H308" s="41" t="s">
        <v>1630</v>
      </c>
      <c r="I308" s="41" t="s">
        <v>1593</v>
      </c>
      <c r="J308" s="41">
        <v>16</v>
      </c>
      <c r="K308" s="41" t="s">
        <v>1255</v>
      </c>
      <c r="L308" s="41"/>
      <c r="M308" s="41" t="s">
        <v>345</v>
      </c>
      <c r="N308" s="41" t="s">
        <v>345</v>
      </c>
      <c r="O308" s="41" t="s">
        <v>344</v>
      </c>
      <c r="P308" s="41" t="s">
        <v>344</v>
      </c>
      <c r="Q308" s="41" t="s">
        <v>344</v>
      </c>
      <c r="R308" s="41"/>
      <c r="S308" s="41" t="s">
        <v>522</v>
      </c>
      <c r="T308" s="41"/>
      <c r="U308" s="41" t="s">
        <v>1457</v>
      </c>
      <c r="V308" s="41"/>
      <c r="W308" s="41" t="s">
        <v>344</v>
      </c>
      <c r="X308" s="41" t="s">
        <v>345</v>
      </c>
      <c r="Y308" s="41" t="s">
        <v>344</v>
      </c>
      <c r="Z308" s="41" t="s">
        <v>344</v>
      </c>
      <c r="AA308" s="41" t="s">
        <v>344</v>
      </c>
      <c r="AB308" s="41" t="s">
        <v>344</v>
      </c>
      <c r="AC308" s="41" t="s">
        <v>344</v>
      </c>
      <c r="AD308" s="41" t="s">
        <v>344</v>
      </c>
      <c r="AE308" s="41" t="s">
        <v>344</v>
      </c>
      <c r="AF308" s="41" t="s">
        <v>344</v>
      </c>
      <c r="AG308" s="41" t="s">
        <v>344</v>
      </c>
      <c r="AH308" s="41" t="s">
        <v>344</v>
      </c>
      <c r="AI308" s="41" t="s">
        <v>345</v>
      </c>
      <c r="AJ308" s="41" t="s">
        <v>344</v>
      </c>
      <c r="AK308" s="41" t="s">
        <v>344</v>
      </c>
      <c r="AL308" s="41" t="s">
        <v>345</v>
      </c>
      <c r="AM308" s="41" t="s">
        <v>344</v>
      </c>
      <c r="AN308" s="41" t="s">
        <v>344</v>
      </c>
      <c r="AO308" s="41" t="s">
        <v>344</v>
      </c>
      <c r="AP308" s="41" t="s">
        <v>344</v>
      </c>
      <c r="AQ308" s="41" t="s">
        <v>344</v>
      </c>
      <c r="AR308" s="41" t="s">
        <v>344</v>
      </c>
      <c r="AS308" s="41" t="s">
        <v>344</v>
      </c>
      <c r="AT308" s="41" t="s">
        <v>345</v>
      </c>
      <c r="AU308" s="41" t="s">
        <v>345</v>
      </c>
      <c r="AV308" s="41" t="s">
        <v>345</v>
      </c>
      <c r="AW308" s="41" t="s">
        <v>345</v>
      </c>
      <c r="AX308" s="41" t="s">
        <v>344</v>
      </c>
      <c r="AY308" s="41" t="s">
        <v>732</v>
      </c>
      <c r="AZ308" s="41" t="s">
        <v>733</v>
      </c>
      <c r="BA308" s="41" t="s">
        <v>733</v>
      </c>
      <c r="BB308" s="41" t="s">
        <v>731</v>
      </c>
      <c r="BC308" s="41" t="s">
        <v>733</v>
      </c>
      <c r="BD308" s="41" t="s">
        <v>391</v>
      </c>
      <c r="BE308" s="41" t="s">
        <v>390</v>
      </c>
      <c r="BF308" s="41" t="s">
        <v>349</v>
      </c>
      <c r="BG308" s="41" t="s">
        <v>390</v>
      </c>
      <c r="BH308" s="41" t="s">
        <v>390</v>
      </c>
      <c r="BI308" s="41" t="s">
        <v>390</v>
      </c>
      <c r="BJ308" s="41" t="s">
        <v>352</v>
      </c>
      <c r="BK308" s="41" t="s">
        <v>354</v>
      </c>
      <c r="BL308" s="41" t="s">
        <v>353</v>
      </c>
      <c r="BM308" s="41" t="s">
        <v>357</v>
      </c>
      <c r="BN308" s="41" t="s">
        <v>351</v>
      </c>
      <c r="BO308" s="41" t="s">
        <v>391</v>
      </c>
      <c r="BP308" s="41" t="s">
        <v>351</v>
      </c>
      <c r="BQ308" s="41" t="s">
        <v>419</v>
      </c>
      <c r="BR308" s="41" t="s">
        <v>1296</v>
      </c>
      <c r="BS308" s="41" t="s">
        <v>356</v>
      </c>
      <c r="BT308" s="41" t="s">
        <v>355</v>
      </c>
      <c r="BU308" s="41" t="s">
        <v>354</v>
      </c>
      <c r="BV308" s="41" t="s">
        <v>357</v>
      </c>
      <c r="BW308" s="41" t="s">
        <v>352</v>
      </c>
      <c r="BX308" s="41" t="s">
        <v>351</v>
      </c>
      <c r="BY308" s="41" t="s">
        <v>353</v>
      </c>
      <c r="BZ308" s="41" t="s">
        <v>355</v>
      </c>
      <c r="CA308" s="41" t="s">
        <v>354</v>
      </c>
      <c r="CB308" s="41" t="s">
        <v>357</v>
      </c>
      <c r="CC308" s="41" t="s">
        <v>356</v>
      </c>
      <c r="CD308" s="41" t="s">
        <v>352</v>
      </c>
      <c r="CE308" s="41" t="s">
        <v>351</v>
      </c>
      <c r="CF308" s="41" t="s">
        <v>353</v>
      </c>
      <c r="CG308" s="41" t="s">
        <v>392</v>
      </c>
      <c r="CH308" s="41" t="s">
        <v>421</v>
      </c>
      <c r="CI308" s="41" t="s">
        <v>420</v>
      </c>
      <c r="CJ308" s="41" t="s">
        <v>420</v>
      </c>
      <c r="CK308" s="41" t="s">
        <v>510</v>
      </c>
      <c r="CL308" s="41" t="s">
        <v>344</v>
      </c>
      <c r="CM308" s="41" t="s">
        <v>344</v>
      </c>
      <c r="CN308" s="41" t="s">
        <v>345</v>
      </c>
      <c r="CO308" s="41" t="s">
        <v>345</v>
      </c>
      <c r="CP308" s="41" t="s">
        <v>344</v>
      </c>
      <c r="CQ308" s="41" t="s">
        <v>344</v>
      </c>
      <c r="CR308" s="41" t="s">
        <v>667</v>
      </c>
      <c r="CS308" s="41">
        <v>25</v>
      </c>
      <c r="CT308" s="41">
        <v>80</v>
      </c>
      <c r="CU308" s="41">
        <v>55</v>
      </c>
      <c r="CV308" s="41">
        <v>19</v>
      </c>
      <c r="CW308" s="41" t="s">
        <v>363</v>
      </c>
      <c r="CX308" s="41" t="s">
        <v>396</v>
      </c>
      <c r="CY308" s="41" t="s">
        <v>396</v>
      </c>
      <c r="CZ308" s="41" t="s">
        <v>397</v>
      </c>
      <c r="DA308" s="41" t="s">
        <v>397</v>
      </c>
      <c r="DB308" s="41" t="s">
        <v>397</v>
      </c>
      <c r="DC308" s="41" t="s">
        <v>397</v>
      </c>
      <c r="DD308" s="41" t="s">
        <v>366</v>
      </c>
      <c r="DE308" s="41" t="s">
        <v>365</v>
      </c>
      <c r="DF308" s="41" t="s">
        <v>423</v>
      </c>
      <c r="DG308" s="41" t="s">
        <v>397</v>
      </c>
      <c r="DH308" s="41" t="s">
        <v>397</v>
      </c>
      <c r="DI308" s="41" t="s">
        <v>365</v>
      </c>
      <c r="DJ308" s="41" t="s">
        <v>1632</v>
      </c>
      <c r="DK308" s="41" t="s">
        <v>1403</v>
      </c>
      <c r="DL308" s="41" t="s">
        <v>368</v>
      </c>
      <c r="DM308" s="41" t="s">
        <v>368</v>
      </c>
      <c r="DN308" s="41" t="s">
        <v>368</v>
      </c>
      <c r="DO308" s="41" t="s">
        <v>345</v>
      </c>
      <c r="DP308" s="41" t="s">
        <v>368</v>
      </c>
      <c r="DQ308" s="41" t="s">
        <v>368</v>
      </c>
      <c r="DR308" s="41" t="s">
        <v>368</v>
      </c>
      <c r="DS308" s="41" t="s">
        <v>345</v>
      </c>
      <c r="DT308" s="41" t="s">
        <v>368</v>
      </c>
      <c r="DU308" s="41" t="s">
        <v>368</v>
      </c>
      <c r="DV308" s="41" t="s">
        <v>368</v>
      </c>
      <c r="DW308" s="41" t="s">
        <v>345</v>
      </c>
      <c r="DX308" s="41" t="s">
        <v>1274</v>
      </c>
      <c r="DY308" s="41" t="s">
        <v>1258</v>
      </c>
      <c r="DZ308" s="41" t="s">
        <v>1258</v>
      </c>
      <c r="EA308" s="41" t="s">
        <v>1273</v>
      </c>
      <c r="EB308" s="41" t="s">
        <v>1274</v>
      </c>
      <c r="EC308" s="41" t="s">
        <v>1272</v>
      </c>
      <c r="ED308" s="41" t="s">
        <v>1258</v>
      </c>
      <c r="EE308" s="41" t="s">
        <v>1258</v>
      </c>
      <c r="EF308" s="41" t="s">
        <v>1272</v>
      </c>
      <c r="EG308" s="41" t="s">
        <v>1273</v>
      </c>
      <c r="EH308" s="41" t="s">
        <v>1258</v>
      </c>
      <c r="EI308" s="41" t="s">
        <v>1273</v>
      </c>
      <c r="EJ308" s="41" t="s">
        <v>1272</v>
      </c>
      <c r="EK308" s="41" t="s">
        <v>1274</v>
      </c>
      <c r="EL308" s="41" t="s">
        <v>1276</v>
      </c>
      <c r="EM308" s="41" t="s">
        <v>1261</v>
      </c>
      <c r="EN308" s="41" t="s">
        <v>1260</v>
      </c>
      <c r="EO308" s="41"/>
      <c r="EP308" s="41"/>
      <c r="EQ308" s="41" t="s">
        <v>1264</v>
      </c>
      <c r="ER308" s="41" t="s">
        <v>1263</v>
      </c>
      <c r="ES308" s="41" t="s">
        <v>1264</v>
      </c>
      <c r="ET308" s="41" t="s">
        <v>1263</v>
      </c>
      <c r="EU308" s="41" t="s">
        <v>1262</v>
      </c>
      <c r="EV308" s="41" t="s">
        <v>400</v>
      </c>
      <c r="EW308" s="41"/>
      <c r="EX308" s="171" t="s">
        <v>344</v>
      </c>
      <c r="EY308" s="171" t="s">
        <v>345</v>
      </c>
      <c r="EZ308" s="171" t="s">
        <v>344</v>
      </c>
      <c r="FA308" s="171" t="s">
        <v>344</v>
      </c>
      <c r="FB308" s="41" t="s">
        <v>1266</v>
      </c>
      <c r="FC308" s="41"/>
      <c r="FD308" s="41" t="s">
        <v>1266</v>
      </c>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t="s">
        <v>368</v>
      </c>
      <c r="GB308" s="41" t="s">
        <v>368</v>
      </c>
      <c r="GC308" s="41" t="s">
        <v>368</v>
      </c>
      <c r="GD308" s="41" t="s">
        <v>368</v>
      </c>
      <c r="GE308" s="41" t="s">
        <v>368</v>
      </c>
      <c r="GF308" s="41" t="s">
        <v>368</v>
      </c>
      <c r="GG308" s="41"/>
      <c r="GH308" s="41"/>
      <c r="GI308" s="41"/>
      <c r="GJ308" s="41"/>
      <c r="GK308" s="41"/>
      <c r="GL308" s="41" t="s">
        <v>344</v>
      </c>
      <c r="GM308" s="41" t="s">
        <v>344</v>
      </c>
      <c r="GN308" s="41" t="s">
        <v>345</v>
      </c>
      <c r="GO308" s="41" t="s">
        <v>344</v>
      </c>
      <c r="GP308" s="41" t="s">
        <v>344</v>
      </c>
      <c r="GQ308" s="41" t="s">
        <v>344</v>
      </c>
      <c r="GR308" s="41" t="s">
        <v>344</v>
      </c>
      <c r="GS308" s="41" t="s">
        <v>344</v>
      </c>
      <c r="GT308" s="41" t="s">
        <v>345</v>
      </c>
      <c r="GU308" s="41" t="s">
        <v>344</v>
      </c>
      <c r="GV308" s="41" t="s">
        <v>344</v>
      </c>
      <c r="GW308" s="41" t="s">
        <v>344</v>
      </c>
      <c r="GX308" s="41" t="s">
        <v>344</v>
      </c>
      <c r="GY308" s="41" t="s">
        <v>344</v>
      </c>
      <c r="GZ308" s="41" t="s">
        <v>344</v>
      </c>
      <c r="HA308" s="41" t="s">
        <v>344</v>
      </c>
      <c r="HB308" s="41"/>
      <c r="HC308" s="41" t="s">
        <v>344</v>
      </c>
      <c r="HD308" s="41"/>
      <c r="HE308" s="41" t="s">
        <v>344</v>
      </c>
      <c r="HF308" s="41"/>
      <c r="HG308" s="41" t="s">
        <v>344</v>
      </c>
      <c r="HH308" s="41"/>
      <c r="HI308" s="41" t="s">
        <v>344</v>
      </c>
      <c r="HJ308" s="41"/>
      <c r="HK308" s="41" t="s">
        <v>344</v>
      </c>
      <c r="HL308" s="41" t="s">
        <v>344</v>
      </c>
      <c r="HM308" s="41" t="s">
        <v>344</v>
      </c>
      <c r="HN308" s="41" t="s">
        <v>344</v>
      </c>
      <c r="HO308" s="41" t="s">
        <v>344</v>
      </c>
      <c r="HP308" s="41" t="s">
        <v>344</v>
      </c>
      <c r="HQ308" s="41" t="s">
        <v>344</v>
      </c>
      <c r="HR308" s="41" t="s">
        <v>344</v>
      </c>
      <c r="HS308" s="41" t="s">
        <v>344</v>
      </c>
      <c r="HT308" s="41" t="s">
        <v>344</v>
      </c>
      <c r="HU308" s="41" t="s">
        <v>344</v>
      </c>
      <c r="HV308" s="41" t="s">
        <v>344</v>
      </c>
      <c r="HW308" s="41" t="s">
        <v>345</v>
      </c>
      <c r="HX308" s="41" t="s">
        <v>345</v>
      </c>
      <c r="HY308" s="41" t="s">
        <v>344</v>
      </c>
      <c r="HZ308" s="41" t="s">
        <v>344</v>
      </c>
      <c r="IA308" s="41" t="s">
        <v>344</v>
      </c>
      <c r="IB308" s="41" t="s">
        <v>344</v>
      </c>
      <c r="IC308" s="41" t="s">
        <v>344</v>
      </c>
      <c r="ID308" s="41"/>
      <c r="IE308" s="41" t="s">
        <v>344</v>
      </c>
      <c r="IF308" s="41"/>
      <c r="IG308" s="41" t="s">
        <v>344</v>
      </c>
      <c r="IH308" s="41"/>
      <c r="II308" s="41" t="s">
        <v>344</v>
      </c>
      <c r="IJ308" s="41"/>
      <c r="IK308" s="41" t="s">
        <v>344</v>
      </c>
      <c r="IL308" s="41"/>
      <c r="IM308" s="41" t="s">
        <v>345</v>
      </c>
      <c r="IN308" s="41" t="s">
        <v>345</v>
      </c>
      <c r="IO308" s="41" t="s">
        <v>345</v>
      </c>
      <c r="IP308" s="41" t="s">
        <v>344</v>
      </c>
      <c r="IQ308" s="41" t="s">
        <v>345</v>
      </c>
      <c r="IR308" s="41" t="s">
        <v>345</v>
      </c>
      <c r="IS308" s="41" t="s">
        <v>344</v>
      </c>
      <c r="IT308" s="41" t="s">
        <v>345</v>
      </c>
      <c r="IU308" s="41" t="s">
        <v>344</v>
      </c>
      <c r="IV308" s="41" t="s">
        <v>344</v>
      </c>
      <c r="IW308" s="41" t="s">
        <v>344</v>
      </c>
      <c r="IX308" s="41" t="s">
        <v>344</v>
      </c>
      <c r="IY308" s="41" t="s">
        <v>345</v>
      </c>
      <c r="IZ308" s="41" t="s">
        <v>344</v>
      </c>
      <c r="JA308" s="41"/>
      <c r="JB308" s="41"/>
    </row>
    <row r="309" spans="1:262" x14ac:dyDescent="0.3">
      <c r="A309" s="40" t="s">
        <v>813</v>
      </c>
      <c r="B309" s="41">
        <v>285</v>
      </c>
      <c r="C309" s="41" t="s">
        <v>1633</v>
      </c>
      <c r="D309" s="41">
        <v>14</v>
      </c>
      <c r="E309" s="41" t="s">
        <v>340</v>
      </c>
      <c r="F309" s="41">
        <v>1888704462</v>
      </c>
      <c r="G309" s="41" t="s">
        <v>1634</v>
      </c>
      <c r="H309" s="41" t="s">
        <v>1633</v>
      </c>
      <c r="I309" s="41" t="s">
        <v>1593</v>
      </c>
      <c r="J309" s="41">
        <v>17</v>
      </c>
      <c r="K309" s="41" t="s">
        <v>1255</v>
      </c>
      <c r="L309" s="41"/>
      <c r="M309" s="41" t="s">
        <v>344</v>
      </c>
      <c r="N309" s="41" t="s">
        <v>345</v>
      </c>
      <c r="O309" s="41" t="s">
        <v>344</v>
      </c>
      <c r="P309" s="41" t="s">
        <v>344</v>
      </c>
      <c r="Q309" s="41" t="s">
        <v>344</v>
      </c>
      <c r="R309" s="41"/>
      <c r="S309" s="41" t="s">
        <v>522</v>
      </c>
      <c r="T309" s="41"/>
      <c r="U309" s="41" t="s">
        <v>1270</v>
      </c>
      <c r="V309" s="41"/>
      <c r="W309" s="41" t="s">
        <v>344</v>
      </c>
      <c r="X309" s="41" t="s">
        <v>344</v>
      </c>
      <c r="Y309" s="41" t="s">
        <v>345</v>
      </c>
      <c r="Z309" s="41" t="s">
        <v>345</v>
      </c>
      <c r="AA309" s="41" t="s">
        <v>344</v>
      </c>
      <c r="AB309" s="41" t="s">
        <v>344</v>
      </c>
      <c r="AC309" s="41" t="s">
        <v>344</v>
      </c>
      <c r="AD309" s="41" t="s">
        <v>345</v>
      </c>
      <c r="AE309" s="41" t="s">
        <v>345</v>
      </c>
      <c r="AF309" s="41" t="s">
        <v>345</v>
      </c>
      <c r="AG309" s="41" t="s">
        <v>344</v>
      </c>
      <c r="AH309" s="41" t="s">
        <v>345</v>
      </c>
      <c r="AI309" s="41" t="s">
        <v>344</v>
      </c>
      <c r="AJ309" s="41" t="s">
        <v>344</v>
      </c>
      <c r="AK309" s="41" t="s">
        <v>344</v>
      </c>
      <c r="AL309" s="41" t="s">
        <v>344</v>
      </c>
      <c r="AM309" s="41" t="s">
        <v>344</v>
      </c>
      <c r="AN309" s="41" t="s">
        <v>344</v>
      </c>
      <c r="AO309" s="41" t="s">
        <v>345</v>
      </c>
      <c r="AP309" s="41" t="s">
        <v>345</v>
      </c>
      <c r="AQ309" s="41" t="s">
        <v>344</v>
      </c>
      <c r="AR309" s="41" t="s">
        <v>345</v>
      </c>
      <c r="AS309" s="41" t="s">
        <v>345</v>
      </c>
      <c r="AT309" s="41" t="s">
        <v>345</v>
      </c>
      <c r="AU309" s="41" t="s">
        <v>345</v>
      </c>
      <c r="AV309" s="41" t="s">
        <v>345</v>
      </c>
      <c r="AW309" s="41" t="s">
        <v>345</v>
      </c>
      <c r="AX309" s="41" t="s">
        <v>344</v>
      </c>
      <c r="AY309" s="41" t="s">
        <v>731</v>
      </c>
      <c r="AZ309" s="41" t="s">
        <v>733</v>
      </c>
      <c r="BA309" s="41" t="s">
        <v>732</v>
      </c>
      <c r="BB309" s="41" t="s">
        <v>732</v>
      </c>
      <c r="BC309" s="41" t="s">
        <v>732</v>
      </c>
      <c r="BD309" s="41" t="s">
        <v>732</v>
      </c>
      <c r="BE309" s="41" t="s">
        <v>390</v>
      </c>
      <c r="BF309" s="41" t="s">
        <v>390</v>
      </c>
      <c r="BG309" s="41" t="s">
        <v>390</v>
      </c>
      <c r="BH309" s="41" t="s">
        <v>390</v>
      </c>
      <c r="BI309" s="41" t="s">
        <v>390</v>
      </c>
      <c r="BJ309" s="41" t="s">
        <v>391</v>
      </c>
      <c r="BK309" s="41" t="s">
        <v>391</v>
      </c>
      <c r="BL309" s="41" t="s">
        <v>391</v>
      </c>
      <c r="BM309" s="41" t="s">
        <v>391</v>
      </c>
      <c r="BN309" s="41" t="s">
        <v>391</v>
      </c>
      <c r="BO309" s="41" t="s">
        <v>391</v>
      </c>
      <c r="BP309" s="41" t="s">
        <v>391</v>
      </c>
      <c r="BQ309" s="41" t="s">
        <v>689</v>
      </c>
      <c r="BR309" s="41" t="s">
        <v>1296</v>
      </c>
      <c r="BS309" s="41" t="s">
        <v>391</v>
      </c>
      <c r="BT309" s="41" t="s">
        <v>391</v>
      </c>
      <c r="BU309" s="41" t="s">
        <v>391</v>
      </c>
      <c r="BV309" s="41" t="s">
        <v>391</v>
      </c>
      <c r="BW309" s="41" t="s">
        <v>391</v>
      </c>
      <c r="BX309" s="41" t="s">
        <v>391</v>
      </c>
      <c r="BY309" s="41" t="s">
        <v>391</v>
      </c>
      <c r="BZ309" s="41" t="s">
        <v>391</v>
      </c>
      <c r="CA309" s="41" t="s">
        <v>391</v>
      </c>
      <c r="CB309" s="41" t="s">
        <v>391</v>
      </c>
      <c r="CC309" s="41" t="s">
        <v>391</v>
      </c>
      <c r="CD309" s="41" t="s">
        <v>391</v>
      </c>
      <c r="CE309" s="41" t="s">
        <v>391</v>
      </c>
      <c r="CF309" s="41" t="s">
        <v>391</v>
      </c>
      <c r="CG309" s="41" t="s">
        <v>421</v>
      </c>
      <c r="CH309" s="41" t="s">
        <v>421</v>
      </c>
      <c r="CI309" s="41" t="s">
        <v>421</v>
      </c>
      <c r="CJ309" s="41" t="s">
        <v>421</v>
      </c>
      <c r="CK309" s="41" t="s">
        <v>510</v>
      </c>
      <c r="CL309" s="41" t="s">
        <v>344</v>
      </c>
      <c r="CM309" s="41" t="s">
        <v>344</v>
      </c>
      <c r="CN309" s="41" t="s">
        <v>344</v>
      </c>
      <c r="CO309" s="41" t="s">
        <v>345</v>
      </c>
      <c r="CP309" s="41" t="s">
        <v>345</v>
      </c>
      <c r="CQ309" s="41" t="s">
        <v>345</v>
      </c>
      <c r="CR309" s="41" t="s">
        <v>655</v>
      </c>
      <c r="CS309" s="41">
        <v>100</v>
      </c>
      <c r="CT309" s="41">
        <v>1</v>
      </c>
      <c r="CU309" s="41">
        <v>100</v>
      </c>
      <c r="CV309" s="41">
        <v>100</v>
      </c>
      <c r="CW309" s="41" t="s">
        <v>364</v>
      </c>
      <c r="CX309" s="41" t="s">
        <v>364</v>
      </c>
      <c r="CY309" s="41" t="s">
        <v>364</v>
      </c>
      <c r="CZ309" s="41" t="s">
        <v>423</v>
      </c>
      <c r="DA309" s="41" t="s">
        <v>423</v>
      </c>
      <c r="DB309" s="41" t="s">
        <v>717</v>
      </c>
      <c r="DC309" s="41" t="s">
        <v>423</v>
      </c>
      <c r="DD309" s="41" t="s">
        <v>423</v>
      </c>
      <c r="DE309" s="41" t="s">
        <v>397</v>
      </c>
      <c r="DF309" s="41" t="s">
        <v>397</v>
      </c>
      <c r="DG309" s="41" t="s">
        <v>397</v>
      </c>
      <c r="DH309" s="41" t="s">
        <v>397</v>
      </c>
      <c r="DI309" s="41" t="s">
        <v>397</v>
      </c>
      <c r="DJ309" s="41"/>
      <c r="DK309" s="41" t="s">
        <v>344</v>
      </c>
      <c r="DL309" s="41" t="s">
        <v>368</v>
      </c>
      <c r="DM309" s="41" t="s">
        <v>368</v>
      </c>
      <c r="DN309" s="41" t="s">
        <v>368</v>
      </c>
      <c r="DO309" s="41" t="s">
        <v>368</v>
      </c>
      <c r="DP309" s="41" t="s">
        <v>368</v>
      </c>
      <c r="DQ309" s="41" t="s">
        <v>368</v>
      </c>
      <c r="DR309" s="41" t="s">
        <v>368</v>
      </c>
      <c r="DS309" s="41" t="s">
        <v>345</v>
      </c>
      <c r="DT309" s="41" t="s">
        <v>368</v>
      </c>
      <c r="DU309" s="41" t="s">
        <v>368</v>
      </c>
      <c r="DV309" s="41" t="s">
        <v>368</v>
      </c>
      <c r="DW309" s="41" t="s">
        <v>345</v>
      </c>
      <c r="DX309" s="41" t="s">
        <v>397</v>
      </c>
      <c r="DY309" s="41" t="s">
        <v>397</v>
      </c>
      <c r="DZ309" s="41" t="s">
        <v>397</v>
      </c>
      <c r="EA309" s="41" t="s">
        <v>397</v>
      </c>
      <c r="EB309" s="41" t="s">
        <v>397</v>
      </c>
      <c r="EC309" s="41" t="s">
        <v>397</v>
      </c>
      <c r="ED309" s="41" t="s">
        <v>397</v>
      </c>
      <c r="EE309" s="41" t="s">
        <v>1258</v>
      </c>
      <c r="EF309" s="41" t="s">
        <v>1258</v>
      </c>
      <c r="EG309" s="41" t="s">
        <v>1258</v>
      </c>
      <c r="EH309" s="41" t="s">
        <v>1258</v>
      </c>
      <c r="EI309" s="41" t="s">
        <v>1258</v>
      </c>
      <c r="EJ309" s="41" t="s">
        <v>1258</v>
      </c>
      <c r="EK309" s="41" t="s">
        <v>1258</v>
      </c>
      <c r="EL309" s="41" t="s">
        <v>1259</v>
      </c>
      <c r="EM309" s="41" t="s">
        <v>1276</v>
      </c>
      <c r="EN309" s="41" t="s">
        <v>1260</v>
      </c>
      <c r="EO309" s="41"/>
      <c r="EP309" s="41"/>
      <c r="EQ309" s="41" t="s">
        <v>1277</v>
      </c>
      <c r="ER309" s="41" t="s">
        <v>1277</v>
      </c>
      <c r="ES309" s="41" t="s">
        <v>1278</v>
      </c>
      <c r="ET309" s="41" t="s">
        <v>1278</v>
      </c>
      <c r="EU309" s="41" t="s">
        <v>1278</v>
      </c>
      <c r="EV309" s="41" t="s">
        <v>1265</v>
      </c>
      <c r="EW309" s="41"/>
      <c r="EX309" s="41" t="s">
        <v>368</v>
      </c>
      <c r="EY309" s="41" t="s">
        <v>368</v>
      </c>
      <c r="EZ309" s="41" t="s">
        <v>368</v>
      </c>
      <c r="FA309" s="41" t="s">
        <v>345</v>
      </c>
      <c r="FB309" s="41" t="s">
        <v>1300</v>
      </c>
      <c r="FC309" s="41"/>
      <c r="FD309" s="41" t="s">
        <v>1291</v>
      </c>
      <c r="FE309" s="41"/>
      <c r="FF309" s="41" t="s">
        <v>431</v>
      </c>
      <c r="FG309" s="41" t="s">
        <v>441</v>
      </c>
      <c r="FH309" s="41" t="s">
        <v>432</v>
      </c>
      <c r="FI309" s="41" t="s">
        <v>1294</v>
      </c>
      <c r="FJ309" s="41"/>
      <c r="FK309" s="41"/>
      <c r="FL309" s="41"/>
      <c r="FM309" s="41"/>
      <c r="FN309" s="41"/>
      <c r="FO309" s="41"/>
      <c r="FP309" s="41"/>
      <c r="FQ309" s="41"/>
      <c r="FR309" s="41"/>
      <c r="FS309" s="41"/>
      <c r="FT309" s="41"/>
      <c r="FU309" s="41"/>
      <c r="FV309" s="41"/>
      <c r="FW309" s="41"/>
      <c r="FX309" s="41"/>
      <c r="FY309" s="41"/>
      <c r="FZ309" s="41"/>
      <c r="GA309" s="41" t="s">
        <v>368</v>
      </c>
      <c r="GB309" s="41" t="s">
        <v>368</v>
      </c>
      <c r="GC309" s="41" t="s">
        <v>368</v>
      </c>
      <c r="GD309" s="41" t="s">
        <v>368</v>
      </c>
      <c r="GE309" s="41" t="s">
        <v>368</v>
      </c>
      <c r="GF309" s="41" t="s">
        <v>368</v>
      </c>
      <c r="GG309" s="41"/>
      <c r="GH309" s="41"/>
      <c r="GI309" s="41"/>
      <c r="GJ309" s="41"/>
      <c r="GK309" s="41"/>
      <c r="GL309" s="41" t="s">
        <v>344</v>
      </c>
      <c r="GM309" s="41" t="s">
        <v>344</v>
      </c>
      <c r="GN309" s="41" t="s">
        <v>344</v>
      </c>
      <c r="GO309" s="41" t="s">
        <v>344</v>
      </c>
      <c r="GP309" s="41" t="s">
        <v>344</v>
      </c>
      <c r="GQ309" s="41" t="s">
        <v>344</v>
      </c>
      <c r="GR309" s="41" t="s">
        <v>344</v>
      </c>
      <c r="GS309" s="41" t="s">
        <v>344</v>
      </c>
      <c r="GT309" s="41" t="s">
        <v>344</v>
      </c>
      <c r="GU309" s="41" t="s">
        <v>344</v>
      </c>
      <c r="GV309" s="41" t="s">
        <v>344</v>
      </c>
      <c r="GW309" s="41" t="s">
        <v>344</v>
      </c>
      <c r="GX309" s="41" t="s">
        <v>344</v>
      </c>
      <c r="GY309" s="41" t="s">
        <v>344</v>
      </c>
      <c r="GZ309" s="41" t="s">
        <v>344</v>
      </c>
      <c r="HA309" s="41" t="s">
        <v>345</v>
      </c>
      <c r="HB309" s="41"/>
      <c r="HC309" s="41" t="s">
        <v>344</v>
      </c>
      <c r="HD309" s="41"/>
      <c r="HE309" s="41" t="s">
        <v>344</v>
      </c>
      <c r="HF309" s="41"/>
      <c r="HG309" s="41" t="s">
        <v>344</v>
      </c>
      <c r="HH309" s="41"/>
      <c r="HI309" s="41" t="s">
        <v>344</v>
      </c>
      <c r="HJ309" s="41"/>
      <c r="HK309" s="41" t="s">
        <v>344</v>
      </c>
      <c r="HL309" s="41" t="s">
        <v>344</v>
      </c>
      <c r="HM309" s="41" t="s">
        <v>344</v>
      </c>
      <c r="HN309" s="41" t="s">
        <v>344</v>
      </c>
      <c r="HO309" s="41" t="s">
        <v>344</v>
      </c>
      <c r="HP309" s="41" t="s">
        <v>344</v>
      </c>
      <c r="HQ309" s="41" t="s">
        <v>344</v>
      </c>
      <c r="HR309" s="41" t="s">
        <v>344</v>
      </c>
      <c r="HS309" s="41" t="s">
        <v>344</v>
      </c>
      <c r="HT309" s="41" t="s">
        <v>344</v>
      </c>
      <c r="HU309" s="41" t="s">
        <v>344</v>
      </c>
      <c r="HV309" s="41" t="s">
        <v>344</v>
      </c>
      <c r="HW309" s="41" t="s">
        <v>344</v>
      </c>
      <c r="HX309" s="41" t="s">
        <v>344</v>
      </c>
      <c r="HY309" s="41" t="s">
        <v>344</v>
      </c>
      <c r="HZ309" s="41" t="s">
        <v>344</v>
      </c>
      <c r="IA309" s="41" t="s">
        <v>344</v>
      </c>
      <c r="IB309" s="41" t="s">
        <v>344</v>
      </c>
      <c r="IC309" s="41" t="s">
        <v>345</v>
      </c>
      <c r="ID309" s="41"/>
      <c r="IE309" s="41" t="s">
        <v>344</v>
      </c>
      <c r="IF309" s="41"/>
      <c r="IG309" s="41" t="s">
        <v>344</v>
      </c>
      <c r="IH309" s="41"/>
      <c r="II309" s="41" t="s">
        <v>344</v>
      </c>
      <c r="IJ309" s="41"/>
      <c r="IK309" s="41" t="s">
        <v>344</v>
      </c>
      <c r="IL309" s="41"/>
      <c r="IM309" s="41" t="s">
        <v>344</v>
      </c>
      <c r="IN309" s="41" t="s">
        <v>344</v>
      </c>
      <c r="IO309" s="41" t="s">
        <v>344</v>
      </c>
      <c r="IP309" s="41" t="s">
        <v>344</v>
      </c>
      <c r="IQ309" s="41" t="s">
        <v>344</v>
      </c>
      <c r="IR309" s="41" t="s">
        <v>345</v>
      </c>
      <c r="IS309" s="41" t="s">
        <v>344</v>
      </c>
      <c r="IT309" s="41" t="s">
        <v>344</v>
      </c>
      <c r="IU309" s="41" t="s">
        <v>344</v>
      </c>
      <c r="IV309" s="41" t="s">
        <v>344</v>
      </c>
      <c r="IW309" s="41" t="s">
        <v>344</v>
      </c>
      <c r="IX309" s="41" t="s">
        <v>344</v>
      </c>
      <c r="IY309" s="41" t="s">
        <v>344</v>
      </c>
      <c r="IZ309" s="41" t="s">
        <v>344</v>
      </c>
      <c r="JA309" s="41" t="s">
        <v>748</v>
      </c>
      <c r="JB309" s="41"/>
    </row>
    <row r="310" spans="1:262" x14ac:dyDescent="0.3">
      <c r="A310" s="40" t="s">
        <v>813</v>
      </c>
      <c r="B310" s="41">
        <v>286</v>
      </c>
      <c r="C310" s="41" t="s">
        <v>1635</v>
      </c>
      <c r="D310" s="41">
        <v>14</v>
      </c>
      <c r="E310" s="41" t="s">
        <v>387</v>
      </c>
      <c r="F310" s="41">
        <v>1174247614</v>
      </c>
      <c r="G310" s="41" t="s">
        <v>1636</v>
      </c>
      <c r="H310" s="41" t="s">
        <v>1635</v>
      </c>
      <c r="I310" s="41" t="s">
        <v>1585</v>
      </c>
      <c r="J310" s="41">
        <v>17</v>
      </c>
      <c r="K310" s="41" t="s">
        <v>1255</v>
      </c>
      <c r="L310" s="41"/>
      <c r="M310" s="41" t="s">
        <v>345</v>
      </c>
      <c r="N310" s="41" t="s">
        <v>345</v>
      </c>
      <c r="O310" s="41" t="s">
        <v>344</v>
      </c>
      <c r="P310" s="41" t="s">
        <v>344</v>
      </c>
      <c r="Q310" s="41" t="s">
        <v>344</v>
      </c>
      <c r="R310" s="41"/>
      <c r="S310" s="41" t="s">
        <v>522</v>
      </c>
      <c r="T310" s="41"/>
      <c r="U310" s="41" t="s">
        <v>1457</v>
      </c>
      <c r="V310" s="41"/>
      <c r="W310" s="41" t="s">
        <v>368</v>
      </c>
      <c r="X310" s="41" t="s">
        <v>368</v>
      </c>
      <c r="Y310" s="41" t="s">
        <v>368</v>
      </c>
      <c r="Z310" s="41" t="s">
        <v>368</v>
      </c>
      <c r="AA310" s="41" t="s">
        <v>368</v>
      </c>
      <c r="AB310" s="41" t="s">
        <v>368</v>
      </c>
      <c r="AC310" s="41" t="s">
        <v>345</v>
      </c>
      <c r="AD310" s="41" t="s">
        <v>368</v>
      </c>
      <c r="AE310" s="41" t="s">
        <v>368</v>
      </c>
      <c r="AF310" s="41" t="s">
        <v>368</v>
      </c>
      <c r="AG310" s="41" t="s">
        <v>368</v>
      </c>
      <c r="AH310" s="41" t="s">
        <v>368</v>
      </c>
      <c r="AI310" s="41" t="s">
        <v>368</v>
      </c>
      <c r="AJ310" s="41" t="s">
        <v>345</v>
      </c>
      <c r="AK310" s="41" t="s">
        <v>368</v>
      </c>
      <c r="AL310" s="41" t="s">
        <v>368</v>
      </c>
      <c r="AM310" s="41" t="s">
        <v>368</v>
      </c>
      <c r="AN310" s="41" t="s">
        <v>368</v>
      </c>
      <c r="AO310" s="41" t="s">
        <v>368</v>
      </c>
      <c r="AP310" s="41" t="s">
        <v>368</v>
      </c>
      <c r="AQ310" s="41" t="s">
        <v>345</v>
      </c>
      <c r="AR310" s="41" t="s">
        <v>368</v>
      </c>
      <c r="AS310" s="41" t="s">
        <v>368</v>
      </c>
      <c r="AT310" s="41" t="s">
        <v>368</v>
      </c>
      <c r="AU310" s="41" t="s">
        <v>368</v>
      </c>
      <c r="AV310" s="41" t="s">
        <v>368</v>
      </c>
      <c r="AW310" s="41" t="s">
        <v>368</v>
      </c>
      <c r="AX310" s="41" t="s">
        <v>345</v>
      </c>
      <c r="AY310" s="41" t="s">
        <v>391</v>
      </c>
      <c r="AZ310" s="41" t="s">
        <v>391</v>
      </c>
      <c r="BA310" s="41" t="s">
        <v>391</v>
      </c>
      <c r="BB310" s="41" t="s">
        <v>391</v>
      </c>
      <c r="BC310" s="41" t="s">
        <v>391</v>
      </c>
      <c r="BD310" s="41" t="s">
        <v>391</v>
      </c>
      <c r="BE310" s="41" t="s">
        <v>390</v>
      </c>
      <c r="BF310" s="41" t="s">
        <v>349</v>
      </c>
      <c r="BG310" s="41" t="s">
        <v>390</v>
      </c>
      <c r="BH310" s="41" t="s">
        <v>349</v>
      </c>
      <c r="BI310" s="41" t="s">
        <v>390</v>
      </c>
      <c r="BJ310" s="41" t="s">
        <v>391</v>
      </c>
      <c r="BK310" s="41" t="s">
        <v>391</v>
      </c>
      <c r="BL310" s="41" t="s">
        <v>391</v>
      </c>
      <c r="BM310" s="41" t="s">
        <v>391</v>
      </c>
      <c r="BN310" s="41" t="s">
        <v>391</v>
      </c>
      <c r="BO310" s="41" t="s">
        <v>391</v>
      </c>
      <c r="BP310" s="41" t="s">
        <v>391</v>
      </c>
      <c r="BQ310" s="41" t="s">
        <v>419</v>
      </c>
      <c r="BR310" s="41" t="s">
        <v>1296</v>
      </c>
      <c r="BS310" s="41" t="s">
        <v>391</v>
      </c>
      <c r="BT310" s="41" t="s">
        <v>391</v>
      </c>
      <c r="BU310" s="41" t="s">
        <v>391</v>
      </c>
      <c r="BV310" s="41" t="s">
        <v>391</v>
      </c>
      <c r="BW310" s="41" t="s">
        <v>391</v>
      </c>
      <c r="BX310" s="41" t="s">
        <v>391</v>
      </c>
      <c r="BY310" s="41" t="s">
        <v>391</v>
      </c>
      <c r="BZ310" s="41" t="s">
        <v>391</v>
      </c>
      <c r="CA310" s="41" t="s">
        <v>391</v>
      </c>
      <c r="CB310" s="41" t="s">
        <v>391</v>
      </c>
      <c r="CC310" s="41" t="s">
        <v>391</v>
      </c>
      <c r="CD310" s="41" t="s">
        <v>391</v>
      </c>
      <c r="CE310" s="41" t="s">
        <v>391</v>
      </c>
      <c r="CF310" s="41" t="s">
        <v>391</v>
      </c>
      <c r="CG310" s="41" t="s">
        <v>421</v>
      </c>
      <c r="CH310" s="41" t="s">
        <v>421</v>
      </c>
      <c r="CI310" s="41" t="s">
        <v>421</v>
      </c>
      <c r="CJ310" s="41" t="s">
        <v>421</v>
      </c>
      <c r="CK310" s="41" t="s">
        <v>1637</v>
      </c>
      <c r="CL310" s="41" t="s">
        <v>344</v>
      </c>
      <c r="CM310" s="41" t="s">
        <v>344</v>
      </c>
      <c r="CN310" s="41" t="s">
        <v>344</v>
      </c>
      <c r="CO310" s="41" t="s">
        <v>345</v>
      </c>
      <c r="CP310" s="41" t="s">
        <v>344</v>
      </c>
      <c r="CQ310" s="41" t="s">
        <v>344</v>
      </c>
      <c r="CR310" s="41" t="s">
        <v>655</v>
      </c>
      <c r="CS310" s="41">
        <v>20</v>
      </c>
      <c r="CT310" s="41">
        <v>90</v>
      </c>
      <c r="CU310" s="41">
        <v>100</v>
      </c>
      <c r="CV310" s="41">
        <v>100</v>
      </c>
      <c r="CW310" s="41" t="s">
        <v>395</v>
      </c>
      <c r="CX310" s="41" t="s">
        <v>396</v>
      </c>
      <c r="CY310" s="41" t="s">
        <v>396</v>
      </c>
      <c r="CZ310" s="41" t="s">
        <v>397</v>
      </c>
      <c r="DA310" s="41" t="s">
        <v>397</v>
      </c>
      <c r="DB310" s="41" t="s">
        <v>397</v>
      </c>
      <c r="DC310" s="41" t="s">
        <v>397</v>
      </c>
      <c r="DD310" s="41" t="s">
        <v>397</v>
      </c>
      <c r="DE310" s="41" t="s">
        <v>397</v>
      </c>
      <c r="DF310" s="41" t="s">
        <v>366</v>
      </c>
      <c r="DG310" s="41" t="s">
        <v>397</v>
      </c>
      <c r="DH310" s="41" t="s">
        <v>397</v>
      </c>
      <c r="DI310" s="41" t="s">
        <v>397</v>
      </c>
      <c r="DJ310" s="41" t="s">
        <v>1638</v>
      </c>
      <c r="DK310" s="41" t="s">
        <v>1357</v>
      </c>
      <c r="DL310" s="41" t="s">
        <v>344</v>
      </c>
      <c r="DM310" s="41" t="s">
        <v>344</v>
      </c>
      <c r="DN310" s="41" t="s">
        <v>345</v>
      </c>
      <c r="DO310" s="41" t="s">
        <v>344</v>
      </c>
      <c r="DP310" s="41" t="s">
        <v>345</v>
      </c>
      <c r="DQ310" s="41" t="s">
        <v>344</v>
      </c>
      <c r="DR310" s="41" t="s">
        <v>344</v>
      </c>
      <c r="DS310" s="41" t="s">
        <v>344</v>
      </c>
      <c r="DT310" s="41" t="s">
        <v>345</v>
      </c>
      <c r="DU310" s="41" t="s">
        <v>344</v>
      </c>
      <c r="DV310" s="41" t="s">
        <v>344</v>
      </c>
      <c r="DW310" s="41" t="s">
        <v>344</v>
      </c>
      <c r="DX310" s="41" t="s">
        <v>1272</v>
      </c>
      <c r="DY310" s="41" t="s">
        <v>1258</v>
      </c>
      <c r="DZ310" s="41" t="s">
        <v>1258</v>
      </c>
      <c r="EA310" s="41" t="s">
        <v>1258</v>
      </c>
      <c r="EB310" s="41" t="s">
        <v>1258</v>
      </c>
      <c r="EC310" s="41" t="s">
        <v>1258</v>
      </c>
      <c r="ED310" s="41" t="s">
        <v>1258</v>
      </c>
      <c r="EE310" s="41" t="s">
        <v>1258</v>
      </c>
      <c r="EF310" s="41" t="s">
        <v>1258</v>
      </c>
      <c r="EG310" s="41" t="s">
        <v>1258</v>
      </c>
      <c r="EH310" s="41" t="s">
        <v>1258</v>
      </c>
      <c r="EI310" s="41" t="s">
        <v>1258</v>
      </c>
      <c r="EJ310" s="41" t="s">
        <v>1258</v>
      </c>
      <c r="EK310" s="41" t="s">
        <v>1258</v>
      </c>
      <c r="EL310" s="41" t="s">
        <v>1260</v>
      </c>
      <c r="EM310" s="41" t="s">
        <v>1276</v>
      </c>
      <c r="EN310" s="41" t="s">
        <v>1259</v>
      </c>
      <c r="EO310" s="41"/>
      <c r="EP310" s="41"/>
      <c r="EQ310" s="41" t="s">
        <v>1277</v>
      </c>
      <c r="ER310" s="41" t="s">
        <v>1264</v>
      </c>
      <c r="ES310" s="41" t="s">
        <v>1264</v>
      </c>
      <c r="ET310" s="41" t="s">
        <v>1277</v>
      </c>
      <c r="EU310" s="41" t="s">
        <v>717</v>
      </c>
      <c r="EV310" s="41" t="s">
        <v>1265</v>
      </c>
      <c r="EW310" s="41"/>
      <c r="EX310" s="41" t="s">
        <v>368</v>
      </c>
      <c r="EY310" s="41" t="s">
        <v>368</v>
      </c>
      <c r="EZ310" s="41" t="s">
        <v>368</v>
      </c>
      <c r="FA310" s="41" t="s">
        <v>345</v>
      </c>
      <c r="FB310" s="41" t="s">
        <v>1266</v>
      </c>
      <c r="FC310" s="41"/>
      <c r="FD310" s="41" t="s">
        <v>1321</v>
      </c>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t="s">
        <v>368</v>
      </c>
      <c r="GB310" s="41" t="s">
        <v>368</v>
      </c>
      <c r="GC310" s="41" t="s">
        <v>368</v>
      </c>
      <c r="GD310" s="41" t="s">
        <v>368</v>
      </c>
      <c r="GE310" s="41" t="s">
        <v>368</v>
      </c>
      <c r="GF310" s="41" t="s">
        <v>368</v>
      </c>
      <c r="GG310" s="41"/>
      <c r="GH310" s="41"/>
      <c r="GI310" s="41"/>
      <c r="GJ310" s="41"/>
      <c r="GK310" s="41"/>
      <c r="GL310" s="41" t="s">
        <v>344</v>
      </c>
      <c r="GM310" s="41" t="s">
        <v>344</v>
      </c>
      <c r="GN310" s="41" t="s">
        <v>344</v>
      </c>
      <c r="GO310" s="41" t="s">
        <v>345</v>
      </c>
      <c r="GP310" s="41" t="s">
        <v>344</v>
      </c>
      <c r="GQ310" s="41" t="s">
        <v>344</v>
      </c>
      <c r="GR310" s="41" t="s">
        <v>344</v>
      </c>
      <c r="GS310" s="41" t="s">
        <v>344</v>
      </c>
      <c r="GT310" s="41" t="s">
        <v>344</v>
      </c>
      <c r="GU310" s="41" t="s">
        <v>344</v>
      </c>
      <c r="GV310" s="41" t="s">
        <v>344</v>
      </c>
      <c r="GW310" s="41" t="s">
        <v>344</v>
      </c>
      <c r="GX310" s="41" t="s">
        <v>344</v>
      </c>
      <c r="GY310" s="41" t="s">
        <v>344</v>
      </c>
      <c r="GZ310" s="41" t="s">
        <v>344</v>
      </c>
      <c r="HA310" s="41" t="s">
        <v>344</v>
      </c>
      <c r="HB310" s="41"/>
      <c r="HC310" s="41" t="s">
        <v>344</v>
      </c>
      <c r="HD310" s="41"/>
      <c r="HE310" s="41" t="s">
        <v>344</v>
      </c>
      <c r="HF310" s="41"/>
      <c r="HG310" s="41" t="s">
        <v>345</v>
      </c>
      <c r="HH310" s="41" t="s">
        <v>1639</v>
      </c>
      <c r="HI310" s="41" t="s">
        <v>344</v>
      </c>
      <c r="HJ310" s="41"/>
      <c r="HK310" s="41" t="s">
        <v>344</v>
      </c>
      <c r="HL310" s="41" t="s">
        <v>344</v>
      </c>
      <c r="HM310" s="41" t="s">
        <v>344</v>
      </c>
      <c r="HN310" s="41" t="s">
        <v>344</v>
      </c>
      <c r="HO310" s="41" t="s">
        <v>344</v>
      </c>
      <c r="HP310" s="41" t="s">
        <v>344</v>
      </c>
      <c r="HQ310" s="41" t="s">
        <v>344</v>
      </c>
      <c r="HR310" s="41" t="s">
        <v>344</v>
      </c>
      <c r="HS310" s="41" t="s">
        <v>344</v>
      </c>
      <c r="HT310" s="41" t="s">
        <v>344</v>
      </c>
      <c r="HU310" s="41" t="s">
        <v>344</v>
      </c>
      <c r="HV310" s="41" t="s">
        <v>344</v>
      </c>
      <c r="HW310" s="41" t="s">
        <v>345</v>
      </c>
      <c r="HX310" s="41" t="s">
        <v>345</v>
      </c>
      <c r="HY310" s="41" t="s">
        <v>344</v>
      </c>
      <c r="HZ310" s="41" t="s">
        <v>344</v>
      </c>
      <c r="IA310" s="41" t="s">
        <v>344</v>
      </c>
      <c r="IB310" s="41" t="s">
        <v>344</v>
      </c>
      <c r="IC310" s="41" t="s">
        <v>344</v>
      </c>
      <c r="ID310" s="41"/>
      <c r="IE310" s="41" t="s">
        <v>344</v>
      </c>
      <c r="IF310" s="41"/>
      <c r="IG310" s="41" t="s">
        <v>344</v>
      </c>
      <c r="IH310" s="41"/>
      <c r="II310" s="41" t="s">
        <v>344</v>
      </c>
      <c r="IJ310" s="41"/>
      <c r="IK310" s="41" t="s">
        <v>344</v>
      </c>
      <c r="IL310" s="41"/>
      <c r="IM310" s="41" t="s">
        <v>345</v>
      </c>
      <c r="IN310" s="41" t="s">
        <v>345</v>
      </c>
      <c r="IO310" s="41" t="s">
        <v>344</v>
      </c>
      <c r="IP310" s="41" t="s">
        <v>345</v>
      </c>
      <c r="IQ310" s="41" t="s">
        <v>345</v>
      </c>
      <c r="IR310" s="41" t="s">
        <v>345</v>
      </c>
      <c r="IS310" s="41" t="s">
        <v>344</v>
      </c>
      <c r="IT310" s="41" t="s">
        <v>345</v>
      </c>
      <c r="IU310" s="41" t="s">
        <v>344</v>
      </c>
      <c r="IV310" s="41" t="s">
        <v>344</v>
      </c>
      <c r="IW310" s="41" t="s">
        <v>344</v>
      </c>
      <c r="IX310" s="41" t="s">
        <v>344</v>
      </c>
      <c r="IY310" s="41" t="s">
        <v>345</v>
      </c>
      <c r="IZ310" s="41" t="s">
        <v>344</v>
      </c>
      <c r="JA310" s="41"/>
      <c r="JB310" s="41" t="s">
        <v>1640</v>
      </c>
    </row>
    <row r="311" spans="1:262" x14ac:dyDescent="0.3">
      <c r="A311" s="40" t="s">
        <v>813</v>
      </c>
      <c r="B311" s="41">
        <v>287</v>
      </c>
      <c r="C311" s="41" t="s">
        <v>1641</v>
      </c>
      <c r="D311" s="41">
        <v>14</v>
      </c>
      <c r="E311" s="41" t="s">
        <v>340</v>
      </c>
      <c r="F311" s="41">
        <v>925570683</v>
      </c>
      <c r="G311" s="41" t="s">
        <v>1642</v>
      </c>
      <c r="H311" s="41" t="s">
        <v>1641</v>
      </c>
      <c r="I311" s="41" t="s">
        <v>1593</v>
      </c>
      <c r="J311" s="41">
        <v>16</v>
      </c>
      <c r="K311" s="41" t="s">
        <v>1255</v>
      </c>
      <c r="L311" s="41"/>
      <c r="M311" s="41" t="s">
        <v>345</v>
      </c>
      <c r="N311" s="41" t="s">
        <v>345</v>
      </c>
      <c r="O311" s="41" t="s">
        <v>344</v>
      </c>
      <c r="P311" s="41" t="s">
        <v>344</v>
      </c>
      <c r="Q311" s="41" t="s">
        <v>344</v>
      </c>
      <c r="R311" s="41"/>
      <c r="S311" s="41" t="s">
        <v>522</v>
      </c>
      <c r="T311" s="41"/>
      <c r="U311" s="41" t="s">
        <v>1270</v>
      </c>
      <c r="V311" s="41"/>
      <c r="W311" s="41" t="s">
        <v>344</v>
      </c>
      <c r="X311" s="41" t="s">
        <v>345</v>
      </c>
      <c r="Y311" s="41" t="s">
        <v>344</v>
      </c>
      <c r="Z311" s="41" t="s">
        <v>344</v>
      </c>
      <c r="AA311" s="41" t="s">
        <v>344</v>
      </c>
      <c r="AB311" s="41" t="s">
        <v>344</v>
      </c>
      <c r="AC311" s="41" t="s">
        <v>344</v>
      </c>
      <c r="AD311" s="41" t="s">
        <v>344</v>
      </c>
      <c r="AE311" s="41" t="s">
        <v>345</v>
      </c>
      <c r="AF311" s="41" t="s">
        <v>344</v>
      </c>
      <c r="AG311" s="41" t="s">
        <v>345</v>
      </c>
      <c r="AH311" s="41" t="s">
        <v>345</v>
      </c>
      <c r="AI311" s="41" t="s">
        <v>344</v>
      </c>
      <c r="AJ311" s="41" t="s">
        <v>344</v>
      </c>
      <c r="AK311" s="41" t="s">
        <v>344</v>
      </c>
      <c r="AL311" s="41" t="s">
        <v>345</v>
      </c>
      <c r="AM311" s="41" t="s">
        <v>344</v>
      </c>
      <c r="AN311" s="41" t="s">
        <v>344</v>
      </c>
      <c r="AO311" s="41" t="s">
        <v>344</v>
      </c>
      <c r="AP311" s="41" t="s">
        <v>344</v>
      </c>
      <c r="AQ311" s="41" t="s">
        <v>344</v>
      </c>
      <c r="AR311" s="41" t="s">
        <v>344</v>
      </c>
      <c r="AS311" s="41" t="s">
        <v>344</v>
      </c>
      <c r="AT311" s="41" t="s">
        <v>345</v>
      </c>
      <c r="AU311" s="41" t="s">
        <v>345</v>
      </c>
      <c r="AV311" s="41" t="s">
        <v>344</v>
      </c>
      <c r="AW311" s="41" t="s">
        <v>345</v>
      </c>
      <c r="AX311" s="41" t="s">
        <v>344</v>
      </c>
      <c r="AY311" s="41" t="s">
        <v>733</v>
      </c>
      <c r="AZ311" s="41" t="s">
        <v>733</v>
      </c>
      <c r="BA311" s="41" t="s">
        <v>737</v>
      </c>
      <c r="BB311" s="41" t="s">
        <v>731</v>
      </c>
      <c r="BC311" s="41" t="s">
        <v>733</v>
      </c>
      <c r="BD311" s="41" t="s">
        <v>733</v>
      </c>
      <c r="BE311" s="41" t="s">
        <v>349</v>
      </c>
      <c r="BF311" s="41" t="s">
        <v>348</v>
      </c>
      <c r="BG311" s="41" t="s">
        <v>390</v>
      </c>
      <c r="BH311" s="41" t="s">
        <v>390</v>
      </c>
      <c r="BI311" s="41" t="s">
        <v>350</v>
      </c>
      <c r="BJ311" s="41" t="s">
        <v>391</v>
      </c>
      <c r="BK311" s="41" t="s">
        <v>391</v>
      </c>
      <c r="BL311" s="41" t="s">
        <v>391</v>
      </c>
      <c r="BM311" s="41" t="s">
        <v>391</v>
      </c>
      <c r="BN311" s="41" t="s">
        <v>391</v>
      </c>
      <c r="BO311" s="41" t="s">
        <v>391</v>
      </c>
      <c r="BP311" s="41" t="s">
        <v>391</v>
      </c>
      <c r="BQ311" s="41" t="s">
        <v>358</v>
      </c>
      <c r="BR311" s="41" t="s">
        <v>1296</v>
      </c>
      <c r="BS311" s="41" t="s">
        <v>391</v>
      </c>
      <c r="BT311" s="41" t="s">
        <v>391</v>
      </c>
      <c r="BU311" s="41" t="s">
        <v>391</v>
      </c>
      <c r="BV311" s="41" t="s">
        <v>391</v>
      </c>
      <c r="BW311" s="41" t="s">
        <v>391</v>
      </c>
      <c r="BX311" s="41" t="s">
        <v>391</v>
      </c>
      <c r="BY311" s="41" t="s">
        <v>391</v>
      </c>
      <c r="BZ311" s="41" t="s">
        <v>391</v>
      </c>
      <c r="CA311" s="41" t="s">
        <v>391</v>
      </c>
      <c r="CB311" s="41" t="s">
        <v>391</v>
      </c>
      <c r="CC311" s="41" t="s">
        <v>391</v>
      </c>
      <c r="CD311" s="41" t="s">
        <v>391</v>
      </c>
      <c r="CE311" s="41" t="s">
        <v>391</v>
      </c>
      <c r="CF311" s="41" t="s">
        <v>391</v>
      </c>
      <c r="CG311" s="41" t="s">
        <v>420</v>
      </c>
      <c r="CH311" s="41" t="s">
        <v>421</v>
      </c>
      <c r="CI311" s="41" t="s">
        <v>393</v>
      </c>
      <c r="CJ311" s="41" t="s">
        <v>421</v>
      </c>
      <c r="CK311" s="41" t="s">
        <v>510</v>
      </c>
      <c r="CL311" s="41" t="s">
        <v>344</v>
      </c>
      <c r="CM311" s="41" t="s">
        <v>344</v>
      </c>
      <c r="CN311" s="41" t="s">
        <v>344</v>
      </c>
      <c r="CO311" s="41" t="s">
        <v>344</v>
      </c>
      <c r="CP311" s="41" t="s">
        <v>345</v>
      </c>
      <c r="CQ311" s="41" t="s">
        <v>344</v>
      </c>
      <c r="CR311" s="41" t="s">
        <v>667</v>
      </c>
      <c r="CS311" s="41">
        <v>95</v>
      </c>
      <c r="CT311" s="41">
        <v>10</v>
      </c>
      <c r="CU311" s="41">
        <v>100</v>
      </c>
      <c r="CV311" s="41">
        <v>95</v>
      </c>
      <c r="CW311" s="41" t="s">
        <v>364</v>
      </c>
      <c r="CX311" s="41" t="s">
        <v>364</v>
      </c>
      <c r="CY311" s="41" t="s">
        <v>363</v>
      </c>
      <c r="CZ311" s="41" t="s">
        <v>397</v>
      </c>
      <c r="DA311" s="41" t="s">
        <v>397</v>
      </c>
      <c r="DB311" s="41" t="s">
        <v>397</v>
      </c>
      <c r="DC311" s="41" t="s">
        <v>397</v>
      </c>
      <c r="DD311" s="41" t="s">
        <v>397</v>
      </c>
      <c r="DE311" s="41" t="s">
        <v>423</v>
      </c>
      <c r="DF311" s="41" t="s">
        <v>423</v>
      </c>
      <c r="DG311" s="41" t="s">
        <v>397</v>
      </c>
      <c r="DH311" s="41" t="s">
        <v>366</v>
      </c>
      <c r="DI311" s="41" t="s">
        <v>397</v>
      </c>
      <c r="DJ311" s="41" t="s">
        <v>1643</v>
      </c>
      <c r="DK311" s="41" t="s">
        <v>344</v>
      </c>
      <c r="DL311" s="41" t="s">
        <v>368</v>
      </c>
      <c r="DM311" s="41" t="s">
        <v>368</v>
      </c>
      <c r="DN311" s="41" t="s">
        <v>368</v>
      </c>
      <c r="DO311" s="41" t="s">
        <v>368</v>
      </c>
      <c r="DP311" s="41" t="s">
        <v>368</v>
      </c>
      <c r="DQ311" s="41" t="s">
        <v>368</v>
      </c>
      <c r="DR311" s="41" t="s">
        <v>368</v>
      </c>
      <c r="DS311" s="41" t="s">
        <v>345</v>
      </c>
      <c r="DT311" s="41" t="s">
        <v>344</v>
      </c>
      <c r="DU311" s="41" t="s">
        <v>345</v>
      </c>
      <c r="DV311" s="41" t="s">
        <v>344</v>
      </c>
      <c r="DW311" s="41" t="s">
        <v>344</v>
      </c>
      <c r="DX311" s="41" t="s">
        <v>397</v>
      </c>
      <c r="DY311" s="41" t="s">
        <v>1272</v>
      </c>
      <c r="DZ311" s="41" t="s">
        <v>397</v>
      </c>
      <c r="EA311" s="41" t="s">
        <v>397</v>
      </c>
      <c r="EB311" s="41" t="s">
        <v>397</v>
      </c>
      <c r="EC311" s="41" t="s">
        <v>397</v>
      </c>
      <c r="ED311" s="41" t="s">
        <v>397</v>
      </c>
      <c r="EE311" s="41" t="s">
        <v>1258</v>
      </c>
      <c r="EF311" s="41" t="s">
        <v>1258</v>
      </c>
      <c r="EG311" s="41" t="s">
        <v>1258</v>
      </c>
      <c r="EH311" s="41" t="s">
        <v>1258</v>
      </c>
      <c r="EI311" s="41" t="s">
        <v>1258</v>
      </c>
      <c r="EJ311" s="41" t="s">
        <v>1258</v>
      </c>
      <c r="EK311" s="41" t="s">
        <v>1258</v>
      </c>
      <c r="EL311" s="41" t="s">
        <v>1260</v>
      </c>
      <c r="EM311" s="41" t="s">
        <v>1261</v>
      </c>
      <c r="EN311" s="41" t="s">
        <v>1276</v>
      </c>
      <c r="EO311" s="41"/>
      <c r="EP311" s="41"/>
      <c r="EQ311" s="41" t="s">
        <v>1277</v>
      </c>
      <c r="ER311" s="41" t="s">
        <v>1278</v>
      </c>
      <c r="ES311" s="41" t="s">
        <v>1264</v>
      </c>
      <c r="ET311" s="41" t="s">
        <v>1262</v>
      </c>
      <c r="EU311" s="41" t="s">
        <v>1277</v>
      </c>
      <c r="EV311" s="41" t="s">
        <v>1265</v>
      </c>
      <c r="EW311" s="41"/>
      <c r="EX311" s="41" t="s">
        <v>368</v>
      </c>
      <c r="EY311" s="41" t="s">
        <v>368</v>
      </c>
      <c r="EZ311" s="41" t="s">
        <v>368</v>
      </c>
      <c r="FA311" s="41" t="s">
        <v>345</v>
      </c>
      <c r="FB311" s="41" t="s">
        <v>1300</v>
      </c>
      <c r="FC311" s="41"/>
      <c r="FD311" s="41" t="s">
        <v>1300</v>
      </c>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t="s">
        <v>368</v>
      </c>
      <c r="GB311" s="41" t="s">
        <v>368</v>
      </c>
      <c r="GC311" s="41" t="s">
        <v>368</v>
      </c>
      <c r="GD311" s="41" t="s">
        <v>368</v>
      </c>
      <c r="GE311" s="41" t="s">
        <v>368</v>
      </c>
      <c r="GF311" s="41" t="s">
        <v>368</v>
      </c>
      <c r="GG311" s="41"/>
      <c r="GH311" s="41"/>
      <c r="GI311" s="41"/>
      <c r="GJ311" s="41"/>
      <c r="GK311" s="41"/>
      <c r="GL311" s="41" t="s">
        <v>344</v>
      </c>
      <c r="GM311" s="41" t="s">
        <v>344</v>
      </c>
      <c r="GN311" s="41" t="s">
        <v>344</v>
      </c>
      <c r="GO311" s="41" t="s">
        <v>344</v>
      </c>
      <c r="GP311" s="41" t="s">
        <v>344</v>
      </c>
      <c r="GQ311" s="41" t="s">
        <v>344</v>
      </c>
      <c r="GR311" s="41" t="s">
        <v>344</v>
      </c>
      <c r="GS311" s="41" t="s">
        <v>344</v>
      </c>
      <c r="GT311" s="41" t="s">
        <v>344</v>
      </c>
      <c r="GU311" s="41" t="s">
        <v>344</v>
      </c>
      <c r="GV311" s="41" t="s">
        <v>345</v>
      </c>
      <c r="GW311" s="41" t="s">
        <v>344</v>
      </c>
      <c r="GX311" s="41" t="s">
        <v>344</v>
      </c>
      <c r="GY311" s="41" t="s">
        <v>344</v>
      </c>
      <c r="GZ311" s="41" t="s">
        <v>344</v>
      </c>
      <c r="HA311" s="41" t="s">
        <v>344</v>
      </c>
      <c r="HB311" s="41"/>
      <c r="HC311" s="41" t="s">
        <v>344</v>
      </c>
      <c r="HD311" s="41"/>
      <c r="HE311" s="41" t="s">
        <v>344</v>
      </c>
      <c r="HF311" s="41"/>
      <c r="HG311" s="41" t="s">
        <v>344</v>
      </c>
      <c r="HH311" s="41"/>
      <c r="HI311" s="41" t="s">
        <v>344</v>
      </c>
      <c r="HJ311" s="41"/>
      <c r="HK311" s="41" t="s">
        <v>344</v>
      </c>
      <c r="HL311" s="41" t="s">
        <v>344</v>
      </c>
      <c r="HM311" s="41" t="s">
        <v>344</v>
      </c>
      <c r="HN311" s="41" t="s">
        <v>344</v>
      </c>
      <c r="HO311" s="41" t="s">
        <v>344</v>
      </c>
      <c r="HP311" s="41" t="s">
        <v>344</v>
      </c>
      <c r="HQ311" s="41" t="s">
        <v>344</v>
      </c>
      <c r="HR311" s="41" t="s">
        <v>344</v>
      </c>
      <c r="HS311" s="41" t="s">
        <v>344</v>
      </c>
      <c r="HT311" s="41" t="s">
        <v>344</v>
      </c>
      <c r="HU311" s="41" t="s">
        <v>344</v>
      </c>
      <c r="HV311" s="41" t="s">
        <v>344</v>
      </c>
      <c r="HW311" s="41" t="s">
        <v>344</v>
      </c>
      <c r="HX311" s="41" t="s">
        <v>345</v>
      </c>
      <c r="HY311" s="41" t="s">
        <v>344</v>
      </c>
      <c r="HZ311" s="41" t="s">
        <v>344</v>
      </c>
      <c r="IA311" s="41" t="s">
        <v>344</v>
      </c>
      <c r="IB311" s="41" t="s">
        <v>345</v>
      </c>
      <c r="IC311" s="41" t="s">
        <v>344</v>
      </c>
      <c r="ID311" s="41"/>
      <c r="IE311" s="41" t="s">
        <v>344</v>
      </c>
      <c r="IF311" s="41"/>
      <c r="IG311" s="41" t="s">
        <v>344</v>
      </c>
      <c r="IH311" s="41"/>
      <c r="II311" s="41" t="s">
        <v>344</v>
      </c>
      <c r="IJ311" s="41"/>
      <c r="IK311" s="41" t="s">
        <v>344</v>
      </c>
      <c r="IL311" s="41"/>
      <c r="IM311" s="41" t="s">
        <v>345</v>
      </c>
      <c r="IN311" s="41" t="s">
        <v>345</v>
      </c>
      <c r="IO311" s="41" t="s">
        <v>345</v>
      </c>
      <c r="IP311" s="41" t="s">
        <v>345</v>
      </c>
      <c r="IQ311" s="41" t="s">
        <v>345</v>
      </c>
      <c r="IR311" s="41" t="s">
        <v>345</v>
      </c>
      <c r="IS311" s="41" t="s">
        <v>344</v>
      </c>
      <c r="IT311" s="41" t="s">
        <v>345</v>
      </c>
      <c r="IU311" s="41" t="s">
        <v>344</v>
      </c>
      <c r="IV311" s="41" t="s">
        <v>344</v>
      </c>
      <c r="IW311" s="41" t="s">
        <v>345</v>
      </c>
      <c r="IX311" s="41" t="s">
        <v>344</v>
      </c>
      <c r="IY311" s="41" t="s">
        <v>344</v>
      </c>
      <c r="IZ311" s="41" t="s">
        <v>344</v>
      </c>
      <c r="JA311" s="41"/>
      <c r="JB311" s="41" t="s">
        <v>1644</v>
      </c>
    </row>
    <row r="312" spans="1:262" x14ac:dyDescent="0.3">
      <c r="A312" s="40" t="s">
        <v>813</v>
      </c>
      <c r="B312" s="41">
        <v>288</v>
      </c>
      <c r="C312" s="41" t="s">
        <v>1645</v>
      </c>
      <c r="D312" s="41">
        <v>14</v>
      </c>
      <c r="E312" s="41" t="s">
        <v>340</v>
      </c>
      <c r="F312" s="41">
        <v>1822824319</v>
      </c>
      <c r="G312" s="41" t="s">
        <v>1646</v>
      </c>
      <c r="H312" s="41" t="s">
        <v>1645</v>
      </c>
      <c r="I312" s="41" t="s">
        <v>1585</v>
      </c>
      <c r="J312" s="41">
        <v>17</v>
      </c>
      <c r="K312" s="41" t="s">
        <v>1255</v>
      </c>
      <c r="L312" s="41"/>
      <c r="M312" s="41" t="s">
        <v>344</v>
      </c>
      <c r="N312" s="41" t="s">
        <v>345</v>
      </c>
      <c r="O312" s="41" t="s">
        <v>344</v>
      </c>
      <c r="P312" s="41" t="s">
        <v>344</v>
      </c>
      <c r="Q312" s="41" t="s">
        <v>344</v>
      </c>
      <c r="R312" s="41"/>
      <c r="S312" s="41" t="s">
        <v>522</v>
      </c>
      <c r="T312" s="41"/>
      <c r="U312" s="41" t="s">
        <v>1270</v>
      </c>
      <c r="V312" s="41"/>
      <c r="W312" s="41" t="s">
        <v>344</v>
      </c>
      <c r="X312" s="41" t="s">
        <v>345</v>
      </c>
      <c r="Y312" s="41" t="s">
        <v>345</v>
      </c>
      <c r="Z312" s="41" t="s">
        <v>345</v>
      </c>
      <c r="AA312" s="41" t="s">
        <v>344</v>
      </c>
      <c r="AB312" s="41" t="s">
        <v>344</v>
      </c>
      <c r="AC312" s="41" t="s">
        <v>344</v>
      </c>
      <c r="AD312" s="41" t="s">
        <v>344</v>
      </c>
      <c r="AE312" s="41" t="s">
        <v>345</v>
      </c>
      <c r="AF312" s="41" t="s">
        <v>344</v>
      </c>
      <c r="AG312" s="41" t="s">
        <v>344</v>
      </c>
      <c r="AH312" s="41" t="s">
        <v>345</v>
      </c>
      <c r="AI312" s="41" t="s">
        <v>344</v>
      </c>
      <c r="AJ312" s="41" t="s">
        <v>344</v>
      </c>
      <c r="AK312" s="41" t="s">
        <v>344</v>
      </c>
      <c r="AL312" s="41" t="s">
        <v>344</v>
      </c>
      <c r="AM312" s="41" t="s">
        <v>345</v>
      </c>
      <c r="AN312" s="41" t="s">
        <v>344</v>
      </c>
      <c r="AO312" s="41" t="s">
        <v>345</v>
      </c>
      <c r="AP312" s="41" t="s">
        <v>344</v>
      </c>
      <c r="AQ312" s="41" t="s">
        <v>344</v>
      </c>
      <c r="AR312" s="41" t="s">
        <v>344</v>
      </c>
      <c r="AS312" s="41" t="s">
        <v>345</v>
      </c>
      <c r="AT312" s="41" t="s">
        <v>344</v>
      </c>
      <c r="AU312" s="41" t="s">
        <v>344</v>
      </c>
      <c r="AV312" s="41" t="s">
        <v>345</v>
      </c>
      <c r="AW312" s="41" t="s">
        <v>344</v>
      </c>
      <c r="AX312" s="41" t="s">
        <v>344</v>
      </c>
      <c r="AY312" s="41" t="s">
        <v>733</v>
      </c>
      <c r="AZ312" s="41" t="s">
        <v>733</v>
      </c>
      <c r="BA312" s="41" t="s">
        <v>737</v>
      </c>
      <c r="BB312" s="41" t="s">
        <v>731</v>
      </c>
      <c r="BC312" s="41" t="s">
        <v>731</v>
      </c>
      <c r="BD312" s="41" t="s">
        <v>391</v>
      </c>
      <c r="BE312" s="41" t="s">
        <v>390</v>
      </c>
      <c r="BF312" s="41" t="s">
        <v>390</v>
      </c>
      <c r="BG312" s="41" t="s">
        <v>390</v>
      </c>
      <c r="BH312" s="41" t="s">
        <v>390</v>
      </c>
      <c r="BI312" s="41" t="s">
        <v>390</v>
      </c>
      <c r="BJ312" s="41" t="s">
        <v>351</v>
      </c>
      <c r="BK312" s="41" t="s">
        <v>357</v>
      </c>
      <c r="BL312" s="41" t="s">
        <v>357</v>
      </c>
      <c r="BM312" s="41" t="s">
        <v>351</v>
      </c>
      <c r="BN312" s="41" t="s">
        <v>351</v>
      </c>
      <c r="BO312" s="41" t="s">
        <v>351</v>
      </c>
      <c r="BP312" s="41" t="s">
        <v>351</v>
      </c>
      <c r="BQ312" s="41" t="s">
        <v>358</v>
      </c>
      <c r="BR312" s="41" t="s">
        <v>1339</v>
      </c>
      <c r="BS312" s="41" t="s">
        <v>356</v>
      </c>
      <c r="BT312" s="41" t="s">
        <v>356</v>
      </c>
      <c r="BU312" s="41" t="s">
        <v>356</v>
      </c>
      <c r="BV312" s="41" t="s">
        <v>351</v>
      </c>
      <c r="BW312" s="41" t="s">
        <v>351</v>
      </c>
      <c r="BX312" s="41" t="s">
        <v>351</v>
      </c>
      <c r="BY312" s="41" t="s">
        <v>353</v>
      </c>
      <c r="BZ312" s="41" t="s">
        <v>352</v>
      </c>
      <c r="CA312" s="41" t="s">
        <v>356</v>
      </c>
      <c r="CB312" s="41" t="s">
        <v>351</v>
      </c>
      <c r="CC312" s="41" t="s">
        <v>355</v>
      </c>
      <c r="CD312" s="41" t="s">
        <v>356</v>
      </c>
      <c r="CE312" s="41" t="s">
        <v>356</v>
      </c>
      <c r="CF312" s="41" t="s">
        <v>351</v>
      </c>
      <c r="CG312" s="41" t="s">
        <v>393</v>
      </c>
      <c r="CH312" s="41" t="s">
        <v>421</v>
      </c>
      <c r="CI312" s="41" t="s">
        <v>420</v>
      </c>
      <c r="CJ312" s="41" t="s">
        <v>421</v>
      </c>
      <c r="CK312" s="41" t="s">
        <v>510</v>
      </c>
      <c r="CL312" s="41" t="s">
        <v>344</v>
      </c>
      <c r="CM312" s="41" t="s">
        <v>344</v>
      </c>
      <c r="CN312" s="41" t="s">
        <v>344</v>
      </c>
      <c r="CO312" s="41" t="s">
        <v>344</v>
      </c>
      <c r="CP312" s="41" t="s">
        <v>345</v>
      </c>
      <c r="CQ312" s="41" t="s">
        <v>344</v>
      </c>
      <c r="CR312" s="41" t="s">
        <v>667</v>
      </c>
      <c r="CS312" s="41">
        <v>75</v>
      </c>
      <c r="CT312" s="41">
        <v>60</v>
      </c>
      <c r="CU312" s="41">
        <v>80</v>
      </c>
      <c r="CV312" s="41">
        <v>1</v>
      </c>
      <c r="CW312" s="41" t="s">
        <v>395</v>
      </c>
      <c r="CX312" s="41" t="s">
        <v>395</v>
      </c>
      <c r="CY312" s="41" t="s">
        <v>396</v>
      </c>
      <c r="CZ312" s="41" t="s">
        <v>397</v>
      </c>
      <c r="DA312" s="41" t="s">
        <v>397</v>
      </c>
      <c r="DB312" s="41" t="s">
        <v>397</v>
      </c>
      <c r="DC312" s="41" t="s">
        <v>397</v>
      </c>
      <c r="DD312" s="41" t="s">
        <v>397</v>
      </c>
      <c r="DE312" s="41" t="s">
        <v>717</v>
      </c>
      <c r="DF312" s="41" t="s">
        <v>397</v>
      </c>
      <c r="DG312" s="41" t="s">
        <v>397</v>
      </c>
      <c r="DH312" s="41" t="s">
        <v>397</v>
      </c>
      <c r="DI312" s="41" t="s">
        <v>397</v>
      </c>
      <c r="DJ312" s="41"/>
      <c r="DK312" s="41" t="s">
        <v>344</v>
      </c>
      <c r="DL312" s="41" t="s">
        <v>368</v>
      </c>
      <c r="DM312" s="41" t="s">
        <v>368</v>
      </c>
      <c r="DN312" s="41" t="s">
        <v>368</v>
      </c>
      <c r="DO312" s="41" t="s">
        <v>368</v>
      </c>
      <c r="DP312" s="41" t="s">
        <v>344</v>
      </c>
      <c r="DQ312" s="41" t="s">
        <v>345</v>
      </c>
      <c r="DR312" s="41" t="s">
        <v>344</v>
      </c>
      <c r="DS312" s="41" t="s">
        <v>344</v>
      </c>
      <c r="DT312" s="41" t="s">
        <v>344</v>
      </c>
      <c r="DU312" s="41" t="s">
        <v>345</v>
      </c>
      <c r="DV312" s="41" t="s">
        <v>344</v>
      </c>
      <c r="DW312" s="41" t="s">
        <v>344</v>
      </c>
      <c r="DX312" s="41" t="s">
        <v>397</v>
      </c>
      <c r="DY312" s="41" t="s">
        <v>397</v>
      </c>
      <c r="DZ312" s="41" t="s">
        <v>397</v>
      </c>
      <c r="EA312" s="41" t="s">
        <v>397</v>
      </c>
      <c r="EB312" s="41" t="s">
        <v>397</v>
      </c>
      <c r="EC312" s="41" t="s">
        <v>397</v>
      </c>
      <c r="ED312" s="41" t="s">
        <v>1273</v>
      </c>
      <c r="EE312" s="41" t="s">
        <v>397</v>
      </c>
      <c r="EF312" s="41" t="s">
        <v>397</v>
      </c>
      <c r="EG312" s="41" t="s">
        <v>397</v>
      </c>
      <c r="EH312" s="41" t="s">
        <v>397</v>
      </c>
      <c r="EI312" s="41" t="s">
        <v>397</v>
      </c>
      <c r="EJ312" s="41" t="s">
        <v>397</v>
      </c>
      <c r="EK312" s="41" t="s">
        <v>1273</v>
      </c>
      <c r="EL312" s="41" t="s">
        <v>1259</v>
      </c>
      <c r="EM312" s="41" t="s">
        <v>1260</v>
      </c>
      <c r="EN312" s="41" t="s">
        <v>1275</v>
      </c>
      <c r="EO312" s="41"/>
      <c r="EP312" s="41"/>
      <c r="EQ312" s="41" t="s">
        <v>1263</v>
      </c>
      <c r="ER312" s="41" t="s">
        <v>1277</v>
      </c>
      <c r="ES312" s="41" t="s">
        <v>1263</v>
      </c>
      <c r="ET312" s="41" t="s">
        <v>717</v>
      </c>
      <c r="EU312" s="41" t="s">
        <v>1264</v>
      </c>
      <c r="EV312" s="41" t="s">
        <v>1265</v>
      </c>
      <c r="EW312" s="41"/>
      <c r="EX312" s="171" t="s">
        <v>368</v>
      </c>
      <c r="EY312" s="171" t="s">
        <v>368</v>
      </c>
      <c r="EZ312" s="171" t="s">
        <v>368</v>
      </c>
      <c r="FA312" s="171" t="s">
        <v>345</v>
      </c>
      <c r="FB312" s="41" t="s">
        <v>1266</v>
      </c>
      <c r="FC312" s="41"/>
      <c r="FD312" s="41" t="s">
        <v>1266</v>
      </c>
      <c r="FE312" s="41"/>
      <c r="FF312" s="41" t="s">
        <v>1322</v>
      </c>
      <c r="FG312" s="41" t="s">
        <v>402</v>
      </c>
      <c r="FH312" s="41" t="s">
        <v>1301</v>
      </c>
      <c r="FI312" s="41" t="s">
        <v>1294</v>
      </c>
      <c r="FJ312" s="41"/>
      <c r="FK312" s="41"/>
      <c r="FL312" s="41"/>
      <c r="FM312" s="41"/>
      <c r="FN312" s="41"/>
      <c r="FO312" s="41"/>
      <c r="FP312" s="41"/>
      <c r="FQ312" s="41"/>
      <c r="FR312" s="41"/>
      <c r="FS312" s="41"/>
      <c r="FT312" s="41"/>
      <c r="FU312" s="41"/>
      <c r="FV312" s="41"/>
      <c r="FW312" s="41"/>
      <c r="FX312" s="41"/>
      <c r="FY312" s="41"/>
      <c r="FZ312" s="41"/>
      <c r="GA312" s="41" t="s">
        <v>368</v>
      </c>
      <c r="GB312" s="41" t="s">
        <v>368</v>
      </c>
      <c r="GC312" s="41" t="s">
        <v>368</v>
      </c>
      <c r="GD312" s="41" t="s">
        <v>368</v>
      </c>
      <c r="GE312" s="41" t="s">
        <v>368</v>
      </c>
      <c r="GF312" s="41" t="s">
        <v>368</v>
      </c>
      <c r="GG312" s="41"/>
      <c r="GH312" s="41"/>
      <c r="GI312" s="41"/>
      <c r="GJ312" s="41"/>
      <c r="GK312" s="41"/>
      <c r="GL312" s="41" t="s">
        <v>344</v>
      </c>
      <c r="GM312" s="41" t="s">
        <v>344</v>
      </c>
      <c r="GN312" s="41" t="s">
        <v>344</v>
      </c>
      <c r="GO312" s="41" t="s">
        <v>344</v>
      </c>
      <c r="GP312" s="41" t="s">
        <v>344</v>
      </c>
      <c r="GQ312" s="41" t="s">
        <v>344</v>
      </c>
      <c r="GR312" s="41" t="s">
        <v>344</v>
      </c>
      <c r="GS312" s="41" t="s">
        <v>344</v>
      </c>
      <c r="GT312" s="41" t="s">
        <v>344</v>
      </c>
      <c r="GU312" s="41" t="s">
        <v>344</v>
      </c>
      <c r="GV312" s="41" t="s">
        <v>344</v>
      </c>
      <c r="GW312" s="41" t="s">
        <v>344</v>
      </c>
      <c r="GX312" s="41" t="s">
        <v>344</v>
      </c>
      <c r="GY312" s="41" t="s">
        <v>344</v>
      </c>
      <c r="GZ312" s="41" t="s">
        <v>344</v>
      </c>
      <c r="HA312" s="41" t="s">
        <v>345</v>
      </c>
      <c r="HB312" s="41"/>
      <c r="HC312" s="41" t="s">
        <v>344</v>
      </c>
      <c r="HD312" s="41"/>
      <c r="HE312" s="41" t="s">
        <v>344</v>
      </c>
      <c r="HF312" s="41"/>
      <c r="HG312" s="41" t="s">
        <v>344</v>
      </c>
      <c r="HH312" s="41"/>
      <c r="HI312" s="41" t="s">
        <v>344</v>
      </c>
      <c r="HJ312" s="41"/>
      <c r="HK312" s="41" t="s">
        <v>344</v>
      </c>
      <c r="HL312" s="41" t="s">
        <v>344</v>
      </c>
      <c r="HM312" s="41" t="s">
        <v>344</v>
      </c>
      <c r="HN312" s="41" t="s">
        <v>344</v>
      </c>
      <c r="HO312" s="41" t="s">
        <v>344</v>
      </c>
      <c r="HP312" s="41" t="s">
        <v>344</v>
      </c>
      <c r="HQ312" s="41" t="s">
        <v>344</v>
      </c>
      <c r="HR312" s="41" t="s">
        <v>344</v>
      </c>
      <c r="HS312" s="41" t="s">
        <v>344</v>
      </c>
      <c r="HT312" s="41" t="s">
        <v>344</v>
      </c>
      <c r="HU312" s="41" t="s">
        <v>344</v>
      </c>
      <c r="HV312" s="41" t="s">
        <v>344</v>
      </c>
      <c r="HW312" s="41" t="s">
        <v>344</v>
      </c>
      <c r="HX312" s="41" t="s">
        <v>344</v>
      </c>
      <c r="HY312" s="41" t="s">
        <v>344</v>
      </c>
      <c r="HZ312" s="41" t="s">
        <v>344</v>
      </c>
      <c r="IA312" s="41" t="s">
        <v>344</v>
      </c>
      <c r="IB312" s="41" t="s">
        <v>344</v>
      </c>
      <c r="IC312" s="41" t="s">
        <v>345</v>
      </c>
      <c r="ID312" s="41"/>
      <c r="IE312" s="41" t="s">
        <v>344</v>
      </c>
      <c r="IF312" s="41"/>
      <c r="IG312" s="41" t="s">
        <v>344</v>
      </c>
      <c r="IH312" s="41"/>
      <c r="II312" s="41" t="s">
        <v>344</v>
      </c>
      <c r="IJ312" s="41"/>
      <c r="IK312" s="41" t="s">
        <v>344</v>
      </c>
      <c r="IL312" s="41"/>
      <c r="IM312" s="41" t="s">
        <v>345</v>
      </c>
      <c r="IN312" s="41" t="s">
        <v>345</v>
      </c>
      <c r="IO312" s="41" t="s">
        <v>344</v>
      </c>
      <c r="IP312" s="41" t="s">
        <v>344</v>
      </c>
      <c r="IQ312" s="41" t="s">
        <v>345</v>
      </c>
      <c r="IR312" s="41" t="s">
        <v>345</v>
      </c>
      <c r="IS312" s="41" t="s">
        <v>344</v>
      </c>
      <c r="IT312" s="41" t="s">
        <v>345</v>
      </c>
      <c r="IU312" s="41" t="s">
        <v>344</v>
      </c>
      <c r="IV312" s="41" t="s">
        <v>344</v>
      </c>
      <c r="IW312" s="41" t="s">
        <v>344</v>
      </c>
      <c r="IX312" s="41" t="s">
        <v>344</v>
      </c>
      <c r="IY312" s="41" t="s">
        <v>345</v>
      </c>
      <c r="IZ312" s="41" t="s">
        <v>344</v>
      </c>
      <c r="JA312" s="41"/>
      <c r="JB312" s="41"/>
    </row>
    <row r="313" spans="1:262" x14ac:dyDescent="0.3">
      <c r="A313" s="40" t="s">
        <v>813</v>
      </c>
      <c r="B313" s="41">
        <v>289</v>
      </c>
      <c r="C313" s="41" t="s">
        <v>1647</v>
      </c>
      <c r="D313" s="41">
        <v>14</v>
      </c>
      <c r="E313" s="41" t="s">
        <v>340</v>
      </c>
      <c r="F313" s="41">
        <v>1894327339</v>
      </c>
      <c r="G313" s="41" t="s">
        <v>1648</v>
      </c>
      <c r="H313" s="41" t="s">
        <v>1647</v>
      </c>
      <c r="I313" s="41" t="s">
        <v>1593</v>
      </c>
      <c r="J313" s="41">
        <v>17</v>
      </c>
      <c r="K313" s="41" t="s">
        <v>1282</v>
      </c>
      <c r="L313" s="41"/>
      <c r="M313" s="41" t="s">
        <v>344</v>
      </c>
      <c r="N313" s="41" t="s">
        <v>345</v>
      </c>
      <c r="O313" s="41" t="s">
        <v>344</v>
      </c>
      <c r="P313" s="41" t="s">
        <v>344</v>
      </c>
      <c r="Q313" s="41" t="s">
        <v>344</v>
      </c>
      <c r="R313" s="41"/>
      <c r="S313" s="41" t="s">
        <v>522</v>
      </c>
      <c r="T313" s="119"/>
      <c r="U313" s="41" t="s">
        <v>1256</v>
      </c>
      <c r="V313" s="41"/>
      <c r="W313" s="41" t="s">
        <v>345</v>
      </c>
      <c r="X313" s="41" t="s">
        <v>344</v>
      </c>
      <c r="Y313" s="41" t="s">
        <v>344</v>
      </c>
      <c r="Z313" s="41" t="s">
        <v>344</v>
      </c>
      <c r="AA313" s="41" t="s">
        <v>344</v>
      </c>
      <c r="AB313" s="41" t="s">
        <v>344</v>
      </c>
      <c r="AC313" s="41" t="s">
        <v>344</v>
      </c>
      <c r="AD313" s="41" t="s">
        <v>344</v>
      </c>
      <c r="AE313" s="41" t="s">
        <v>344</v>
      </c>
      <c r="AF313" s="41" t="s">
        <v>344</v>
      </c>
      <c r="AG313" s="41" t="s">
        <v>344</v>
      </c>
      <c r="AH313" s="41" t="s">
        <v>344</v>
      </c>
      <c r="AI313" s="41" t="s">
        <v>345</v>
      </c>
      <c r="AJ313" s="41" t="s">
        <v>344</v>
      </c>
      <c r="AK313" s="41" t="s">
        <v>344</v>
      </c>
      <c r="AL313" s="41" t="s">
        <v>344</v>
      </c>
      <c r="AM313" s="41" t="s">
        <v>344</v>
      </c>
      <c r="AN313" s="41" t="s">
        <v>345</v>
      </c>
      <c r="AO313" s="41" t="s">
        <v>344</v>
      </c>
      <c r="AP313" s="41" t="s">
        <v>344</v>
      </c>
      <c r="AQ313" s="41" t="s">
        <v>344</v>
      </c>
      <c r="AR313" s="41" t="s">
        <v>344</v>
      </c>
      <c r="AS313" s="41" t="s">
        <v>344</v>
      </c>
      <c r="AT313" s="41" t="s">
        <v>344</v>
      </c>
      <c r="AU313" s="41" t="s">
        <v>344</v>
      </c>
      <c r="AV313" s="41" t="s">
        <v>344</v>
      </c>
      <c r="AW313" s="41" t="s">
        <v>345</v>
      </c>
      <c r="AX313" s="41" t="s">
        <v>344</v>
      </c>
      <c r="AY313" s="41" t="s">
        <v>391</v>
      </c>
      <c r="AZ313" s="41" t="s">
        <v>391</v>
      </c>
      <c r="BA313" s="41" t="s">
        <v>391</v>
      </c>
      <c r="BB313" s="41" t="s">
        <v>391</v>
      </c>
      <c r="BC313" s="41" t="s">
        <v>391</v>
      </c>
      <c r="BD313" s="41" t="s">
        <v>391</v>
      </c>
      <c r="BE313" s="41" t="s">
        <v>348</v>
      </c>
      <c r="BF313" s="41" t="s">
        <v>348</v>
      </c>
      <c r="BG313" s="41" t="s">
        <v>349</v>
      </c>
      <c r="BH313" s="41" t="s">
        <v>349</v>
      </c>
      <c r="BI313" s="41" t="s">
        <v>349</v>
      </c>
      <c r="BJ313" s="41" t="s">
        <v>391</v>
      </c>
      <c r="BK313" s="41" t="s">
        <v>391</v>
      </c>
      <c r="BL313" s="41" t="s">
        <v>391</v>
      </c>
      <c r="BM313" s="41" t="s">
        <v>391</v>
      </c>
      <c r="BN313" s="41" t="s">
        <v>391</v>
      </c>
      <c r="BO313" s="41" t="s">
        <v>391</v>
      </c>
      <c r="BP313" s="41" t="s">
        <v>391</v>
      </c>
      <c r="BQ313" s="41" t="s">
        <v>419</v>
      </c>
      <c r="BR313" s="41" t="s">
        <v>344</v>
      </c>
      <c r="BS313" s="41" t="s">
        <v>391</v>
      </c>
      <c r="BT313" s="41" t="s">
        <v>391</v>
      </c>
      <c r="BU313" s="41" t="s">
        <v>391</v>
      </c>
      <c r="BV313" s="41" t="s">
        <v>391</v>
      </c>
      <c r="BW313" s="41" t="s">
        <v>391</v>
      </c>
      <c r="BX313" s="41" t="s">
        <v>391</v>
      </c>
      <c r="BY313" s="41" t="s">
        <v>391</v>
      </c>
      <c r="BZ313" s="41" t="s">
        <v>391</v>
      </c>
      <c r="CA313" s="41" t="s">
        <v>391</v>
      </c>
      <c r="CB313" s="41" t="s">
        <v>391</v>
      </c>
      <c r="CC313" s="41" t="s">
        <v>391</v>
      </c>
      <c r="CD313" s="41" t="s">
        <v>391</v>
      </c>
      <c r="CE313" s="41" t="s">
        <v>391</v>
      </c>
      <c r="CF313" s="41" t="s">
        <v>391</v>
      </c>
      <c r="CG313" s="41" t="s">
        <v>420</v>
      </c>
      <c r="CH313" s="41" t="s">
        <v>393</v>
      </c>
      <c r="CI313" s="41" t="s">
        <v>421</v>
      </c>
      <c r="CJ313" s="41" t="s">
        <v>360</v>
      </c>
      <c r="CK313" s="41" t="s">
        <v>510</v>
      </c>
      <c r="CL313" s="41" t="s">
        <v>344</v>
      </c>
      <c r="CM313" s="41" t="s">
        <v>344</v>
      </c>
      <c r="CN313" s="41" t="s">
        <v>344</v>
      </c>
      <c r="CO313" s="41" t="s">
        <v>345</v>
      </c>
      <c r="CP313" s="41" t="s">
        <v>345</v>
      </c>
      <c r="CQ313" s="41" t="s">
        <v>344</v>
      </c>
      <c r="CR313" s="41" t="s">
        <v>829</v>
      </c>
      <c r="CS313" s="41">
        <v>71</v>
      </c>
      <c r="CT313" s="41">
        <v>67</v>
      </c>
      <c r="CU313" s="41">
        <v>93</v>
      </c>
      <c r="CV313" s="41">
        <v>54</v>
      </c>
      <c r="CW313" s="41" t="s">
        <v>364</v>
      </c>
      <c r="CX313" s="41" t="s">
        <v>395</v>
      </c>
      <c r="CY313" s="41" t="s">
        <v>396</v>
      </c>
      <c r="CZ313" s="41" t="s">
        <v>397</v>
      </c>
      <c r="DA313" s="41" t="s">
        <v>397</v>
      </c>
      <c r="DB313" s="41" t="s">
        <v>397</v>
      </c>
      <c r="DC313" s="41" t="s">
        <v>397</v>
      </c>
      <c r="DD313" s="41" t="s">
        <v>397</v>
      </c>
      <c r="DE313" s="41" t="s">
        <v>717</v>
      </c>
      <c r="DF313" s="41" t="s">
        <v>365</v>
      </c>
      <c r="DG313" s="41" t="s">
        <v>397</v>
      </c>
      <c r="DH313" s="41" t="s">
        <v>366</v>
      </c>
      <c r="DI313" s="41" t="s">
        <v>366</v>
      </c>
      <c r="DJ313" s="41"/>
      <c r="DK313" s="41" t="s">
        <v>344</v>
      </c>
      <c r="DL313" s="41" t="s">
        <v>368</v>
      </c>
      <c r="DM313" s="41" t="s">
        <v>368</v>
      </c>
      <c r="DN313" s="41" t="s">
        <v>368</v>
      </c>
      <c r="DO313" s="41" t="s">
        <v>368</v>
      </c>
      <c r="DP313" s="41" t="s">
        <v>345</v>
      </c>
      <c r="DQ313" s="41" t="s">
        <v>344</v>
      </c>
      <c r="DR313" s="41" t="s">
        <v>344</v>
      </c>
      <c r="DS313" s="41" t="s">
        <v>344</v>
      </c>
      <c r="DT313" s="41" t="s">
        <v>368</v>
      </c>
      <c r="DU313" s="41" t="s">
        <v>368</v>
      </c>
      <c r="DV313" s="41" t="s">
        <v>368</v>
      </c>
      <c r="DW313" s="41" t="s">
        <v>345</v>
      </c>
      <c r="DX313" s="41" t="s">
        <v>397</v>
      </c>
      <c r="DY313" s="41" t="s">
        <v>1272</v>
      </c>
      <c r="DZ313" s="41" t="s">
        <v>397</v>
      </c>
      <c r="EA313" s="41" t="s">
        <v>1273</v>
      </c>
      <c r="EB313" s="41" t="s">
        <v>397</v>
      </c>
      <c r="EC313" s="41" t="s">
        <v>397</v>
      </c>
      <c r="ED313" s="41" t="s">
        <v>1274</v>
      </c>
      <c r="EE313" s="41" t="s">
        <v>1258</v>
      </c>
      <c r="EF313" s="41" t="s">
        <v>1258</v>
      </c>
      <c r="EG313" s="41" t="s">
        <v>397</v>
      </c>
      <c r="EH313" s="41" t="s">
        <v>1258</v>
      </c>
      <c r="EI313" s="41" t="s">
        <v>1258</v>
      </c>
      <c r="EJ313" s="41" t="s">
        <v>1258</v>
      </c>
      <c r="EK313" s="41" t="s">
        <v>1272</v>
      </c>
      <c r="EL313" s="41" t="s">
        <v>1260</v>
      </c>
      <c r="EM313" s="41" t="s">
        <v>1276</v>
      </c>
      <c r="EN313" s="41" t="s">
        <v>1275</v>
      </c>
      <c r="EO313" s="41"/>
      <c r="EP313" s="41"/>
      <c r="EQ313" s="41" t="s">
        <v>717</v>
      </c>
      <c r="ER313" s="41" t="s">
        <v>717</v>
      </c>
      <c r="ES313" s="41" t="s">
        <v>717</v>
      </c>
      <c r="ET313" s="41" t="s">
        <v>717</v>
      </c>
      <c r="EU313" s="41" t="s">
        <v>717</v>
      </c>
      <c r="EV313" s="41" t="s">
        <v>1265</v>
      </c>
      <c r="EW313" s="41"/>
      <c r="EX313" s="41" t="s">
        <v>368</v>
      </c>
      <c r="EY313" s="41" t="s">
        <v>368</v>
      </c>
      <c r="EZ313" s="41" t="s">
        <v>368</v>
      </c>
      <c r="FA313" s="41" t="s">
        <v>345</v>
      </c>
      <c r="FB313" s="41" t="s">
        <v>1321</v>
      </c>
      <c r="FC313" s="41"/>
      <c r="FD313" s="41" t="s">
        <v>1291</v>
      </c>
      <c r="FE313" s="41"/>
      <c r="FF313" s="41" t="s">
        <v>1322</v>
      </c>
      <c r="FG313" s="41" t="s">
        <v>1292</v>
      </c>
      <c r="FH313" s="41" t="s">
        <v>1301</v>
      </c>
      <c r="FI313" s="41" t="s">
        <v>1294</v>
      </c>
      <c r="FJ313" s="41"/>
      <c r="FK313" s="41"/>
      <c r="FL313" s="41"/>
      <c r="FM313" s="41"/>
      <c r="FN313" s="41"/>
      <c r="FO313" s="41"/>
      <c r="FP313" s="41"/>
      <c r="FQ313" s="41"/>
      <c r="FR313" s="41"/>
      <c r="FS313" s="41"/>
      <c r="FT313" s="41"/>
      <c r="FU313" s="41"/>
      <c r="FV313" s="41"/>
      <c r="FW313" s="41"/>
      <c r="FX313" s="41"/>
      <c r="FY313" s="41"/>
      <c r="FZ313" s="41"/>
      <c r="GA313" s="41" t="s">
        <v>368</v>
      </c>
      <c r="GB313" s="41" t="s">
        <v>368</v>
      </c>
      <c r="GC313" s="41" t="s">
        <v>368</v>
      </c>
      <c r="GD313" s="41" t="s">
        <v>368</v>
      </c>
      <c r="GE313" s="41" t="s">
        <v>368</v>
      </c>
      <c r="GF313" s="41" t="s">
        <v>368</v>
      </c>
      <c r="GG313" s="41"/>
      <c r="GH313" s="41"/>
      <c r="GI313" s="41"/>
      <c r="GJ313" s="41"/>
      <c r="GK313" s="41"/>
      <c r="GL313" s="41" t="s">
        <v>344</v>
      </c>
      <c r="GM313" s="41" t="s">
        <v>344</v>
      </c>
      <c r="GN313" s="41" t="s">
        <v>344</v>
      </c>
      <c r="GO313" s="41" t="s">
        <v>345</v>
      </c>
      <c r="GP313" s="41" t="s">
        <v>344</v>
      </c>
      <c r="GQ313" s="41" t="s">
        <v>344</v>
      </c>
      <c r="GR313" s="41" t="s">
        <v>345</v>
      </c>
      <c r="GS313" s="41" t="s">
        <v>344</v>
      </c>
      <c r="GT313" s="41" t="s">
        <v>344</v>
      </c>
      <c r="GU313" s="41" t="s">
        <v>344</v>
      </c>
      <c r="GV313" s="41" t="s">
        <v>344</v>
      </c>
      <c r="GW313" s="41" t="s">
        <v>344</v>
      </c>
      <c r="GX313" s="41" t="s">
        <v>344</v>
      </c>
      <c r="GY313" s="41" t="s">
        <v>344</v>
      </c>
      <c r="GZ313" s="41" t="s">
        <v>344</v>
      </c>
      <c r="HA313" s="41" t="s">
        <v>344</v>
      </c>
      <c r="HB313" s="41"/>
      <c r="HC313" s="41" t="s">
        <v>344</v>
      </c>
      <c r="HD313" s="41"/>
      <c r="HE313" s="41" t="s">
        <v>344</v>
      </c>
      <c r="HF313" s="41"/>
      <c r="HG313" s="41" t="s">
        <v>344</v>
      </c>
      <c r="HH313" s="41"/>
      <c r="HI313" s="41" t="s">
        <v>344</v>
      </c>
      <c r="HJ313" s="41"/>
      <c r="HK313" s="41" t="s">
        <v>344</v>
      </c>
      <c r="HL313" s="41" t="s">
        <v>344</v>
      </c>
      <c r="HM313" s="41" t="s">
        <v>344</v>
      </c>
      <c r="HN313" s="41" t="s">
        <v>344</v>
      </c>
      <c r="HO313" s="41" t="s">
        <v>344</v>
      </c>
      <c r="HP313" s="41" t="s">
        <v>344</v>
      </c>
      <c r="HQ313" s="41" t="s">
        <v>344</v>
      </c>
      <c r="HR313" s="41" t="s">
        <v>344</v>
      </c>
      <c r="HS313" s="41" t="s">
        <v>344</v>
      </c>
      <c r="HT313" s="41" t="s">
        <v>344</v>
      </c>
      <c r="HU313" s="41" t="s">
        <v>344</v>
      </c>
      <c r="HV313" s="41" t="s">
        <v>344</v>
      </c>
      <c r="HW313" s="41" t="s">
        <v>344</v>
      </c>
      <c r="HX313" s="41" t="s">
        <v>344</v>
      </c>
      <c r="HY313" s="41" t="s">
        <v>344</v>
      </c>
      <c r="HZ313" s="41" t="s">
        <v>344</v>
      </c>
      <c r="IA313" s="41" t="s">
        <v>344</v>
      </c>
      <c r="IB313" s="41" t="s">
        <v>345</v>
      </c>
      <c r="IC313" s="41" t="s">
        <v>344</v>
      </c>
      <c r="ID313" s="41"/>
      <c r="IE313" s="41" t="s">
        <v>344</v>
      </c>
      <c r="IF313" s="41"/>
      <c r="IG313" s="41" t="s">
        <v>344</v>
      </c>
      <c r="IH313" s="41"/>
      <c r="II313" s="41" t="s">
        <v>344</v>
      </c>
      <c r="IJ313" s="41"/>
      <c r="IK313" s="41" t="s">
        <v>344</v>
      </c>
      <c r="IL313" s="41"/>
      <c r="IM313" s="41" t="s">
        <v>345</v>
      </c>
      <c r="IN313" s="41" t="s">
        <v>345</v>
      </c>
      <c r="IO313" s="41" t="s">
        <v>344</v>
      </c>
      <c r="IP313" s="41" t="s">
        <v>345</v>
      </c>
      <c r="IQ313" s="41" t="s">
        <v>345</v>
      </c>
      <c r="IR313" s="41" t="s">
        <v>345</v>
      </c>
      <c r="IS313" s="41" t="s">
        <v>344</v>
      </c>
      <c r="IT313" s="41" t="s">
        <v>345</v>
      </c>
      <c r="IU313" s="41" t="s">
        <v>344</v>
      </c>
      <c r="IV313" s="41" t="s">
        <v>344</v>
      </c>
      <c r="IW313" s="41" t="s">
        <v>344</v>
      </c>
      <c r="IX313" s="41" t="s">
        <v>344</v>
      </c>
      <c r="IY313" s="41" t="s">
        <v>344</v>
      </c>
      <c r="IZ313" s="41" t="s">
        <v>344</v>
      </c>
      <c r="JA313" s="41"/>
      <c r="JB313" s="41"/>
    </row>
    <row r="314" spans="1:262" x14ac:dyDescent="0.3">
      <c r="A314" s="40" t="s">
        <v>813</v>
      </c>
      <c r="B314" s="41">
        <v>290</v>
      </c>
      <c r="C314" s="41" t="s">
        <v>1649</v>
      </c>
      <c r="D314" s="41">
        <v>14</v>
      </c>
      <c r="E314" s="41" t="s">
        <v>340</v>
      </c>
      <c r="F314" s="41">
        <v>2068582541</v>
      </c>
      <c r="G314" s="41" t="s">
        <v>1650</v>
      </c>
      <c r="H314" s="41" t="s">
        <v>1649</v>
      </c>
      <c r="I314" s="41" t="s">
        <v>1585</v>
      </c>
      <c r="J314" s="41">
        <v>17</v>
      </c>
      <c r="K314" s="41" t="s">
        <v>1255</v>
      </c>
      <c r="L314" s="41"/>
      <c r="M314" s="41" t="s">
        <v>344</v>
      </c>
      <c r="N314" s="41" t="s">
        <v>345</v>
      </c>
      <c r="O314" s="41" t="s">
        <v>344</v>
      </c>
      <c r="P314" s="41" t="s">
        <v>344</v>
      </c>
      <c r="Q314" s="41" t="s">
        <v>344</v>
      </c>
      <c r="R314" s="41"/>
      <c r="S314" s="41" t="s">
        <v>522</v>
      </c>
      <c r="T314" s="41"/>
      <c r="U314" s="41" t="s">
        <v>1256</v>
      </c>
      <c r="V314" s="41"/>
      <c r="W314" s="41" t="s">
        <v>344</v>
      </c>
      <c r="X314" s="41" t="s">
        <v>345</v>
      </c>
      <c r="Y314" s="41" t="s">
        <v>344</v>
      </c>
      <c r="Z314" s="41" t="s">
        <v>344</v>
      </c>
      <c r="AA314" s="41" t="s">
        <v>344</v>
      </c>
      <c r="AB314" s="41" t="s">
        <v>344</v>
      </c>
      <c r="AC314" s="41" t="s">
        <v>344</v>
      </c>
      <c r="AD314" s="41" t="s">
        <v>368</v>
      </c>
      <c r="AE314" s="41" t="s">
        <v>368</v>
      </c>
      <c r="AF314" s="41" t="s">
        <v>368</v>
      </c>
      <c r="AG314" s="41" t="s">
        <v>368</v>
      </c>
      <c r="AH314" s="41" t="s">
        <v>368</v>
      </c>
      <c r="AI314" s="41" t="s">
        <v>368</v>
      </c>
      <c r="AJ314" s="41" t="s">
        <v>345</v>
      </c>
      <c r="AK314" s="41" t="s">
        <v>345</v>
      </c>
      <c r="AL314" s="41" t="s">
        <v>344</v>
      </c>
      <c r="AM314" s="41" t="s">
        <v>344</v>
      </c>
      <c r="AN314" s="41" t="s">
        <v>344</v>
      </c>
      <c r="AO314" s="41" t="s">
        <v>344</v>
      </c>
      <c r="AP314" s="41" t="s">
        <v>344</v>
      </c>
      <c r="AQ314" s="41" t="s">
        <v>344</v>
      </c>
      <c r="AR314" s="41" t="s">
        <v>368</v>
      </c>
      <c r="AS314" s="41" t="s">
        <v>368</v>
      </c>
      <c r="AT314" s="41" t="s">
        <v>368</v>
      </c>
      <c r="AU314" s="41" t="s">
        <v>368</v>
      </c>
      <c r="AV314" s="41" t="s">
        <v>368</v>
      </c>
      <c r="AW314" s="41" t="s">
        <v>368</v>
      </c>
      <c r="AX314" s="41" t="s">
        <v>345</v>
      </c>
      <c r="AY314" s="41" t="s">
        <v>391</v>
      </c>
      <c r="AZ314" s="41" t="s">
        <v>391</v>
      </c>
      <c r="BA314" s="41" t="s">
        <v>391</v>
      </c>
      <c r="BB314" s="41" t="s">
        <v>732</v>
      </c>
      <c r="BC314" s="41" t="s">
        <v>737</v>
      </c>
      <c r="BD314" s="41" t="s">
        <v>391</v>
      </c>
      <c r="BE314" s="41" t="s">
        <v>349</v>
      </c>
      <c r="BF314" s="41" t="s">
        <v>349</v>
      </c>
      <c r="BG314" s="41" t="s">
        <v>349</v>
      </c>
      <c r="BH314" s="41" t="s">
        <v>349</v>
      </c>
      <c r="BI314" s="41" t="s">
        <v>349</v>
      </c>
      <c r="BJ314" s="41" t="s">
        <v>391</v>
      </c>
      <c r="BK314" s="41" t="s">
        <v>391</v>
      </c>
      <c r="BL314" s="41" t="s">
        <v>391</v>
      </c>
      <c r="BM314" s="41" t="s">
        <v>391</v>
      </c>
      <c r="BN314" s="41" t="s">
        <v>391</v>
      </c>
      <c r="BO314" s="41" t="s">
        <v>391</v>
      </c>
      <c r="BP314" s="41" t="s">
        <v>391</v>
      </c>
      <c r="BQ314" s="41" t="s">
        <v>419</v>
      </c>
      <c r="BR314" s="41" t="s">
        <v>1339</v>
      </c>
      <c r="BS314" s="41" t="s">
        <v>391</v>
      </c>
      <c r="BT314" s="41" t="s">
        <v>391</v>
      </c>
      <c r="BU314" s="41" t="s">
        <v>391</v>
      </c>
      <c r="BV314" s="41" t="s">
        <v>391</v>
      </c>
      <c r="BW314" s="41" t="s">
        <v>391</v>
      </c>
      <c r="BX314" s="41" t="s">
        <v>391</v>
      </c>
      <c r="BY314" s="41" t="s">
        <v>391</v>
      </c>
      <c r="BZ314" s="41" t="s">
        <v>391</v>
      </c>
      <c r="CA314" s="41" t="s">
        <v>391</v>
      </c>
      <c r="CB314" s="41" t="s">
        <v>391</v>
      </c>
      <c r="CC314" s="41" t="s">
        <v>391</v>
      </c>
      <c r="CD314" s="41" t="s">
        <v>391</v>
      </c>
      <c r="CE314" s="41" t="s">
        <v>391</v>
      </c>
      <c r="CF314" s="41" t="s">
        <v>391</v>
      </c>
      <c r="CG314" s="41" t="s">
        <v>420</v>
      </c>
      <c r="CH314" s="41" t="s">
        <v>421</v>
      </c>
      <c r="CI314" s="41" t="s">
        <v>420</v>
      </c>
      <c r="CJ314" s="41" t="s">
        <v>420</v>
      </c>
      <c r="CK314" s="41" t="s">
        <v>1651</v>
      </c>
      <c r="CL314" s="41" t="s">
        <v>345</v>
      </c>
      <c r="CM314" s="41" t="s">
        <v>344</v>
      </c>
      <c r="CN314" s="41" t="s">
        <v>345</v>
      </c>
      <c r="CO314" s="41" t="s">
        <v>344</v>
      </c>
      <c r="CP314" s="41" t="s">
        <v>345</v>
      </c>
      <c r="CQ314" s="41" t="s">
        <v>344</v>
      </c>
      <c r="CR314" s="41" t="s">
        <v>667</v>
      </c>
      <c r="CS314" s="41">
        <v>51</v>
      </c>
      <c r="CT314" s="41">
        <v>30</v>
      </c>
      <c r="CU314" s="41">
        <v>40</v>
      </c>
      <c r="CV314" s="41">
        <v>20</v>
      </c>
      <c r="CW314" s="41" t="s">
        <v>395</v>
      </c>
      <c r="CX314" s="41" t="s">
        <v>396</v>
      </c>
      <c r="CY314" s="41" t="s">
        <v>396</v>
      </c>
      <c r="CZ314" s="41" t="s">
        <v>397</v>
      </c>
      <c r="DA314" s="41" t="s">
        <v>397</v>
      </c>
      <c r="DB314" s="41" t="s">
        <v>397</v>
      </c>
      <c r="DC314" s="41" t="s">
        <v>397</v>
      </c>
      <c r="DD314" s="41" t="s">
        <v>397</v>
      </c>
      <c r="DE314" s="41" t="s">
        <v>397</v>
      </c>
      <c r="DF314" s="41" t="s">
        <v>397</v>
      </c>
      <c r="DG314" s="41" t="s">
        <v>397</v>
      </c>
      <c r="DH314" s="41" t="s">
        <v>397</v>
      </c>
      <c r="DI314" s="41" t="s">
        <v>397</v>
      </c>
      <c r="DJ314" s="41"/>
      <c r="DK314" s="41" t="s">
        <v>344</v>
      </c>
      <c r="DL314" s="41" t="s">
        <v>368</v>
      </c>
      <c r="DM314" s="41" t="s">
        <v>368</v>
      </c>
      <c r="DN314" s="41" t="s">
        <v>368</v>
      </c>
      <c r="DO314" s="41" t="s">
        <v>368</v>
      </c>
      <c r="DP314" s="41" t="s">
        <v>368</v>
      </c>
      <c r="DQ314" s="41" t="s">
        <v>368</v>
      </c>
      <c r="DR314" s="41" t="s">
        <v>368</v>
      </c>
      <c r="DS314" s="41" t="s">
        <v>345</v>
      </c>
      <c r="DT314" s="41" t="s">
        <v>368</v>
      </c>
      <c r="DU314" s="41" t="s">
        <v>368</v>
      </c>
      <c r="DV314" s="41" t="s">
        <v>368</v>
      </c>
      <c r="DW314" s="41" t="s">
        <v>345</v>
      </c>
      <c r="DX314" s="41" t="s">
        <v>397</v>
      </c>
      <c r="DY314" s="41" t="s">
        <v>1258</v>
      </c>
      <c r="DZ314" s="41" t="s">
        <v>397</v>
      </c>
      <c r="EA314" s="41" t="s">
        <v>397</v>
      </c>
      <c r="EB314" s="41" t="s">
        <v>397</v>
      </c>
      <c r="EC314" s="41" t="s">
        <v>397</v>
      </c>
      <c r="ED314" s="41" t="s">
        <v>1273</v>
      </c>
      <c r="EE314" s="41" t="s">
        <v>1258</v>
      </c>
      <c r="EF314" s="41" t="s">
        <v>1258</v>
      </c>
      <c r="EG314" s="41" t="s">
        <v>1258</v>
      </c>
      <c r="EH314" s="41" t="s">
        <v>1258</v>
      </c>
      <c r="EI314" s="41" t="s">
        <v>1258</v>
      </c>
      <c r="EJ314" s="41" t="s">
        <v>1258</v>
      </c>
      <c r="EK314" s="41" t="s">
        <v>1258</v>
      </c>
      <c r="EL314" s="41" t="s">
        <v>1259</v>
      </c>
      <c r="EM314" s="41" t="s">
        <v>1276</v>
      </c>
      <c r="EN314" s="41" t="s">
        <v>1260</v>
      </c>
      <c r="EO314" s="41"/>
      <c r="EP314" s="41"/>
      <c r="EQ314" s="41" t="s">
        <v>717</v>
      </c>
      <c r="ER314" s="41" t="s">
        <v>717</v>
      </c>
      <c r="ES314" s="41" t="s">
        <v>1263</v>
      </c>
      <c r="ET314" s="41" t="s">
        <v>717</v>
      </c>
      <c r="EU314" s="41" t="s">
        <v>1264</v>
      </c>
      <c r="EV314" s="41" t="s">
        <v>1265</v>
      </c>
      <c r="EW314" s="41"/>
      <c r="EX314" s="41" t="s">
        <v>368</v>
      </c>
      <c r="EY314" s="41" t="s">
        <v>368</v>
      </c>
      <c r="EZ314" s="41" t="s">
        <v>368</v>
      </c>
      <c r="FA314" s="41" t="s">
        <v>345</v>
      </c>
      <c r="FB314" s="41" t="s">
        <v>1266</v>
      </c>
      <c r="FC314" s="41"/>
      <c r="FD314" s="41" t="s">
        <v>1291</v>
      </c>
      <c r="FE314" s="41"/>
      <c r="FF314" s="41" t="s">
        <v>382</v>
      </c>
      <c r="FG314" s="41" t="s">
        <v>1323</v>
      </c>
      <c r="FH314" s="41" t="s">
        <v>1293</v>
      </c>
      <c r="FI314" s="41" t="s">
        <v>385</v>
      </c>
      <c r="FJ314" s="41"/>
      <c r="FK314" s="41"/>
      <c r="FL314" s="41"/>
      <c r="FM314" s="41"/>
      <c r="FN314" s="41"/>
      <c r="FO314" s="41"/>
      <c r="FP314" s="41"/>
      <c r="FQ314" s="41"/>
      <c r="FR314" s="41"/>
      <c r="FS314" s="41"/>
      <c r="FT314" s="41"/>
      <c r="FU314" s="41"/>
      <c r="FV314" s="41"/>
      <c r="FW314" s="41"/>
      <c r="FX314" s="41"/>
      <c r="FY314" s="41"/>
      <c r="FZ314" s="41"/>
      <c r="GA314" s="41" t="s">
        <v>368</v>
      </c>
      <c r="GB314" s="41" t="s">
        <v>368</v>
      </c>
      <c r="GC314" s="41" t="s">
        <v>368</v>
      </c>
      <c r="GD314" s="41" t="s">
        <v>368</v>
      </c>
      <c r="GE314" s="41" t="s">
        <v>368</v>
      </c>
      <c r="GF314" s="41" t="s">
        <v>368</v>
      </c>
      <c r="GG314" s="41"/>
      <c r="GH314" s="41"/>
      <c r="GI314" s="41"/>
      <c r="GJ314" s="41"/>
      <c r="GK314" s="41"/>
      <c r="GL314" s="41" t="s">
        <v>344</v>
      </c>
      <c r="GM314" s="41" t="s">
        <v>344</v>
      </c>
      <c r="GN314" s="41" t="s">
        <v>344</v>
      </c>
      <c r="GO314" s="41" t="s">
        <v>344</v>
      </c>
      <c r="GP314" s="41" t="s">
        <v>344</v>
      </c>
      <c r="GQ314" s="41" t="s">
        <v>344</v>
      </c>
      <c r="GR314" s="41" t="s">
        <v>344</v>
      </c>
      <c r="GS314" s="41" t="s">
        <v>344</v>
      </c>
      <c r="GT314" s="41" t="s">
        <v>344</v>
      </c>
      <c r="GU314" s="41" t="s">
        <v>344</v>
      </c>
      <c r="GV314" s="41" t="s">
        <v>345</v>
      </c>
      <c r="GW314" s="41" t="s">
        <v>344</v>
      </c>
      <c r="GX314" s="41" t="s">
        <v>344</v>
      </c>
      <c r="GY314" s="41" t="s">
        <v>345</v>
      </c>
      <c r="GZ314" s="41" t="s">
        <v>344</v>
      </c>
      <c r="HA314" s="41" t="s">
        <v>344</v>
      </c>
      <c r="HB314" s="41"/>
      <c r="HC314" s="41" t="s">
        <v>344</v>
      </c>
      <c r="HD314" s="41"/>
      <c r="HE314" s="41" t="s">
        <v>344</v>
      </c>
      <c r="HF314" s="41"/>
      <c r="HG314" s="41" t="s">
        <v>344</v>
      </c>
      <c r="HH314" s="41"/>
      <c r="HI314" s="41" t="s">
        <v>344</v>
      </c>
      <c r="HJ314" s="41"/>
      <c r="HK314" s="41" t="s">
        <v>344</v>
      </c>
      <c r="HL314" s="41" t="s">
        <v>344</v>
      </c>
      <c r="HM314" s="41" t="s">
        <v>344</v>
      </c>
      <c r="HN314" s="41" t="s">
        <v>344</v>
      </c>
      <c r="HO314" s="41" t="s">
        <v>344</v>
      </c>
      <c r="HP314" s="41" t="s">
        <v>344</v>
      </c>
      <c r="HQ314" s="41" t="s">
        <v>344</v>
      </c>
      <c r="HR314" s="41" t="s">
        <v>344</v>
      </c>
      <c r="HS314" s="41" t="s">
        <v>344</v>
      </c>
      <c r="HT314" s="41" t="s">
        <v>344</v>
      </c>
      <c r="HU314" s="41" t="s">
        <v>344</v>
      </c>
      <c r="HV314" s="41" t="s">
        <v>344</v>
      </c>
      <c r="HW314" s="41" t="s">
        <v>344</v>
      </c>
      <c r="HX314" s="41" t="s">
        <v>344</v>
      </c>
      <c r="HY314" s="41" t="s">
        <v>344</v>
      </c>
      <c r="HZ314" s="41" t="s">
        <v>344</v>
      </c>
      <c r="IA314" s="41" t="s">
        <v>344</v>
      </c>
      <c r="IB314" s="41" t="s">
        <v>344</v>
      </c>
      <c r="IC314" s="41" t="s">
        <v>345</v>
      </c>
      <c r="ID314" s="41"/>
      <c r="IE314" s="41" t="s">
        <v>344</v>
      </c>
      <c r="IF314" s="41"/>
      <c r="IG314" s="41" t="s">
        <v>344</v>
      </c>
      <c r="IH314" s="41"/>
      <c r="II314" s="41" t="s">
        <v>344</v>
      </c>
      <c r="IJ314" s="41"/>
      <c r="IK314" s="41" t="s">
        <v>344</v>
      </c>
      <c r="IL314" s="41"/>
      <c r="IM314" s="41" t="s">
        <v>345</v>
      </c>
      <c r="IN314" s="41" t="s">
        <v>345</v>
      </c>
      <c r="IO314" s="41" t="s">
        <v>344</v>
      </c>
      <c r="IP314" s="41" t="s">
        <v>344</v>
      </c>
      <c r="IQ314" s="41" t="s">
        <v>345</v>
      </c>
      <c r="IR314" s="41" t="s">
        <v>345</v>
      </c>
      <c r="IS314" s="41" t="s">
        <v>344</v>
      </c>
      <c r="IT314" s="41" t="s">
        <v>345</v>
      </c>
      <c r="IU314" s="41" t="s">
        <v>345</v>
      </c>
      <c r="IV314" s="41" t="s">
        <v>344</v>
      </c>
      <c r="IW314" s="41" t="s">
        <v>344</v>
      </c>
      <c r="IX314" s="41" t="s">
        <v>344</v>
      </c>
      <c r="IY314" s="41" t="s">
        <v>345</v>
      </c>
      <c r="IZ314" s="41" t="s">
        <v>344</v>
      </c>
      <c r="JA314" s="41"/>
      <c r="JB314" s="41"/>
    </row>
    <row r="315" spans="1:262" x14ac:dyDescent="0.3">
      <c r="A315" s="40" t="s">
        <v>813</v>
      </c>
      <c r="B315" s="41">
        <v>291</v>
      </c>
      <c r="C315" s="41" t="s">
        <v>1652</v>
      </c>
      <c r="D315" s="41">
        <v>14</v>
      </c>
      <c r="E315" s="41" t="s">
        <v>340</v>
      </c>
      <c r="F315" s="41">
        <v>28104031</v>
      </c>
      <c r="G315" s="41" t="s">
        <v>1653</v>
      </c>
      <c r="H315" s="41" t="s">
        <v>1652</v>
      </c>
      <c r="I315" s="41" t="s">
        <v>1593</v>
      </c>
      <c r="J315" s="41">
        <v>17</v>
      </c>
      <c r="K315" s="41" t="s">
        <v>1255</v>
      </c>
      <c r="L315" s="41"/>
      <c r="M315" s="41" t="s">
        <v>345</v>
      </c>
      <c r="N315" s="41" t="s">
        <v>345</v>
      </c>
      <c r="O315" s="41" t="s">
        <v>344</v>
      </c>
      <c r="P315" s="41" t="s">
        <v>344</v>
      </c>
      <c r="Q315" s="41" t="s">
        <v>344</v>
      </c>
      <c r="R315" s="41"/>
      <c r="S315" s="41" t="s">
        <v>522</v>
      </c>
      <c r="T315" s="41"/>
      <c r="U315" s="41" t="s">
        <v>1457</v>
      </c>
      <c r="V315" s="41"/>
      <c r="W315" s="41" t="s">
        <v>345</v>
      </c>
      <c r="X315" s="41" t="s">
        <v>345</v>
      </c>
      <c r="Y315" s="41" t="s">
        <v>345</v>
      </c>
      <c r="Z315" s="41" t="s">
        <v>344</v>
      </c>
      <c r="AA315" s="41" t="s">
        <v>344</v>
      </c>
      <c r="AB315" s="41" t="s">
        <v>344</v>
      </c>
      <c r="AC315" s="41" t="s">
        <v>344</v>
      </c>
      <c r="AD315" s="41" t="s">
        <v>345</v>
      </c>
      <c r="AE315" s="41" t="s">
        <v>344</v>
      </c>
      <c r="AF315" s="41" t="s">
        <v>344</v>
      </c>
      <c r="AG315" s="41" t="s">
        <v>344</v>
      </c>
      <c r="AH315" s="41" t="s">
        <v>344</v>
      </c>
      <c r="AI315" s="41" t="s">
        <v>344</v>
      </c>
      <c r="AJ315" s="41" t="s">
        <v>344</v>
      </c>
      <c r="AK315" s="41" t="s">
        <v>368</v>
      </c>
      <c r="AL315" s="41" t="s">
        <v>368</v>
      </c>
      <c r="AM315" s="41" t="s">
        <v>368</v>
      </c>
      <c r="AN315" s="41" t="s">
        <v>368</v>
      </c>
      <c r="AO315" s="41" t="s">
        <v>368</v>
      </c>
      <c r="AP315" s="41" t="s">
        <v>368</v>
      </c>
      <c r="AQ315" s="41" t="s">
        <v>345</v>
      </c>
      <c r="AR315" s="41" t="s">
        <v>345</v>
      </c>
      <c r="AS315" s="41" t="s">
        <v>345</v>
      </c>
      <c r="AT315" s="41" t="s">
        <v>345</v>
      </c>
      <c r="AU315" s="41" t="s">
        <v>345</v>
      </c>
      <c r="AV315" s="41" t="s">
        <v>345</v>
      </c>
      <c r="AW315" s="41" t="s">
        <v>345</v>
      </c>
      <c r="AX315" s="41" t="s">
        <v>344</v>
      </c>
      <c r="AY315" s="41" t="s">
        <v>391</v>
      </c>
      <c r="AZ315" s="41" t="s">
        <v>731</v>
      </c>
      <c r="BA315" s="41" t="s">
        <v>731</v>
      </c>
      <c r="BB315" s="41" t="s">
        <v>732</v>
      </c>
      <c r="BC315" s="41" t="s">
        <v>733</v>
      </c>
      <c r="BD315" s="41" t="s">
        <v>732</v>
      </c>
      <c r="BE315" s="41" t="s">
        <v>390</v>
      </c>
      <c r="BF315" s="41" t="s">
        <v>350</v>
      </c>
      <c r="BG315" s="41" t="s">
        <v>390</v>
      </c>
      <c r="BH315" s="41" t="s">
        <v>390</v>
      </c>
      <c r="BI315" s="41" t="s">
        <v>390</v>
      </c>
      <c r="BJ315" s="41" t="s">
        <v>353</v>
      </c>
      <c r="BK315" s="41" t="s">
        <v>356</v>
      </c>
      <c r="BL315" s="41" t="s">
        <v>351</v>
      </c>
      <c r="BM315" s="41" t="s">
        <v>351</v>
      </c>
      <c r="BN315" s="41" t="s">
        <v>351</v>
      </c>
      <c r="BO315" s="41" t="s">
        <v>351</v>
      </c>
      <c r="BP315" s="41" t="s">
        <v>351</v>
      </c>
      <c r="BQ315" s="41" t="s">
        <v>358</v>
      </c>
      <c r="BR315" s="41" t="s">
        <v>1296</v>
      </c>
      <c r="BS315" s="41" t="s">
        <v>353</v>
      </c>
      <c r="BT315" s="41" t="s">
        <v>352</v>
      </c>
      <c r="BU315" s="41" t="s">
        <v>351</v>
      </c>
      <c r="BV315" s="41" t="s">
        <v>351</v>
      </c>
      <c r="BW315" s="41" t="s">
        <v>352</v>
      </c>
      <c r="BX315" s="41" t="s">
        <v>351</v>
      </c>
      <c r="BY315" s="41" t="s">
        <v>356</v>
      </c>
      <c r="BZ315" s="41" t="s">
        <v>391</v>
      </c>
      <c r="CA315" s="41" t="s">
        <v>391</v>
      </c>
      <c r="CB315" s="41" t="s">
        <v>391</v>
      </c>
      <c r="CC315" s="41" t="s">
        <v>391</v>
      </c>
      <c r="CD315" s="41" t="s">
        <v>391</v>
      </c>
      <c r="CE315" s="41" t="s">
        <v>391</v>
      </c>
      <c r="CF315" s="41" t="s">
        <v>391</v>
      </c>
      <c r="CG315" s="41" t="s">
        <v>392</v>
      </c>
      <c r="CH315" s="41" t="s">
        <v>421</v>
      </c>
      <c r="CI315" s="41" t="s">
        <v>392</v>
      </c>
      <c r="CJ315" s="41" t="s">
        <v>420</v>
      </c>
      <c r="CK315" s="41" t="s">
        <v>1654</v>
      </c>
      <c r="CL315" s="41" t="s">
        <v>344</v>
      </c>
      <c r="CM315" s="41" t="s">
        <v>345</v>
      </c>
      <c r="CN315" s="41" t="s">
        <v>345</v>
      </c>
      <c r="CO315" s="41" t="s">
        <v>344</v>
      </c>
      <c r="CP315" s="41" t="s">
        <v>344</v>
      </c>
      <c r="CQ315" s="41" t="s">
        <v>344</v>
      </c>
      <c r="CR315" s="41" t="s">
        <v>655</v>
      </c>
      <c r="CS315" s="41">
        <v>1</v>
      </c>
      <c r="CT315" s="41">
        <v>70</v>
      </c>
      <c r="CU315" s="41">
        <v>100</v>
      </c>
      <c r="CV315" s="41">
        <v>70</v>
      </c>
      <c r="CW315" s="41" t="s">
        <v>396</v>
      </c>
      <c r="CX315" s="41" t="s">
        <v>396</v>
      </c>
      <c r="CY315" s="41" t="s">
        <v>396</v>
      </c>
      <c r="CZ315" s="41" t="s">
        <v>366</v>
      </c>
      <c r="DA315" s="41" t="s">
        <v>365</v>
      </c>
      <c r="DB315" s="41" t="s">
        <v>365</v>
      </c>
      <c r="DC315" s="41" t="s">
        <v>397</v>
      </c>
      <c r="DD315" s="41" t="s">
        <v>397</v>
      </c>
      <c r="DE315" s="41" t="s">
        <v>397</v>
      </c>
      <c r="DF315" s="41" t="s">
        <v>423</v>
      </c>
      <c r="DG315" s="41" t="s">
        <v>397</v>
      </c>
      <c r="DH315" s="41" t="s">
        <v>397</v>
      </c>
      <c r="DI315" s="41" t="s">
        <v>423</v>
      </c>
      <c r="DJ315" s="41" t="s">
        <v>1655</v>
      </c>
      <c r="DK315" s="41" t="s">
        <v>344</v>
      </c>
      <c r="DL315" s="41" t="s">
        <v>368</v>
      </c>
      <c r="DM315" s="41" t="s">
        <v>368</v>
      </c>
      <c r="DN315" s="41" t="s">
        <v>368</v>
      </c>
      <c r="DO315" s="41" t="s">
        <v>368</v>
      </c>
      <c r="DP315" s="41" t="s">
        <v>345</v>
      </c>
      <c r="DQ315" s="41" t="s">
        <v>344</v>
      </c>
      <c r="DR315" s="41" t="s">
        <v>344</v>
      </c>
      <c r="DS315" s="41" t="s">
        <v>344</v>
      </c>
      <c r="DT315" s="41" t="s">
        <v>344</v>
      </c>
      <c r="DU315" s="41" t="s">
        <v>345</v>
      </c>
      <c r="DV315" s="41" t="s">
        <v>344</v>
      </c>
      <c r="DW315" s="41" t="s">
        <v>344</v>
      </c>
      <c r="DX315" s="41" t="s">
        <v>397</v>
      </c>
      <c r="DY315" s="41" t="s">
        <v>397</v>
      </c>
      <c r="DZ315" s="41" t="s">
        <v>397</v>
      </c>
      <c r="EA315" s="41" t="s">
        <v>397</v>
      </c>
      <c r="EB315" s="41" t="s">
        <v>397</v>
      </c>
      <c r="EC315" s="41" t="s">
        <v>397</v>
      </c>
      <c r="ED315" s="41" t="s">
        <v>397</v>
      </c>
      <c r="EE315" s="41" t="s">
        <v>1258</v>
      </c>
      <c r="EF315" s="41" t="s">
        <v>1258</v>
      </c>
      <c r="EG315" s="41" t="s">
        <v>1258</v>
      </c>
      <c r="EH315" s="41" t="s">
        <v>1258</v>
      </c>
      <c r="EI315" s="41" t="s">
        <v>1258</v>
      </c>
      <c r="EJ315" s="41" t="s">
        <v>1258</v>
      </c>
      <c r="EK315" s="41" t="s">
        <v>1258</v>
      </c>
      <c r="EL315" s="41" t="s">
        <v>1276</v>
      </c>
      <c r="EM315" s="41" t="s">
        <v>1261</v>
      </c>
      <c r="EN315" s="41" t="s">
        <v>1275</v>
      </c>
      <c r="EO315" s="41"/>
      <c r="EP315" s="41"/>
      <c r="EQ315" s="41" t="s">
        <v>1264</v>
      </c>
      <c r="ER315" s="41" t="s">
        <v>1264</v>
      </c>
      <c r="ES315" s="41" t="s">
        <v>1277</v>
      </c>
      <c r="ET315" s="41" t="s">
        <v>1263</v>
      </c>
      <c r="EU315" s="41" t="s">
        <v>1263</v>
      </c>
      <c r="EV315" s="41" t="s">
        <v>1265</v>
      </c>
      <c r="EW315" s="41"/>
      <c r="EX315" s="41" t="s">
        <v>368</v>
      </c>
      <c r="EY315" s="41" t="s">
        <v>368</v>
      </c>
      <c r="EZ315" s="41" t="s">
        <v>368</v>
      </c>
      <c r="FA315" s="41" t="s">
        <v>345</v>
      </c>
      <c r="FB315" s="41" t="s">
        <v>1321</v>
      </c>
      <c r="FC315" s="41"/>
      <c r="FD315" s="41" t="s">
        <v>1321</v>
      </c>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t="s">
        <v>368</v>
      </c>
      <c r="GB315" s="41" t="s">
        <v>368</v>
      </c>
      <c r="GC315" s="41" t="s">
        <v>368</v>
      </c>
      <c r="GD315" s="41" t="s">
        <v>368</v>
      </c>
      <c r="GE315" s="41" t="s">
        <v>368</v>
      </c>
      <c r="GF315" s="41" t="s">
        <v>368</v>
      </c>
      <c r="GG315" s="41"/>
      <c r="GH315" s="41"/>
      <c r="GI315" s="41"/>
      <c r="GJ315" s="41"/>
      <c r="GK315" s="41"/>
      <c r="GL315" s="41" t="s">
        <v>344</v>
      </c>
      <c r="GM315" s="41" t="s">
        <v>344</v>
      </c>
      <c r="GN315" s="41" t="s">
        <v>344</v>
      </c>
      <c r="GO315" s="41" t="s">
        <v>344</v>
      </c>
      <c r="GP315" s="41" t="s">
        <v>344</v>
      </c>
      <c r="GQ315" s="41" t="s">
        <v>344</v>
      </c>
      <c r="GR315" s="41" t="s">
        <v>345</v>
      </c>
      <c r="GS315" s="41" t="s">
        <v>344</v>
      </c>
      <c r="GT315" s="41" t="s">
        <v>344</v>
      </c>
      <c r="GU315" s="41" t="s">
        <v>345</v>
      </c>
      <c r="GV315" s="41" t="s">
        <v>345</v>
      </c>
      <c r="GW315" s="41" t="s">
        <v>344</v>
      </c>
      <c r="GX315" s="41" t="s">
        <v>344</v>
      </c>
      <c r="GY315" s="41" t="s">
        <v>344</v>
      </c>
      <c r="GZ315" s="41" t="s">
        <v>345</v>
      </c>
      <c r="HA315" s="41" t="s">
        <v>344</v>
      </c>
      <c r="HB315" s="41"/>
      <c r="HC315" s="41" t="s">
        <v>344</v>
      </c>
      <c r="HD315" s="41"/>
      <c r="HE315" s="41" t="s">
        <v>344</v>
      </c>
      <c r="HF315" s="41"/>
      <c r="HG315" s="41" t="s">
        <v>344</v>
      </c>
      <c r="HH315" s="41"/>
      <c r="HI315" s="41" t="s">
        <v>344</v>
      </c>
      <c r="HJ315" s="41"/>
      <c r="HK315" s="41" t="s">
        <v>344</v>
      </c>
      <c r="HL315" s="41" t="s">
        <v>344</v>
      </c>
      <c r="HM315" s="41" t="s">
        <v>344</v>
      </c>
      <c r="HN315" s="41" t="s">
        <v>344</v>
      </c>
      <c r="HO315" s="41" t="s">
        <v>344</v>
      </c>
      <c r="HP315" s="41" t="s">
        <v>344</v>
      </c>
      <c r="HQ315" s="41" t="s">
        <v>344</v>
      </c>
      <c r="HR315" s="41" t="s">
        <v>344</v>
      </c>
      <c r="HS315" s="41" t="s">
        <v>344</v>
      </c>
      <c r="HT315" s="41" t="s">
        <v>344</v>
      </c>
      <c r="HU315" s="41" t="s">
        <v>344</v>
      </c>
      <c r="HV315" s="41" t="s">
        <v>344</v>
      </c>
      <c r="HW315" s="41" t="s">
        <v>344</v>
      </c>
      <c r="HX315" s="41" t="s">
        <v>345</v>
      </c>
      <c r="HY315" s="41" t="s">
        <v>344</v>
      </c>
      <c r="HZ315" s="41" t="s">
        <v>344</v>
      </c>
      <c r="IA315" s="41" t="s">
        <v>344</v>
      </c>
      <c r="IB315" s="41" t="s">
        <v>345</v>
      </c>
      <c r="IC315" s="41" t="s">
        <v>344</v>
      </c>
      <c r="ID315" s="41"/>
      <c r="IE315" s="41" t="s">
        <v>344</v>
      </c>
      <c r="IF315" s="41"/>
      <c r="IG315" s="41" t="s">
        <v>344</v>
      </c>
      <c r="IH315" s="41"/>
      <c r="II315" s="41" t="s">
        <v>345</v>
      </c>
      <c r="IJ315" s="41" t="s">
        <v>1656</v>
      </c>
      <c r="IK315" s="41" t="s">
        <v>344</v>
      </c>
      <c r="IL315" s="41"/>
      <c r="IM315" s="41" t="s">
        <v>345</v>
      </c>
      <c r="IN315" s="41" t="s">
        <v>345</v>
      </c>
      <c r="IO315" s="41" t="s">
        <v>344</v>
      </c>
      <c r="IP315" s="41" t="s">
        <v>344</v>
      </c>
      <c r="IQ315" s="41" t="s">
        <v>345</v>
      </c>
      <c r="IR315" s="41" t="s">
        <v>345</v>
      </c>
      <c r="IS315" s="41" t="s">
        <v>344</v>
      </c>
      <c r="IT315" s="41" t="s">
        <v>345</v>
      </c>
      <c r="IU315" s="41" t="s">
        <v>344</v>
      </c>
      <c r="IV315" s="41" t="s">
        <v>344</v>
      </c>
      <c r="IW315" s="41" t="s">
        <v>344</v>
      </c>
      <c r="IX315" s="41" t="s">
        <v>344</v>
      </c>
      <c r="IY315" s="41" t="s">
        <v>345</v>
      </c>
      <c r="IZ315" s="41" t="s">
        <v>344</v>
      </c>
      <c r="JA315" s="41"/>
      <c r="JB315" s="41"/>
    </row>
    <row r="316" spans="1:262" x14ac:dyDescent="0.3">
      <c r="A316" s="40" t="s">
        <v>813</v>
      </c>
      <c r="B316" s="41">
        <v>292</v>
      </c>
      <c r="C316" s="41" t="s">
        <v>1657</v>
      </c>
      <c r="D316" s="41">
        <v>14</v>
      </c>
      <c r="E316" s="41" t="s">
        <v>340</v>
      </c>
      <c r="F316" s="41">
        <v>38958792</v>
      </c>
      <c r="G316" s="41" t="s">
        <v>1658</v>
      </c>
      <c r="H316" s="41" t="s">
        <v>1657</v>
      </c>
      <c r="I316" s="41" t="s">
        <v>1593</v>
      </c>
      <c r="J316" s="41">
        <v>17</v>
      </c>
      <c r="K316" s="41" t="s">
        <v>1255</v>
      </c>
      <c r="L316" s="41"/>
      <c r="M316" s="41" t="s">
        <v>345</v>
      </c>
      <c r="N316" s="41" t="s">
        <v>345</v>
      </c>
      <c r="O316" s="41" t="s">
        <v>344</v>
      </c>
      <c r="P316" s="41" t="s">
        <v>344</v>
      </c>
      <c r="Q316" s="41" t="s">
        <v>344</v>
      </c>
      <c r="R316" s="41"/>
      <c r="S316" s="41" t="s">
        <v>522</v>
      </c>
      <c r="T316" s="41"/>
      <c r="U316" s="41" t="s">
        <v>1256</v>
      </c>
      <c r="V316" s="41"/>
      <c r="W316" s="41" t="s">
        <v>345</v>
      </c>
      <c r="X316" s="41" t="s">
        <v>344</v>
      </c>
      <c r="Y316" s="41" t="s">
        <v>344</v>
      </c>
      <c r="Z316" s="41" t="s">
        <v>344</v>
      </c>
      <c r="AA316" s="41" t="s">
        <v>345</v>
      </c>
      <c r="AB316" s="41" t="s">
        <v>344</v>
      </c>
      <c r="AC316" s="41" t="s">
        <v>344</v>
      </c>
      <c r="AD316" s="41" t="s">
        <v>345</v>
      </c>
      <c r="AE316" s="41" t="s">
        <v>345</v>
      </c>
      <c r="AF316" s="41" t="s">
        <v>344</v>
      </c>
      <c r="AG316" s="41" t="s">
        <v>344</v>
      </c>
      <c r="AH316" s="41" t="s">
        <v>345</v>
      </c>
      <c r="AI316" s="41" t="s">
        <v>344</v>
      </c>
      <c r="AJ316" s="41" t="s">
        <v>344</v>
      </c>
      <c r="AK316" s="41" t="s">
        <v>344</v>
      </c>
      <c r="AL316" s="41" t="s">
        <v>345</v>
      </c>
      <c r="AM316" s="41" t="s">
        <v>345</v>
      </c>
      <c r="AN316" s="41" t="s">
        <v>344</v>
      </c>
      <c r="AO316" s="41" t="s">
        <v>345</v>
      </c>
      <c r="AP316" s="41" t="s">
        <v>345</v>
      </c>
      <c r="AQ316" s="41" t="s">
        <v>344</v>
      </c>
      <c r="AR316" s="41" t="s">
        <v>345</v>
      </c>
      <c r="AS316" s="41" t="s">
        <v>345</v>
      </c>
      <c r="AT316" s="41" t="s">
        <v>345</v>
      </c>
      <c r="AU316" s="41" t="s">
        <v>345</v>
      </c>
      <c r="AV316" s="41" t="s">
        <v>345</v>
      </c>
      <c r="AW316" s="41" t="s">
        <v>345</v>
      </c>
      <c r="AX316" s="41" t="s">
        <v>344</v>
      </c>
      <c r="AY316" s="41" t="s">
        <v>733</v>
      </c>
      <c r="AZ316" s="41" t="s">
        <v>733</v>
      </c>
      <c r="BA316" s="41" t="s">
        <v>737</v>
      </c>
      <c r="BB316" s="41" t="s">
        <v>731</v>
      </c>
      <c r="BC316" s="41" t="s">
        <v>731</v>
      </c>
      <c r="BD316" s="41" t="s">
        <v>391</v>
      </c>
      <c r="BE316" s="41" t="s">
        <v>390</v>
      </c>
      <c r="BF316" s="41" t="s">
        <v>350</v>
      </c>
      <c r="BG316" s="41" t="s">
        <v>390</v>
      </c>
      <c r="BH316" s="41" t="s">
        <v>390</v>
      </c>
      <c r="BI316" s="41" t="s">
        <v>349</v>
      </c>
      <c r="BJ316" s="41" t="s">
        <v>391</v>
      </c>
      <c r="BK316" s="41" t="s">
        <v>391</v>
      </c>
      <c r="BL316" s="41" t="s">
        <v>391</v>
      </c>
      <c r="BM316" s="41" t="s">
        <v>391</v>
      </c>
      <c r="BN316" s="41" t="s">
        <v>391</v>
      </c>
      <c r="BO316" s="41" t="s">
        <v>391</v>
      </c>
      <c r="BP316" s="41" t="s">
        <v>351</v>
      </c>
      <c r="BQ316" s="41" t="s">
        <v>358</v>
      </c>
      <c r="BR316" s="41" t="s">
        <v>1257</v>
      </c>
      <c r="BS316" s="41" t="s">
        <v>354</v>
      </c>
      <c r="BT316" s="41" t="s">
        <v>351</v>
      </c>
      <c r="BU316" s="41" t="s">
        <v>357</v>
      </c>
      <c r="BV316" s="41" t="s">
        <v>353</v>
      </c>
      <c r="BW316" s="41" t="s">
        <v>356</v>
      </c>
      <c r="BX316" s="41" t="s">
        <v>355</v>
      </c>
      <c r="BY316" s="41" t="s">
        <v>352</v>
      </c>
      <c r="BZ316" s="41" t="s">
        <v>391</v>
      </c>
      <c r="CA316" s="41" t="s">
        <v>391</v>
      </c>
      <c r="CB316" s="41" t="s">
        <v>391</v>
      </c>
      <c r="CC316" s="41" t="s">
        <v>391</v>
      </c>
      <c r="CD316" s="41" t="s">
        <v>391</v>
      </c>
      <c r="CE316" s="41" t="s">
        <v>391</v>
      </c>
      <c r="CF316" s="41" t="s">
        <v>391</v>
      </c>
      <c r="CG316" s="41" t="s">
        <v>360</v>
      </c>
      <c r="CH316" s="41" t="s">
        <v>421</v>
      </c>
      <c r="CI316" s="41" t="s">
        <v>420</v>
      </c>
      <c r="CJ316" s="41" t="s">
        <v>421</v>
      </c>
      <c r="CK316" s="41" t="s">
        <v>510</v>
      </c>
      <c r="CL316" s="41" t="s">
        <v>344</v>
      </c>
      <c r="CM316" s="41" t="s">
        <v>344</v>
      </c>
      <c r="CN316" s="41" t="s">
        <v>344</v>
      </c>
      <c r="CO316" s="41" t="s">
        <v>344</v>
      </c>
      <c r="CP316" s="41" t="s">
        <v>345</v>
      </c>
      <c r="CQ316" s="41" t="s">
        <v>344</v>
      </c>
      <c r="CR316" s="41" t="s">
        <v>655</v>
      </c>
      <c r="CS316" s="41">
        <v>1</v>
      </c>
      <c r="CT316" s="41">
        <v>77</v>
      </c>
      <c r="CU316" s="41">
        <v>100</v>
      </c>
      <c r="CV316" s="41">
        <v>77</v>
      </c>
      <c r="CW316" s="41" t="s">
        <v>396</v>
      </c>
      <c r="CX316" s="41" t="s">
        <v>396</v>
      </c>
      <c r="CY316" s="41" t="s">
        <v>396</v>
      </c>
      <c r="CZ316" s="41" t="s">
        <v>397</v>
      </c>
      <c r="DA316" s="41" t="s">
        <v>423</v>
      </c>
      <c r="DB316" s="41" t="s">
        <v>397</v>
      </c>
      <c r="DC316" s="41" t="s">
        <v>397</v>
      </c>
      <c r="DD316" s="41" t="s">
        <v>423</v>
      </c>
      <c r="DE316" s="41" t="s">
        <v>397</v>
      </c>
      <c r="DF316" s="41" t="s">
        <v>397</v>
      </c>
      <c r="DG316" s="41" t="s">
        <v>397</v>
      </c>
      <c r="DH316" s="41" t="s">
        <v>397</v>
      </c>
      <c r="DI316" s="41" t="s">
        <v>397</v>
      </c>
      <c r="DJ316" s="41" t="s">
        <v>510</v>
      </c>
      <c r="DK316" s="41" t="s">
        <v>344</v>
      </c>
      <c r="DL316" s="41" t="s">
        <v>368</v>
      </c>
      <c r="DM316" s="41" t="s">
        <v>368</v>
      </c>
      <c r="DN316" s="41" t="s">
        <v>368</v>
      </c>
      <c r="DO316" s="41" t="s">
        <v>368</v>
      </c>
      <c r="DP316" s="41" t="s">
        <v>368</v>
      </c>
      <c r="DQ316" s="41" t="s">
        <v>368</v>
      </c>
      <c r="DR316" s="41" t="s">
        <v>368</v>
      </c>
      <c r="DS316" s="41" t="s">
        <v>345</v>
      </c>
      <c r="DT316" s="41" t="s">
        <v>344</v>
      </c>
      <c r="DU316" s="41" t="s">
        <v>345</v>
      </c>
      <c r="DV316" s="41" t="s">
        <v>344</v>
      </c>
      <c r="DW316" s="41" t="s">
        <v>344</v>
      </c>
      <c r="DX316" s="41" t="s">
        <v>397</v>
      </c>
      <c r="DY316" s="41" t="s">
        <v>397</v>
      </c>
      <c r="DZ316" s="41" t="s">
        <v>397</v>
      </c>
      <c r="EA316" s="41" t="s">
        <v>397</v>
      </c>
      <c r="EB316" s="41" t="s">
        <v>397</v>
      </c>
      <c r="EC316" s="41" t="s">
        <v>397</v>
      </c>
      <c r="ED316" s="41" t="s">
        <v>397</v>
      </c>
      <c r="EE316" s="41" t="s">
        <v>1258</v>
      </c>
      <c r="EF316" s="41" t="s">
        <v>1258</v>
      </c>
      <c r="EG316" s="41" t="s">
        <v>1258</v>
      </c>
      <c r="EH316" s="41" t="s">
        <v>1258</v>
      </c>
      <c r="EI316" s="41" t="s">
        <v>1258</v>
      </c>
      <c r="EJ316" s="41" t="s">
        <v>1258</v>
      </c>
      <c r="EK316" s="41" t="s">
        <v>1258</v>
      </c>
      <c r="EL316" s="41" t="s">
        <v>1260</v>
      </c>
      <c r="EM316" s="41" t="s">
        <v>1261</v>
      </c>
      <c r="EN316" s="41" t="s">
        <v>1275</v>
      </c>
      <c r="EO316" s="41"/>
      <c r="EP316" s="41"/>
      <c r="EQ316" s="41" t="s">
        <v>1264</v>
      </c>
      <c r="ER316" s="41" t="s">
        <v>1264</v>
      </c>
      <c r="ES316" s="41" t="s">
        <v>1277</v>
      </c>
      <c r="ET316" s="41" t="s">
        <v>1264</v>
      </c>
      <c r="EU316" s="41" t="s">
        <v>1277</v>
      </c>
      <c r="EV316" s="41" t="s">
        <v>1265</v>
      </c>
      <c r="EW316" s="41"/>
      <c r="EX316" s="171" t="s">
        <v>345</v>
      </c>
      <c r="EY316" s="171" t="s">
        <v>344</v>
      </c>
      <c r="EZ316" s="171" t="s">
        <v>344</v>
      </c>
      <c r="FA316" s="171" t="s">
        <v>344</v>
      </c>
      <c r="FB316" s="41" t="s">
        <v>1321</v>
      </c>
      <c r="FC316" s="41"/>
      <c r="FD316" s="41" t="s">
        <v>1300</v>
      </c>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t="s">
        <v>368</v>
      </c>
      <c r="GB316" s="41" t="s">
        <v>368</v>
      </c>
      <c r="GC316" s="41" t="s">
        <v>368</v>
      </c>
      <c r="GD316" s="41" t="s">
        <v>368</v>
      </c>
      <c r="GE316" s="41" t="s">
        <v>368</v>
      </c>
      <c r="GF316" s="41" t="s">
        <v>368</v>
      </c>
      <c r="GG316" s="41"/>
      <c r="GH316" s="41"/>
      <c r="GI316" s="41"/>
      <c r="GJ316" s="41"/>
      <c r="GK316" s="41"/>
      <c r="GL316" s="41" t="s">
        <v>344</v>
      </c>
      <c r="GM316" s="41" t="s">
        <v>344</v>
      </c>
      <c r="GN316" s="41" t="s">
        <v>344</v>
      </c>
      <c r="GO316" s="41" t="s">
        <v>344</v>
      </c>
      <c r="GP316" s="41" t="s">
        <v>344</v>
      </c>
      <c r="GQ316" s="41" t="s">
        <v>344</v>
      </c>
      <c r="GR316" s="41" t="s">
        <v>344</v>
      </c>
      <c r="GS316" s="41" t="s">
        <v>344</v>
      </c>
      <c r="GT316" s="41" t="s">
        <v>344</v>
      </c>
      <c r="GU316" s="41" t="s">
        <v>344</v>
      </c>
      <c r="GV316" s="41" t="s">
        <v>344</v>
      </c>
      <c r="GW316" s="41" t="s">
        <v>344</v>
      </c>
      <c r="GX316" s="41" t="s">
        <v>344</v>
      </c>
      <c r="GY316" s="41" t="s">
        <v>344</v>
      </c>
      <c r="GZ316" s="41" t="s">
        <v>344</v>
      </c>
      <c r="HA316" s="41" t="s">
        <v>345</v>
      </c>
      <c r="HB316" s="41"/>
      <c r="HC316" s="41" t="s">
        <v>344</v>
      </c>
      <c r="HD316" s="41"/>
      <c r="HE316" s="41" t="s">
        <v>344</v>
      </c>
      <c r="HF316" s="41"/>
      <c r="HG316" s="41" t="s">
        <v>344</v>
      </c>
      <c r="HH316" s="41"/>
      <c r="HI316" s="41" t="s">
        <v>344</v>
      </c>
      <c r="HJ316" s="41"/>
      <c r="HK316" s="41" t="s">
        <v>344</v>
      </c>
      <c r="HL316" s="41" t="s">
        <v>344</v>
      </c>
      <c r="HM316" s="41" t="s">
        <v>344</v>
      </c>
      <c r="HN316" s="41" t="s">
        <v>344</v>
      </c>
      <c r="HO316" s="41" t="s">
        <v>344</v>
      </c>
      <c r="HP316" s="41" t="s">
        <v>344</v>
      </c>
      <c r="HQ316" s="41" t="s">
        <v>344</v>
      </c>
      <c r="HR316" s="41" t="s">
        <v>344</v>
      </c>
      <c r="HS316" s="41" t="s">
        <v>344</v>
      </c>
      <c r="HT316" s="41" t="s">
        <v>344</v>
      </c>
      <c r="HU316" s="41" t="s">
        <v>344</v>
      </c>
      <c r="HV316" s="41" t="s">
        <v>344</v>
      </c>
      <c r="HW316" s="41" t="s">
        <v>344</v>
      </c>
      <c r="HX316" s="41" t="s">
        <v>344</v>
      </c>
      <c r="HY316" s="41" t="s">
        <v>344</v>
      </c>
      <c r="HZ316" s="41" t="s">
        <v>344</v>
      </c>
      <c r="IA316" s="41" t="s">
        <v>344</v>
      </c>
      <c r="IB316" s="41" t="s">
        <v>344</v>
      </c>
      <c r="IC316" s="41" t="s">
        <v>345</v>
      </c>
      <c r="ID316" s="41"/>
      <c r="IE316" s="41" t="s">
        <v>344</v>
      </c>
      <c r="IF316" s="41"/>
      <c r="IG316" s="41" t="s">
        <v>344</v>
      </c>
      <c r="IH316" s="41"/>
      <c r="II316" s="41" t="s">
        <v>344</v>
      </c>
      <c r="IJ316" s="41"/>
      <c r="IK316" s="41" t="s">
        <v>344</v>
      </c>
      <c r="IL316" s="41"/>
      <c r="IM316" s="41" t="s">
        <v>345</v>
      </c>
      <c r="IN316" s="41" t="s">
        <v>345</v>
      </c>
      <c r="IO316" s="41" t="s">
        <v>344</v>
      </c>
      <c r="IP316" s="41" t="s">
        <v>344</v>
      </c>
      <c r="IQ316" s="41" t="s">
        <v>345</v>
      </c>
      <c r="IR316" s="41" t="s">
        <v>345</v>
      </c>
      <c r="IS316" s="41" t="s">
        <v>344</v>
      </c>
      <c r="IT316" s="41" t="s">
        <v>344</v>
      </c>
      <c r="IU316" s="41" t="s">
        <v>344</v>
      </c>
      <c r="IV316" s="41" t="s">
        <v>344</v>
      </c>
      <c r="IW316" s="41" t="s">
        <v>344</v>
      </c>
      <c r="IX316" s="41" t="s">
        <v>344</v>
      </c>
      <c r="IY316" s="41" t="s">
        <v>345</v>
      </c>
      <c r="IZ316" s="41" t="s">
        <v>344</v>
      </c>
      <c r="JA316" s="41"/>
      <c r="JB316" s="41"/>
    </row>
    <row r="317" spans="1:262" x14ac:dyDescent="0.3">
      <c r="A317" s="40" t="s">
        <v>813</v>
      </c>
      <c r="B317" s="41">
        <v>293</v>
      </c>
      <c r="C317" s="41" t="s">
        <v>1659</v>
      </c>
      <c r="D317" s="41">
        <v>14</v>
      </c>
      <c r="E317" s="41" t="s">
        <v>340</v>
      </c>
      <c r="F317" s="41">
        <v>223488235</v>
      </c>
      <c r="G317" s="41" t="s">
        <v>1660</v>
      </c>
      <c r="H317" s="41" t="s">
        <v>1659</v>
      </c>
      <c r="I317" s="41" t="s">
        <v>1593</v>
      </c>
      <c r="J317" s="41">
        <v>17</v>
      </c>
      <c r="K317" s="41" t="s">
        <v>1255</v>
      </c>
      <c r="L317" s="41"/>
      <c r="M317" s="41" t="s">
        <v>344</v>
      </c>
      <c r="N317" s="41" t="s">
        <v>345</v>
      </c>
      <c r="O317" s="41" t="s">
        <v>344</v>
      </c>
      <c r="P317" s="41" t="s">
        <v>344</v>
      </c>
      <c r="Q317" s="41" t="s">
        <v>344</v>
      </c>
      <c r="R317" s="41"/>
      <c r="S317" s="41" t="s">
        <v>522</v>
      </c>
      <c r="T317" s="41"/>
      <c r="U317" s="41" t="s">
        <v>1457</v>
      </c>
      <c r="V317" s="41"/>
      <c r="W317" s="41" t="s">
        <v>368</v>
      </c>
      <c r="X317" s="41" t="s">
        <v>368</v>
      </c>
      <c r="Y317" s="41" t="s">
        <v>368</v>
      </c>
      <c r="Z317" s="41" t="s">
        <v>368</v>
      </c>
      <c r="AA317" s="41" t="s">
        <v>368</v>
      </c>
      <c r="AB317" s="41" t="s">
        <v>368</v>
      </c>
      <c r="AC317" s="41" t="s">
        <v>345</v>
      </c>
      <c r="AD317" s="41" t="s">
        <v>344</v>
      </c>
      <c r="AE317" s="41" t="s">
        <v>344</v>
      </c>
      <c r="AF317" s="41" t="s">
        <v>344</v>
      </c>
      <c r="AG317" s="41" t="s">
        <v>345</v>
      </c>
      <c r="AH317" s="41" t="s">
        <v>344</v>
      </c>
      <c r="AI317" s="41" t="s">
        <v>344</v>
      </c>
      <c r="AJ317" s="41" t="s">
        <v>344</v>
      </c>
      <c r="AK317" s="41" t="s">
        <v>368</v>
      </c>
      <c r="AL317" s="41" t="s">
        <v>368</v>
      </c>
      <c r="AM317" s="41" t="s">
        <v>368</v>
      </c>
      <c r="AN317" s="41" t="s">
        <v>368</v>
      </c>
      <c r="AO317" s="41" t="s">
        <v>368</v>
      </c>
      <c r="AP317" s="41" t="s">
        <v>368</v>
      </c>
      <c r="AQ317" s="41" t="s">
        <v>345</v>
      </c>
      <c r="AR317" s="41" t="s">
        <v>344</v>
      </c>
      <c r="AS317" s="41" t="s">
        <v>344</v>
      </c>
      <c r="AT317" s="41" t="s">
        <v>345</v>
      </c>
      <c r="AU317" s="41" t="s">
        <v>344</v>
      </c>
      <c r="AV317" s="41" t="s">
        <v>344</v>
      </c>
      <c r="AW317" s="41" t="s">
        <v>344</v>
      </c>
      <c r="AX317" s="41" t="s">
        <v>344</v>
      </c>
      <c r="AY317" s="41" t="s">
        <v>391</v>
      </c>
      <c r="AZ317" s="41" t="s">
        <v>731</v>
      </c>
      <c r="BA317" s="41" t="s">
        <v>391</v>
      </c>
      <c r="BB317" s="41" t="s">
        <v>737</v>
      </c>
      <c r="BC317" s="41" t="s">
        <v>733</v>
      </c>
      <c r="BD317" s="41" t="s">
        <v>737</v>
      </c>
      <c r="BE317" s="41" t="s">
        <v>390</v>
      </c>
      <c r="BF317" s="41" t="s">
        <v>349</v>
      </c>
      <c r="BG317" s="41" t="s">
        <v>390</v>
      </c>
      <c r="BH317" s="41" t="s">
        <v>717</v>
      </c>
      <c r="BI317" s="41" t="s">
        <v>717</v>
      </c>
      <c r="BJ317" s="41" t="s">
        <v>391</v>
      </c>
      <c r="BK317" s="41" t="s">
        <v>391</v>
      </c>
      <c r="BL317" s="41" t="s">
        <v>391</v>
      </c>
      <c r="BM317" s="41" t="s">
        <v>391</v>
      </c>
      <c r="BN317" s="41" t="s">
        <v>391</v>
      </c>
      <c r="BO317" s="41" t="s">
        <v>391</v>
      </c>
      <c r="BP317" s="41" t="s">
        <v>391</v>
      </c>
      <c r="BQ317" s="41" t="s">
        <v>689</v>
      </c>
      <c r="BR317" s="41" t="s">
        <v>1257</v>
      </c>
      <c r="BS317" s="41" t="s">
        <v>391</v>
      </c>
      <c r="BT317" s="41" t="s">
        <v>391</v>
      </c>
      <c r="BU317" s="41" t="s">
        <v>391</v>
      </c>
      <c r="BV317" s="41" t="s">
        <v>391</v>
      </c>
      <c r="BW317" s="41" t="s">
        <v>391</v>
      </c>
      <c r="BX317" s="41" t="s">
        <v>391</v>
      </c>
      <c r="BY317" s="41" t="s">
        <v>391</v>
      </c>
      <c r="BZ317" s="41" t="s">
        <v>391</v>
      </c>
      <c r="CA317" s="41" t="s">
        <v>391</v>
      </c>
      <c r="CB317" s="41" t="s">
        <v>391</v>
      </c>
      <c r="CC317" s="41" t="s">
        <v>391</v>
      </c>
      <c r="CD317" s="41" t="s">
        <v>391</v>
      </c>
      <c r="CE317" s="41" t="s">
        <v>391</v>
      </c>
      <c r="CF317" s="41" t="s">
        <v>391</v>
      </c>
      <c r="CG317" s="41" t="s">
        <v>420</v>
      </c>
      <c r="CH317" s="41" t="s">
        <v>421</v>
      </c>
      <c r="CI317" s="41" t="s">
        <v>393</v>
      </c>
      <c r="CJ317" s="41" t="s">
        <v>420</v>
      </c>
      <c r="CK317" s="41" t="s">
        <v>510</v>
      </c>
      <c r="CL317" s="41" t="s">
        <v>344</v>
      </c>
      <c r="CM317" s="41" t="s">
        <v>344</v>
      </c>
      <c r="CN317" s="41" t="s">
        <v>344</v>
      </c>
      <c r="CO317" s="41" t="s">
        <v>344</v>
      </c>
      <c r="CP317" s="41" t="s">
        <v>345</v>
      </c>
      <c r="CQ317" s="41" t="s">
        <v>344</v>
      </c>
      <c r="CR317" s="41" t="s">
        <v>655</v>
      </c>
      <c r="CS317" s="41">
        <v>100</v>
      </c>
      <c r="CT317" s="41">
        <v>35</v>
      </c>
      <c r="CU317" s="41">
        <v>77</v>
      </c>
      <c r="CV317" s="41">
        <v>77</v>
      </c>
      <c r="CW317" s="41" t="s">
        <v>395</v>
      </c>
      <c r="CX317" s="41" t="s">
        <v>396</v>
      </c>
      <c r="CY317" s="41" t="s">
        <v>396</v>
      </c>
      <c r="CZ317" s="41" t="s">
        <v>397</v>
      </c>
      <c r="DA317" s="41" t="s">
        <v>423</v>
      </c>
      <c r="DB317" s="41" t="s">
        <v>397</v>
      </c>
      <c r="DC317" s="41" t="s">
        <v>397</v>
      </c>
      <c r="DD317" s="41" t="s">
        <v>397</v>
      </c>
      <c r="DE317" s="41" t="s">
        <v>397</v>
      </c>
      <c r="DF317" s="41" t="s">
        <v>397</v>
      </c>
      <c r="DG317" s="41" t="s">
        <v>397</v>
      </c>
      <c r="DH317" s="41" t="s">
        <v>397</v>
      </c>
      <c r="DI317" s="41" t="s">
        <v>397</v>
      </c>
      <c r="DJ317" s="41" t="s">
        <v>864</v>
      </c>
      <c r="DK317" s="41" t="s">
        <v>344</v>
      </c>
      <c r="DL317" s="41" t="s">
        <v>368</v>
      </c>
      <c r="DM317" s="41" t="s">
        <v>368</v>
      </c>
      <c r="DN317" s="41" t="s">
        <v>368</v>
      </c>
      <c r="DO317" s="41" t="s">
        <v>368</v>
      </c>
      <c r="DP317" s="41" t="s">
        <v>368</v>
      </c>
      <c r="DQ317" s="41" t="s">
        <v>368</v>
      </c>
      <c r="DR317" s="41" t="s">
        <v>368</v>
      </c>
      <c r="DS317" s="41" t="s">
        <v>345</v>
      </c>
      <c r="DT317" s="41" t="s">
        <v>368</v>
      </c>
      <c r="DU317" s="41" t="s">
        <v>368</v>
      </c>
      <c r="DV317" s="41" t="s">
        <v>368</v>
      </c>
      <c r="DW317" s="41" t="s">
        <v>345</v>
      </c>
      <c r="DX317" s="41" t="s">
        <v>397</v>
      </c>
      <c r="DY317" s="41" t="s">
        <v>397</v>
      </c>
      <c r="DZ317" s="41" t="s">
        <v>1272</v>
      </c>
      <c r="EA317" s="41" t="s">
        <v>397</v>
      </c>
      <c r="EB317" s="41" t="s">
        <v>397</v>
      </c>
      <c r="EC317" s="41" t="s">
        <v>397</v>
      </c>
      <c r="ED317" s="41" t="s">
        <v>397</v>
      </c>
      <c r="EE317" s="41" t="s">
        <v>1258</v>
      </c>
      <c r="EF317" s="41" t="s">
        <v>1258</v>
      </c>
      <c r="EG317" s="41" t="s">
        <v>1258</v>
      </c>
      <c r="EH317" s="41" t="s">
        <v>1258</v>
      </c>
      <c r="EI317" s="41" t="s">
        <v>1258</v>
      </c>
      <c r="EJ317" s="41" t="s">
        <v>1258</v>
      </c>
      <c r="EK317" s="41" t="s">
        <v>1258</v>
      </c>
      <c r="EL317" s="41" t="s">
        <v>1260</v>
      </c>
      <c r="EM317" s="41" t="s">
        <v>1275</v>
      </c>
      <c r="EN317" s="41" t="s">
        <v>1261</v>
      </c>
      <c r="EO317" s="41"/>
      <c r="EP317" s="41"/>
      <c r="EQ317" s="41" t="s">
        <v>717</v>
      </c>
      <c r="ER317" s="41" t="s">
        <v>1264</v>
      </c>
      <c r="ES317" s="41" t="s">
        <v>1263</v>
      </c>
      <c r="ET317" s="41" t="s">
        <v>1264</v>
      </c>
      <c r="EU317" s="41" t="s">
        <v>1263</v>
      </c>
      <c r="EV317" s="41" t="s">
        <v>1265</v>
      </c>
      <c r="EW317" s="41"/>
      <c r="EX317" s="171" t="s">
        <v>344</v>
      </c>
      <c r="EY317" s="171" t="s">
        <v>345</v>
      </c>
      <c r="EZ317" s="171" t="s">
        <v>344</v>
      </c>
      <c r="FA317" s="171" t="s">
        <v>344</v>
      </c>
      <c r="FB317" s="41" t="s">
        <v>1300</v>
      </c>
      <c r="FC317" s="41"/>
      <c r="FD317" s="41" t="s">
        <v>1266</v>
      </c>
      <c r="FE317" s="41"/>
      <c r="FF317" s="41" t="s">
        <v>477</v>
      </c>
      <c r="FG317" s="41" t="s">
        <v>402</v>
      </c>
      <c r="FH317" s="41" t="s">
        <v>432</v>
      </c>
      <c r="FI317" s="41" t="s">
        <v>1294</v>
      </c>
      <c r="FJ317" s="41"/>
      <c r="FK317" s="41"/>
      <c r="FL317" s="41"/>
      <c r="FM317" s="41"/>
      <c r="FN317" s="41"/>
      <c r="FO317" s="41"/>
      <c r="FP317" s="41"/>
      <c r="FQ317" s="41"/>
      <c r="FR317" s="41"/>
      <c r="FS317" s="41"/>
      <c r="FT317" s="41"/>
      <c r="FU317" s="41"/>
      <c r="FV317" s="41"/>
      <c r="FW317" s="41"/>
      <c r="FX317" s="41"/>
      <c r="FY317" s="41"/>
      <c r="FZ317" s="41"/>
      <c r="GA317" s="41" t="s">
        <v>368</v>
      </c>
      <c r="GB317" s="41" t="s">
        <v>368</v>
      </c>
      <c r="GC317" s="41" t="s">
        <v>368</v>
      </c>
      <c r="GD317" s="41" t="s">
        <v>368</v>
      </c>
      <c r="GE317" s="41" t="s">
        <v>368</v>
      </c>
      <c r="GF317" s="41" t="s">
        <v>368</v>
      </c>
      <c r="GG317" s="41"/>
      <c r="GH317" s="41"/>
      <c r="GI317" s="41"/>
      <c r="GJ317" s="41"/>
      <c r="GK317" s="41"/>
      <c r="GL317" s="41" t="s">
        <v>344</v>
      </c>
      <c r="GM317" s="41" t="s">
        <v>344</v>
      </c>
      <c r="GN317" s="41" t="s">
        <v>344</v>
      </c>
      <c r="GO317" s="41" t="s">
        <v>344</v>
      </c>
      <c r="GP317" s="41" t="s">
        <v>344</v>
      </c>
      <c r="GQ317" s="41" t="s">
        <v>344</v>
      </c>
      <c r="GR317" s="41" t="s">
        <v>344</v>
      </c>
      <c r="GS317" s="41" t="s">
        <v>344</v>
      </c>
      <c r="GT317" s="41" t="s">
        <v>344</v>
      </c>
      <c r="GU317" s="41" t="s">
        <v>344</v>
      </c>
      <c r="GV317" s="41" t="s">
        <v>344</v>
      </c>
      <c r="GW317" s="41" t="s">
        <v>344</v>
      </c>
      <c r="GX317" s="41" t="s">
        <v>344</v>
      </c>
      <c r="GY317" s="41" t="s">
        <v>344</v>
      </c>
      <c r="GZ317" s="41" t="s">
        <v>344</v>
      </c>
      <c r="HA317" s="41" t="s">
        <v>345</v>
      </c>
      <c r="HB317" s="41"/>
      <c r="HC317" s="41" t="s">
        <v>344</v>
      </c>
      <c r="HD317" s="41"/>
      <c r="HE317" s="41" t="s">
        <v>344</v>
      </c>
      <c r="HF317" s="41"/>
      <c r="HG317" s="41" t="s">
        <v>344</v>
      </c>
      <c r="HH317" s="41"/>
      <c r="HI317" s="41" t="s">
        <v>344</v>
      </c>
      <c r="HJ317" s="41"/>
      <c r="HK317" s="41" t="s">
        <v>344</v>
      </c>
      <c r="HL317" s="41" t="s">
        <v>344</v>
      </c>
      <c r="HM317" s="41" t="s">
        <v>344</v>
      </c>
      <c r="HN317" s="41" t="s">
        <v>344</v>
      </c>
      <c r="HO317" s="41" t="s">
        <v>344</v>
      </c>
      <c r="HP317" s="41" t="s">
        <v>344</v>
      </c>
      <c r="HQ317" s="41" t="s">
        <v>344</v>
      </c>
      <c r="HR317" s="41" t="s">
        <v>344</v>
      </c>
      <c r="HS317" s="41" t="s">
        <v>344</v>
      </c>
      <c r="HT317" s="41" t="s">
        <v>344</v>
      </c>
      <c r="HU317" s="41" t="s">
        <v>344</v>
      </c>
      <c r="HV317" s="41" t="s">
        <v>344</v>
      </c>
      <c r="HW317" s="41" t="s">
        <v>344</v>
      </c>
      <c r="HX317" s="41" t="s">
        <v>344</v>
      </c>
      <c r="HY317" s="41" t="s">
        <v>344</v>
      </c>
      <c r="HZ317" s="41" t="s">
        <v>344</v>
      </c>
      <c r="IA317" s="41" t="s">
        <v>344</v>
      </c>
      <c r="IB317" s="41" t="s">
        <v>344</v>
      </c>
      <c r="IC317" s="41" t="s">
        <v>345</v>
      </c>
      <c r="ID317" s="41"/>
      <c r="IE317" s="41" t="s">
        <v>344</v>
      </c>
      <c r="IF317" s="41"/>
      <c r="IG317" s="41" t="s">
        <v>344</v>
      </c>
      <c r="IH317" s="41"/>
      <c r="II317" s="41" t="s">
        <v>344</v>
      </c>
      <c r="IJ317" s="41"/>
      <c r="IK317" s="41" t="s">
        <v>344</v>
      </c>
      <c r="IL317" s="41"/>
      <c r="IM317" s="41" t="s">
        <v>345</v>
      </c>
      <c r="IN317" s="41" t="s">
        <v>345</v>
      </c>
      <c r="IO317" s="41" t="s">
        <v>344</v>
      </c>
      <c r="IP317" s="41" t="s">
        <v>344</v>
      </c>
      <c r="IQ317" s="41" t="s">
        <v>345</v>
      </c>
      <c r="IR317" s="41" t="s">
        <v>345</v>
      </c>
      <c r="IS317" s="41" t="s">
        <v>344</v>
      </c>
      <c r="IT317" s="41" t="s">
        <v>345</v>
      </c>
      <c r="IU317" s="41" t="s">
        <v>344</v>
      </c>
      <c r="IV317" s="41" t="s">
        <v>344</v>
      </c>
      <c r="IW317" s="41" t="s">
        <v>344</v>
      </c>
      <c r="IX317" s="41" t="s">
        <v>344</v>
      </c>
      <c r="IY317" s="41" t="s">
        <v>345</v>
      </c>
      <c r="IZ317" s="41" t="s">
        <v>344</v>
      </c>
      <c r="JA317" s="41"/>
      <c r="JB317" s="41"/>
    </row>
    <row r="318" spans="1:262" x14ac:dyDescent="0.3">
      <c r="A318" s="40" t="s">
        <v>813</v>
      </c>
      <c r="B318" s="41">
        <v>294</v>
      </c>
      <c r="C318" s="41" t="s">
        <v>1661</v>
      </c>
      <c r="D318" s="41">
        <v>14</v>
      </c>
      <c r="E318" s="41" t="s">
        <v>340</v>
      </c>
      <c r="F318" s="41">
        <v>984767399</v>
      </c>
      <c r="G318" s="41" t="s">
        <v>1662</v>
      </c>
      <c r="H318" s="41" t="s">
        <v>1661</v>
      </c>
      <c r="I318" s="41" t="s">
        <v>1593</v>
      </c>
      <c r="J318" s="41">
        <v>18</v>
      </c>
      <c r="K318" s="41" t="s">
        <v>1255</v>
      </c>
      <c r="L318" s="41"/>
      <c r="M318" s="41" t="s">
        <v>344</v>
      </c>
      <c r="N318" s="41" t="s">
        <v>345</v>
      </c>
      <c r="O318" s="41" t="s">
        <v>344</v>
      </c>
      <c r="P318" s="41" t="s">
        <v>345</v>
      </c>
      <c r="Q318" s="41" t="s">
        <v>344</v>
      </c>
      <c r="R318" s="41"/>
      <c r="S318" s="41" t="s">
        <v>522</v>
      </c>
      <c r="T318" s="41"/>
      <c r="U318" s="41" t="s">
        <v>1256</v>
      </c>
      <c r="V318" s="41"/>
      <c r="W318" s="41" t="s">
        <v>345</v>
      </c>
      <c r="X318" s="41" t="s">
        <v>345</v>
      </c>
      <c r="Y318" s="41" t="s">
        <v>344</v>
      </c>
      <c r="Z318" s="41" t="s">
        <v>344</v>
      </c>
      <c r="AA318" s="41" t="s">
        <v>344</v>
      </c>
      <c r="AB318" s="41" t="s">
        <v>344</v>
      </c>
      <c r="AC318" s="41" t="s">
        <v>344</v>
      </c>
      <c r="AD318" s="41" t="s">
        <v>344</v>
      </c>
      <c r="AE318" s="41" t="s">
        <v>344</v>
      </c>
      <c r="AF318" s="41" t="s">
        <v>344</v>
      </c>
      <c r="AG318" s="41" t="s">
        <v>344</v>
      </c>
      <c r="AH318" s="41" t="s">
        <v>345</v>
      </c>
      <c r="AI318" s="41" t="s">
        <v>345</v>
      </c>
      <c r="AJ318" s="41" t="s">
        <v>344</v>
      </c>
      <c r="AK318" s="41" t="s">
        <v>344</v>
      </c>
      <c r="AL318" s="41" t="s">
        <v>344</v>
      </c>
      <c r="AM318" s="41" t="s">
        <v>344</v>
      </c>
      <c r="AN318" s="41" t="s">
        <v>345</v>
      </c>
      <c r="AO318" s="41" t="s">
        <v>344</v>
      </c>
      <c r="AP318" s="41" t="s">
        <v>344</v>
      </c>
      <c r="AQ318" s="41" t="s">
        <v>344</v>
      </c>
      <c r="AR318" s="41" t="s">
        <v>344</v>
      </c>
      <c r="AS318" s="41" t="s">
        <v>345</v>
      </c>
      <c r="AT318" s="41" t="s">
        <v>345</v>
      </c>
      <c r="AU318" s="41" t="s">
        <v>345</v>
      </c>
      <c r="AV318" s="41" t="s">
        <v>344</v>
      </c>
      <c r="AW318" s="41" t="s">
        <v>344</v>
      </c>
      <c r="AX318" s="41" t="s">
        <v>344</v>
      </c>
      <c r="AY318" s="41" t="s">
        <v>733</v>
      </c>
      <c r="AZ318" s="41" t="s">
        <v>732</v>
      </c>
      <c r="BA318" s="41" t="s">
        <v>733</v>
      </c>
      <c r="BB318" s="41" t="s">
        <v>737</v>
      </c>
      <c r="BC318" s="41" t="s">
        <v>733</v>
      </c>
      <c r="BD318" s="41" t="s">
        <v>733</v>
      </c>
      <c r="BE318" s="41" t="s">
        <v>350</v>
      </c>
      <c r="BF318" s="41" t="s">
        <v>349</v>
      </c>
      <c r="BG318" s="41" t="s">
        <v>390</v>
      </c>
      <c r="BH318" s="41" t="s">
        <v>390</v>
      </c>
      <c r="BI318" s="41" t="s">
        <v>350</v>
      </c>
      <c r="BJ318" s="41" t="s">
        <v>391</v>
      </c>
      <c r="BK318" s="41" t="s">
        <v>391</v>
      </c>
      <c r="BL318" s="41" t="s">
        <v>391</v>
      </c>
      <c r="BM318" s="41" t="s">
        <v>391</v>
      </c>
      <c r="BN318" s="41" t="s">
        <v>391</v>
      </c>
      <c r="BO318" s="41" t="s">
        <v>391</v>
      </c>
      <c r="BP318" s="41" t="s">
        <v>391</v>
      </c>
      <c r="BQ318" s="41" t="s">
        <v>358</v>
      </c>
      <c r="BR318" s="41" t="s">
        <v>344</v>
      </c>
      <c r="BS318" s="41" t="s">
        <v>391</v>
      </c>
      <c r="BT318" s="41" t="s">
        <v>391</v>
      </c>
      <c r="BU318" s="41" t="s">
        <v>391</v>
      </c>
      <c r="BV318" s="41" t="s">
        <v>391</v>
      </c>
      <c r="BW318" s="41" t="s">
        <v>391</v>
      </c>
      <c r="BX318" s="41" t="s">
        <v>391</v>
      </c>
      <c r="BY318" s="41" t="s">
        <v>391</v>
      </c>
      <c r="BZ318" s="41" t="s">
        <v>391</v>
      </c>
      <c r="CA318" s="41" t="s">
        <v>391</v>
      </c>
      <c r="CB318" s="41" t="s">
        <v>391</v>
      </c>
      <c r="CC318" s="41" t="s">
        <v>391</v>
      </c>
      <c r="CD318" s="41" t="s">
        <v>391</v>
      </c>
      <c r="CE318" s="41" t="s">
        <v>391</v>
      </c>
      <c r="CF318" s="41" t="s">
        <v>391</v>
      </c>
      <c r="CG318" s="41" t="s">
        <v>392</v>
      </c>
      <c r="CH318" s="41" t="s">
        <v>421</v>
      </c>
      <c r="CI318" s="41" t="s">
        <v>420</v>
      </c>
      <c r="CJ318" s="41" t="s">
        <v>421</v>
      </c>
      <c r="CK318" s="41" t="s">
        <v>722</v>
      </c>
      <c r="CL318" s="41" t="s">
        <v>344</v>
      </c>
      <c r="CM318" s="41" t="s">
        <v>345</v>
      </c>
      <c r="CN318" s="41" t="s">
        <v>344</v>
      </c>
      <c r="CO318" s="41" t="s">
        <v>344</v>
      </c>
      <c r="CP318" s="41" t="s">
        <v>345</v>
      </c>
      <c r="CQ318" s="41" t="s">
        <v>344</v>
      </c>
      <c r="CR318" s="41" t="s">
        <v>655</v>
      </c>
      <c r="CS318" s="41">
        <v>90</v>
      </c>
      <c r="CT318" s="41">
        <v>1</v>
      </c>
      <c r="CU318" s="41">
        <v>100</v>
      </c>
      <c r="CV318" s="41">
        <v>100</v>
      </c>
      <c r="CW318" s="41" t="s">
        <v>363</v>
      </c>
      <c r="CX318" s="41" t="s">
        <v>363</v>
      </c>
      <c r="CY318" s="41" t="s">
        <v>471</v>
      </c>
      <c r="CZ318" s="41" t="s">
        <v>397</v>
      </c>
      <c r="DA318" s="41" t="s">
        <v>397</v>
      </c>
      <c r="DB318" s="41" t="s">
        <v>397</v>
      </c>
      <c r="DC318" s="41" t="s">
        <v>397</v>
      </c>
      <c r="DD318" s="41" t="s">
        <v>397</v>
      </c>
      <c r="DE318" s="41" t="s">
        <v>423</v>
      </c>
      <c r="DF318" s="41" t="s">
        <v>365</v>
      </c>
      <c r="DG318" s="41" t="s">
        <v>397</v>
      </c>
      <c r="DH318" s="41" t="s">
        <v>366</v>
      </c>
      <c r="DI318" s="41" t="s">
        <v>397</v>
      </c>
      <c r="DJ318" s="41" t="s">
        <v>1663</v>
      </c>
      <c r="DK318" s="41" t="s">
        <v>344</v>
      </c>
      <c r="DL318" s="41" t="s">
        <v>368</v>
      </c>
      <c r="DM318" s="41" t="s">
        <v>368</v>
      </c>
      <c r="DN318" s="41" t="s">
        <v>368</v>
      </c>
      <c r="DO318" s="41" t="s">
        <v>368</v>
      </c>
      <c r="DP318" s="41" t="s">
        <v>368</v>
      </c>
      <c r="DQ318" s="41" t="s">
        <v>368</v>
      </c>
      <c r="DR318" s="41" t="s">
        <v>368</v>
      </c>
      <c r="DS318" s="41" t="s">
        <v>345</v>
      </c>
      <c r="DT318" s="41" t="s">
        <v>344</v>
      </c>
      <c r="DU318" s="41" t="s">
        <v>345</v>
      </c>
      <c r="DV318" s="41" t="s">
        <v>344</v>
      </c>
      <c r="DW318" s="41" t="s">
        <v>344</v>
      </c>
      <c r="DX318" s="41" t="s">
        <v>397</v>
      </c>
      <c r="DY318" s="41" t="s">
        <v>1272</v>
      </c>
      <c r="DZ318" s="41" t="s">
        <v>397</v>
      </c>
      <c r="EA318" s="41" t="s">
        <v>397</v>
      </c>
      <c r="EB318" s="41" t="s">
        <v>397</v>
      </c>
      <c r="EC318" s="41" t="s">
        <v>397</v>
      </c>
      <c r="ED318" s="41" t="s">
        <v>397</v>
      </c>
      <c r="EE318" s="41" t="s">
        <v>1258</v>
      </c>
      <c r="EF318" s="41" t="s">
        <v>1258</v>
      </c>
      <c r="EG318" s="41" t="s">
        <v>1258</v>
      </c>
      <c r="EH318" s="41" t="s">
        <v>1258</v>
      </c>
      <c r="EI318" s="41" t="s">
        <v>1258</v>
      </c>
      <c r="EJ318" s="41" t="s">
        <v>1258</v>
      </c>
      <c r="EK318" s="41" t="s">
        <v>1258</v>
      </c>
      <c r="EL318" s="41" t="s">
        <v>1275</v>
      </c>
      <c r="EM318" s="41" t="s">
        <v>1260</v>
      </c>
      <c r="EN318" s="41" t="s">
        <v>1276</v>
      </c>
      <c r="EO318" s="41"/>
      <c r="EP318" s="41"/>
      <c r="EQ318" s="41" t="s">
        <v>1277</v>
      </c>
      <c r="ER318" s="41" t="s">
        <v>1278</v>
      </c>
      <c r="ES318" s="41" t="s">
        <v>1264</v>
      </c>
      <c r="ET318" s="41" t="s">
        <v>1262</v>
      </c>
      <c r="EU318" s="41" t="s">
        <v>1277</v>
      </c>
      <c r="EV318" s="41" t="s">
        <v>1265</v>
      </c>
      <c r="EW318" s="41"/>
      <c r="EX318" s="171" t="s">
        <v>344</v>
      </c>
      <c r="EY318" s="171" t="s">
        <v>345</v>
      </c>
      <c r="EZ318" s="171" t="s">
        <v>344</v>
      </c>
      <c r="FA318" s="171" t="s">
        <v>344</v>
      </c>
      <c r="FB318" s="41" t="s">
        <v>1300</v>
      </c>
      <c r="FC318" s="41"/>
      <c r="FD318" s="41" t="s">
        <v>1300</v>
      </c>
      <c r="FE318" s="41"/>
      <c r="FF318" s="41" t="s">
        <v>382</v>
      </c>
      <c r="FG318" s="41" t="s">
        <v>1323</v>
      </c>
      <c r="FH318" s="41" t="s">
        <v>1293</v>
      </c>
      <c r="FI318" s="41" t="s">
        <v>1294</v>
      </c>
      <c r="FJ318" s="41"/>
      <c r="FK318" s="41"/>
      <c r="FL318" s="41"/>
      <c r="FM318" s="41"/>
      <c r="FN318" s="41"/>
      <c r="FO318" s="41"/>
      <c r="FP318" s="41"/>
      <c r="FQ318" s="41"/>
      <c r="FR318" s="41"/>
      <c r="FS318" s="41"/>
      <c r="FT318" s="41"/>
      <c r="FU318" s="41"/>
      <c r="FV318" s="41"/>
      <c r="FW318" s="41"/>
      <c r="FX318" s="41"/>
      <c r="FY318" s="41"/>
      <c r="FZ318" s="41"/>
      <c r="GA318" s="41" t="s">
        <v>368</v>
      </c>
      <c r="GB318" s="41" t="s">
        <v>368</v>
      </c>
      <c r="GC318" s="41" t="s">
        <v>368</v>
      </c>
      <c r="GD318" s="41" t="s">
        <v>368</v>
      </c>
      <c r="GE318" s="41" t="s">
        <v>368</v>
      </c>
      <c r="GF318" s="41" t="s">
        <v>368</v>
      </c>
      <c r="GG318" s="41"/>
      <c r="GH318" s="41"/>
      <c r="GI318" s="41"/>
      <c r="GJ318" s="41"/>
      <c r="GK318" s="41"/>
      <c r="GL318" s="41" t="s">
        <v>344</v>
      </c>
      <c r="GM318" s="41" t="s">
        <v>344</v>
      </c>
      <c r="GN318" s="41" t="s">
        <v>344</v>
      </c>
      <c r="GO318" s="41" t="s">
        <v>344</v>
      </c>
      <c r="GP318" s="41" t="s">
        <v>344</v>
      </c>
      <c r="GQ318" s="41" t="s">
        <v>344</v>
      </c>
      <c r="GR318" s="41" t="s">
        <v>344</v>
      </c>
      <c r="GS318" s="41" t="s">
        <v>344</v>
      </c>
      <c r="GT318" s="41" t="s">
        <v>344</v>
      </c>
      <c r="GU318" s="41" t="s">
        <v>344</v>
      </c>
      <c r="GV318" s="41" t="s">
        <v>345</v>
      </c>
      <c r="GW318" s="41" t="s">
        <v>344</v>
      </c>
      <c r="GX318" s="41" t="s">
        <v>344</v>
      </c>
      <c r="GY318" s="41" t="s">
        <v>344</v>
      </c>
      <c r="GZ318" s="41" t="s">
        <v>344</v>
      </c>
      <c r="HA318" s="41" t="s">
        <v>344</v>
      </c>
      <c r="HB318" s="41"/>
      <c r="HC318" s="41" t="s">
        <v>344</v>
      </c>
      <c r="HD318" s="41"/>
      <c r="HE318" s="41" t="s">
        <v>344</v>
      </c>
      <c r="HF318" s="41"/>
      <c r="HG318" s="41" t="s">
        <v>344</v>
      </c>
      <c r="HH318" s="41"/>
      <c r="HI318" s="41" t="s">
        <v>344</v>
      </c>
      <c r="HJ318" s="41"/>
      <c r="HK318" s="41" t="s">
        <v>344</v>
      </c>
      <c r="HL318" s="41" t="s">
        <v>344</v>
      </c>
      <c r="HM318" s="41" t="s">
        <v>344</v>
      </c>
      <c r="HN318" s="41" t="s">
        <v>344</v>
      </c>
      <c r="HO318" s="41" t="s">
        <v>344</v>
      </c>
      <c r="HP318" s="41" t="s">
        <v>344</v>
      </c>
      <c r="HQ318" s="41" t="s">
        <v>344</v>
      </c>
      <c r="HR318" s="41" t="s">
        <v>344</v>
      </c>
      <c r="HS318" s="41" t="s">
        <v>344</v>
      </c>
      <c r="HT318" s="41" t="s">
        <v>344</v>
      </c>
      <c r="HU318" s="41" t="s">
        <v>344</v>
      </c>
      <c r="HV318" s="41" t="s">
        <v>344</v>
      </c>
      <c r="HW318" s="41" t="s">
        <v>344</v>
      </c>
      <c r="HX318" s="41" t="s">
        <v>344</v>
      </c>
      <c r="HY318" s="41" t="s">
        <v>344</v>
      </c>
      <c r="HZ318" s="41" t="s">
        <v>344</v>
      </c>
      <c r="IA318" s="41" t="s">
        <v>344</v>
      </c>
      <c r="IB318" s="41" t="s">
        <v>344</v>
      </c>
      <c r="IC318" s="41" t="s">
        <v>345</v>
      </c>
      <c r="ID318" s="41"/>
      <c r="IE318" s="41" t="s">
        <v>344</v>
      </c>
      <c r="IF318" s="41"/>
      <c r="IG318" s="41" t="s">
        <v>344</v>
      </c>
      <c r="IH318" s="41"/>
      <c r="II318" s="41" t="s">
        <v>344</v>
      </c>
      <c r="IJ318" s="41"/>
      <c r="IK318" s="41" t="s">
        <v>344</v>
      </c>
      <c r="IL318" s="41"/>
      <c r="IM318" s="41" t="s">
        <v>345</v>
      </c>
      <c r="IN318" s="41" t="s">
        <v>345</v>
      </c>
      <c r="IO318" s="41" t="s">
        <v>344</v>
      </c>
      <c r="IP318" s="41" t="s">
        <v>345</v>
      </c>
      <c r="IQ318" s="41" t="s">
        <v>345</v>
      </c>
      <c r="IR318" s="41" t="s">
        <v>345</v>
      </c>
      <c r="IS318" s="41" t="s">
        <v>344</v>
      </c>
      <c r="IT318" s="41" t="s">
        <v>345</v>
      </c>
      <c r="IU318" s="41" t="s">
        <v>345</v>
      </c>
      <c r="IV318" s="41" t="s">
        <v>344</v>
      </c>
      <c r="IW318" s="41" t="s">
        <v>344</v>
      </c>
      <c r="IX318" s="41" t="s">
        <v>344</v>
      </c>
      <c r="IY318" s="41" t="s">
        <v>345</v>
      </c>
      <c r="IZ318" s="41" t="s">
        <v>344</v>
      </c>
      <c r="JA318" s="41"/>
      <c r="JB318" s="41" t="s">
        <v>1664</v>
      </c>
    </row>
    <row r="319" spans="1:262" x14ac:dyDescent="0.3">
      <c r="A319" s="42" t="s">
        <v>813</v>
      </c>
      <c r="B319" s="43">
        <v>296</v>
      </c>
      <c r="C319" s="43" t="s">
        <v>1665</v>
      </c>
      <c r="D319" s="43">
        <v>14</v>
      </c>
      <c r="E319" s="43" t="s">
        <v>387</v>
      </c>
      <c r="F319" s="43">
        <v>1615935593</v>
      </c>
      <c r="G319" s="43" t="s">
        <v>1666</v>
      </c>
      <c r="H319" s="43" t="s">
        <v>1665</v>
      </c>
      <c r="I319" s="43" t="s">
        <v>1667</v>
      </c>
      <c r="J319" s="43">
        <v>16</v>
      </c>
      <c r="K319" s="43" t="s">
        <v>1255</v>
      </c>
      <c r="L319" s="43"/>
      <c r="M319" s="43" t="s">
        <v>345</v>
      </c>
      <c r="N319" s="43" t="s">
        <v>344</v>
      </c>
      <c r="O319" s="43" t="s">
        <v>344</v>
      </c>
      <c r="P319" s="43" t="s">
        <v>344</v>
      </c>
      <c r="Q319" s="43" t="s">
        <v>344</v>
      </c>
      <c r="R319" s="43"/>
      <c r="S319" s="43" t="s">
        <v>522</v>
      </c>
      <c r="T319" s="43"/>
      <c r="U319" s="43" t="s">
        <v>1457</v>
      </c>
      <c r="V319" s="43"/>
      <c r="W319" s="43" t="s">
        <v>345</v>
      </c>
      <c r="X319" s="43" t="s">
        <v>345</v>
      </c>
      <c r="Y319" s="43" t="s">
        <v>344</v>
      </c>
      <c r="Z319" s="43" t="s">
        <v>344</v>
      </c>
      <c r="AA319" s="43" t="s">
        <v>344</v>
      </c>
      <c r="AB319" s="43" t="s">
        <v>344</v>
      </c>
      <c r="AC319" s="43" t="s">
        <v>344</v>
      </c>
      <c r="AD319" s="43" t="s">
        <v>344</v>
      </c>
      <c r="AE319" s="43" t="s">
        <v>345</v>
      </c>
      <c r="AF319" s="43" t="s">
        <v>344</v>
      </c>
      <c r="AG319" s="43" t="s">
        <v>345</v>
      </c>
      <c r="AH319" s="43" t="s">
        <v>344</v>
      </c>
      <c r="AI319" s="43" t="s">
        <v>345</v>
      </c>
      <c r="AJ319" s="43" t="s">
        <v>344</v>
      </c>
      <c r="AK319" s="43" t="s">
        <v>345</v>
      </c>
      <c r="AL319" s="43" t="s">
        <v>344</v>
      </c>
      <c r="AM319" s="43" t="s">
        <v>345</v>
      </c>
      <c r="AN319" s="43" t="s">
        <v>344</v>
      </c>
      <c r="AO319" s="43" t="s">
        <v>344</v>
      </c>
      <c r="AP319" s="43" t="s">
        <v>345</v>
      </c>
      <c r="AQ319" s="43" t="s">
        <v>344</v>
      </c>
      <c r="AR319" s="43" t="s">
        <v>345</v>
      </c>
      <c r="AS319" s="43" t="s">
        <v>345</v>
      </c>
      <c r="AT319" s="43" t="s">
        <v>345</v>
      </c>
      <c r="AU319" s="43" t="s">
        <v>345</v>
      </c>
      <c r="AV319" s="43" t="s">
        <v>345</v>
      </c>
      <c r="AW319" s="43" t="s">
        <v>345</v>
      </c>
      <c r="AX319" s="43" t="s">
        <v>344</v>
      </c>
      <c r="AY319" s="43" t="s">
        <v>733</v>
      </c>
      <c r="AZ319" s="43" t="s">
        <v>731</v>
      </c>
      <c r="BA319" s="43" t="s">
        <v>733</v>
      </c>
      <c r="BB319" s="43" t="s">
        <v>732</v>
      </c>
      <c r="BC319" s="43" t="s">
        <v>731</v>
      </c>
      <c r="BD319" s="43" t="s">
        <v>731</v>
      </c>
      <c r="BE319" s="43" t="s">
        <v>349</v>
      </c>
      <c r="BF319" s="43" t="s">
        <v>350</v>
      </c>
      <c r="BG319" s="43" t="s">
        <v>390</v>
      </c>
      <c r="BH319" s="43" t="s">
        <v>349</v>
      </c>
      <c r="BI319" s="43" t="s">
        <v>390</v>
      </c>
      <c r="BJ319" s="43" t="s">
        <v>355</v>
      </c>
      <c r="BK319" s="43" t="s">
        <v>354</v>
      </c>
      <c r="BL319" s="43" t="s">
        <v>351</v>
      </c>
      <c r="BM319" s="43" t="s">
        <v>352</v>
      </c>
      <c r="BN319" s="43" t="s">
        <v>356</v>
      </c>
      <c r="BO319" s="43" t="s">
        <v>357</v>
      </c>
      <c r="BP319" s="43" t="s">
        <v>353</v>
      </c>
      <c r="BQ319" s="43" t="s">
        <v>419</v>
      </c>
      <c r="BR319" s="43" t="s">
        <v>344</v>
      </c>
      <c r="BS319" s="43" t="s">
        <v>357</v>
      </c>
      <c r="BT319" s="43" t="s">
        <v>352</v>
      </c>
      <c r="BU319" s="43" t="s">
        <v>356</v>
      </c>
      <c r="BV319" s="43" t="s">
        <v>354</v>
      </c>
      <c r="BW319" s="43" t="s">
        <v>353</v>
      </c>
      <c r="BX319" s="43" t="s">
        <v>351</v>
      </c>
      <c r="BY319" s="43" t="s">
        <v>355</v>
      </c>
      <c r="BZ319" s="43" t="s">
        <v>354</v>
      </c>
      <c r="CA319" s="43" t="s">
        <v>356</v>
      </c>
      <c r="CB319" s="43" t="s">
        <v>357</v>
      </c>
      <c r="CC319" s="43" t="s">
        <v>353</v>
      </c>
      <c r="CD319" s="43" t="s">
        <v>351</v>
      </c>
      <c r="CE319" s="43" t="s">
        <v>352</v>
      </c>
      <c r="CF319" s="43" t="s">
        <v>355</v>
      </c>
      <c r="CG319" s="43" t="s">
        <v>393</v>
      </c>
      <c r="CH319" s="43" t="s">
        <v>421</v>
      </c>
      <c r="CI319" s="43" t="s">
        <v>420</v>
      </c>
      <c r="CJ319" s="43" t="s">
        <v>420</v>
      </c>
      <c r="CK319" s="43" t="s">
        <v>391</v>
      </c>
      <c r="CL319" s="43" t="s">
        <v>344</v>
      </c>
      <c r="CM319" s="43" t="s">
        <v>345</v>
      </c>
      <c r="CN319" s="43" t="s">
        <v>345</v>
      </c>
      <c r="CO319" s="43" t="s">
        <v>345</v>
      </c>
      <c r="CP319" s="43" t="s">
        <v>345</v>
      </c>
      <c r="CQ319" s="43" t="s">
        <v>344</v>
      </c>
      <c r="CR319" s="43" t="s">
        <v>667</v>
      </c>
      <c r="CS319" s="43">
        <v>15</v>
      </c>
      <c r="CT319" s="43">
        <v>96</v>
      </c>
      <c r="CU319" s="43"/>
      <c r="CV319" s="43"/>
      <c r="CW319" s="43" t="s">
        <v>471</v>
      </c>
      <c r="CX319" s="43" t="s">
        <v>363</v>
      </c>
      <c r="CY319" s="43" t="s">
        <v>396</v>
      </c>
      <c r="CZ319" s="43" t="s">
        <v>717</v>
      </c>
      <c r="DA319" s="43" t="s">
        <v>397</v>
      </c>
      <c r="DB319" s="43" t="s">
        <v>397</v>
      </c>
      <c r="DC319" s="43" t="s">
        <v>397</v>
      </c>
      <c r="DD319" s="43" t="s">
        <v>397</v>
      </c>
      <c r="DE319" s="43"/>
      <c r="DF319" s="43"/>
      <c r="DG319" s="43"/>
      <c r="DH319" s="43"/>
      <c r="DI319" s="43"/>
      <c r="DJ319" s="43"/>
      <c r="DK319" s="43" t="s">
        <v>344</v>
      </c>
      <c r="DL319" s="43" t="s">
        <v>368</v>
      </c>
      <c r="DM319" s="43" t="s">
        <v>368</v>
      </c>
      <c r="DN319" s="43" t="s">
        <v>368</v>
      </c>
      <c r="DO319" s="43" t="s">
        <v>368</v>
      </c>
      <c r="DP319" s="43" t="s">
        <v>368</v>
      </c>
      <c r="DQ319" s="43" t="s">
        <v>368</v>
      </c>
      <c r="DR319" s="43" t="s">
        <v>368</v>
      </c>
      <c r="DS319" s="43" t="s">
        <v>345</v>
      </c>
      <c r="DT319" s="43" t="s">
        <v>344</v>
      </c>
      <c r="DU319" s="43" t="s">
        <v>344</v>
      </c>
      <c r="DV319" s="43" t="s">
        <v>345</v>
      </c>
      <c r="DW319" s="43" t="s">
        <v>344</v>
      </c>
      <c r="DX319" s="43" t="s">
        <v>1258</v>
      </c>
      <c r="DY319" s="43" t="s">
        <v>1258</v>
      </c>
      <c r="DZ319" s="43" t="s">
        <v>1258</v>
      </c>
      <c r="EA319" s="43" t="s">
        <v>1258</v>
      </c>
      <c r="EB319" s="43" t="s">
        <v>1258</v>
      </c>
      <c r="EC319" s="43" t="s">
        <v>1258</v>
      </c>
      <c r="ED319" s="43" t="s">
        <v>1258</v>
      </c>
      <c r="EE319" s="43" t="s">
        <v>1272</v>
      </c>
      <c r="EF319" s="43" t="s">
        <v>1272</v>
      </c>
      <c r="EG319" s="43" t="s">
        <v>1272</v>
      </c>
      <c r="EH319" s="43" t="s">
        <v>1272</v>
      </c>
      <c r="EI319" s="43" t="s">
        <v>1272</v>
      </c>
      <c r="EJ319" s="43" t="s">
        <v>1272</v>
      </c>
      <c r="EK319" s="43" t="s">
        <v>1272</v>
      </c>
      <c r="EL319" s="43" t="s">
        <v>1276</v>
      </c>
      <c r="EM319" s="43" t="s">
        <v>1260</v>
      </c>
      <c r="EN319" s="43" t="s">
        <v>1259</v>
      </c>
      <c r="EO319" s="43"/>
      <c r="EP319" s="43"/>
      <c r="EQ319" s="43" t="s">
        <v>1263</v>
      </c>
      <c r="ER319" s="43" t="s">
        <v>1263</v>
      </c>
      <c r="ES319" s="43" t="s">
        <v>1264</v>
      </c>
      <c r="ET319" s="43" t="s">
        <v>1263</v>
      </c>
      <c r="EU319" s="43" t="s">
        <v>1264</v>
      </c>
      <c r="EV319" s="43" t="s">
        <v>1265</v>
      </c>
      <c r="EW319" s="43"/>
      <c r="EX319" s="43" t="s">
        <v>368</v>
      </c>
      <c r="EY319" s="43" t="s">
        <v>368</v>
      </c>
      <c r="EZ319" s="43" t="s">
        <v>368</v>
      </c>
      <c r="FA319" s="43" t="s">
        <v>345</v>
      </c>
      <c r="FB319" s="43" t="s">
        <v>1266</v>
      </c>
      <c r="FC319" s="43"/>
      <c r="FD319" s="43" t="s">
        <v>1266</v>
      </c>
      <c r="FE319" s="43"/>
      <c r="FF319" s="43" t="s">
        <v>1322</v>
      </c>
      <c r="FG319" s="43" t="s">
        <v>441</v>
      </c>
      <c r="FH319" s="43" t="s">
        <v>1301</v>
      </c>
      <c r="FI319" s="43" t="s">
        <v>1294</v>
      </c>
      <c r="FJ319" s="43"/>
      <c r="FK319" s="43"/>
      <c r="FL319" s="43"/>
      <c r="FM319" s="43"/>
      <c r="FN319" s="43"/>
      <c r="FO319" s="43"/>
      <c r="FP319" s="43"/>
      <c r="FQ319" s="43"/>
      <c r="FR319" s="43"/>
      <c r="FS319" s="43"/>
      <c r="FT319" s="43"/>
      <c r="FU319" s="43"/>
      <c r="FV319" s="43"/>
      <c r="FW319" s="43"/>
      <c r="FX319" s="43"/>
      <c r="FY319" s="43"/>
      <c r="FZ319" s="43"/>
      <c r="GA319" s="43" t="s">
        <v>368</v>
      </c>
      <c r="GB319" s="43" t="s">
        <v>368</v>
      </c>
      <c r="GC319" s="43" t="s">
        <v>368</v>
      </c>
      <c r="GD319" s="43" t="s">
        <v>368</v>
      </c>
      <c r="GE319" s="43" t="s">
        <v>368</v>
      </c>
      <c r="GF319" s="43" t="s">
        <v>368</v>
      </c>
      <c r="GG319" s="43"/>
      <c r="GH319" s="43"/>
      <c r="GI319" s="43"/>
      <c r="GJ319" s="43"/>
      <c r="GK319" s="43"/>
      <c r="GL319" s="43" t="s">
        <v>344</v>
      </c>
      <c r="GM319" s="43" t="s">
        <v>344</v>
      </c>
      <c r="GN319" s="43" t="s">
        <v>344</v>
      </c>
      <c r="GO319" s="43" t="s">
        <v>344</v>
      </c>
      <c r="GP319" s="43" t="s">
        <v>344</v>
      </c>
      <c r="GQ319" s="43" t="s">
        <v>344</v>
      </c>
      <c r="GR319" s="43" t="s">
        <v>344</v>
      </c>
      <c r="GS319" s="43" t="s">
        <v>344</v>
      </c>
      <c r="GT319" s="43" t="s">
        <v>344</v>
      </c>
      <c r="GU319" s="43" t="s">
        <v>344</v>
      </c>
      <c r="GV319" s="43" t="s">
        <v>344</v>
      </c>
      <c r="GW319" s="43" t="s">
        <v>345</v>
      </c>
      <c r="GX319" s="43" t="s">
        <v>344</v>
      </c>
      <c r="GY319" s="43" t="s">
        <v>344</v>
      </c>
      <c r="GZ319" s="43" t="s">
        <v>344</v>
      </c>
      <c r="HA319" s="43" t="s">
        <v>344</v>
      </c>
      <c r="HB319" s="43"/>
      <c r="HC319" s="43" t="s">
        <v>344</v>
      </c>
      <c r="HD319" s="43"/>
      <c r="HE319" s="43" t="s">
        <v>344</v>
      </c>
      <c r="HF319" s="43"/>
      <c r="HG319" s="43" t="s">
        <v>344</v>
      </c>
      <c r="HH319" s="43"/>
      <c r="HI319" s="43" t="s">
        <v>344</v>
      </c>
      <c r="HJ319" s="43"/>
      <c r="HK319" s="43" t="s">
        <v>344</v>
      </c>
      <c r="HL319" s="43" t="s">
        <v>344</v>
      </c>
      <c r="HM319" s="43" t="s">
        <v>344</v>
      </c>
      <c r="HN319" s="43" t="s">
        <v>345</v>
      </c>
      <c r="HO319" s="43" t="s">
        <v>344</v>
      </c>
      <c r="HP319" s="43" t="s">
        <v>344</v>
      </c>
      <c r="HQ319" s="43" t="s">
        <v>344</v>
      </c>
      <c r="HR319" s="43" t="s">
        <v>344</v>
      </c>
      <c r="HS319" s="43" t="s">
        <v>344</v>
      </c>
      <c r="HT319" s="43" t="s">
        <v>344</v>
      </c>
      <c r="HU319" s="43" t="s">
        <v>344</v>
      </c>
      <c r="HV319" s="43" t="s">
        <v>344</v>
      </c>
      <c r="HW319" s="43" t="s">
        <v>344</v>
      </c>
      <c r="HX319" s="43" t="s">
        <v>344</v>
      </c>
      <c r="HY319" s="43" t="s">
        <v>344</v>
      </c>
      <c r="HZ319" s="43" t="s">
        <v>344</v>
      </c>
      <c r="IA319" s="43" t="s">
        <v>344</v>
      </c>
      <c r="IB319" s="43" t="s">
        <v>344</v>
      </c>
      <c r="IC319" s="43" t="s">
        <v>344</v>
      </c>
      <c r="ID319" s="43"/>
      <c r="IE319" s="43" t="s">
        <v>344</v>
      </c>
      <c r="IF319" s="43"/>
      <c r="IG319" s="43" t="s">
        <v>344</v>
      </c>
      <c r="IH319" s="43"/>
      <c r="II319" s="43" t="s">
        <v>344</v>
      </c>
      <c r="IJ319" s="43"/>
      <c r="IK319" s="43" t="s">
        <v>344</v>
      </c>
      <c r="IL319" s="43"/>
      <c r="IM319" s="43" t="s">
        <v>344</v>
      </c>
      <c r="IN319" s="43" t="s">
        <v>345</v>
      </c>
      <c r="IO319" s="43" t="s">
        <v>344</v>
      </c>
      <c r="IP319" s="43" t="s">
        <v>344</v>
      </c>
      <c r="IQ319" s="43" t="s">
        <v>345</v>
      </c>
      <c r="IR319" s="43" t="s">
        <v>345</v>
      </c>
      <c r="IS319" s="43" t="s">
        <v>344</v>
      </c>
      <c r="IT319" s="43" t="s">
        <v>345</v>
      </c>
      <c r="IU319" s="43" t="s">
        <v>344</v>
      </c>
      <c r="IV319" s="43" t="s">
        <v>344</v>
      </c>
      <c r="IW319" s="43" t="s">
        <v>344</v>
      </c>
      <c r="IX319" s="43" t="s">
        <v>344</v>
      </c>
      <c r="IY319" s="43" t="s">
        <v>344</v>
      </c>
      <c r="IZ319" s="43" t="s">
        <v>344</v>
      </c>
      <c r="JA319" s="43"/>
      <c r="JB319" s="43" t="s">
        <v>597</v>
      </c>
    </row>
    <row r="320" spans="1:262" x14ac:dyDescent="0.3">
      <c r="A320" s="42" t="s">
        <v>813</v>
      </c>
      <c r="B320" s="43">
        <v>297</v>
      </c>
      <c r="C320" s="43" t="s">
        <v>1668</v>
      </c>
      <c r="D320" s="43">
        <v>14</v>
      </c>
      <c r="E320" s="43" t="s">
        <v>387</v>
      </c>
      <c r="F320" s="43">
        <v>742901271</v>
      </c>
      <c r="G320" s="43" t="s">
        <v>1669</v>
      </c>
      <c r="H320" s="43" t="s">
        <v>1668</v>
      </c>
      <c r="I320" s="43" t="s">
        <v>1667</v>
      </c>
      <c r="J320" s="43">
        <v>17</v>
      </c>
      <c r="K320" s="43" t="s">
        <v>1255</v>
      </c>
      <c r="L320" s="43"/>
      <c r="M320" s="43" t="s">
        <v>345</v>
      </c>
      <c r="N320" s="43" t="s">
        <v>344</v>
      </c>
      <c r="O320" s="43" t="s">
        <v>344</v>
      </c>
      <c r="P320" s="43" t="s">
        <v>344</v>
      </c>
      <c r="Q320" s="43" t="s">
        <v>344</v>
      </c>
      <c r="R320" s="43"/>
      <c r="S320" s="43" t="s">
        <v>522</v>
      </c>
      <c r="T320" s="43"/>
      <c r="U320" s="43" t="s">
        <v>1270</v>
      </c>
      <c r="V320" s="43"/>
      <c r="W320" s="43" t="s">
        <v>345</v>
      </c>
      <c r="X320" s="43" t="s">
        <v>344</v>
      </c>
      <c r="Y320" s="43" t="s">
        <v>344</v>
      </c>
      <c r="Z320" s="43" t="s">
        <v>344</v>
      </c>
      <c r="AA320" s="43" t="s">
        <v>344</v>
      </c>
      <c r="AB320" s="43" t="s">
        <v>345</v>
      </c>
      <c r="AC320" s="43" t="s">
        <v>344</v>
      </c>
      <c r="AD320" s="43" t="s">
        <v>345</v>
      </c>
      <c r="AE320" s="43" t="s">
        <v>344</v>
      </c>
      <c r="AF320" s="43" t="s">
        <v>345</v>
      </c>
      <c r="AG320" s="43" t="s">
        <v>344</v>
      </c>
      <c r="AH320" s="43" t="s">
        <v>345</v>
      </c>
      <c r="AI320" s="43" t="s">
        <v>344</v>
      </c>
      <c r="AJ320" s="43" t="s">
        <v>344</v>
      </c>
      <c r="AK320" s="43" t="s">
        <v>344</v>
      </c>
      <c r="AL320" s="43" t="s">
        <v>344</v>
      </c>
      <c r="AM320" s="43" t="s">
        <v>344</v>
      </c>
      <c r="AN320" s="43" t="s">
        <v>345</v>
      </c>
      <c r="AO320" s="43" t="s">
        <v>344</v>
      </c>
      <c r="AP320" s="43" t="s">
        <v>345</v>
      </c>
      <c r="AQ320" s="43" t="s">
        <v>344</v>
      </c>
      <c r="AR320" s="43" t="s">
        <v>344</v>
      </c>
      <c r="AS320" s="43" t="s">
        <v>344</v>
      </c>
      <c r="AT320" s="43" t="s">
        <v>344</v>
      </c>
      <c r="AU320" s="43" t="s">
        <v>345</v>
      </c>
      <c r="AV320" s="43" t="s">
        <v>345</v>
      </c>
      <c r="AW320" s="43" t="s">
        <v>344</v>
      </c>
      <c r="AX320" s="43" t="s">
        <v>344</v>
      </c>
      <c r="AY320" s="43" t="s">
        <v>731</v>
      </c>
      <c r="AZ320" s="43" t="s">
        <v>732</v>
      </c>
      <c r="BA320" s="43" t="s">
        <v>732</v>
      </c>
      <c r="BB320" s="43" t="s">
        <v>733</v>
      </c>
      <c r="BC320" s="43" t="s">
        <v>733</v>
      </c>
      <c r="BD320" s="43" t="s">
        <v>731</v>
      </c>
      <c r="BE320" s="43" t="s">
        <v>350</v>
      </c>
      <c r="BF320" s="43" t="s">
        <v>348</v>
      </c>
      <c r="BG320" s="43" t="s">
        <v>390</v>
      </c>
      <c r="BH320" s="43" t="s">
        <v>350</v>
      </c>
      <c r="BI320" s="43" t="s">
        <v>349</v>
      </c>
      <c r="BJ320" s="43" t="s">
        <v>353</v>
      </c>
      <c r="BK320" s="43" t="s">
        <v>356</v>
      </c>
      <c r="BL320" s="43" t="s">
        <v>351</v>
      </c>
      <c r="BM320" s="43" t="s">
        <v>352</v>
      </c>
      <c r="BN320" s="43" t="s">
        <v>355</v>
      </c>
      <c r="BO320" s="43" t="s">
        <v>354</v>
      </c>
      <c r="BP320" s="43" t="s">
        <v>357</v>
      </c>
      <c r="BQ320" s="43" t="s">
        <v>358</v>
      </c>
      <c r="BR320" s="43" t="s">
        <v>1257</v>
      </c>
      <c r="BS320" s="43" t="s">
        <v>356</v>
      </c>
      <c r="BT320" s="43" t="s">
        <v>354</v>
      </c>
      <c r="BU320" s="43" t="s">
        <v>353</v>
      </c>
      <c r="BV320" s="43" t="s">
        <v>352</v>
      </c>
      <c r="BW320" s="43" t="s">
        <v>357</v>
      </c>
      <c r="BX320" s="43" t="s">
        <v>351</v>
      </c>
      <c r="BY320" s="43" t="s">
        <v>355</v>
      </c>
      <c r="BZ320" s="43" t="s">
        <v>355</v>
      </c>
      <c r="CA320" s="43" t="s">
        <v>356</v>
      </c>
      <c r="CB320" s="43" t="s">
        <v>353</v>
      </c>
      <c r="CC320" s="43" t="s">
        <v>357</v>
      </c>
      <c r="CD320" s="43" t="s">
        <v>354</v>
      </c>
      <c r="CE320" s="43" t="s">
        <v>352</v>
      </c>
      <c r="CF320" s="43" t="s">
        <v>351</v>
      </c>
      <c r="CG320" s="43" t="s">
        <v>392</v>
      </c>
      <c r="CH320" s="43" t="s">
        <v>392</v>
      </c>
      <c r="CI320" s="43" t="s">
        <v>392</v>
      </c>
      <c r="CJ320" s="43" t="s">
        <v>392</v>
      </c>
      <c r="CK320" s="43" t="s">
        <v>1670</v>
      </c>
      <c r="CL320" s="43" t="s">
        <v>344</v>
      </c>
      <c r="CM320" s="43" t="s">
        <v>344</v>
      </c>
      <c r="CN320" s="43" t="s">
        <v>344</v>
      </c>
      <c r="CO320" s="43" t="s">
        <v>345</v>
      </c>
      <c r="CP320" s="43" t="s">
        <v>345</v>
      </c>
      <c r="CQ320" s="43" t="s">
        <v>344</v>
      </c>
      <c r="CR320" s="43" t="s">
        <v>655</v>
      </c>
      <c r="CS320" s="43">
        <v>60</v>
      </c>
      <c r="CT320" s="43">
        <v>100</v>
      </c>
      <c r="CU320" s="43"/>
      <c r="CV320" s="43"/>
      <c r="CW320" s="43" t="s">
        <v>395</v>
      </c>
      <c r="CX320" s="43" t="s">
        <v>396</v>
      </c>
      <c r="CY320" s="43" t="s">
        <v>395</v>
      </c>
      <c r="CZ320" s="43" t="s">
        <v>397</v>
      </c>
      <c r="DA320" s="43" t="s">
        <v>397</v>
      </c>
      <c r="DB320" s="43" t="s">
        <v>397</v>
      </c>
      <c r="DC320" s="43" t="s">
        <v>397</v>
      </c>
      <c r="DD320" s="43" t="s">
        <v>365</v>
      </c>
      <c r="DE320" s="43"/>
      <c r="DF320" s="43"/>
      <c r="DG320" s="43"/>
      <c r="DH320" s="43"/>
      <c r="DI320" s="43"/>
      <c r="DJ320" s="43" t="s">
        <v>1671</v>
      </c>
      <c r="DK320" s="43" t="s">
        <v>344</v>
      </c>
      <c r="DL320" s="43" t="s">
        <v>368</v>
      </c>
      <c r="DM320" s="43" t="s">
        <v>368</v>
      </c>
      <c r="DN320" s="43" t="s">
        <v>368</v>
      </c>
      <c r="DO320" s="43" t="s">
        <v>368</v>
      </c>
      <c r="DP320" s="43" t="s">
        <v>368</v>
      </c>
      <c r="DQ320" s="43" t="s">
        <v>368</v>
      </c>
      <c r="DR320" s="43" t="s">
        <v>368</v>
      </c>
      <c r="DS320" s="43" t="s">
        <v>345</v>
      </c>
      <c r="DT320" s="43" t="s">
        <v>345</v>
      </c>
      <c r="DU320" s="43" t="s">
        <v>345</v>
      </c>
      <c r="DV320" s="43" t="s">
        <v>345</v>
      </c>
      <c r="DW320" s="43" t="s">
        <v>344</v>
      </c>
      <c r="DX320" s="43" t="s">
        <v>1258</v>
      </c>
      <c r="DY320" s="43" t="s">
        <v>1258</v>
      </c>
      <c r="DZ320" s="43" t="s">
        <v>1258</v>
      </c>
      <c r="EA320" s="43" t="s">
        <v>1258</v>
      </c>
      <c r="EB320" s="43" t="s">
        <v>1258</v>
      </c>
      <c r="EC320" s="43" t="s">
        <v>397</v>
      </c>
      <c r="ED320" s="43" t="s">
        <v>1258</v>
      </c>
      <c r="EE320" s="43" t="s">
        <v>397</v>
      </c>
      <c r="EF320" s="43" t="s">
        <v>1273</v>
      </c>
      <c r="EG320" s="43" t="s">
        <v>397</v>
      </c>
      <c r="EH320" s="43" t="s">
        <v>397</v>
      </c>
      <c r="EI320" s="43" t="s">
        <v>397</v>
      </c>
      <c r="EJ320" s="43" t="s">
        <v>397</v>
      </c>
      <c r="EK320" s="43" t="s">
        <v>397</v>
      </c>
      <c r="EL320" s="43" t="s">
        <v>1261</v>
      </c>
      <c r="EM320" s="43" t="s">
        <v>1259</v>
      </c>
      <c r="EN320" s="43" t="s">
        <v>1260</v>
      </c>
      <c r="EO320" s="43"/>
      <c r="EP320" s="43"/>
      <c r="EQ320" s="43" t="s">
        <v>1263</v>
      </c>
      <c r="ER320" s="43" t="s">
        <v>1263</v>
      </c>
      <c r="ES320" s="43" t="s">
        <v>1263</v>
      </c>
      <c r="ET320" s="43" t="s">
        <v>1264</v>
      </c>
      <c r="EU320" s="43" t="s">
        <v>1278</v>
      </c>
      <c r="EV320" s="43" t="s">
        <v>1265</v>
      </c>
      <c r="EW320" s="43"/>
      <c r="EX320" s="43" t="s">
        <v>368</v>
      </c>
      <c r="EY320" s="43" t="s">
        <v>368</v>
      </c>
      <c r="EZ320" s="43" t="s">
        <v>368</v>
      </c>
      <c r="FA320" s="43" t="s">
        <v>345</v>
      </c>
      <c r="FB320" s="43" t="s">
        <v>1266</v>
      </c>
      <c r="FC320" s="43"/>
      <c r="FD320" s="43" t="s">
        <v>1266</v>
      </c>
      <c r="FE320" s="43"/>
      <c r="FF320" s="43" t="s">
        <v>1322</v>
      </c>
      <c r="FG320" s="43" t="s">
        <v>441</v>
      </c>
      <c r="FH320" s="43" t="s">
        <v>1301</v>
      </c>
      <c r="FI320" s="43" t="s">
        <v>1286</v>
      </c>
      <c r="FJ320" s="43"/>
      <c r="FK320" s="43"/>
      <c r="FL320" s="43"/>
      <c r="FM320" s="43"/>
      <c r="FN320" s="43"/>
      <c r="FO320" s="43"/>
      <c r="FP320" s="43"/>
      <c r="FQ320" s="43"/>
      <c r="FR320" s="43"/>
      <c r="FS320" s="43"/>
      <c r="FT320" s="43"/>
      <c r="FU320" s="43"/>
      <c r="FV320" s="43"/>
      <c r="FW320" s="43"/>
      <c r="FX320" s="43"/>
      <c r="FY320" s="43"/>
      <c r="FZ320" s="43"/>
      <c r="GA320" s="43" t="s">
        <v>368</v>
      </c>
      <c r="GB320" s="43" t="s">
        <v>368</v>
      </c>
      <c r="GC320" s="43" t="s">
        <v>368</v>
      </c>
      <c r="GD320" s="43" t="s">
        <v>368</v>
      </c>
      <c r="GE320" s="43" t="s">
        <v>368</v>
      </c>
      <c r="GF320" s="43" t="s">
        <v>368</v>
      </c>
      <c r="GG320" s="43"/>
      <c r="GH320" s="43"/>
      <c r="GI320" s="43"/>
      <c r="GJ320" s="43"/>
      <c r="GK320" s="43"/>
      <c r="GL320" s="43" t="s">
        <v>344</v>
      </c>
      <c r="GM320" s="43" t="s">
        <v>344</v>
      </c>
      <c r="GN320" s="43" t="s">
        <v>344</v>
      </c>
      <c r="GO320" s="43" t="s">
        <v>344</v>
      </c>
      <c r="GP320" s="43" t="s">
        <v>344</v>
      </c>
      <c r="GQ320" s="43" t="s">
        <v>344</v>
      </c>
      <c r="GR320" s="43" t="s">
        <v>344</v>
      </c>
      <c r="GS320" s="43" t="s">
        <v>344</v>
      </c>
      <c r="GT320" s="43" t="s">
        <v>344</v>
      </c>
      <c r="GU320" s="43" t="s">
        <v>344</v>
      </c>
      <c r="GV320" s="43" t="s">
        <v>344</v>
      </c>
      <c r="GW320" s="43" t="s">
        <v>344</v>
      </c>
      <c r="GX320" s="43" t="s">
        <v>344</v>
      </c>
      <c r="GY320" s="43" t="s">
        <v>344</v>
      </c>
      <c r="GZ320" s="43" t="s">
        <v>344</v>
      </c>
      <c r="HA320" s="43" t="s">
        <v>345</v>
      </c>
      <c r="HB320" s="43"/>
      <c r="HC320" s="43" t="s">
        <v>344</v>
      </c>
      <c r="HD320" s="43"/>
      <c r="HE320" s="43" t="s">
        <v>344</v>
      </c>
      <c r="HF320" s="43"/>
      <c r="HG320" s="43" t="s">
        <v>344</v>
      </c>
      <c r="HH320" s="43"/>
      <c r="HI320" s="43" t="s">
        <v>344</v>
      </c>
      <c r="HJ320" s="43"/>
      <c r="HK320" s="43" t="s">
        <v>344</v>
      </c>
      <c r="HL320" s="43" t="s">
        <v>344</v>
      </c>
      <c r="HM320" s="43" t="s">
        <v>344</v>
      </c>
      <c r="HN320" s="43" t="s">
        <v>344</v>
      </c>
      <c r="HO320" s="43" t="s">
        <v>344</v>
      </c>
      <c r="HP320" s="43" t="s">
        <v>344</v>
      </c>
      <c r="HQ320" s="43" t="s">
        <v>344</v>
      </c>
      <c r="HR320" s="43" t="s">
        <v>344</v>
      </c>
      <c r="HS320" s="43" t="s">
        <v>344</v>
      </c>
      <c r="HT320" s="43" t="s">
        <v>344</v>
      </c>
      <c r="HU320" s="43" t="s">
        <v>344</v>
      </c>
      <c r="HV320" s="43" t="s">
        <v>344</v>
      </c>
      <c r="HW320" s="43" t="s">
        <v>344</v>
      </c>
      <c r="HX320" s="43" t="s">
        <v>344</v>
      </c>
      <c r="HY320" s="43" t="s">
        <v>344</v>
      </c>
      <c r="HZ320" s="43" t="s">
        <v>344</v>
      </c>
      <c r="IA320" s="43" t="s">
        <v>344</v>
      </c>
      <c r="IB320" s="43" t="s">
        <v>344</v>
      </c>
      <c r="IC320" s="43" t="s">
        <v>345</v>
      </c>
      <c r="ID320" s="43"/>
      <c r="IE320" s="43" t="s">
        <v>344</v>
      </c>
      <c r="IF320" s="43"/>
      <c r="IG320" s="43" t="s">
        <v>344</v>
      </c>
      <c r="IH320" s="43"/>
      <c r="II320" s="43" t="s">
        <v>344</v>
      </c>
      <c r="IJ320" s="43"/>
      <c r="IK320" s="43" t="s">
        <v>344</v>
      </c>
      <c r="IL320" s="43"/>
      <c r="IM320" s="43" t="s">
        <v>344</v>
      </c>
      <c r="IN320" s="43" t="s">
        <v>344</v>
      </c>
      <c r="IO320" s="43" t="s">
        <v>344</v>
      </c>
      <c r="IP320" s="43" t="s">
        <v>344</v>
      </c>
      <c r="IQ320" s="43" t="s">
        <v>345</v>
      </c>
      <c r="IR320" s="43" t="s">
        <v>344</v>
      </c>
      <c r="IS320" s="43" t="s">
        <v>344</v>
      </c>
      <c r="IT320" s="43" t="s">
        <v>345</v>
      </c>
      <c r="IU320" s="43" t="s">
        <v>345</v>
      </c>
      <c r="IV320" s="43" t="s">
        <v>344</v>
      </c>
      <c r="IW320" s="43" t="s">
        <v>345</v>
      </c>
      <c r="IX320" s="43" t="s">
        <v>344</v>
      </c>
      <c r="IY320" s="43" t="s">
        <v>344</v>
      </c>
      <c r="IZ320" s="43" t="s">
        <v>344</v>
      </c>
      <c r="JA320" s="43"/>
      <c r="JB320" s="43"/>
    </row>
    <row r="321" spans="1:262" x14ac:dyDescent="0.3">
      <c r="A321" s="42" t="s">
        <v>813</v>
      </c>
      <c r="B321" s="43">
        <v>299</v>
      </c>
      <c r="C321" s="43" t="s">
        <v>1672</v>
      </c>
      <c r="D321" s="43">
        <v>14</v>
      </c>
      <c r="E321" s="43" t="s">
        <v>387</v>
      </c>
      <c r="F321" s="43">
        <v>250509507</v>
      </c>
      <c r="G321" s="43" t="s">
        <v>1673</v>
      </c>
      <c r="H321" s="43" t="s">
        <v>1672</v>
      </c>
      <c r="I321" s="43" t="s">
        <v>1667</v>
      </c>
      <c r="J321" s="43">
        <v>17</v>
      </c>
      <c r="K321" s="43" t="s">
        <v>1255</v>
      </c>
      <c r="L321" s="43"/>
      <c r="M321" s="43" t="s">
        <v>345</v>
      </c>
      <c r="N321" s="43" t="s">
        <v>344</v>
      </c>
      <c r="O321" s="43" t="s">
        <v>344</v>
      </c>
      <c r="P321" s="43" t="s">
        <v>344</v>
      </c>
      <c r="Q321" s="43" t="s">
        <v>344</v>
      </c>
      <c r="R321" s="43"/>
      <c r="S321" s="43" t="s">
        <v>522</v>
      </c>
      <c r="T321" s="43"/>
      <c r="U321" s="43" t="s">
        <v>1457</v>
      </c>
      <c r="V321" s="43"/>
      <c r="W321" s="43" t="s">
        <v>344</v>
      </c>
      <c r="X321" s="43" t="s">
        <v>345</v>
      </c>
      <c r="Y321" s="43" t="s">
        <v>344</v>
      </c>
      <c r="Z321" s="43" t="s">
        <v>345</v>
      </c>
      <c r="AA321" s="43" t="s">
        <v>344</v>
      </c>
      <c r="AB321" s="43" t="s">
        <v>345</v>
      </c>
      <c r="AC321" s="43" t="s">
        <v>344</v>
      </c>
      <c r="AD321" s="43" t="s">
        <v>344</v>
      </c>
      <c r="AE321" s="43" t="s">
        <v>345</v>
      </c>
      <c r="AF321" s="43" t="s">
        <v>344</v>
      </c>
      <c r="AG321" s="43" t="s">
        <v>344</v>
      </c>
      <c r="AH321" s="43" t="s">
        <v>344</v>
      </c>
      <c r="AI321" s="43" t="s">
        <v>344</v>
      </c>
      <c r="AJ321" s="43" t="s">
        <v>344</v>
      </c>
      <c r="AK321" s="43" t="s">
        <v>344</v>
      </c>
      <c r="AL321" s="43" t="s">
        <v>345</v>
      </c>
      <c r="AM321" s="43" t="s">
        <v>344</v>
      </c>
      <c r="AN321" s="43" t="s">
        <v>344</v>
      </c>
      <c r="AO321" s="43" t="s">
        <v>345</v>
      </c>
      <c r="AP321" s="43" t="s">
        <v>345</v>
      </c>
      <c r="AQ321" s="43" t="s">
        <v>344</v>
      </c>
      <c r="AR321" s="43" t="s">
        <v>344</v>
      </c>
      <c r="AS321" s="43" t="s">
        <v>344</v>
      </c>
      <c r="AT321" s="43" t="s">
        <v>345</v>
      </c>
      <c r="AU321" s="43" t="s">
        <v>345</v>
      </c>
      <c r="AV321" s="43" t="s">
        <v>345</v>
      </c>
      <c r="AW321" s="43" t="s">
        <v>345</v>
      </c>
      <c r="AX321" s="43" t="s">
        <v>344</v>
      </c>
      <c r="AY321" s="43" t="s">
        <v>391</v>
      </c>
      <c r="AZ321" s="43" t="s">
        <v>732</v>
      </c>
      <c r="BA321" s="43" t="s">
        <v>732</v>
      </c>
      <c r="BB321" s="43" t="s">
        <v>731</v>
      </c>
      <c r="BC321" s="43" t="s">
        <v>733</v>
      </c>
      <c r="BD321" s="43" t="s">
        <v>733</v>
      </c>
      <c r="BE321" s="43" t="s">
        <v>348</v>
      </c>
      <c r="BF321" s="43" t="s">
        <v>348</v>
      </c>
      <c r="BG321" s="43" t="s">
        <v>390</v>
      </c>
      <c r="BH321" s="43" t="s">
        <v>390</v>
      </c>
      <c r="BI321" s="43" t="s">
        <v>349</v>
      </c>
      <c r="BJ321" s="43" t="s">
        <v>355</v>
      </c>
      <c r="BK321" s="43" t="s">
        <v>354</v>
      </c>
      <c r="BL321" s="43" t="s">
        <v>351</v>
      </c>
      <c r="BM321" s="43" t="s">
        <v>352</v>
      </c>
      <c r="BN321" s="43" t="s">
        <v>356</v>
      </c>
      <c r="BO321" s="43" t="s">
        <v>357</v>
      </c>
      <c r="BP321" s="43" t="s">
        <v>353</v>
      </c>
      <c r="BQ321" s="43" t="s">
        <v>455</v>
      </c>
      <c r="BR321" s="43" t="s">
        <v>1296</v>
      </c>
      <c r="BS321" s="43" t="s">
        <v>391</v>
      </c>
      <c r="BT321" s="43" t="s">
        <v>391</v>
      </c>
      <c r="BU321" s="43" t="s">
        <v>357</v>
      </c>
      <c r="BV321" s="43" t="s">
        <v>356</v>
      </c>
      <c r="BW321" s="43" t="s">
        <v>353</v>
      </c>
      <c r="BX321" s="43" t="s">
        <v>351</v>
      </c>
      <c r="BY321" s="43" t="s">
        <v>355</v>
      </c>
      <c r="BZ321" s="43" t="s">
        <v>354</v>
      </c>
      <c r="CA321" s="43" t="s">
        <v>356</v>
      </c>
      <c r="CB321" s="43" t="s">
        <v>357</v>
      </c>
      <c r="CC321" s="43" t="s">
        <v>353</v>
      </c>
      <c r="CD321" s="43" t="s">
        <v>351</v>
      </c>
      <c r="CE321" s="43" t="s">
        <v>352</v>
      </c>
      <c r="CF321" s="43" t="s">
        <v>355</v>
      </c>
      <c r="CG321" s="43" t="s">
        <v>392</v>
      </c>
      <c r="CH321" s="43" t="s">
        <v>421</v>
      </c>
      <c r="CI321" s="43" t="s">
        <v>420</v>
      </c>
      <c r="CJ321" s="43" t="s">
        <v>420</v>
      </c>
      <c r="CK321" s="43" t="s">
        <v>391</v>
      </c>
      <c r="CL321" s="43" t="s">
        <v>344</v>
      </c>
      <c r="CM321" s="43" t="s">
        <v>344</v>
      </c>
      <c r="CN321" s="43" t="s">
        <v>345</v>
      </c>
      <c r="CO321" s="43" t="s">
        <v>345</v>
      </c>
      <c r="CP321" s="43" t="s">
        <v>345</v>
      </c>
      <c r="CQ321" s="43" t="s">
        <v>345</v>
      </c>
      <c r="CR321" s="43" t="s">
        <v>667</v>
      </c>
      <c r="CS321" s="43">
        <v>60</v>
      </c>
      <c r="CT321" s="43">
        <v>100</v>
      </c>
      <c r="CU321" s="43"/>
      <c r="CV321" s="43"/>
      <c r="CW321" s="43" t="s">
        <v>395</v>
      </c>
      <c r="CX321" s="43" t="s">
        <v>363</v>
      </c>
      <c r="CY321" s="43" t="s">
        <v>471</v>
      </c>
      <c r="CZ321" s="43" t="s">
        <v>717</v>
      </c>
      <c r="DA321" s="43" t="s">
        <v>397</v>
      </c>
      <c r="DB321" s="43" t="s">
        <v>397</v>
      </c>
      <c r="DC321" s="43" t="s">
        <v>397</v>
      </c>
      <c r="DD321" s="43" t="s">
        <v>717</v>
      </c>
      <c r="DE321" s="43"/>
      <c r="DF321" s="43"/>
      <c r="DG321" s="43"/>
      <c r="DH321" s="43"/>
      <c r="DI321" s="43"/>
      <c r="DJ321" s="43"/>
      <c r="DK321" s="43" t="s">
        <v>344</v>
      </c>
      <c r="DL321" s="43" t="s">
        <v>368</v>
      </c>
      <c r="DM321" s="43" t="s">
        <v>368</v>
      </c>
      <c r="DN321" s="43" t="s">
        <v>368</v>
      </c>
      <c r="DO321" s="43" t="s">
        <v>368</v>
      </c>
      <c r="DP321" s="43" t="s">
        <v>344</v>
      </c>
      <c r="DQ321" s="43" t="s">
        <v>345</v>
      </c>
      <c r="DR321" s="43" t="s">
        <v>345</v>
      </c>
      <c r="DS321" s="43" t="s">
        <v>344</v>
      </c>
      <c r="DT321" s="43" t="s">
        <v>345</v>
      </c>
      <c r="DU321" s="43" t="s">
        <v>345</v>
      </c>
      <c r="DV321" s="43" t="s">
        <v>345</v>
      </c>
      <c r="DW321" s="43" t="s">
        <v>344</v>
      </c>
      <c r="DX321" s="43" t="s">
        <v>1258</v>
      </c>
      <c r="DY321" s="43" t="s">
        <v>1258</v>
      </c>
      <c r="DZ321" s="43" t="s">
        <v>397</v>
      </c>
      <c r="EA321" s="43" t="s">
        <v>1258</v>
      </c>
      <c r="EB321" s="43" t="s">
        <v>1258</v>
      </c>
      <c r="EC321" s="43" t="s">
        <v>1258</v>
      </c>
      <c r="ED321" s="43" t="s">
        <v>1258</v>
      </c>
      <c r="EE321" s="43" t="s">
        <v>397</v>
      </c>
      <c r="EF321" s="43" t="s">
        <v>397</v>
      </c>
      <c r="EG321" s="43" t="s">
        <v>397</v>
      </c>
      <c r="EH321" s="43" t="s">
        <v>397</v>
      </c>
      <c r="EI321" s="43" t="s">
        <v>397</v>
      </c>
      <c r="EJ321" s="43" t="s">
        <v>397</v>
      </c>
      <c r="EK321" s="43" t="s">
        <v>1273</v>
      </c>
      <c r="EL321" s="43" t="s">
        <v>1260</v>
      </c>
      <c r="EM321" s="43" t="s">
        <v>1261</v>
      </c>
      <c r="EN321" s="43" t="s">
        <v>1259</v>
      </c>
      <c r="EO321" s="43"/>
      <c r="EP321" s="43"/>
      <c r="EQ321" s="43" t="s">
        <v>1264</v>
      </c>
      <c r="ER321" s="43" t="s">
        <v>1263</v>
      </c>
      <c r="ES321" s="43" t="s">
        <v>1263</v>
      </c>
      <c r="ET321" s="43" t="s">
        <v>1264</v>
      </c>
      <c r="EU321" s="43" t="s">
        <v>1264</v>
      </c>
      <c r="EV321" s="43" t="s">
        <v>1265</v>
      </c>
      <c r="EW321" s="43"/>
      <c r="EX321" s="43" t="s">
        <v>368</v>
      </c>
      <c r="EY321" s="43" t="s">
        <v>368</v>
      </c>
      <c r="EZ321" s="43" t="s">
        <v>368</v>
      </c>
      <c r="FA321" s="43" t="s">
        <v>345</v>
      </c>
      <c r="FB321" s="43" t="s">
        <v>1266</v>
      </c>
      <c r="FC321" s="43"/>
      <c r="FD321" s="43" t="s">
        <v>1266</v>
      </c>
      <c r="FE321" s="43"/>
      <c r="FF321" s="43" t="s">
        <v>477</v>
      </c>
      <c r="FG321" s="43" t="s">
        <v>1323</v>
      </c>
      <c r="FH321" s="43" t="s">
        <v>1301</v>
      </c>
      <c r="FI321" s="43" t="s">
        <v>385</v>
      </c>
      <c r="FJ321" s="43"/>
      <c r="FK321" s="43"/>
      <c r="FL321" s="43"/>
      <c r="FM321" s="43"/>
      <c r="FN321" s="43"/>
      <c r="FO321" s="43"/>
      <c r="FP321" s="43"/>
      <c r="FQ321" s="43"/>
      <c r="FR321" s="43"/>
      <c r="FS321" s="43"/>
      <c r="FT321" s="43"/>
      <c r="FU321" s="43"/>
      <c r="FV321" s="43"/>
      <c r="FW321" s="43"/>
      <c r="FX321" s="43"/>
      <c r="FY321" s="43"/>
      <c r="FZ321" s="43"/>
      <c r="GA321" s="43" t="s">
        <v>368</v>
      </c>
      <c r="GB321" s="43" t="s">
        <v>368</v>
      </c>
      <c r="GC321" s="43" t="s">
        <v>368</v>
      </c>
      <c r="GD321" s="43" t="s">
        <v>368</v>
      </c>
      <c r="GE321" s="43" t="s">
        <v>368</v>
      </c>
      <c r="GF321" s="43" t="s">
        <v>368</v>
      </c>
      <c r="GG321" s="43"/>
      <c r="GH321" s="43"/>
      <c r="GI321" s="43"/>
      <c r="GJ321" s="43"/>
      <c r="GK321" s="43"/>
      <c r="GL321" s="43" t="s">
        <v>344</v>
      </c>
      <c r="GM321" s="43" t="s">
        <v>344</v>
      </c>
      <c r="GN321" s="43" t="s">
        <v>345</v>
      </c>
      <c r="GO321" s="43" t="s">
        <v>345</v>
      </c>
      <c r="GP321" s="43" t="s">
        <v>344</v>
      </c>
      <c r="GQ321" s="43" t="s">
        <v>345</v>
      </c>
      <c r="GR321" s="43" t="s">
        <v>344</v>
      </c>
      <c r="GS321" s="43" t="s">
        <v>344</v>
      </c>
      <c r="GT321" s="43" t="s">
        <v>345</v>
      </c>
      <c r="GU321" s="43" t="s">
        <v>344</v>
      </c>
      <c r="GV321" s="43" t="s">
        <v>344</v>
      </c>
      <c r="GW321" s="43" t="s">
        <v>345</v>
      </c>
      <c r="GX321" s="43" t="s">
        <v>344</v>
      </c>
      <c r="GY321" s="43" t="s">
        <v>344</v>
      </c>
      <c r="GZ321" s="43" t="s">
        <v>344</v>
      </c>
      <c r="HA321" s="43" t="s">
        <v>344</v>
      </c>
      <c r="HB321" s="43"/>
      <c r="HC321" s="43" t="s">
        <v>344</v>
      </c>
      <c r="HD321" s="43"/>
      <c r="HE321" s="43" t="s">
        <v>344</v>
      </c>
      <c r="HF321" s="43"/>
      <c r="HG321" s="43" t="s">
        <v>344</v>
      </c>
      <c r="HH321" s="43"/>
      <c r="HI321" s="43" t="s">
        <v>344</v>
      </c>
      <c r="HJ321" s="43"/>
      <c r="HK321" s="43" t="s">
        <v>344</v>
      </c>
      <c r="HL321" s="43" t="s">
        <v>344</v>
      </c>
      <c r="HM321" s="43" t="s">
        <v>344</v>
      </c>
      <c r="HN321" s="43" t="s">
        <v>345</v>
      </c>
      <c r="HO321" s="43" t="s">
        <v>344</v>
      </c>
      <c r="HP321" s="43" t="s">
        <v>344</v>
      </c>
      <c r="HQ321" s="43" t="s">
        <v>344</v>
      </c>
      <c r="HR321" s="43" t="s">
        <v>344</v>
      </c>
      <c r="HS321" s="43" t="s">
        <v>344</v>
      </c>
      <c r="HT321" s="43" t="s">
        <v>345</v>
      </c>
      <c r="HU321" s="43" t="s">
        <v>344</v>
      </c>
      <c r="HV321" s="43" t="s">
        <v>344</v>
      </c>
      <c r="HW321" s="43" t="s">
        <v>345</v>
      </c>
      <c r="HX321" s="43" t="s">
        <v>344</v>
      </c>
      <c r="HY321" s="43" t="s">
        <v>344</v>
      </c>
      <c r="HZ321" s="43" t="s">
        <v>344</v>
      </c>
      <c r="IA321" s="43" t="s">
        <v>344</v>
      </c>
      <c r="IB321" s="43" t="s">
        <v>345</v>
      </c>
      <c r="IC321" s="43" t="s">
        <v>344</v>
      </c>
      <c r="ID321" s="43"/>
      <c r="IE321" s="43" t="s">
        <v>344</v>
      </c>
      <c r="IF321" s="43"/>
      <c r="IG321" s="43" t="s">
        <v>344</v>
      </c>
      <c r="IH321" s="43"/>
      <c r="II321" s="43" t="s">
        <v>344</v>
      </c>
      <c r="IJ321" s="43"/>
      <c r="IK321" s="43" t="s">
        <v>344</v>
      </c>
      <c r="IL321" s="43"/>
      <c r="IM321" s="43" t="s">
        <v>345</v>
      </c>
      <c r="IN321" s="43" t="s">
        <v>345</v>
      </c>
      <c r="IO321" s="43" t="s">
        <v>345</v>
      </c>
      <c r="IP321" s="43" t="s">
        <v>344</v>
      </c>
      <c r="IQ321" s="43" t="s">
        <v>345</v>
      </c>
      <c r="IR321" s="43" t="s">
        <v>345</v>
      </c>
      <c r="IS321" s="43" t="s">
        <v>344</v>
      </c>
      <c r="IT321" s="43" t="s">
        <v>345</v>
      </c>
      <c r="IU321" s="43" t="s">
        <v>345</v>
      </c>
      <c r="IV321" s="43" t="s">
        <v>345</v>
      </c>
      <c r="IW321" s="43" t="s">
        <v>344</v>
      </c>
      <c r="IX321" s="43" t="s">
        <v>344</v>
      </c>
      <c r="IY321" s="43" t="s">
        <v>345</v>
      </c>
      <c r="IZ321" s="43" t="s">
        <v>344</v>
      </c>
      <c r="JA321" s="43"/>
      <c r="JB321" s="43" t="s">
        <v>1674</v>
      </c>
    </row>
    <row r="322" spans="1:262" x14ac:dyDescent="0.3">
      <c r="A322" s="42" t="s">
        <v>813</v>
      </c>
      <c r="B322" s="43">
        <v>300</v>
      </c>
      <c r="C322" s="43" t="s">
        <v>1675</v>
      </c>
      <c r="D322" s="43">
        <v>14</v>
      </c>
      <c r="E322" s="43" t="s">
        <v>387</v>
      </c>
      <c r="F322" s="43">
        <v>621173503</v>
      </c>
      <c r="G322" s="43" t="s">
        <v>1676</v>
      </c>
      <c r="H322" s="43" t="s">
        <v>1675</v>
      </c>
      <c r="I322" s="43" t="s">
        <v>1667</v>
      </c>
      <c r="J322" s="43">
        <v>16</v>
      </c>
      <c r="K322" s="43" t="s">
        <v>1282</v>
      </c>
      <c r="L322" s="43"/>
      <c r="M322" s="43" t="s">
        <v>345</v>
      </c>
      <c r="N322" s="43" t="s">
        <v>345</v>
      </c>
      <c r="O322" s="43" t="s">
        <v>344</v>
      </c>
      <c r="P322" s="43" t="s">
        <v>344</v>
      </c>
      <c r="Q322" s="43" t="s">
        <v>344</v>
      </c>
      <c r="R322" s="43"/>
      <c r="S322" s="43" t="s">
        <v>522</v>
      </c>
      <c r="T322" s="43"/>
      <c r="U322" s="43" t="s">
        <v>1270</v>
      </c>
      <c r="V322" s="43"/>
      <c r="W322" s="43" t="s">
        <v>345</v>
      </c>
      <c r="X322" s="43" t="s">
        <v>344</v>
      </c>
      <c r="Y322" s="43" t="s">
        <v>344</v>
      </c>
      <c r="Z322" s="43" t="s">
        <v>344</v>
      </c>
      <c r="AA322" s="43" t="s">
        <v>344</v>
      </c>
      <c r="AB322" s="43" t="s">
        <v>344</v>
      </c>
      <c r="AC322" s="43" t="s">
        <v>344</v>
      </c>
      <c r="AD322" s="43" t="s">
        <v>344</v>
      </c>
      <c r="AE322" s="43" t="s">
        <v>344</v>
      </c>
      <c r="AF322" s="43" t="s">
        <v>344</v>
      </c>
      <c r="AG322" s="43" t="s">
        <v>344</v>
      </c>
      <c r="AH322" s="43" t="s">
        <v>344</v>
      </c>
      <c r="AI322" s="43" t="s">
        <v>345</v>
      </c>
      <c r="AJ322" s="43" t="s">
        <v>344</v>
      </c>
      <c r="AK322" s="43" t="s">
        <v>344</v>
      </c>
      <c r="AL322" s="43" t="s">
        <v>344</v>
      </c>
      <c r="AM322" s="43" t="s">
        <v>344</v>
      </c>
      <c r="AN322" s="43" t="s">
        <v>345</v>
      </c>
      <c r="AO322" s="43" t="s">
        <v>344</v>
      </c>
      <c r="AP322" s="43" t="s">
        <v>345</v>
      </c>
      <c r="AQ322" s="43" t="s">
        <v>344</v>
      </c>
      <c r="AR322" s="43" t="s">
        <v>344</v>
      </c>
      <c r="AS322" s="43" t="s">
        <v>344</v>
      </c>
      <c r="AT322" s="43" t="s">
        <v>345</v>
      </c>
      <c r="AU322" s="43" t="s">
        <v>345</v>
      </c>
      <c r="AV322" s="43" t="s">
        <v>345</v>
      </c>
      <c r="AW322" s="43" t="s">
        <v>344</v>
      </c>
      <c r="AX322" s="43" t="s">
        <v>344</v>
      </c>
      <c r="AY322" s="43" t="s">
        <v>731</v>
      </c>
      <c r="AZ322" s="43" t="s">
        <v>733</v>
      </c>
      <c r="BA322" s="43" t="s">
        <v>737</v>
      </c>
      <c r="BB322" s="43" t="s">
        <v>731</v>
      </c>
      <c r="BC322" s="43" t="s">
        <v>732</v>
      </c>
      <c r="BD322" s="43" t="s">
        <v>731</v>
      </c>
      <c r="BE322" s="43" t="s">
        <v>348</v>
      </c>
      <c r="BF322" s="43" t="s">
        <v>348</v>
      </c>
      <c r="BG322" s="43" t="s">
        <v>390</v>
      </c>
      <c r="BH322" s="43" t="s">
        <v>349</v>
      </c>
      <c r="BI322" s="43" t="s">
        <v>350</v>
      </c>
      <c r="BJ322" s="43" t="s">
        <v>391</v>
      </c>
      <c r="BK322" s="43" t="s">
        <v>391</v>
      </c>
      <c r="BL322" s="43" t="s">
        <v>391</v>
      </c>
      <c r="BM322" s="43" t="s">
        <v>391</v>
      </c>
      <c r="BN322" s="43" t="s">
        <v>391</v>
      </c>
      <c r="BO322" s="43" t="s">
        <v>391</v>
      </c>
      <c r="BP322" s="43" t="s">
        <v>391</v>
      </c>
      <c r="BQ322" s="43" t="s">
        <v>358</v>
      </c>
      <c r="BR322" s="43" t="s">
        <v>1257</v>
      </c>
      <c r="BS322" s="43" t="s">
        <v>391</v>
      </c>
      <c r="BT322" s="43" t="s">
        <v>391</v>
      </c>
      <c r="BU322" s="43" t="s">
        <v>391</v>
      </c>
      <c r="BV322" s="43" t="s">
        <v>391</v>
      </c>
      <c r="BW322" s="43" t="s">
        <v>391</v>
      </c>
      <c r="BX322" s="43" t="s">
        <v>391</v>
      </c>
      <c r="BY322" s="43" t="s">
        <v>391</v>
      </c>
      <c r="BZ322" s="43" t="s">
        <v>354</v>
      </c>
      <c r="CA322" s="43" t="s">
        <v>391</v>
      </c>
      <c r="CB322" s="43" t="s">
        <v>357</v>
      </c>
      <c r="CC322" s="43" t="s">
        <v>391</v>
      </c>
      <c r="CD322" s="43" t="s">
        <v>351</v>
      </c>
      <c r="CE322" s="43" t="s">
        <v>391</v>
      </c>
      <c r="CF322" s="43" t="s">
        <v>391</v>
      </c>
      <c r="CG322" s="43" t="s">
        <v>420</v>
      </c>
      <c r="CH322" s="43" t="s">
        <v>420</v>
      </c>
      <c r="CI322" s="43" t="s">
        <v>392</v>
      </c>
      <c r="CJ322" s="43" t="s">
        <v>392</v>
      </c>
      <c r="CK322" s="43"/>
      <c r="CL322" s="43" t="s">
        <v>344</v>
      </c>
      <c r="CM322" s="43" t="s">
        <v>344</v>
      </c>
      <c r="CN322" s="43" t="s">
        <v>345</v>
      </c>
      <c r="CO322" s="43" t="s">
        <v>345</v>
      </c>
      <c r="CP322" s="43" t="s">
        <v>345</v>
      </c>
      <c r="CQ322" s="43" t="s">
        <v>344</v>
      </c>
      <c r="CR322" s="43" t="s">
        <v>667</v>
      </c>
      <c r="CS322" s="43">
        <v>21</v>
      </c>
      <c r="CT322" s="43">
        <v>85</v>
      </c>
      <c r="CU322" s="43">
        <v>51</v>
      </c>
      <c r="CV322" s="43">
        <v>1</v>
      </c>
      <c r="CW322" s="43" t="s">
        <v>363</v>
      </c>
      <c r="CX322" s="43" t="s">
        <v>396</v>
      </c>
      <c r="CY322" s="43" t="s">
        <v>396</v>
      </c>
      <c r="CZ322" s="43" t="s">
        <v>717</v>
      </c>
      <c r="DA322" s="43" t="s">
        <v>366</v>
      </c>
      <c r="DB322" s="43" t="s">
        <v>397</v>
      </c>
      <c r="DC322" s="43" t="s">
        <v>397</v>
      </c>
      <c r="DD322" s="43" t="s">
        <v>397</v>
      </c>
      <c r="DE322" s="43" t="s">
        <v>717</v>
      </c>
      <c r="DF322" s="43" t="s">
        <v>366</v>
      </c>
      <c r="DG322" s="43" t="s">
        <v>397</v>
      </c>
      <c r="DH322" s="43" t="s">
        <v>397</v>
      </c>
      <c r="DI322" s="43" t="s">
        <v>397</v>
      </c>
      <c r="DJ322" s="43"/>
      <c r="DK322" s="43" t="s">
        <v>344</v>
      </c>
      <c r="DL322" s="43" t="s">
        <v>368</v>
      </c>
      <c r="DM322" s="43" t="s">
        <v>368</v>
      </c>
      <c r="DN322" s="43" t="s">
        <v>368</v>
      </c>
      <c r="DO322" s="43" t="s">
        <v>368</v>
      </c>
      <c r="DP322" s="43" t="s">
        <v>345</v>
      </c>
      <c r="DQ322" s="43" t="s">
        <v>345</v>
      </c>
      <c r="DR322" s="43" t="s">
        <v>345</v>
      </c>
      <c r="DS322" s="43" t="s">
        <v>344</v>
      </c>
      <c r="DT322" s="43" t="s">
        <v>345</v>
      </c>
      <c r="DU322" s="43" t="s">
        <v>345</v>
      </c>
      <c r="DV322" s="43" t="s">
        <v>345</v>
      </c>
      <c r="DW322" s="43" t="s">
        <v>344</v>
      </c>
      <c r="DX322" s="43" t="s">
        <v>397</v>
      </c>
      <c r="DY322" s="43" t="s">
        <v>1273</v>
      </c>
      <c r="DZ322" s="43" t="s">
        <v>1258</v>
      </c>
      <c r="EA322" s="43" t="s">
        <v>397</v>
      </c>
      <c r="EB322" s="43" t="s">
        <v>397</v>
      </c>
      <c r="EC322" s="43" t="s">
        <v>397</v>
      </c>
      <c r="ED322" s="43" t="s">
        <v>1272</v>
      </c>
      <c r="EE322" s="43" t="s">
        <v>1258</v>
      </c>
      <c r="EF322" s="43" t="s">
        <v>1258</v>
      </c>
      <c r="EG322" s="43" t="s">
        <v>397</v>
      </c>
      <c r="EH322" s="43" t="s">
        <v>1258</v>
      </c>
      <c r="EI322" s="43" t="s">
        <v>397</v>
      </c>
      <c r="EJ322" s="43" t="s">
        <v>1258</v>
      </c>
      <c r="EK322" s="43" t="s">
        <v>1258</v>
      </c>
      <c r="EL322" s="43" t="s">
        <v>1259</v>
      </c>
      <c r="EM322" s="43" t="s">
        <v>1260</v>
      </c>
      <c r="EN322" s="43" t="s">
        <v>1275</v>
      </c>
      <c r="EO322" s="43"/>
      <c r="EP322" s="43"/>
      <c r="EQ322" s="43" t="s">
        <v>1263</v>
      </c>
      <c r="ER322" s="43" t="s">
        <v>1264</v>
      </c>
      <c r="ES322" s="43" t="s">
        <v>1263</v>
      </c>
      <c r="ET322" s="43" t="s">
        <v>1263</v>
      </c>
      <c r="EU322" s="43" t="s">
        <v>1264</v>
      </c>
      <c r="EV322" s="43" t="s">
        <v>1265</v>
      </c>
      <c r="EW322" s="43"/>
      <c r="EX322" s="43" t="s">
        <v>368</v>
      </c>
      <c r="EY322" s="43" t="s">
        <v>368</v>
      </c>
      <c r="EZ322" s="43" t="s">
        <v>368</v>
      </c>
      <c r="FA322" s="43" t="s">
        <v>345</v>
      </c>
      <c r="FB322" s="43" t="s">
        <v>1266</v>
      </c>
      <c r="FC322" s="43"/>
      <c r="FD322" s="43" t="s">
        <v>1266</v>
      </c>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t="s">
        <v>368</v>
      </c>
      <c r="GB322" s="43" t="s">
        <v>368</v>
      </c>
      <c r="GC322" s="43" t="s">
        <v>368</v>
      </c>
      <c r="GD322" s="43" t="s">
        <v>368</v>
      </c>
      <c r="GE322" s="43" t="s">
        <v>368</v>
      </c>
      <c r="GF322" s="43" t="s">
        <v>368</v>
      </c>
      <c r="GG322" s="43"/>
      <c r="GH322" s="43"/>
      <c r="GI322" s="43"/>
      <c r="GJ322" s="43"/>
      <c r="GK322" s="43"/>
      <c r="GL322" s="43" t="s">
        <v>344</v>
      </c>
      <c r="GM322" s="43" t="s">
        <v>344</v>
      </c>
      <c r="GN322" s="43" t="s">
        <v>344</v>
      </c>
      <c r="GO322" s="43" t="s">
        <v>344</v>
      </c>
      <c r="GP322" s="43" t="s">
        <v>344</v>
      </c>
      <c r="GQ322" s="43" t="s">
        <v>344</v>
      </c>
      <c r="GR322" s="43" t="s">
        <v>344</v>
      </c>
      <c r="GS322" s="43" t="s">
        <v>344</v>
      </c>
      <c r="GT322" s="43" t="s">
        <v>344</v>
      </c>
      <c r="GU322" s="43" t="s">
        <v>344</v>
      </c>
      <c r="GV322" s="43" t="s">
        <v>344</v>
      </c>
      <c r="GW322" s="43" t="s">
        <v>344</v>
      </c>
      <c r="GX322" s="43" t="s">
        <v>344</v>
      </c>
      <c r="GY322" s="43" t="s">
        <v>344</v>
      </c>
      <c r="GZ322" s="43" t="s">
        <v>344</v>
      </c>
      <c r="HA322" s="43" t="s">
        <v>345</v>
      </c>
      <c r="HB322" s="43"/>
      <c r="HC322" s="43" t="s">
        <v>344</v>
      </c>
      <c r="HD322" s="43"/>
      <c r="HE322" s="43" t="s">
        <v>344</v>
      </c>
      <c r="HF322" s="43"/>
      <c r="HG322" s="43" t="s">
        <v>344</v>
      </c>
      <c r="HH322" s="43"/>
      <c r="HI322" s="43" t="s">
        <v>344</v>
      </c>
      <c r="HJ322" s="43"/>
      <c r="HK322" s="43" t="s">
        <v>344</v>
      </c>
      <c r="HL322" s="43" t="s">
        <v>344</v>
      </c>
      <c r="HM322" s="43" t="s">
        <v>344</v>
      </c>
      <c r="HN322" s="43" t="s">
        <v>345</v>
      </c>
      <c r="HO322" s="43" t="s">
        <v>344</v>
      </c>
      <c r="HP322" s="43" t="s">
        <v>344</v>
      </c>
      <c r="HQ322" s="43" t="s">
        <v>344</v>
      </c>
      <c r="HR322" s="43" t="s">
        <v>344</v>
      </c>
      <c r="HS322" s="43" t="s">
        <v>344</v>
      </c>
      <c r="HT322" s="43" t="s">
        <v>344</v>
      </c>
      <c r="HU322" s="43" t="s">
        <v>344</v>
      </c>
      <c r="HV322" s="43" t="s">
        <v>344</v>
      </c>
      <c r="HW322" s="43" t="s">
        <v>345</v>
      </c>
      <c r="HX322" s="43" t="s">
        <v>345</v>
      </c>
      <c r="HY322" s="43" t="s">
        <v>344</v>
      </c>
      <c r="HZ322" s="43" t="s">
        <v>344</v>
      </c>
      <c r="IA322" s="43" t="s">
        <v>344</v>
      </c>
      <c r="IB322" s="43" t="s">
        <v>344</v>
      </c>
      <c r="IC322" s="43" t="s">
        <v>344</v>
      </c>
      <c r="ID322" s="43"/>
      <c r="IE322" s="43" t="s">
        <v>344</v>
      </c>
      <c r="IF322" s="43"/>
      <c r="IG322" s="43" t="s">
        <v>344</v>
      </c>
      <c r="IH322" s="43"/>
      <c r="II322" s="43" t="s">
        <v>344</v>
      </c>
      <c r="IJ322" s="43"/>
      <c r="IK322" s="43" t="s">
        <v>344</v>
      </c>
      <c r="IL322" s="43"/>
      <c r="IM322" s="43" t="s">
        <v>345</v>
      </c>
      <c r="IN322" s="43" t="s">
        <v>345</v>
      </c>
      <c r="IO322" s="43" t="s">
        <v>344</v>
      </c>
      <c r="IP322" s="43" t="s">
        <v>344</v>
      </c>
      <c r="IQ322" s="43" t="s">
        <v>345</v>
      </c>
      <c r="IR322" s="43" t="s">
        <v>345</v>
      </c>
      <c r="IS322" s="43" t="s">
        <v>344</v>
      </c>
      <c r="IT322" s="43" t="s">
        <v>345</v>
      </c>
      <c r="IU322" s="43" t="s">
        <v>344</v>
      </c>
      <c r="IV322" s="43" t="s">
        <v>344</v>
      </c>
      <c r="IW322" s="43" t="s">
        <v>345</v>
      </c>
      <c r="IX322" s="43" t="s">
        <v>344</v>
      </c>
      <c r="IY322" s="43" t="s">
        <v>345</v>
      </c>
      <c r="IZ322" s="43" t="s">
        <v>344</v>
      </c>
      <c r="JA322" s="43"/>
      <c r="JB322" s="43"/>
    </row>
    <row r="323" spans="1:262" x14ac:dyDescent="0.3">
      <c r="A323" s="42" t="s">
        <v>813</v>
      </c>
      <c r="B323" s="43">
        <v>301</v>
      </c>
      <c r="C323" s="43" t="s">
        <v>1677</v>
      </c>
      <c r="D323" s="43">
        <v>14</v>
      </c>
      <c r="E323" s="43" t="s">
        <v>387</v>
      </c>
      <c r="F323" s="43">
        <v>1573076642</v>
      </c>
      <c r="G323" s="43" t="s">
        <v>1678</v>
      </c>
      <c r="H323" s="43" t="s">
        <v>1677</v>
      </c>
      <c r="I323" s="43" t="s">
        <v>1667</v>
      </c>
      <c r="J323" s="43">
        <v>17</v>
      </c>
      <c r="K323" s="43" t="s">
        <v>1255</v>
      </c>
      <c r="L323" s="43"/>
      <c r="M323" s="43" t="s">
        <v>345</v>
      </c>
      <c r="N323" s="43" t="s">
        <v>344</v>
      </c>
      <c r="O323" s="43" t="s">
        <v>344</v>
      </c>
      <c r="P323" s="43" t="s">
        <v>345</v>
      </c>
      <c r="Q323" s="43" t="s">
        <v>344</v>
      </c>
      <c r="R323" s="43"/>
      <c r="S323" s="43" t="s">
        <v>522</v>
      </c>
      <c r="T323" s="43"/>
      <c r="U323" s="43" t="s">
        <v>1270</v>
      </c>
      <c r="V323" s="43"/>
      <c r="W323" s="43" t="s">
        <v>344</v>
      </c>
      <c r="X323" s="43" t="s">
        <v>344</v>
      </c>
      <c r="Y323" s="43" t="s">
        <v>345</v>
      </c>
      <c r="Z323" s="43" t="s">
        <v>344</v>
      </c>
      <c r="AA323" s="43" t="s">
        <v>345</v>
      </c>
      <c r="AB323" s="43" t="s">
        <v>345</v>
      </c>
      <c r="AC323" s="43" t="s">
        <v>344</v>
      </c>
      <c r="AD323" s="43" t="s">
        <v>345</v>
      </c>
      <c r="AE323" s="43" t="s">
        <v>345</v>
      </c>
      <c r="AF323" s="43" t="s">
        <v>345</v>
      </c>
      <c r="AG323" s="43" t="s">
        <v>344</v>
      </c>
      <c r="AH323" s="43" t="s">
        <v>345</v>
      </c>
      <c r="AI323" s="43" t="s">
        <v>345</v>
      </c>
      <c r="AJ323" s="43" t="s">
        <v>344</v>
      </c>
      <c r="AK323" s="43" t="s">
        <v>345</v>
      </c>
      <c r="AL323" s="43" t="s">
        <v>344</v>
      </c>
      <c r="AM323" s="43" t="s">
        <v>344</v>
      </c>
      <c r="AN323" s="43" t="s">
        <v>345</v>
      </c>
      <c r="AO323" s="43" t="s">
        <v>344</v>
      </c>
      <c r="AP323" s="43" t="s">
        <v>344</v>
      </c>
      <c r="AQ323" s="43" t="s">
        <v>344</v>
      </c>
      <c r="AR323" s="43" t="s">
        <v>345</v>
      </c>
      <c r="AS323" s="43" t="s">
        <v>345</v>
      </c>
      <c r="AT323" s="43" t="s">
        <v>345</v>
      </c>
      <c r="AU323" s="43" t="s">
        <v>345</v>
      </c>
      <c r="AV323" s="43" t="s">
        <v>345</v>
      </c>
      <c r="AW323" s="43" t="s">
        <v>345</v>
      </c>
      <c r="AX323" s="43" t="s">
        <v>344</v>
      </c>
      <c r="AY323" s="43" t="s">
        <v>732</v>
      </c>
      <c r="AZ323" s="43" t="s">
        <v>733</v>
      </c>
      <c r="BA323" s="43" t="s">
        <v>737</v>
      </c>
      <c r="BB323" s="43" t="s">
        <v>733</v>
      </c>
      <c r="BC323" s="43" t="s">
        <v>731</v>
      </c>
      <c r="BD323" s="43" t="s">
        <v>731</v>
      </c>
      <c r="BE323" s="43" t="s">
        <v>349</v>
      </c>
      <c r="BF323" s="43" t="s">
        <v>349</v>
      </c>
      <c r="BG323" s="43" t="s">
        <v>390</v>
      </c>
      <c r="BH323" s="43" t="s">
        <v>390</v>
      </c>
      <c r="BI323" s="43" t="s">
        <v>348</v>
      </c>
      <c r="BJ323" s="43" t="s">
        <v>391</v>
      </c>
      <c r="BK323" s="43" t="s">
        <v>391</v>
      </c>
      <c r="BL323" s="43" t="s">
        <v>391</v>
      </c>
      <c r="BM323" s="43" t="s">
        <v>391</v>
      </c>
      <c r="BN323" s="43" t="s">
        <v>391</v>
      </c>
      <c r="BO323" s="43" t="s">
        <v>391</v>
      </c>
      <c r="BP323" s="43" t="s">
        <v>391</v>
      </c>
      <c r="BQ323" s="43" t="s">
        <v>358</v>
      </c>
      <c r="BR323" s="43" t="s">
        <v>1296</v>
      </c>
      <c r="BS323" s="43" t="s">
        <v>391</v>
      </c>
      <c r="BT323" s="43" t="s">
        <v>391</v>
      </c>
      <c r="BU323" s="43" t="s">
        <v>391</v>
      </c>
      <c r="BV323" s="43" t="s">
        <v>391</v>
      </c>
      <c r="BW323" s="43" t="s">
        <v>391</v>
      </c>
      <c r="BX323" s="43" t="s">
        <v>391</v>
      </c>
      <c r="BY323" s="43" t="s">
        <v>391</v>
      </c>
      <c r="BZ323" s="43" t="s">
        <v>391</v>
      </c>
      <c r="CA323" s="43" t="s">
        <v>391</v>
      </c>
      <c r="CB323" s="43" t="s">
        <v>391</v>
      </c>
      <c r="CC323" s="43" t="s">
        <v>391</v>
      </c>
      <c r="CD323" s="43" t="s">
        <v>391</v>
      </c>
      <c r="CE323" s="43" t="s">
        <v>391</v>
      </c>
      <c r="CF323" s="43" t="s">
        <v>391</v>
      </c>
      <c r="CG323" s="43" t="s">
        <v>420</v>
      </c>
      <c r="CH323" s="43" t="s">
        <v>360</v>
      </c>
      <c r="CI323" s="43" t="s">
        <v>360</v>
      </c>
      <c r="CJ323" s="43" t="s">
        <v>360</v>
      </c>
      <c r="CK323" s="43" t="s">
        <v>1679</v>
      </c>
      <c r="CL323" s="43" t="s">
        <v>344</v>
      </c>
      <c r="CM323" s="43" t="s">
        <v>344</v>
      </c>
      <c r="CN323" s="43" t="s">
        <v>344</v>
      </c>
      <c r="CO323" s="43" t="s">
        <v>345</v>
      </c>
      <c r="CP323" s="43" t="s">
        <v>345</v>
      </c>
      <c r="CQ323" s="43" t="s">
        <v>345</v>
      </c>
      <c r="CR323" s="43" t="s">
        <v>655</v>
      </c>
      <c r="CS323" s="43">
        <v>70</v>
      </c>
      <c r="CT323" s="43">
        <v>100</v>
      </c>
      <c r="CU323" s="43"/>
      <c r="CV323" s="43"/>
      <c r="CW323" s="43" t="s">
        <v>363</v>
      </c>
      <c r="CX323" s="43" t="s">
        <v>395</v>
      </c>
      <c r="CY323" s="43" t="s">
        <v>364</v>
      </c>
      <c r="CZ323" s="43" t="s">
        <v>365</v>
      </c>
      <c r="DA323" s="43" t="s">
        <v>397</v>
      </c>
      <c r="DB323" s="43" t="s">
        <v>397</v>
      </c>
      <c r="DC323" s="43" t="s">
        <v>397</v>
      </c>
      <c r="DD323" s="43" t="s">
        <v>365</v>
      </c>
      <c r="DE323" s="43"/>
      <c r="DF323" s="43"/>
      <c r="DG323" s="43"/>
      <c r="DH323" s="43"/>
      <c r="DI323" s="43"/>
      <c r="DJ323" s="43" t="s">
        <v>1680</v>
      </c>
      <c r="DK323" s="43" t="s">
        <v>344</v>
      </c>
      <c r="DL323" s="43" t="s">
        <v>368</v>
      </c>
      <c r="DM323" s="43" t="s">
        <v>368</v>
      </c>
      <c r="DN323" s="43" t="s">
        <v>368</v>
      </c>
      <c r="DO323" s="43" t="s">
        <v>368</v>
      </c>
      <c r="DP323" s="43" t="s">
        <v>368</v>
      </c>
      <c r="DQ323" s="43" t="s">
        <v>368</v>
      </c>
      <c r="DR323" s="43" t="s">
        <v>368</v>
      </c>
      <c r="DS323" s="43" t="s">
        <v>345</v>
      </c>
      <c r="DT323" s="43" t="s">
        <v>344</v>
      </c>
      <c r="DU323" s="43" t="s">
        <v>344</v>
      </c>
      <c r="DV323" s="43" t="s">
        <v>345</v>
      </c>
      <c r="DW323" s="43" t="s">
        <v>344</v>
      </c>
      <c r="DX323" s="43" t="s">
        <v>1258</v>
      </c>
      <c r="DY323" s="43" t="s">
        <v>1258</v>
      </c>
      <c r="DZ323" s="43" t="s">
        <v>1258</v>
      </c>
      <c r="EA323" s="43" t="s">
        <v>1258</v>
      </c>
      <c r="EB323" s="43" t="s">
        <v>1258</v>
      </c>
      <c r="EC323" s="43" t="s">
        <v>1258</v>
      </c>
      <c r="ED323" s="43" t="s">
        <v>1258</v>
      </c>
      <c r="EE323" s="43" t="s">
        <v>397</v>
      </c>
      <c r="EF323" s="43" t="s">
        <v>397</v>
      </c>
      <c r="EG323" s="43" t="s">
        <v>397</v>
      </c>
      <c r="EH323" s="43" t="s">
        <v>397</v>
      </c>
      <c r="EI323" s="43" t="s">
        <v>397</v>
      </c>
      <c r="EJ323" s="43" t="s">
        <v>397</v>
      </c>
      <c r="EK323" s="43" t="s">
        <v>397</v>
      </c>
      <c r="EL323" s="43" t="s">
        <v>1261</v>
      </c>
      <c r="EM323" s="43" t="s">
        <v>1276</v>
      </c>
      <c r="EN323" s="43" t="s">
        <v>1275</v>
      </c>
      <c r="EO323" s="43"/>
      <c r="EP323" s="43"/>
      <c r="EQ323" s="43" t="s">
        <v>1262</v>
      </c>
      <c r="ER323" s="43" t="s">
        <v>1262</v>
      </c>
      <c r="ES323" s="43" t="s">
        <v>1262</v>
      </c>
      <c r="ET323" s="43" t="s">
        <v>1263</v>
      </c>
      <c r="EU323" s="43" t="s">
        <v>1263</v>
      </c>
      <c r="EV323" s="43" t="s">
        <v>1265</v>
      </c>
      <c r="EW323" s="43"/>
      <c r="EX323" s="43" t="s">
        <v>368</v>
      </c>
      <c r="EY323" s="43" t="s">
        <v>368</v>
      </c>
      <c r="EZ323" s="43" t="s">
        <v>368</v>
      </c>
      <c r="FA323" s="43" t="s">
        <v>345</v>
      </c>
      <c r="FB323" s="43" t="s">
        <v>1266</v>
      </c>
      <c r="FC323" s="43"/>
      <c r="FD323" s="43" t="s">
        <v>1266</v>
      </c>
      <c r="FE323" s="43"/>
      <c r="FF323" s="43" t="s">
        <v>431</v>
      </c>
      <c r="FG323" s="43" t="s">
        <v>441</v>
      </c>
      <c r="FH323" s="43" t="s">
        <v>460</v>
      </c>
      <c r="FI323" s="43" t="s">
        <v>442</v>
      </c>
      <c r="FJ323" s="43"/>
      <c r="FK323" s="43"/>
      <c r="FL323" s="43"/>
      <c r="FM323" s="43"/>
      <c r="FN323" s="43"/>
      <c r="FO323" s="43"/>
      <c r="FP323" s="43"/>
      <c r="FQ323" s="43"/>
      <c r="FR323" s="43"/>
      <c r="FS323" s="43"/>
      <c r="FT323" s="43"/>
      <c r="FU323" s="43"/>
      <c r="FV323" s="43"/>
      <c r="FW323" s="43"/>
      <c r="FX323" s="43"/>
      <c r="FY323" s="43"/>
      <c r="FZ323" s="43"/>
      <c r="GA323" s="43" t="s">
        <v>368</v>
      </c>
      <c r="GB323" s="43" t="s">
        <v>368</v>
      </c>
      <c r="GC323" s="43" t="s">
        <v>368</v>
      </c>
      <c r="GD323" s="43" t="s">
        <v>368</v>
      </c>
      <c r="GE323" s="43" t="s">
        <v>368</v>
      </c>
      <c r="GF323" s="43" t="s">
        <v>368</v>
      </c>
      <c r="GG323" s="43"/>
      <c r="GH323" s="43"/>
      <c r="GI323" s="43"/>
      <c r="GJ323" s="43"/>
      <c r="GK323" s="43"/>
      <c r="GL323" s="43" t="s">
        <v>344</v>
      </c>
      <c r="GM323" s="43" t="s">
        <v>344</v>
      </c>
      <c r="GN323" s="43" t="s">
        <v>344</v>
      </c>
      <c r="GO323" s="43" t="s">
        <v>344</v>
      </c>
      <c r="GP323" s="43" t="s">
        <v>344</v>
      </c>
      <c r="GQ323" s="43" t="s">
        <v>344</v>
      </c>
      <c r="GR323" s="43" t="s">
        <v>344</v>
      </c>
      <c r="GS323" s="43" t="s">
        <v>344</v>
      </c>
      <c r="GT323" s="43" t="s">
        <v>344</v>
      </c>
      <c r="GU323" s="43" t="s">
        <v>344</v>
      </c>
      <c r="GV323" s="43" t="s">
        <v>344</v>
      </c>
      <c r="GW323" s="43" t="s">
        <v>344</v>
      </c>
      <c r="GX323" s="43" t="s">
        <v>344</v>
      </c>
      <c r="GY323" s="43" t="s">
        <v>344</v>
      </c>
      <c r="GZ323" s="43" t="s">
        <v>344</v>
      </c>
      <c r="HA323" s="43" t="s">
        <v>345</v>
      </c>
      <c r="HB323" s="43"/>
      <c r="HC323" s="43" t="s">
        <v>344</v>
      </c>
      <c r="HD323" s="43"/>
      <c r="HE323" s="43" t="s">
        <v>344</v>
      </c>
      <c r="HF323" s="43"/>
      <c r="HG323" s="43" t="s">
        <v>344</v>
      </c>
      <c r="HH323" s="43"/>
      <c r="HI323" s="43" t="s">
        <v>344</v>
      </c>
      <c r="HJ323" s="43"/>
      <c r="HK323" s="43" t="s">
        <v>344</v>
      </c>
      <c r="HL323" s="43" t="s">
        <v>344</v>
      </c>
      <c r="HM323" s="43" t="s">
        <v>344</v>
      </c>
      <c r="HN323" s="43" t="s">
        <v>344</v>
      </c>
      <c r="HO323" s="43" t="s">
        <v>344</v>
      </c>
      <c r="HP323" s="43" t="s">
        <v>344</v>
      </c>
      <c r="HQ323" s="43" t="s">
        <v>344</v>
      </c>
      <c r="HR323" s="43" t="s">
        <v>344</v>
      </c>
      <c r="HS323" s="43" t="s">
        <v>344</v>
      </c>
      <c r="HT323" s="43" t="s">
        <v>344</v>
      </c>
      <c r="HU323" s="43" t="s">
        <v>344</v>
      </c>
      <c r="HV323" s="43" t="s">
        <v>344</v>
      </c>
      <c r="HW323" s="43" t="s">
        <v>344</v>
      </c>
      <c r="HX323" s="43" t="s">
        <v>344</v>
      </c>
      <c r="HY323" s="43" t="s">
        <v>344</v>
      </c>
      <c r="HZ323" s="43" t="s">
        <v>344</v>
      </c>
      <c r="IA323" s="43" t="s">
        <v>344</v>
      </c>
      <c r="IB323" s="43" t="s">
        <v>344</v>
      </c>
      <c r="IC323" s="43" t="s">
        <v>345</v>
      </c>
      <c r="ID323" s="43"/>
      <c r="IE323" s="43" t="s">
        <v>344</v>
      </c>
      <c r="IF323" s="43"/>
      <c r="IG323" s="43" t="s">
        <v>344</v>
      </c>
      <c r="IH323" s="43"/>
      <c r="II323" s="43" t="s">
        <v>344</v>
      </c>
      <c r="IJ323" s="43"/>
      <c r="IK323" s="43" t="s">
        <v>344</v>
      </c>
      <c r="IL323" s="43"/>
      <c r="IM323" s="43" t="s">
        <v>345</v>
      </c>
      <c r="IN323" s="43" t="s">
        <v>344</v>
      </c>
      <c r="IO323" s="43" t="s">
        <v>344</v>
      </c>
      <c r="IP323" s="43" t="s">
        <v>344</v>
      </c>
      <c r="IQ323" s="43" t="s">
        <v>345</v>
      </c>
      <c r="IR323" s="43" t="s">
        <v>344</v>
      </c>
      <c r="IS323" s="43" t="s">
        <v>344</v>
      </c>
      <c r="IT323" s="43" t="s">
        <v>345</v>
      </c>
      <c r="IU323" s="43" t="s">
        <v>344</v>
      </c>
      <c r="IV323" s="43" t="s">
        <v>344</v>
      </c>
      <c r="IW323" s="43" t="s">
        <v>344</v>
      </c>
      <c r="IX323" s="43" t="s">
        <v>344</v>
      </c>
      <c r="IY323" s="43" t="s">
        <v>344</v>
      </c>
      <c r="IZ323" s="43" t="s">
        <v>344</v>
      </c>
      <c r="JA323" s="43"/>
      <c r="JB323" s="43"/>
    </row>
    <row r="324" spans="1:262" x14ac:dyDescent="0.3">
      <c r="A324" s="42" t="s">
        <v>813</v>
      </c>
      <c r="B324" s="43">
        <v>303</v>
      </c>
      <c r="C324" s="43" t="s">
        <v>1681</v>
      </c>
      <c r="D324" s="43">
        <v>14</v>
      </c>
      <c r="E324" s="43" t="s">
        <v>387</v>
      </c>
      <c r="F324" s="43">
        <v>1978448882</v>
      </c>
      <c r="G324" s="43" t="s">
        <v>1682</v>
      </c>
      <c r="H324" s="43" t="s">
        <v>1681</v>
      </c>
      <c r="I324" s="43" t="s">
        <v>1667</v>
      </c>
      <c r="J324" s="43">
        <v>16</v>
      </c>
      <c r="K324" s="43" t="s">
        <v>1282</v>
      </c>
      <c r="L324" s="43"/>
      <c r="M324" s="43" t="s">
        <v>345</v>
      </c>
      <c r="N324" s="43" t="s">
        <v>345</v>
      </c>
      <c r="O324" s="43" t="s">
        <v>345</v>
      </c>
      <c r="P324" s="43" t="s">
        <v>344</v>
      </c>
      <c r="Q324" s="43" t="s">
        <v>344</v>
      </c>
      <c r="R324" s="43"/>
      <c r="S324" s="43" t="s">
        <v>522</v>
      </c>
      <c r="T324" s="43"/>
      <c r="U324" s="43" t="s">
        <v>1457</v>
      </c>
      <c r="V324" s="43"/>
      <c r="W324" s="43" t="s">
        <v>344</v>
      </c>
      <c r="X324" s="43" t="s">
        <v>344</v>
      </c>
      <c r="Y324" s="43" t="s">
        <v>345</v>
      </c>
      <c r="Z324" s="43" t="s">
        <v>344</v>
      </c>
      <c r="AA324" s="43" t="s">
        <v>344</v>
      </c>
      <c r="AB324" s="43" t="s">
        <v>344</v>
      </c>
      <c r="AC324" s="43" t="s">
        <v>344</v>
      </c>
      <c r="AD324" s="43" t="s">
        <v>344</v>
      </c>
      <c r="AE324" s="43" t="s">
        <v>344</v>
      </c>
      <c r="AF324" s="43" t="s">
        <v>345</v>
      </c>
      <c r="AG324" s="43" t="s">
        <v>344</v>
      </c>
      <c r="AH324" s="43" t="s">
        <v>344</v>
      </c>
      <c r="AI324" s="43" t="s">
        <v>344</v>
      </c>
      <c r="AJ324" s="43" t="s">
        <v>344</v>
      </c>
      <c r="AK324" s="43" t="s">
        <v>344</v>
      </c>
      <c r="AL324" s="43" t="s">
        <v>344</v>
      </c>
      <c r="AM324" s="43" t="s">
        <v>344</v>
      </c>
      <c r="AN324" s="43" t="s">
        <v>344</v>
      </c>
      <c r="AO324" s="43" t="s">
        <v>345</v>
      </c>
      <c r="AP324" s="43" t="s">
        <v>344</v>
      </c>
      <c r="AQ324" s="43" t="s">
        <v>344</v>
      </c>
      <c r="AR324" s="43" t="s">
        <v>345</v>
      </c>
      <c r="AS324" s="43" t="s">
        <v>344</v>
      </c>
      <c r="AT324" s="43" t="s">
        <v>344</v>
      </c>
      <c r="AU324" s="43" t="s">
        <v>344</v>
      </c>
      <c r="AV324" s="43" t="s">
        <v>344</v>
      </c>
      <c r="AW324" s="43" t="s">
        <v>344</v>
      </c>
      <c r="AX324" s="43" t="s">
        <v>344</v>
      </c>
      <c r="AY324" s="43" t="s">
        <v>737</v>
      </c>
      <c r="AZ324" s="43" t="s">
        <v>733</v>
      </c>
      <c r="BA324" s="43" t="s">
        <v>732</v>
      </c>
      <c r="BB324" s="43" t="s">
        <v>391</v>
      </c>
      <c r="BC324" s="43" t="s">
        <v>391</v>
      </c>
      <c r="BD324" s="43" t="s">
        <v>737</v>
      </c>
      <c r="BE324" s="43" t="s">
        <v>349</v>
      </c>
      <c r="BF324" s="43" t="s">
        <v>349</v>
      </c>
      <c r="BG324" s="43" t="s">
        <v>349</v>
      </c>
      <c r="BH324" s="43" t="s">
        <v>349</v>
      </c>
      <c r="BI324" s="43" t="s">
        <v>349</v>
      </c>
      <c r="BJ324" s="43" t="s">
        <v>391</v>
      </c>
      <c r="BK324" s="43" t="s">
        <v>391</v>
      </c>
      <c r="BL324" s="43" t="s">
        <v>391</v>
      </c>
      <c r="BM324" s="43" t="s">
        <v>391</v>
      </c>
      <c r="BN324" s="43" t="s">
        <v>391</v>
      </c>
      <c r="BO324" s="43" t="s">
        <v>391</v>
      </c>
      <c r="BP324" s="43" t="s">
        <v>391</v>
      </c>
      <c r="BQ324" s="43" t="s">
        <v>358</v>
      </c>
      <c r="BR324" s="43" t="s">
        <v>1339</v>
      </c>
      <c r="BS324" s="43" t="s">
        <v>351</v>
      </c>
      <c r="BT324" s="43" t="s">
        <v>391</v>
      </c>
      <c r="BU324" s="43" t="s">
        <v>352</v>
      </c>
      <c r="BV324" s="43" t="s">
        <v>356</v>
      </c>
      <c r="BW324" s="43" t="s">
        <v>353</v>
      </c>
      <c r="BX324" s="43" t="s">
        <v>354</v>
      </c>
      <c r="BY324" s="43" t="s">
        <v>357</v>
      </c>
      <c r="BZ324" s="43" t="s">
        <v>357</v>
      </c>
      <c r="CA324" s="43" t="s">
        <v>354</v>
      </c>
      <c r="CB324" s="43" t="s">
        <v>351</v>
      </c>
      <c r="CC324" s="43" t="s">
        <v>356</v>
      </c>
      <c r="CD324" s="43" t="s">
        <v>353</v>
      </c>
      <c r="CE324" s="43" t="s">
        <v>355</v>
      </c>
      <c r="CF324" s="43" t="s">
        <v>352</v>
      </c>
      <c r="CG324" s="43" t="s">
        <v>360</v>
      </c>
      <c r="CH324" s="43" t="s">
        <v>421</v>
      </c>
      <c r="CI324" s="43" t="s">
        <v>392</v>
      </c>
      <c r="CJ324" s="43" t="s">
        <v>392</v>
      </c>
      <c r="CK324" s="43" t="s">
        <v>391</v>
      </c>
      <c r="CL324" s="43" t="s">
        <v>344</v>
      </c>
      <c r="CM324" s="43" t="s">
        <v>344</v>
      </c>
      <c r="CN324" s="43" t="s">
        <v>344</v>
      </c>
      <c r="CO324" s="43" t="s">
        <v>345</v>
      </c>
      <c r="CP324" s="43" t="s">
        <v>345</v>
      </c>
      <c r="CQ324" s="43" t="s">
        <v>344</v>
      </c>
      <c r="CR324" s="43" t="s">
        <v>655</v>
      </c>
      <c r="CS324" s="43">
        <v>60</v>
      </c>
      <c r="CT324" s="43">
        <v>75</v>
      </c>
      <c r="CU324" s="43">
        <v>1</v>
      </c>
      <c r="CV324" s="43">
        <v>51</v>
      </c>
      <c r="CW324" s="43" t="s">
        <v>363</v>
      </c>
      <c r="CX324" s="43" t="s">
        <v>364</v>
      </c>
      <c r="CY324" s="43" t="s">
        <v>396</v>
      </c>
      <c r="CZ324" s="43" t="s">
        <v>397</v>
      </c>
      <c r="DA324" s="43" t="s">
        <v>397</v>
      </c>
      <c r="DB324" s="43" t="s">
        <v>397</v>
      </c>
      <c r="DC324" s="43" t="s">
        <v>397</v>
      </c>
      <c r="DD324" s="43" t="s">
        <v>397</v>
      </c>
      <c r="DE324" s="43" t="s">
        <v>397</v>
      </c>
      <c r="DF324" s="43" t="s">
        <v>397</v>
      </c>
      <c r="DG324" s="43" t="s">
        <v>397</v>
      </c>
      <c r="DH324" s="43" t="s">
        <v>397</v>
      </c>
      <c r="DI324" s="43" t="s">
        <v>397</v>
      </c>
      <c r="DJ324" s="43"/>
      <c r="DK324" s="43" t="s">
        <v>344</v>
      </c>
      <c r="DL324" s="43" t="s">
        <v>368</v>
      </c>
      <c r="DM324" s="43" t="s">
        <v>368</v>
      </c>
      <c r="DN324" s="43" t="s">
        <v>368</v>
      </c>
      <c r="DO324" s="43" t="s">
        <v>368</v>
      </c>
      <c r="DP324" s="43" t="s">
        <v>344</v>
      </c>
      <c r="DQ324" s="43" t="s">
        <v>345</v>
      </c>
      <c r="DR324" s="43" t="s">
        <v>344</v>
      </c>
      <c r="DS324" s="43" t="s">
        <v>344</v>
      </c>
      <c r="DT324" s="43" t="s">
        <v>345</v>
      </c>
      <c r="DU324" s="43" t="s">
        <v>345</v>
      </c>
      <c r="DV324" s="43" t="s">
        <v>345</v>
      </c>
      <c r="DW324" s="43" t="s">
        <v>344</v>
      </c>
      <c r="DX324" s="43" t="s">
        <v>1258</v>
      </c>
      <c r="DY324" s="43" t="s">
        <v>1258</v>
      </c>
      <c r="DZ324" s="43" t="s">
        <v>1258</v>
      </c>
      <c r="EA324" s="43" t="s">
        <v>1258</v>
      </c>
      <c r="EB324" s="43" t="s">
        <v>1258</v>
      </c>
      <c r="EC324" s="43" t="s">
        <v>1258</v>
      </c>
      <c r="ED324" s="43" t="s">
        <v>1258</v>
      </c>
      <c r="EE324" s="43" t="s">
        <v>1258</v>
      </c>
      <c r="EF324" s="43" t="s">
        <v>1258</v>
      </c>
      <c r="EG324" s="43" t="s">
        <v>1258</v>
      </c>
      <c r="EH324" s="43" t="s">
        <v>1258</v>
      </c>
      <c r="EI324" s="43" t="s">
        <v>1258</v>
      </c>
      <c r="EJ324" s="43" t="s">
        <v>1258</v>
      </c>
      <c r="EK324" s="43" t="s">
        <v>1258</v>
      </c>
      <c r="EL324" s="43" t="s">
        <v>1261</v>
      </c>
      <c r="EM324" s="43" t="s">
        <v>1276</v>
      </c>
      <c r="EN324" s="43" t="s">
        <v>1260</v>
      </c>
      <c r="EO324" s="43"/>
      <c r="EP324" s="43"/>
      <c r="EQ324" s="43" t="s">
        <v>1263</v>
      </c>
      <c r="ER324" s="43" t="s">
        <v>1263</v>
      </c>
      <c r="ES324" s="43" t="s">
        <v>1264</v>
      </c>
      <c r="ET324" s="43" t="s">
        <v>1277</v>
      </c>
      <c r="EU324" s="43" t="s">
        <v>1264</v>
      </c>
      <c r="EV324" s="43" t="s">
        <v>1265</v>
      </c>
      <c r="EW324" s="43"/>
      <c r="EX324" s="43" t="s">
        <v>368</v>
      </c>
      <c r="EY324" s="43" t="s">
        <v>368</v>
      </c>
      <c r="EZ324" s="43" t="s">
        <v>368</v>
      </c>
      <c r="FA324" s="43" t="s">
        <v>345</v>
      </c>
      <c r="FB324" s="43" t="s">
        <v>1266</v>
      </c>
      <c r="FC324" s="43"/>
      <c r="FD324" s="43" t="s">
        <v>1266</v>
      </c>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t="s">
        <v>368</v>
      </c>
      <c r="GB324" s="43" t="s">
        <v>368</v>
      </c>
      <c r="GC324" s="43" t="s">
        <v>368</v>
      </c>
      <c r="GD324" s="43" t="s">
        <v>368</v>
      </c>
      <c r="GE324" s="43" t="s">
        <v>368</v>
      </c>
      <c r="GF324" s="43" t="s">
        <v>368</v>
      </c>
      <c r="GG324" s="43"/>
      <c r="GH324" s="43"/>
      <c r="GI324" s="43"/>
      <c r="GJ324" s="43"/>
      <c r="GK324" s="43"/>
      <c r="GL324" s="43" t="s">
        <v>344</v>
      </c>
      <c r="GM324" s="43" t="s">
        <v>344</v>
      </c>
      <c r="GN324" s="43" t="s">
        <v>344</v>
      </c>
      <c r="GO324" s="43" t="s">
        <v>344</v>
      </c>
      <c r="GP324" s="43" t="s">
        <v>344</v>
      </c>
      <c r="GQ324" s="43" t="s">
        <v>344</v>
      </c>
      <c r="GR324" s="43" t="s">
        <v>344</v>
      </c>
      <c r="GS324" s="43" t="s">
        <v>344</v>
      </c>
      <c r="GT324" s="43" t="s">
        <v>344</v>
      </c>
      <c r="GU324" s="43" t="s">
        <v>344</v>
      </c>
      <c r="GV324" s="43" t="s">
        <v>344</v>
      </c>
      <c r="GW324" s="43" t="s">
        <v>344</v>
      </c>
      <c r="GX324" s="43" t="s">
        <v>344</v>
      </c>
      <c r="GY324" s="43" t="s">
        <v>344</v>
      </c>
      <c r="GZ324" s="43" t="s">
        <v>344</v>
      </c>
      <c r="HA324" s="43" t="s">
        <v>345</v>
      </c>
      <c r="HB324" s="43" t="s">
        <v>1683</v>
      </c>
      <c r="HC324" s="43" t="s">
        <v>344</v>
      </c>
      <c r="HD324" s="43"/>
      <c r="HE324" s="43" t="s">
        <v>344</v>
      </c>
      <c r="HF324" s="43"/>
      <c r="HG324" s="43" t="s">
        <v>344</v>
      </c>
      <c r="HH324" s="43"/>
      <c r="HI324" s="43" t="s">
        <v>344</v>
      </c>
      <c r="HJ324" s="43"/>
      <c r="HK324" s="43" t="s">
        <v>344</v>
      </c>
      <c r="HL324" s="43" t="s">
        <v>344</v>
      </c>
      <c r="HM324" s="43" t="s">
        <v>344</v>
      </c>
      <c r="HN324" s="43" t="s">
        <v>345</v>
      </c>
      <c r="HO324" s="43" t="s">
        <v>344</v>
      </c>
      <c r="HP324" s="43" t="s">
        <v>344</v>
      </c>
      <c r="HQ324" s="43" t="s">
        <v>344</v>
      </c>
      <c r="HR324" s="43" t="s">
        <v>344</v>
      </c>
      <c r="HS324" s="43" t="s">
        <v>344</v>
      </c>
      <c r="HT324" s="43" t="s">
        <v>344</v>
      </c>
      <c r="HU324" s="43" t="s">
        <v>344</v>
      </c>
      <c r="HV324" s="43" t="s">
        <v>344</v>
      </c>
      <c r="HW324" s="43" t="s">
        <v>345</v>
      </c>
      <c r="HX324" s="43" t="s">
        <v>344</v>
      </c>
      <c r="HY324" s="43" t="s">
        <v>344</v>
      </c>
      <c r="HZ324" s="43" t="s">
        <v>344</v>
      </c>
      <c r="IA324" s="43" t="s">
        <v>344</v>
      </c>
      <c r="IB324" s="43" t="s">
        <v>344</v>
      </c>
      <c r="IC324" s="43" t="s">
        <v>344</v>
      </c>
      <c r="ID324" s="43"/>
      <c r="IE324" s="43" t="s">
        <v>344</v>
      </c>
      <c r="IF324" s="43"/>
      <c r="IG324" s="43" t="s">
        <v>344</v>
      </c>
      <c r="IH324" s="43"/>
      <c r="II324" s="43" t="s">
        <v>344</v>
      </c>
      <c r="IJ324" s="43"/>
      <c r="IK324" s="43" t="s">
        <v>344</v>
      </c>
      <c r="IL324" s="43"/>
      <c r="IM324" s="43" t="s">
        <v>344</v>
      </c>
      <c r="IN324" s="43" t="s">
        <v>345</v>
      </c>
      <c r="IO324" s="43" t="s">
        <v>344</v>
      </c>
      <c r="IP324" s="43" t="s">
        <v>344</v>
      </c>
      <c r="IQ324" s="43" t="s">
        <v>345</v>
      </c>
      <c r="IR324" s="43" t="s">
        <v>345</v>
      </c>
      <c r="IS324" s="43" t="s">
        <v>344</v>
      </c>
      <c r="IT324" s="43" t="s">
        <v>345</v>
      </c>
      <c r="IU324" s="43" t="s">
        <v>344</v>
      </c>
      <c r="IV324" s="43" t="s">
        <v>344</v>
      </c>
      <c r="IW324" s="43" t="s">
        <v>344</v>
      </c>
      <c r="IX324" s="43" t="s">
        <v>344</v>
      </c>
      <c r="IY324" s="43" t="s">
        <v>345</v>
      </c>
      <c r="IZ324" s="43" t="s">
        <v>344</v>
      </c>
      <c r="JA324" s="43"/>
      <c r="JB324" s="43" t="s">
        <v>1684</v>
      </c>
    </row>
    <row r="325" spans="1:262" x14ac:dyDescent="0.3">
      <c r="A325" s="42" t="s">
        <v>813</v>
      </c>
      <c r="B325" s="43">
        <v>305</v>
      </c>
      <c r="C325" s="43" t="s">
        <v>1685</v>
      </c>
      <c r="D325" s="43">
        <v>14</v>
      </c>
      <c r="E325" s="43" t="s">
        <v>387</v>
      </c>
      <c r="F325" s="43">
        <v>1513166387</v>
      </c>
      <c r="G325" s="43" t="s">
        <v>1686</v>
      </c>
      <c r="H325" s="43" t="s">
        <v>1685</v>
      </c>
      <c r="I325" s="43" t="s">
        <v>1667</v>
      </c>
      <c r="J325" s="43">
        <v>16</v>
      </c>
      <c r="K325" s="43" t="s">
        <v>1255</v>
      </c>
      <c r="L325" s="43"/>
      <c r="M325" s="43" t="s">
        <v>344</v>
      </c>
      <c r="N325" s="43" t="s">
        <v>345</v>
      </c>
      <c r="O325" s="43" t="s">
        <v>344</v>
      </c>
      <c r="P325" s="43" t="s">
        <v>344</v>
      </c>
      <c r="Q325" s="43" t="s">
        <v>344</v>
      </c>
      <c r="R325" s="43"/>
      <c r="S325" s="43" t="s">
        <v>522</v>
      </c>
      <c r="T325" s="43"/>
      <c r="U325" s="43" t="s">
        <v>1457</v>
      </c>
      <c r="V325" s="43"/>
      <c r="W325" s="43" t="s">
        <v>344</v>
      </c>
      <c r="X325" s="43" t="s">
        <v>345</v>
      </c>
      <c r="Y325" s="43" t="s">
        <v>344</v>
      </c>
      <c r="Z325" s="43" t="s">
        <v>344</v>
      </c>
      <c r="AA325" s="43" t="s">
        <v>344</v>
      </c>
      <c r="AB325" s="43" t="s">
        <v>344</v>
      </c>
      <c r="AC325" s="43" t="s">
        <v>344</v>
      </c>
      <c r="AD325" s="43" t="s">
        <v>345</v>
      </c>
      <c r="AE325" s="43" t="s">
        <v>344</v>
      </c>
      <c r="AF325" s="43" t="s">
        <v>345</v>
      </c>
      <c r="AG325" s="43" t="s">
        <v>344</v>
      </c>
      <c r="AH325" s="43" t="s">
        <v>344</v>
      </c>
      <c r="AI325" s="43" t="s">
        <v>344</v>
      </c>
      <c r="AJ325" s="43" t="s">
        <v>344</v>
      </c>
      <c r="AK325" s="43" t="s">
        <v>344</v>
      </c>
      <c r="AL325" s="43" t="s">
        <v>345</v>
      </c>
      <c r="AM325" s="43" t="s">
        <v>344</v>
      </c>
      <c r="AN325" s="43" t="s">
        <v>344</v>
      </c>
      <c r="AO325" s="43" t="s">
        <v>344</v>
      </c>
      <c r="AP325" s="43" t="s">
        <v>344</v>
      </c>
      <c r="AQ325" s="43" t="s">
        <v>344</v>
      </c>
      <c r="AR325" s="43" t="s">
        <v>344</v>
      </c>
      <c r="AS325" s="43" t="s">
        <v>344</v>
      </c>
      <c r="AT325" s="43" t="s">
        <v>345</v>
      </c>
      <c r="AU325" s="43" t="s">
        <v>345</v>
      </c>
      <c r="AV325" s="43" t="s">
        <v>344</v>
      </c>
      <c r="AW325" s="43" t="s">
        <v>344</v>
      </c>
      <c r="AX325" s="43" t="s">
        <v>344</v>
      </c>
      <c r="AY325" s="43" t="s">
        <v>391</v>
      </c>
      <c r="AZ325" s="43" t="s">
        <v>731</v>
      </c>
      <c r="BA325" s="43" t="s">
        <v>732</v>
      </c>
      <c r="BB325" s="43" t="s">
        <v>731</v>
      </c>
      <c r="BC325" s="43" t="s">
        <v>733</v>
      </c>
      <c r="BD325" s="43" t="s">
        <v>391</v>
      </c>
      <c r="BE325" s="43" t="s">
        <v>349</v>
      </c>
      <c r="BF325" s="43" t="s">
        <v>348</v>
      </c>
      <c r="BG325" s="43" t="s">
        <v>390</v>
      </c>
      <c r="BH325" s="43" t="s">
        <v>350</v>
      </c>
      <c r="BI325" s="43" t="s">
        <v>350</v>
      </c>
      <c r="BJ325" s="43" t="s">
        <v>357</v>
      </c>
      <c r="BK325" s="43" t="s">
        <v>354</v>
      </c>
      <c r="BL325" s="43" t="s">
        <v>353</v>
      </c>
      <c r="BM325" s="43" t="s">
        <v>355</v>
      </c>
      <c r="BN325" s="43" t="s">
        <v>351</v>
      </c>
      <c r="BO325" s="43" t="s">
        <v>391</v>
      </c>
      <c r="BP325" s="43" t="s">
        <v>356</v>
      </c>
      <c r="BQ325" s="43" t="s">
        <v>358</v>
      </c>
      <c r="BR325" s="43" t="s">
        <v>1296</v>
      </c>
      <c r="BS325" s="43" t="s">
        <v>351</v>
      </c>
      <c r="BT325" s="43" t="s">
        <v>354</v>
      </c>
      <c r="BU325" s="43" t="s">
        <v>356</v>
      </c>
      <c r="BV325" s="43" t="s">
        <v>352</v>
      </c>
      <c r="BW325" s="43" t="s">
        <v>355</v>
      </c>
      <c r="BX325" s="43" t="s">
        <v>357</v>
      </c>
      <c r="BY325" s="43" t="s">
        <v>353</v>
      </c>
      <c r="BZ325" s="43" t="s">
        <v>355</v>
      </c>
      <c r="CA325" s="43" t="s">
        <v>354</v>
      </c>
      <c r="CB325" s="43" t="s">
        <v>357</v>
      </c>
      <c r="CC325" s="43" t="s">
        <v>391</v>
      </c>
      <c r="CD325" s="43" t="s">
        <v>352</v>
      </c>
      <c r="CE325" s="43" t="s">
        <v>356</v>
      </c>
      <c r="CF325" s="43" t="s">
        <v>391</v>
      </c>
      <c r="CG325" s="43" t="s">
        <v>420</v>
      </c>
      <c r="CH325" s="43" t="s">
        <v>421</v>
      </c>
      <c r="CI325" s="43" t="s">
        <v>360</v>
      </c>
      <c r="CJ325" s="43" t="s">
        <v>420</v>
      </c>
      <c r="CK325" s="43" t="s">
        <v>717</v>
      </c>
      <c r="CL325" s="43" t="s">
        <v>344</v>
      </c>
      <c r="CM325" s="43" t="s">
        <v>344</v>
      </c>
      <c r="CN325" s="43" t="s">
        <v>344</v>
      </c>
      <c r="CO325" s="43" t="s">
        <v>344</v>
      </c>
      <c r="CP325" s="43" t="s">
        <v>345</v>
      </c>
      <c r="CQ325" s="43" t="s">
        <v>344</v>
      </c>
      <c r="CR325" s="43" t="s">
        <v>1320</v>
      </c>
      <c r="CS325" s="43">
        <v>24</v>
      </c>
      <c r="CT325" s="43">
        <v>81</v>
      </c>
      <c r="CU325" s="43">
        <v>77</v>
      </c>
      <c r="CV325" s="43">
        <v>16</v>
      </c>
      <c r="CW325" s="43" t="s">
        <v>364</v>
      </c>
      <c r="CX325" s="43" t="s">
        <v>396</v>
      </c>
      <c r="CY325" s="43" t="s">
        <v>396</v>
      </c>
      <c r="CZ325" s="43" t="s">
        <v>397</v>
      </c>
      <c r="DA325" s="43" t="s">
        <v>397</v>
      </c>
      <c r="DB325" s="43" t="s">
        <v>397</v>
      </c>
      <c r="DC325" s="43" t="s">
        <v>397</v>
      </c>
      <c r="DD325" s="43" t="s">
        <v>397</v>
      </c>
      <c r="DE325" s="43" t="s">
        <v>397</v>
      </c>
      <c r="DF325" s="43" t="s">
        <v>366</v>
      </c>
      <c r="DG325" s="43" t="s">
        <v>397</v>
      </c>
      <c r="DH325" s="43" t="s">
        <v>397</v>
      </c>
      <c r="DI325" s="43" t="s">
        <v>397</v>
      </c>
      <c r="DJ325" s="43"/>
      <c r="DK325" s="43" t="s">
        <v>344</v>
      </c>
      <c r="DL325" s="43" t="s">
        <v>368</v>
      </c>
      <c r="DM325" s="43" t="s">
        <v>368</v>
      </c>
      <c r="DN325" s="43" t="s">
        <v>368</v>
      </c>
      <c r="DO325" s="43" t="s">
        <v>368</v>
      </c>
      <c r="DP325" s="43" t="s">
        <v>368</v>
      </c>
      <c r="DQ325" s="43" t="s">
        <v>368</v>
      </c>
      <c r="DR325" s="43" t="s">
        <v>368</v>
      </c>
      <c r="DS325" s="43" t="s">
        <v>345</v>
      </c>
      <c r="DT325" s="43" t="s">
        <v>344</v>
      </c>
      <c r="DU325" s="43" t="s">
        <v>344</v>
      </c>
      <c r="DV325" s="43" t="s">
        <v>345</v>
      </c>
      <c r="DW325" s="43" t="s">
        <v>344</v>
      </c>
      <c r="DX325" s="43" t="s">
        <v>1272</v>
      </c>
      <c r="DY325" s="43" t="s">
        <v>1258</v>
      </c>
      <c r="DZ325" s="43" t="s">
        <v>1273</v>
      </c>
      <c r="EA325" s="43" t="s">
        <v>1258</v>
      </c>
      <c r="EB325" s="43" t="s">
        <v>1258</v>
      </c>
      <c r="EC325" s="43" t="s">
        <v>1258</v>
      </c>
      <c r="ED325" s="43" t="s">
        <v>1273</v>
      </c>
      <c r="EE325" s="43" t="s">
        <v>1258</v>
      </c>
      <c r="EF325" s="43" t="s">
        <v>1272</v>
      </c>
      <c r="EG325" s="43" t="s">
        <v>1258</v>
      </c>
      <c r="EH325" s="43" t="s">
        <v>1258</v>
      </c>
      <c r="EI325" s="43" t="s">
        <v>1272</v>
      </c>
      <c r="EJ325" s="43" t="s">
        <v>1272</v>
      </c>
      <c r="EK325" s="43" t="s">
        <v>1258</v>
      </c>
      <c r="EL325" s="43" t="s">
        <v>1259</v>
      </c>
      <c r="EM325" s="43" t="s">
        <v>1276</v>
      </c>
      <c r="EN325" s="43" t="s">
        <v>1275</v>
      </c>
      <c r="EO325" s="43"/>
      <c r="EP325" s="43"/>
      <c r="EQ325" s="43" t="s">
        <v>1263</v>
      </c>
      <c r="ER325" s="43" t="s">
        <v>1263</v>
      </c>
      <c r="ES325" s="43" t="s">
        <v>1263</v>
      </c>
      <c r="ET325" s="43" t="s">
        <v>1264</v>
      </c>
      <c r="EU325" s="43" t="s">
        <v>1264</v>
      </c>
      <c r="EV325" s="43" t="s">
        <v>1265</v>
      </c>
      <c r="EW325" s="43"/>
      <c r="EX325" s="43" t="s">
        <v>368</v>
      </c>
      <c r="EY325" s="43" t="s">
        <v>368</v>
      </c>
      <c r="EZ325" s="43" t="s">
        <v>368</v>
      </c>
      <c r="FA325" s="43" t="s">
        <v>345</v>
      </c>
      <c r="FB325" s="43" t="s">
        <v>1321</v>
      </c>
      <c r="FC325" s="43"/>
      <c r="FD325" s="43" t="s">
        <v>401</v>
      </c>
      <c r="FE325" s="43"/>
      <c r="FF325" s="43" t="s">
        <v>1322</v>
      </c>
      <c r="FG325" s="43" t="s">
        <v>1292</v>
      </c>
      <c r="FH325" s="43" t="s">
        <v>1293</v>
      </c>
      <c r="FI325" s="43" t="s">
        <v>385</v>
      </c>
      <c r="FJ325" s="43"/>
      <c r="FK325" s="43"/>
      <c r="FL325" s="43"/>
      <c r="FM325" s="43"/>
      <c r="FN325" s="43"/>
      <c r="FO325" s="43"/>
      <c r="FP325" s="43"/>
      <c r="FQ325" s="43"/>
      <c r="FR325" s="43"/>
      <c r="FS325" s="43"/>
      <c r="FT325" s="43"/>
      <c r="FU325" s="43"/>
      <c r="FV325" s="43"/>
      <c r="FW325" s="43"/>
      <c r="FX325" s="43"/>
      <c r="FY325" s="43"/>
      <c r="FZ325" s="43"/>
      <c r="GA325" s="43" t="s">
        <v>368</v>
      </c>
      <c r="GB325" s="43" t="s">
        <v>368</v>
      </c>
      <c r="GC325" s="43" t="s">
        <v>368</v>
      </c>
      <c r="GD325" s="43" t="s">
        <v>368</v>
      </c>
      <c r="GE325" s="43" t="s">
        <v>368</v>
      </c>
      <c r="GF325" s="43" t="s">
        <v>368</v>
      </c>
      <c r="GG325" s="43"/>
      <c r="GH325" s="43"/>
      <c r="GI325" s="43"/>
      <c r="GJ325" s="43"/>
      <c r="GK325" s="43"/>
      <c r="GL325" s="43" t="s">
        <v>344</v>
      </c>
      <c r="GM325" s="43" t="s">
        <v>344</v>
      </c>
      <c r="GN325" s="43" t="s">
        <v>345</v>
      </c>
      <c r="GO325" s="43" t="s">
        <v>344</v>
      </c>
      <c r="GP325" s="43" t="s">
        <v>344</v>
      </c>
      <c r="GQ325" s="43" t="s">
        <v>344</v>
      </c>
      <c r="GR325" s="43" t="s">
        <v>344</v>
      </c>
      <c r="GS325" s="43" t="s">
        <v>344</v>
      </c>
      <c r="GT325" s="43" t="s">
        <v>344</v>
      </c>
      <c r="GU325" s="43" t="s">
        <v>344</v>
      </c>
      <c r="GV325" s="43" t="s">
        <v>344</v>
      </c>
      <c r="GW325" s="43" t="s">
        <v>344</v>
      </c>
      <c r="GX325" s="43" t="s">
        <v>344</v>
      </c>
      <c r="GY325" s="43" t="s">
        <v>344</v>
      </c>
      <c r="GZ325" s="43" t="s">
        <v>344</v>
      </c>
      <c r="HA325" s="43" t="s">
        <v>344</v>
      </c>
      <c r="HB325" s="43"/>
      <c r="HC325" s="43" t="s">
        <v>344</v>
      </c>
      <c r="HD325" s="43"/>
      <c r="HE325" s="43" t="s">
        <v>344</v>
      </c>
      <c r="HF325" s="43"/>
      <c r="HG325" s="43" t="s">
        <v>344</v>
      </c>
      <c r="HH325" s="43"/>
      <c r="HI325" s="43" t="s">
        <v>344</v>
      </c>
      <c r="HJ325" s="43"/>
      <c r="HK325" s="43" t="s">
        <v>344</v>
      </c>
      <c r="HL325" s="43" t="s">
        <v>344</v>
      </c>
      <c r="HM325" s="43" t="s">
        <v>344</v>
      </c>
      <c r="HN325" s="43" t="s">
        <v>344</v>
      </c>
      <c r="HO325" s="43" t="s">
        <v>344</v>
      </c>
      <c r="HP325" s="43" t="s">
        <v>344</v>
      </c>
      <c r="HQ325" s="43" t="s">
        <v>344</v>
      </c>
      <c r="HR325" s="43" t="s">
        <v>344</v>
      </c>
      <c r="HS325" s="43" t="s">
        <v>344</v>
      </c>
      <c r="HT325" s="43" t="s">
        <v>344</v>
      </c>
      <c r="HU325" s="43" t="s">
        <v>344</v>
      </c>
      <c r="HV325" s="43" t="s">
        <v>344</v>
      </c>
      <c r="HW325" s="43" t="s">
        <v>344</v>
      </c>
      <c r="HX325" s="43" t="s">
        <v>344</v>
      </c>
      <c r="HY325" s="43" t="s">
        <v>344</v>
      </c>
      <c r="HZ325" s="43" t="s">
        <v>344</v>
      </c>
      <c r="IA325" s="43" t="s">
        <v>344</v>
      </c>
      <c r="IB325" s="43" t="s">
        <v>344</v>
      </c>
      <c r="IC325" s="43" t="s">
        <v>345</v>
      </c>
      <c r="ID325" s="43"/>
      <c r="IE325" s="43" t="s">
        <v>344</v>
      </c>
      <c r="IF325" s="43"/>
      <c r="IG325" s="43" t="s">
        <v>344</v>
      </c>
      <c r="IH325" s="43"/>
      <c r="II325" s="43" t="s">
        <v>344</v>
      </c>
      <c r="IJ325" s="43"/>
      <c r="IK325" s="43" t="s">
        <v>344</v>
      </c>
      <c r="IL325" s="43"/>
      <c r="IM325" s="43" t="s">
        <v>344</v>
      </c>
      <c r="IN325" s="43" t="s">
        <v>345</v>
      </c>
      <c r="IO325" s="43" t="s">
        <v>345</v>
      </c>
      <c r="IP325" s="43" t="s">
        <v>344</v>
      </c>
      <c r="IQ325" s="43" t="s">
        <v>345</v>
      </c>
      <c r="IR325" s="43" t="s">
        <v>344</v>
      </c>
      <c r="IS325" s="43" t="s">
        <v>344</v>
      </c>
      <c r="IT325" s="43" t="s">
        <v>345</v>
      </c>
      <c r="IU325" s="43" t="s">
        <v>344</v>
      </c>
      <c r="IV325" s="43" t="s">
        <v>344</v>
      </c>
      <c r="IW325" s="43" t="s">
        <v>344</v>
      </c>
      <c r="IX325" s="43" t="s">
        <v>344</v>
      </c>
      <c r="IY325" s="43" t="s">
        <v>345</v>
      </c>
      <c r="IZ325" s="43" t="s">
        <v>344</v>
      </c>
      <c r="JA325" s="43"/>
      <c r="JB325" s="43"/>
    </row>
    <row r="326" spans="1:262" x14ac:dyDescent="0.3">
      <c r="A326" s="42" t="s">
        <v>813</v>
      </c>
      <c r="B326" s="43">
        <v>306</v>
      </c>
      <c r="C326" s="43" t="s">
        <v>1687</v>
      </c>
      <c r="D326" s="43">
        <v>14</v>
      </c>
      <c r="E326" s="43" t="s">
        <v>387</v>
      </c>
      <c r="F326" s="43">
        <v>1165807776</v>
      </c>
      <c r="G326" s="43" t="s">
        <v>1688</v>
      </c>
      <c r="H326" s="43" t="s">
        <v>1687</v>
      </c>
      <c r="I326" s="43" t="s">
        <v>1667</v>
      </c>
      <c r="J326" s="43">
        <v>17</v>
      </c>
      <c r="K326" s="43" t="s">
        <v>1255</v>
      </c>
      <c r="L326" s="43"/>
      <c r="M326" s="43" t="s">
        <v>345</v>
      </c>
      <c r="N326" s="43" t="s">
        <v>344</v>
      </c>
      <c r="O326" s="43" t="s">
        <v>344</v>
      </c>
      <c r="P326" s="43" t="s">
        <v>344</v>
      </c>
      <c r="Q326" s="43" t="s">
        <v>344</v>
      </c>
      <c r="R326" s="43"/>
      <c r="S326" s="43" t="s">
        <v>522</v>
      </c>
      <c r="T326" s="43"/>
      <c r="U326" s="43" t="s">
        <v>1270</v>
      </c>
      <c r="V326" s="43"/>
      <c r="W326" s="43" t="s">
        <v>344</v>
      </c>
      <c r="X326" s="43" t="s">
        <v>344</v>
      </c>
      <c r="Y326" s="43" t="s">
        <v>345</v>
      </c>
      <c r="Z326" s="43" t="s">
        <v>345</v>
      </c>
      <c r="AA326" s="43" t="s">
        <v>345</v>
      </c>
      <c r="AB326" s="43" t="s">
        <v>344</v>
      </c>
      <c r="AC326" s="43" t="s">
        <v>344</v>
      </c>
      <c r="AD326" s="43" t="s">
        <v>344</v>
      </c>
      <c r="AE326" s="43" t="s">
        <v>344</v>
      </c>
      <c r="AF326" s="43" t="s">
        <v>345</v>
      </c>
      <c r="AG326" s="43" t="s">
        <v>345</v>
      </c>
      <c r="AH326" s="43" t="s">
        <v>345</v>
      </c>
      <c r="AI326" s="43" t="s">
        <v>344</v>
      </c>
      <c r="AJ326" s="43" t="s">
        <v>344</v>
      </c>
      <c r="AK326" s="43" t="s">
        <v>345</v>
      </c>
      <c r="AL326" s="43" t="s">
        <v>345</v>
      </c>
      <c r="AM326" s="43" t="s">
        <v>344</v>
      </c>
      <c r="AN326" s="43" t="s">
        <v>344</v>
      </c>
      <c r="AO326" s="43" t="s">
        <v>345</v>
      </c>
      <c r="AP326" s="43" t="s">
        <v>345</v>
      </c>
      <c r="AQ326" s="43" t="s">
        <v>344</v>
      </c>
      <c r="AR326" s="43" t="s">
        <v>345</v>
      </c>
      <c r="AS326" s="43" t="s">
        <v>344</v>
      </c>
      <c r="AT326" s="43" t="s">
        <v>345</v>
      </c>
      <c r="AU326" s="43" t="s">
        <v>344</v>
      </c>
      <c r="AV326" s="43" t="s">
        <v>344</v>
      </c>
      <c r="AW326" s="43" t="s">
        <v>345</v>
      </c>
      <c r="AX326" s="43" t="s">
        <v>344</v>
      </c>
      <c r="AY326" s="43" t="s">
        <v>732</v>
      </c>
      <c r="AZ326" s="43" t="s">
        <v>731</v>
      </c>
      <c r="BA326" s="43" t="s">
        <v>733</v>
      </c>
      <c r="BB326" s="43" t="s">
        <v>733</v>
      </c>
      <c r="BC326" s="43" t="s">
        <v>733</v>
      </c>
      <c r="BD326" s="43" t="s">
        <v>733</v>
      </c>
      <c r="BE326" s="43" t="s">
        <v>350</v>
      </c>
      <c r="BF326" s="43" t="s">
        <v>349</v>
      </c>
      <c r="BG326" s="43" t="s">
        <v>390</v>
      </c>
      <c r="BH326" s="43" t="s">
        <v>390</v>
      </c>
      <c r="BI326" s="43" t="s">
        <v>349</v>
      </c>
      <c r="BJ326" s="43" t="s">
        <v>391</v>
      </c>
      <c r="BK326" s="43" t="s">
        <v>391</v>
      </c>
      <c r="BL326" s="43" t="s">
        <v>391</v>
      </c>
      <c r="BM326" s="43" t="s">
        <v>391</v>
      </c>
      <c r="BN326" s="43" t="s">
        <v>391</v>
      </c>
      <c r="BO326" s="43" t="s">
        <v>391</v>
      </c>
      <c r="BP326" s="43" t="s">
        <v>391</v>
      </c>
      <c r="BQ326" s="43" t="s">
        <v>358</v>
      </c>
      <c r="BR326" s="43" t="s">
        <v>1296</v>
      </c>
      <c r="BS326" s="43" t="s">
        <v>391</v>
      </c>
      <c r="BT326" s="43" t="s">
        <v>391</v>
      </c>
      <c r="BU326" s="43" t="s">
        <v>391</v>
      </c>
      <c r="BV326" s="43" t="s">
        <v>391</v>
      </c>
      <c r="BW326" s="43" t="s">
        <v>391</v>
      </c>
      <c r="BX326" s="43" t="s">
        <v>391</v>
      </c>
      <c r="BY326" s="43" t="s">
        <v>391</v>
      </c>
      <c r="BZ326" s="43" t="s">
        <v>391</v>
      </c>
      <c r="CA326" s="43" t="s">
        <v>391</v>
      </c>
      <c r="CB326" s="43" t="s">
        <v>391</v>
      </c>
      <c r="CC326" s="43" t="s">
        <v>391</v>
      </c>
      <c r="CD326" s="43" t="s">
        <v>391</v>
      </c>
      <c r="CE326" s="43" t="s">
        <v>391</v>
      </c>
      <c r="CF326" s="43" t="s">
        <v>391</v>
      </c>
      <c r="CG326" s="43" t="s">
        <v>420</v>
      </c>
      <c r="CH326" s="43" t="s">
        <v>360</v>
      </c>
      <c r="CI326" s="43" t="s">
        <v>420</v>
      </c>
      <c r="CJ326" s="43" t="s">
        <v>420</v>
      </c>
      <c r="CK326" s="43" t="s">
        <v>1689</v>
      </c>
      <c r="CL326" s="43" t="s">
        <v>344</v>
      </c>
      <c r="CM326" s="43" t="s">
        <v>344</v>
      </c>
      <c r="CN326" s="43" t="s">
        <v>344</v>
      </c>
      <c r="CO326" s="43" t="s">
        <v>345</v>
      </c>
      <c r="CP326" s="43" t="s">
        <v>345</v>
      </c>
      <c r="CQ326" s="43" t="s">
        <v>345</v>
      </c>
      <c r="CR326" s="43" t="s">
        <v>655</v>
      </c>
      <c r="CS326" s="43">
        <v>100</v>
      </c>
      <c r="CT326" s="43">
        <v>100</v>
      </c>
      <c r="CU326" s="43"/>
      <c r="CV326" s="43"/>
      <c r="CW326" s="43" t="s">
        <v>363</v>
      </c>
      <c r="CX326" s="43" t="s">
        <v>395</v>
      </c>
      <c r="CY326" s="43" t="s">
        <v>395</v>
      </c>
      <c r="CZ326" s="43" t="s">
        <v>717</v>
      </c>
      <c r="DA326" s="43" t="s">
        <v>366</v>
      </c>
      <c r="DB326" s="43" t="s">
        <v>423</v>
      </c>
      <c r="DC326" s="43" t="s">
        <v>365</v>
      </c>
      <c r="DD326" s="43" t="s">
        <v>365</v>
      </c>
      <c r="DE326" s="43"/>
      <c r="DF326" s="43"/>
      <c r="DG326" s="43"/>
      <c r="DH326" s="43"/>
      <c r="DI326" s="43"/>
      <c r="DJ326" s="43" t="s">
        <v>1690</v>
      </c>
      <c r="DK326" s="43" t="s">
        <v>344</v>
      </c>
      <c r="DL326" s="43" t="s">
        <v>368</v>
      </c>
      <c r="DM326" s="43" t="s">
        <v>368</v>
      </c>
      <c r="DN326" s="43" t="s">
        <v>368</v>
      </c>
      <c r="DO326" s="43" t="s">
        <v>368</v>
      </c>
      <c r="DP326" s="43" t="s">
        <v>345</v>
      </c>
      <c r="DQ326" s="43" t="s">
        <v>345</v>
      </c>
      <c r="DR326" s="43" t="s">
        <v>344</v>
      </c>
      <c r="DS326" s="43" t="s">
        <v>344</v>
      </c>
      <c r="DT326" s="43" t="s">
        <v>368</v>
      </c>
      <c r="DU326" s="43" t="s">
        <v>368</v>
      </c>
      <c r="DV326" s="43" t="s">
        <v>368</v>
      </c>
      <c r="DW326" s="43" t="s">
        <v>345</v>
      </c>
      <c r="DX326" s="43" t="s">
        <v>1258</v>
      </c>
      <c r="DY326" s="43" t="s">
        <v>1258</v>
      </c>
      <c r="DZ326" s="43" t="s">
        <v>397</v>
      </c>
      <c r="EA326" s="43" t="s">
        <v>1258</v>
      </c>
      <c r="EB326" s="43" t="s">
        <v>1258</v>
      </c>
      <c r="EC326" s="43" t="s">
        <v>1258</v>
      </c>
      <c r="ED326" s="43" t="s">
        <v>1258</v>
      </c>
      <c r="EE326" s="43" t="s">
        <v>397</v>
      </c>
      <c r="EF326" s="43" t="s">
        <v>1258</v>
      </c>
      <c r="EG326" s="43" t="s">
        <v>397</v>
      </c>
      <c r="EH326" s="43" t="s">
        <v>1258</v>
      </c>
      <c r="EI326" s="43" t="s">
        <v>1258</v>
      </c>
      <c r="EJ326" s="43" t="s">
        <v>1272</v>
      </c>
      <c r="EK326" s="43" t="s">
        <v>397</v>
      </c>
      <c r="EL326" s="43" t="s">
        <v>1276</v>
      </c>
      <c r="EM326" s="43" t="s">
        <v>1259</v>
      </c>
      <c r="EN326" s="43" t="s">
        <v>1260</v>
      </c>
      <c r="EO326" s="43"/>
      <c r="EP326" s="43"/>
      <c r="EQ326" s="43" t="s">
        <v>1263</v>
      </c>
      <c r="ER326" s="43" t="s">
        <v>1263</v>
      </c>
      <c r="ES326" s="43" t="s">
        <v>1263</v>
      </c>
      <c r="ET326" s="43" t="s">
        <v>1264</v>
      </c>
      <c r="EU326" s="43" t="s">
        <v>1264</v>
      </c>
      <c r="EV326" s="43" t="s">
        <v>1265</v>
      </c>
      <c r="EW326" s="43"/>
      <c r="EX326" s="43" t="s">
        <v>368</v>
      </c>
      <c r="EY326" s="43" t="s">
        <v>368</v>
      </c>
      <c r="EZ326" s="43" t="s">
        <v>368</v>
      </c>
      <c r="FA326" s="43" t="s">
        <v>345</v>
      </c>
      <c r="FB326" s="43" t="s">
        <v>1266</v>
      </c>
      <c r="FC326" s="43"/>
      <c r="FD326" s="43" t="s">
        <v>1266</v>
      </c>
      <c r="FE326" s="43"/>
      <c r="FF326" s="43" t="s">
        <v>1322</v>
      </c>
      <c r="FG326" s="43" t="s">
        <v>402</v>
      </c>
      <c r="FH326" s="43" t="s">
        <v>1301</v>
      </c>
      <c r="FI326" s="43" t="s">
        <v>1294</v>
      </c>
      <c r="FJ326" s="43"/>
      <c r="FK326" s="43"/>
      <c r="FL326" s="43"/>
      <c r="FM326" s="43"/>
      <c r="FN326" s="43"/>
      <c r="FO326" s="43"/>
      <c r="FP326" s="43"/>
      <c r="FQ326" s="43"/>
      <c r="FR326" s="43"/>
      <c r="FS326" s="43"/>
      <c r="FT326" s="43"/>
      <c r="FU326" s="43"/>
      <c r="FV326" s="43"/>
      <c r="FW326" s="43"/>
      <c r="FX326" s="43"/>
      <c r="FY326" s="43"/>
      <c r="FZ326" s="43"/>
      <c r="GA326" s="43" t="s">
        <v>368</v>
      </c>
      <c r="GB326" s="43" t="s">
        <v>368</v>
      </c>
      <c r="GC326" s="43" t="s">
        <v>368</v>
      </c>
      <c r="GD326" s="43" t="s">
        <v>368</v>
      </c>
      <c r="GE326" s="43" t="s">
        <v>368</v>
      </c>
      <c r="GF326" s="43" t="s">
        <v>368</v>
      </c>
      <c r="GG326" s="43"/>
      <c r="GH326" s="43"/>
      <c r="GI326" s="43"/>
      <c r="GJ326" s="43"/>
      <c r="GK326" s="43"/>
      <c r="GL326" s="43" t="s">
        <v>344</v>
      </c>
      <c r="GM326" s="43" t="s">
        <v>344</v>
      </c>
      <c r="GN326" s="43" t="s">
        <v>344</v>
      </c>
      <c r="GO326" s="43" t="s">
        <v>344</v>
      </c>
      <c r="GP326" s="43" t="s">
        <v>344</v>
      </c>
      <c r="GQ326" s="43" t="s">
        <v>344</v>
      </c>
      <c r="GR326" s="43" t="s">
        <v>344</v>
      </c>
      <c r="GS326" s="43" t="s">
        <v>344</v>
      </c>
      <c r="GT326" s="43" t="s">
        <v>344</v>
      </c>
      <c r="GU326" s="43" t="s">
        <v>344</v>
      </c>
      <c r="GV326" s="43" t="s">
        <v>345</v>
      </c>
      <c r="GW326" s="43" t="s">
        <v>345</v>
      </c>
      <c r="GX326" s="43" t="s">
        <v>344</v>
      </c>
      <c r="GY326" s="43" t="s">
        <v>344</v>
      </c>
      <c r="GZ326" s="43" t="s">
        <v>344</v>
      </c>
      <c r="HA326" s="43" t="s">
        <v>344</v>
      </c>
      <c r="HB326" s="43"/>
      <c r="HC326" s="43" t="s">
        <v>344</v>
      </c>
      <c r="HD326" s="43"/>
      <c r="HE326" s="43" t="s">
        <v>344</v>
      </c>
      <c r="HF326" s="43"/>
      <c r="HG326" s="43" t="s">
        <v>344</v>
      </c>
      <c r="HH326" s="43"/>
      <c r="HI326" s="43" t="s">
        <v>344</v>
      </c>
      <c r="HJ326" s="43"/>
      <c r="HK326" s="43" t="s">
        <v>344</v>
      </c>
      <c r="HL326" s="43" t="s">
        <v>344</v>
      </c>
      <c r="HM326" s="43" t="s">
        <v>344</v>
      </c>
      <c r="HN326" s="43" t="s">
        <v>345</v>
      </c>
      <c r="HO326" s="43" t="s">
        <v>344</v>
      </c>
      <c r="HP326" s="43" t="s">
        <v>344</v>
      </c>
      <c r="HQ326" s="43" t="s">
        <v>344</v>
      </c>
      <c r="HR326" s="43" t="s">
        <v>344</v>
      </c>
      <c r="HS326" s="43" t="s">
        <v>344</v>
      </c>
      <c r="HT326" s="43" t="s">
        <v>344</v>
      </c>
      <c r="HU326" s="43" t="s">
        <v>345</v>
      </c>
      <c r="HV326" s="43" t="s">
        <v>344</v>
      </c>
      <c r="HW326" s="43" t="s">
        <v>345</v>
      </c>
      <c r="HX326" s="43" t="s">
        <v>344</v>
      </c>
      <c r="HY326" s="43" t="s">
        <v>344</v>
      </c>
      <c r="HZ326" s="43" t="s">
        <v>344</v>
      </c>
      <c r="IA326" s="43" t="s">
        <v>344</v>
      </c>
      <c r="IB326" s="43" t="s">
        <v>344</v>
      </c>
      <c r="IC326" s="43" t="s">
        <v>344</v>
      </c>
      <c r="ID326" s="43"/>
      <c r="IE326" s="43" t="s">
        <v>344</v>
      </c>
      <c r="IF326" s="43"/>
      <c r="IG326" s="43" t="s">
        <v>344</v>
      </c>
      <c r="IH326" s="43"/>
      <c r="II326" s="43" t="s">
        <v>344</v>
      </c>
      <c r="IJ326" s="43"/>
      <c r="IK326" s="43" t="s">
        <v>344</v>
      </c>
      <c r="IL326" s="43"/>
      <c r="IM326" s="43" t="s">
        <v>344</v>
      </c>
      <c r="IN326" s="43" t="s">
        <v>344</v>
      </c>
      <c r="IO326" s="43" t="s">
        <v>344</v>
      </c>
      <c r="IP326" s="43" t="s">
        <v>344</v>
      </c>
      <c r="IQ326" s="43" t="s">
        <v>345</v>
      </c>
      <c r="IR326" s="43" t="s">
        <v>344</v>
      </c>
      <c r="IS326" s="43" t="s">
        <v>344</v>
      </c>
      <c r="IT326" s="43" t="s">
        <v>345</v>
      </c>
      <c r="IU326" s="43" t="s">
        <v>344</v>
      </c>
      <c r="IV326" s="43" t="s">
        <v>344</v>
      </c>
      <c r="IW326" s="43" t="s">
        <v>344</v>
      </c>
      <c r="IX326" s="43" t="s">
        <v>344</v>
      </c>
      <c r="IY326" s="43" t="s">
        <v>344</v>
      </c>
      <c r="IZ326" s="43" t="s">
        <v>344</v>
      </c>
      <c r="JA326" s="43"/>
      <c r="JB326" s="43"/>
    </row>
    <row r="327" spans="1:262" x14ac:dyDescent="0.3">
      <c r="A327" s="42" t="s">
        <v>813</v>
      </c>
      <c r="B327" s="43">
        <v>307</v>
      </c>
      <c r="C327" s="43" t="s">
        <v>1691</v>
      </c>
      <c r="D327" s="43">
        <v>14</v>
      </c>
      <c r="E327" s="43" t="s">
        <v>387</v>
      </c>
      <c r="F327" s="43">
        <v>1278721084</v>
      </c>
      <c r="G327" s="43" t="s">
        <v>1692</v>
      </c>
      <c r="H327" s="43" t="s">
        <v>1691</v>
      </c>
      <c r="I327" s="43" t="s">
        <v>1667</v>
      </c>
      <c r="J327" s="43">
        <v>17</v>
      </c>
      <c r="K327" s="43" t="s">
        <v>1255</v>
      </c>
      <c r="L327" s="43"/>
      <c r="M327" s="43" t="s">
        <v>345</v>
      </c>
      <c r="N327" s="43" t="s">
        <v>344</v>
      </c>
      <c r="O327" s="43" t="s">
        <v>344</v>
      </c>
      <c r="P327" s="43" t="s">
        <v>344</v>
      </c>
      <c r="Q327" s="43" t="s">
        <v>344</v>
      </c>
      <c r="R327" s="43"/>
      <c r="S327" s="43" t="s">
        <v>522</v>
      </c>
      <c r="T327" s="43"/>
      <c r="U327" s="43" t="s">
        <v>1270</v>
      </c>
      <c r="V327" s="43"/>
      <c r="W327" s="43" t="s">
        <v>368</v>
      </c>
      <c r="X327" s="43" t="s">
        <v>368</v>
      </c>
      <c r="Y327" s="43" t="s">
        <v>368</v>
      </c>
      <c r="Z327" s="43" t="s">
        <v>368</v>
      </c>
      <c r="AA327" s="43" t="s">
        <v>368</v>
      </c>
      <c r="AB327" s="43" t="s">
        <v>368</v>
      </c>
      <c r="AC327" s="43" t="s">
        <v>345</v>
      </c>
      <c r="AD327" s="43" t="s">
        <v>368</v>
      </c>
      <c r="AE327" s="43" t="s">
        <v>368</v>
      </c>
      <c r="AF327" s="43" t="s">
        <v>368</v>
      </c>
      <c r="AG327" s="43" t="s">
        <v>368</v>
      </c>
      <c r="AH327" s="43" t="s">
        <v>368</v>
      </c>
      <c r="AI327" s="43" t="s">
        <v>368</v>
      </c>
      <c r="AJ327" s="43" t="s">
        <v>345</v>
      </c>
      <c r="AK327" s="43" t="s">
        <v>368</v>
      </c>
      <c r="AL327" s="43" t="s">
        <v>368</v>
      </c>
      <c r="AM327" s="43" t="s">
        <v>368</v>
      </c>
      <c r="AN327" s="43" t="s">
        <v>368</v>
      </c>
      <c r="AO327" s="43" t="s">
        <v>368</v>
      </c>
      <c r="AP327" s="43" t="s">
        <v>368</v>
      </c>
      <c r="AQ327" s="43" t="s">
        <v>345</v>
      </c>
      <c r="AR327" s="43" t="s">
        <v>368</v>
      </c>
      <c r="AS327" s="43" t="s">
        <v>368</v>
      </c>
      <c r="AT327" s="43" t="s">
        <v>368</v>
      </c>
      <c r="AU327" s="43" t="s">
        <v>368</v>
      </c>
      <c r="AV327" s="43" t="s">
        <v>368</v>
      </c>
      <c r="AW327" s="43" t="s">
        <v>368</v>
      </c>
      <c r="AX327" s="43" t="s">
        <v>345</v>
      </c>
      <c r="AY327" s="34"/>
      <c r="AZ327" s="34"/>
      <c r="BA327" s="34"/>
      <c r="BB327" s="34"/>
      <c r="BC327" s="34"/>
      <c r="BD327" s="34"/>
      <c r="BE327" s="43" t="s">
        <v>349</v>
      </c>
      <c r="BF327" s="43" t="s">
        <v>349</v>
      </c>
      <c r="BG327" s="43" t="s">
        <v>390</v>
      </c>
      <c r="BH327" s="43" t="s">
        <v>349</v>
      </c>
      <c r="BI327" s="43" t="s">
        <v>350</v>
      </c>
      <c r="BJ327" s="43" t="s">
        <v>391</v>
      </c>
      <c r="BK327" s="43" t="s">
        <v>391</v>
      </c>
      <c r="BL327" s="43" t="s">
        <v>391</v>
      </c>
      <c r="BM327" s="43" t="s">
        <v>391</v>
      </c>
      <c r="BN327" s="43" t="s">
        <v>391</v>
      </c>
      <c r="BO327" s="43" t="s">
        <v>391</v>
      </c>
      <c r="BP327" s="43" t="s">
        <v>391</v>
      </c>
      <c r="BQ327" s="43" t="s">
        <v>455</v>
      </c>
      <c r="BR327" s="43" t="s">
        <v>1296</v>
      </c>
      <c r="BS327" s="43" t="s">
        <v>391</v>
      </c>
      <c r="BT327" s="43" t="s">
        <v>391</v>
      </c>
      <c r="BU327" s="43" t="s">
        <v>391</v>
      </c>
      <c r="BV327" s="43" t="s">
        <v>391</v>
      </c>
      <c r="BW327" s="43" t="s">
        <v>391</v>
      </c>
      <c r="BX327" s="43" t="s">
        <v>391</v>
      </c>
      <c r="BY327" s="43" t="s">
        <v>391</v>
      </c>
      <c r="BZ327" s="43" t="s">
        <v>391</v>
      </c>
      <c r="CA327" s="43" t="s">
        <v>391</v>
      </c>
      <c r="CB327" s="43" t="s">
        <v>391</v>
      </c>
      <c r="CC327" s="43" t="s">
        <v>391</v>
      </c>
      <c r="CD327" s="43" t="s">
        <v>391</v>
      </c>
      <c r="CE327" s="43" t="s">
        <v>391</v>
      </c>
      <c r="CF327" s="43" t="s">
        <v>391</v>
      </c>
      <c r="CG327" s="43" t="s">
        <v>393</v>
      </c>
      <c r="CH327" s="43" t="s">
        <v>421</v>
      </c>
      <c r="CI327" s="43" t="s">
        <v>421</v>
      </c>
      <c r="CJ327" s="43" t="s">
        <v>393</v>
      </c>
      <c r="CK327" s="43" t="s">
        <v>717</v>
      </c>
      <c r="CL327" s="43" t="s">
        <v>345</v>
      </c>
      <c r="CM327" s="43" t="s">
        <v>344</v>
      </c>
      <c r="CN327" s="43" t="s">
        <v>345</v>
      </c>
      <c r="CO327" s="43" t="s">
        <v>344</v>
      </c>
      <c r="CP327" s="43" t="s">
        <v>345</v>
      </c>
      <c r="CQ327" s="43" t="s">
        <v>344</v>
      </c>
      <c r="CR327" s="43" t="s">
        <v>667</v>
      </c>
      <c r="CS327" s="43">
        <v>69</v>
      </c>
      <c r="CT327" s="43">
        <v>37</v>
      </c>
      <c r="CU327" s="43"/>
      <c r="CV327" s="43"/>
      <c r="CW327" s="43" t="s">
        <v>364</v>
      </c>
      <c r="CX327" s="43" t="s">
        <v>363</v>
      </c>
      <c r="CY327" s="43" t="s">
        <v>395</v>
      </c>
      <c r="CZ327" s="43" t="s">
        <v>397</v>
      </c>
      <c r="DA327" s="43" t="s">
        <v>397</v>
      </c>
      <c r="DB327" s="43" t="s">
        <v>397</v>
      </c>
      <c r="DC327" s="43" t="s">
        <v>397</v>
      </c>
      <c r="DD327" s="43" t="s">
        <v>397</v>
      </c>
      <c r="DE327" s="43"/>
      <c r="DF327" s="43"/>
      <c r="DG327" s="43"/>
      <c r="DH327" s="43"/>
      <c r="DI327" s="43"/>
      <c r="DJ327" s="43"/>
      <c r="DK327" s="43" t="s">
        <v>344</v>
      </c>
      <c r="DL327" s="43" t="s">
        <v>368</v>
      </c>
      <c r="DM327" s="43" t="s">
        <v>368</v>
      </c>
      <c r="DN327" s="43" t="s">
        <v>368</v>
      </c>
      <c r="DO327" s="43" t="s">
        <v>368</v>
      </c>
      <c r="DP327" s="43" t="s">
        <v>368</v>
      </c>
      <c r="DQ327" s="43" t="s">
        <v>368</v>
      </c>
      <c r="DR327" s="43" t="s">
        <v>368</v>
      </c>
      <c r="DS327" s="43" t="s">
        <v>345</v>
      </c>
      <c r="DT327" s="43" t="s">
        <v>345</v>
      </c>
      <c r="DU327" s="43" t="s">
        <v>345</v>
      </c>
      <c r="DV327" s="43" t="s">
        <v>345</v>
      </c>
      <c r="DW327" s="43" t="s">
        <v>344</v>
      </c>
      <c r="DX327" s="43" t="s">
        <v>1258</v>
      </c>
      <c r="DY327" s="43" t="s">
        <v>1258</v>
      </c>
      <c r="DZ327" s="43" t="s">
        <v>397</v>
      </c>
      <c r="EA327" s="43" t="s">
        <v>1258</v>
      </c>
      <c r="EB327" s="43" t="s">
        <v>1273</v>
      </c>
      <c r="EC327" s="43" t="s">
        <v>397</v>
      </c>
      <c r="ED327" s="43" t="s">
        <v>1273</v>
      </c>
      <c r="EE327" s="43" t="s">
        <v>397</v>
      </c>
      <c r="EF327" s="43" t="s">
        <v>1273</v>
      </c>
      <c r="EG327" s="43" t="s">
        <v>397</v>
      </c>
      <c r="EH327" s="43" t="s">
        <v>1273</v>
      </c>
      <c r="EI327" s="43" t="s">
        <v>397</v>
      </c>
      <c r="EJ327" s="43" t="s">
        <v>397</v>
      </c>
      <c r="EK327" s="43" t="s">
        <v>1273</v>
      </c>
      <c r="EL327" s="43" t="s">
        <v>1260</v>
      </c>
      <c r="EM327" s="43" t="s">
        <v>1276</v>
      </c>
      <c r="EN327" s="43" t="s">
        <v>1275</v>
      </c>
      <c r="EO327" s="43"/>
      <c r="EP327" s="43"/>
      <c r="EQ327" s="43" t="s">
        <v>1264</v>
      </c>
      <c r="ER327" s="43" t="s">
        <v>1264</v>
      </c>
      <c r="ES327" s="43" t="s">
        <v>1264</v>
      </c>
      <c r="ET327" s="43" t="s">
        <v>717</v>
      </c>
      <c r="EU327" s="43" t="s">
        <v>717</v>
      </c>
      <c r="EV327" s="43" t="s">
        <v>1265</v>
      </c>
      <c r="EW327" s="43"/>
      <c r="EX327" s="43" t="s">
        <v>368</v>
      </c>
      <c r="EY327" s="43" t="s">
        <v>368</v>
      </c>
      <c r="EZ327" s="43" t="s">
        <v>368</v>
      </c>
      <c r="FA327" s="43" t="s">
        <v>345</v>
      </c>
      <c r="FB327" s="43" t="s">
        <v>1266</v>
      </c>
      <c r="FC327" s="43"/>
      <c r="FD327" s="43" t="s">
        <v>1266</v>
      </c>
      <c r="FE327" s="43"/>
      <c r="FF327" s="43" t="s">
        <v>382</v>
      </c>
      <c r="FG327" s="43" t="s">
        <v>402</v>
      </c>
      <c r="FH327" s="43" t="s">
        <v>1293</v>
      </c>
      <c r="FI327" s="43" t="s">
        <v>1294</v>
      </c>
      <c r="FJ327" s="43"/>
      <c r="FK327" s="43"/>
      <c r="FL327" s="43"/>
      <c r="FM327" s="43"/>
      <c r="FN327" s="43"/>
      <c r="FO327" s="43"/>
      <c r="FP327" s="43"/>
      <c r="FQ327" s="43"/>
      <c r="FR327" s="43"/>
      <c r="FS327" s="43"/>
      <c r="FT327" s="43"/>
      <c r="FU327" s="43"/>
      <c r="FV327" s="43"/>
      <c r="FW327" s="43"/>
      <c r="FX327" s="43"/>
      <c r="FY327" s="43"/>
      <c r="FZ327" s="43"/>
      <c r="GA327" s="43" t="s">
        <v>368</v>
      </c>
      <c r="GB327" s="43" t="s">
        <v>368</v>
      </c>
      <c r="GC327" s="43" t="s">
        <v>368</v>
      </c>
      <c r="GD327" s="43" t="s">
        <v>368</v>
      </c>
      <c r="GE327" s="43" t="s">
        <v>368</v>
      </c>
      <c r="GF327" s="43" t="s">
        <v>368</v>
      </c>
      <c r="GG327" s="43"/>
      <c r="GH327" s="43"/>
      <c r="GI327" s="43"/>
      <c r="GJ327" s="43"/>
      <c r="GK327" s="43"/>
      <c r="GL327" s="43" t="s">
        <v>344</v>
      </c>
      <c r="GM327" s="43" t="s">
        <v>344</v>
      </c>
      <c r="GN327" s="43" t="s">
        <v>345</v>
      </c>
      <c r="GO327" s="43" t="s">
        <v>345</v>
      </c>
      <c r="GP327" s="43" t="s">
        <v>344</v>
      </c>
      <c r="GQ327" s="43" t="s">
        <v>344</v>
      </c>
      <c r="GR327" s="43" t="s">
        <v>344</v>
      </c>
      <c r="GS327" s="43" t="s">
        <v>344</v>
      </c>
      <c r="GT327" s="43" t="s">
        <v>345</v>
      </c>
      <c r="GU327" s="43" t="s">
        <v>344</v>
      </c>
      <c r="GV327" s="43" t="s">
        <v>345</v>
      </c>
      <c r="GW327" s="43" t="s">
        <v>345</v>
      </c>
      <c r="GX327" s="43" t="s">
        <v>344</v>
      </c>
      <c r="GY327" s="43" t="s">
        <v>344</v>
      </c>
      <c r="GZ327" s="43" t="s">
        <v>344</v>
      </c>
      <c r="HA327" s="43" t="s">
        <v>344</v>
      </c>
      <c r="HB327" s="43"/>
      <c r="HC327" s="43" t="s">
        <v>344</v>
      </c>
      <c r="HD327" s="43"/>
      <c r="HE327" s="43" t="s">
        <v>344</v>
      </c>
      <c r="HF327" s="43"/>
      <c r="HG327" s="43" t="s">
        <v>344</v>
      </c>
      <c r="HH327" s="43"/>
      <c r="HI327" s="43" t="s">
        <v>344</v>
      </c>
      <c r="HJ327" s="43"/>
      <c r="HK327" s="43" t="s">
        <v>344</v>
      </c>
      <c r="HL327" s="43" t="s">
        <v>344</v>
      </c>
      <c r="HM327" s="43" t="s">
        <v>344</v>
      </c>
      <c r="HN327" s="43" t="s">
        <v>345</v>
      </c>
      <c r="HO327" s="43" t="s">
        <v>344</v>
      </c>
      <c r="HP327" s="43" t="s">
        <v>344</v>
      </c>
      <c r="HQ327" s="43" t="s">
        <v>344</v>
      </c>
      <c r="HR327" s="43" t="s">
        <v>344</v>
      </c>
      <c r="HS327" s="43" t="s">
        <v>344</v>
      </c>
      <c r="HT327" s="43" t="s">
        <v>344</v>
      </c>
      <c r="HU327" s="43" t="s">
        <v>344</v>
      </c>
      <c r="HV327" s="43" t="s">
        <v>344</v>
      </c>
      <c r="HW327" s="43" t="s">
        <v>344</v>
      </c>
      <c r="HX327" s="43" t="s">
        <v>344</v>
      </c>
      <c r="HY327" s="43" t="s">
        <v>344</v>
      </c>
      <c r="HZ327" s="43" t="s">
        <v>344</v>
      </c>
      <c r="IA327" s="43" t="s">
        <v>344</v>
      </c>
      <c r="IB327" s="43" t="s">
        <v>344</v>
      </c>
      <c r="IC327" s="43" t="s">
        <v>344</v>
      </c>
      <c r="ID327" s="43"/>
      <c r="IE327" s="43" t="s">
        <v>344</v>
      </c>
      <c r="IF327" s="43"/>
      <c r="IG327" s="43" t="s">
        <v>344</v>
      </c>
      <c r="IH327" s="43"/>
      <c r="II327" s="43" t="s">
        <v>344</v>
      </c>
      <c r="IJ327" s="43"/>
      <c r="IK327" s="43" t="s">
        <v>344</v>
      </c>
      <c r="IL327" s="43"/>
      <c r="IM327" s="43" t="s">
        <v>344</v>
      </c>
      <c r="IN327" s="43" t="s">
        <v>345</v>
      </c>
      <c r="IO327" s="43" t="s">
        <v>344</v>
      </c>
      <c r="IP327" s="43" t="s">
        <v>344</v>
      </c>
      <c r="IQ327" s="43" t="s">
        <v>345</v>
      </c>
      <c r="IR327" s="43" t="s">
        <v>344</v>
      </c>
      <c r="IS327" s="43" t="s">
        <v>344</v>
      </c>
      <c r="IT327" s="43" t="s">
        <v>345</v>
      </c>
      <c r="IU327" s="43" t="s">
        <v>344</v>
      </c>
      <c r="IV327" s="43" t="s">
        <v>344</v>
      </c>
      <c r="IW327" s="43" t="s">
        <v>344</v>
      </c>
      <c r="IX327" s="43" t="s">
        <v>344</v>
      </c>
      <c r="IY327" s="43" t="s">
        <v>344</v>
      </c>
      <c r="IZ327" s="43" t="s">
        <v>344</v>
      </c>
      <c r="JA327" s="43"/>
      <c r="JB327" s="43" t="s">
        <v>1693</v>
      </c>
    </row>
    <row r="328" spans="1:262" x14ac:dyDescent="0.3">
      <c r="A328" s="42" t="s">
        <v>813</v>
      </c>
      <c r="B328" s="43">
        <v>309</v>
      </c>
      <c r="C328" s="43" t="s">
        <v>1694</v>
      </c>
      <c r="D328" s="43">
        <v>14</v>
      </c>
      <c r="E328" s="43" t="s">
        <v>387</v>
      </c>
      <c r="F328" s="43">
        <v>914533476</v>
      </c>
      <c r="G328" s="43" t="s">
        <v>1695</v>
      </c>
      <c r="H328" s="43" t="s">
        <v>1694</v>
      </c>
      <c r="I328" s="43" t="s">
        <v>1667</v>
      </c>
      <c r="J328" s="43">
        <v>17</v>
      </c>
      <c r="K328" s="43" t="s">
        <v>1255</v>
      </c>
      <c r="L328" s="43"/>
      <c r="M328" s="43" t="s">
        <v>344</v>
      </c>
      <c r="N328" s="43" t="s">
        <v>345</v>
      </c>
      <c r="O328" s="43" t="s">
        <v>344</v>
      </c>
      <c r="P328" s="43" t="s">
        <v>344</v>
      </c>
      <c r="Q328" s="43" t="s">
        <v>344</v>
      </c>
      <c r="R328" s="43"/>
      <c r="S328" s="43" t="s">
        <v>522</v>
      </c>
      <c r="T328" s="43"/>
      <c r="U328" s="43" t="s">
        <v>1461</v>
      </c>
      <c r="V328" s="43"/>
      <c r="W328" s="43" t="s">
        <v>345</v>
      </c>
      <c r="X328" s="43" t="s">
        <v>345</v>
      </c>
      <c r="Y328" s="43" t="s">
        <v>345</v>
      </c>
      <c r="Z328" s="43" t="s">
        <v>345</v>
      </c>
      <c r="AA328" s="43" t="s">
        <v>344</v>
      </c>
      <c r="AB328" s="43" t="s">
        <v>344</v>
      </c>
      <c r="AC328" s="43" t="s">
        <v>344</v>
      </c>
      <c r="AD328" s="43" t="s">
        <v>345</v>
      </c>
      <c r="AE328" s="43" t="s">
        <v>345</v>
      </c>
      <c r="AF328" s="43" t="s">
        <v>344</v>
      </c>
      <c r="AG328" s="43" t="s">
        <v>344</v>
      </c>
      <c r="AH328" s="43" t="s">
        <v>344</v>
      </c>
      <c r="AI328" s="43" t="s">
        <v>345</v>
      </c>
      <c r="AJ328" s="43" t="s">
        <v>344</v>
      </c>
      <c r="AK328" s="43" t="s">
        <v>345</v>
      </c>
      <c r="AL328" s="43" t="s">
        <v>344</v>
      </c>
      <c r="AM328" s="43" t="s">
        <v>344</v>
      </c>
      <c r="AN328" s="43" t="s">
        <v>345</v>
      </c>
      <c r="AO328" s="43" t="s">
        <v>344</v>
      </c>
      <c r="AP328" s="43" t="s">
        <v>344</v>
      </c>
      <c r="AQ328" s="43" t="s">
        <v>344</v>
      </c>
      <c r="AR328" s="43" t="s">
        <v>345</v>
      </c>
      <c r="AS328" s="43" t="s">
        <v>345</v>
      </c>
      <c r="AT328" s="43" t="s">
        <v>345</v>
      </c>
      <c r="AU328" s="43" t="s">
        <v>345</v>
      </c>
      <c r="AV328" s="43" t="s">
        <v>345</v>
      </c>
      <c r="AW328" s="43" t="s">
        <v>345</v>
      </c>
      <c r="AX328" s="43" t="s">
        <v>344</v>
      </c>
      <c r="AY328" s="43" t="s">
        <v>731</v>
      </c>
      <c r="AZ328" s="43" t="s">
        <v>733</v>
      </c>
      <c r="BA328" s="43" t="s">
        <v>732</v>
      </c>
      <c r="BB328" s="43" t="s">
        <v>733</v>
      </c>
      <c r="BC328" s="43" t="s">
        <v>731</v>
      </c>
      <c r="BD328" s="43" t="s">
        <v>733</v>
      </c>
      <c r="BE328" s="43" t="s">
        <v>348</v>
      </c>
      <c r="BF328" s="43" t="s">
        <v>349</v>
      </c>
      <c r="BG328" s="43" t="s">
        <v>390</v>
      </c>
      <c r="BH328" s="43" t="s">
        <v>390</v>
      </c>
      <c r="BI328" s="43" t="s">
        <v>348</v>
      </c>
      <c r="BJ328" s="43" t="s">
        <v>391</v>
      </c>
      <c r="BK328" s="43" t="s">
        <v>391</v>
      </c>
      <c r="BL328" s="43" t="s">
        <v>391</v>
      </c>
      <c r="BM328" s="43" t="s">
        <v>391</v>
      </c>
      <c r="BN328" s="43" t="s">
        <v>391</v>
      </c>
      <c r="BO328" s="43" t="s">
        <v>391</v>
      </c>
      <c r="BP328" s="43" t="s">
        <v>391</v>
      </c>
      <c r="BQ328" s="43" t="s">
        <v>407</v>
      </c>
      <c r="BR328" s="43" t="s">
        <v>1296</v>
      </c>
      <c r="BS328" s="43" t="s">
        <v>391</v>
      </c>
      <c r="BT328" s="43" t="s">
        <v>391</v>
      </c>
      <c r="BU328" s="43" t="s">
        <v>391</v>
      </c>
      <c r="BV328" s="43" t="s">
        <v>391</v>
      </c>
      <c r="BW328" s="43" t="s">
        <v>391</v>
      </c>
      <c r="BX328" s="43" t="s">
        <v>391</v>
      </c>
      <c r="BY328" s="43" t="s">
        <v>391</v>
      </c>
      <c r="BZ328" s="43" t="s">
        <v>391</v>
      </c>
      <c r="CA328" s="43" t="s">
        <v>391</v>
      </c>
      <c r="CB328" s="43" t="s">
        <v>391</v>
      </c>
      <c r="CC328" s="43" t="s">
        <v>391</v>
      </c>
      <c r="CD328" s="43" t="s">
        <v>391</v>
      </c>
      <c r="CE328" s="43" t="s">
        <v>391</v>
      </c>
      <c r="CF328" s="43" t="s">
        <v>391</v>
      </c>
      <c r="CG328" s="43" t="s">
        <v>393</v>
      </c>
      <c r="CH328" s="43" t="s">
        <v>421</v>
      </c>
      <c r="CI328" s="43" t="s">
        <v>421</v>
      </c>
      <c r="CJ328" s="43" t="s">
        <v>421</v>
      </c>
      <c r="CK328" s="43" t="s">
        <v>391</v>
      </c>
      <c r="CL328" s="43" t="s">
        <v>344</v>
      </c>
      <c r="CM328" s="43" t="s">
        <v>344</v>
      </c>
      <c r="CN328" s="43" t="s">
        <v>344</v>
      </c>
      <c r="CO328" s="43" t="s">
        <v>344</v>
      </c>
      <c r="CP328" s="43" t="s">
        <v>345</v>
      </c>
      <c r="CQ328" s="43" t="s">
        <v>344</v>
      </c>
      <c r="CR328" s="43" t="s">
        <v>1696</v>
      </c>
      <c r="CS328" s="43">
        <v>80</v>
      </c>
      <c r="CT328" s="43">
        <v>15</v>
      </c>
      <c r="CU328" s="43">
        <v>85</v>
      </c>
      <c r="CV328" s="43">
        <v>25</v>
      </c>
      <c r="CW328" s="43" t="s">
        <v>363</v>
      </c>
      <c r="CX328" s="43" t="s">
        <v>396</v>
      </c>
      <c r="CY328" s="43" t="s">
        <v>396</v>
      </c>
      <c r="CZ328" s="43" t="s">
        <v>397</v>
      </c>
      <c r="DA328" s="43" t="s">
        <v>397</v>
      </c>
      <c r="DB328" s="43" t="s">
        <v>397</v>
      </c>
      <c r="DC328" s="43" t="s">
        <v>397</v>
      </c>
      <c r="DD328" s="43" t="s">
        <v>397</v>
      </c>
      <c r="DE328" s="43" t="s">
        <v>366</v>
      </c>
      <c r="DF328" s="43" t="s">
        <v>366</v>
      </c>
      <c r="DG328" s="43" t="s">
        <v>397</v>
      </c>
      <c r="DH328" s="43" t="s">
        <v>397</v>
      </c>
      <c r="DI328" s="43" t="s">
        <v>397</v>
      </c>
      <c r="DJ328" s="43" t="s">
        <v>1697</v>
      </c>
      <c r="DK328" s="43" t="s">
        <v>344</v>
      </c>
      <c r="DL328" s="43" t="s">
        <v>368</v>
      </c>
      <c r="DM328" s="43" t="s">
        <v>368</v>
      </c>
      <c r="DN328" s="43" t="s">
        <v>368</v>
      </c>
      <c r="DO328" s="43" t="s">
        <v>368</v>
      </c>
      <c r="DP328" s="43" t="s">
        <v>345</v>
      </c>
      <c r="DQ328" s="43" t="s">
        <v>345</v>
      </c>
      <c r="DR328" s="43" t="s">
        <v>345</v>
      </c>
      <c r="DS328" s="43" t="s">
        <v>344</v>
      </c>
      <c r="DT328" s="43" t="s">
        <v>345</v>
      </c>
      <c r="DU328" s="43" t="s">
        <v>345</v>
      </c>
      <c r="DV328" s="43" t="s">
        <v>345</v>
      </c>
      <c r="DW328" s="43" t="s">
        <v>344</v>
      </c>
      <c r="DX328" s="43" t="s">
        <v>397</v>
      </c>
      <c r="DY328" s="43" t="s">
        <v>1258</v>
      </c>
      <c r="DZ328" s="43" t="s">
        <v>397</v>
      </c>
      <c r="EA328" s="43" t="s">
        <v>1273</v>
      </c>
      <c r="EB328" s="43" t="s">
        <v>397</v>
      </c>
      <c r="EC328" s="43" t="s">
        <v>1274</v>
      </c>
      <c r="ED328" s="43" t="s">
        <v>397</v>
      </c>
      <c r="EE328" s="43" t="s">
        <v>1258</v>
      </c>
      <c r="EF328" s="43" t="s">
        <v>1258</v>
      </c>
      <c r="EG328" s="43" t="s">
        <v>397</v>
      </c>
      <c r="EH328" s="43" t="s">
        <v>1258</v>
      </c>
      <c r="EI328" s="43" t="s">
        <v>1258</v>
      </c>
      <c r="EJ328" s="43" t="s">
        <v>1258</v>
      </c>
      <c r="EK328" s="43" t="s">
        <v>1258</v>
      </c>
      <c r="EL328" s="43" t="s">
        <v>1276</v>
      </c>
      <c r="EM328" s="43" t="s">
        <v>1260</v>
      </c>
      <c r="EN328" s="43" t="s">
        <v>1259</v>
      </c>
      <c r="EO328" s="43"/>
      <c r="EP328" s="43"/>
      <c r="EQ328" s="43" t="s">
        <v>1264</v>
      </c>
      <c r="ER328" s="43" t="s">
        <v>1277</v>
      </c>
      <c r="ES328" s="43" t="s">
        <v>1262</v>
      </c>
      <c r="ET328" s="43" t="s">
        <v>1277</v>
      </c>
      <c r="EU328" s="43" t="s">
        <v>1277</v>
      </c>
      <c r="EV328" s="43" t="s">
        <v>1265</v>
      </c>
      <c r="EW328" s="43"/>
      <c r="EX328" s="43" t="s">
        <v>368</v>
      </c>
      <c r="EY328" s="43" t="s">
        <v>368</v>
      </c>
      <c r="EZ328" s="43" t="s">
        <v>368</v>
      </c>
      <c r="FA328" s="43" t="s">
        <v>345</v>
      </c>
      <c r="FB328" s="43" t="s">
        <v>1321</v>
      </c>
      <c r="FC328" s="43"/>
      <c r="FD328" s="43" t="s">
        <v>1266</v>
      </c>
      <c r="FE328" s="43"/>
      <c r="FF328" s="43" t="s">
        <v>1322</v>
      </c>
      <c r="FG328" s="43" t="s">
        <v>1323</v>
      </c>
      <c r="FH328" s="43" t="s">
        <v>1301</v>
      </c>
      <c r="FI328" s="43" t="s">
        <v>385</v>
      </c>
      <c r="FJ328" s="43"/>
      <c r="FK328" s="43"/>
      <c r="FL328" s="43"/>
      <c r="FM328" s="43"/>
      <c r="FN328" s="43"/>
      <c r="FO328" s="43"/>
      <c r="FP328" s="43"/>
      <c r="FQ328" s="43"/>
      <c r="FR328" s="43"/>
      <c r="FS328" s="43"/>
      <c r="FT328" s="43"/>
      <c r="FU328" s="43"/>
      <c r="FV328" s="43"/>
      <c r="FW328" s="43"/>
      <c r="FX328" s="43"/>
      <c r="FY328" s="43"/>
      <c r="FZ328" s="43"/>
      <c r="GA328" s="43" t="s">
        <v>368</v>
      </c>
      <c r="GB328" s="43" t="s">
        <v>368</v>
      </c>
      <c r="GC328" s="43" t="s">
        <v>368</v>
      </c>
      <c r="GD328" s="43" t="s">
        <v>368</v>
      </c>
      <c r="GE328" s="43" t="s">
        <v>368</v>
      </c>
      <c r="GF328" s="43" t="s">
        <v>368</v>
      </c>
      <c r="GG328" s="43"/>
      <c r="GH328" s="43"/>
      <c r="GI328" s="43"/>
      <c r="GJ328" s="43"/>
      <c r="GK328" s="43"/>
      <c r="GL328" s="43" t="s">
        <v>344</v>
      </c>
      <c r="GM328" s="43" t="s">
        <v>344</v>
      </c>
      <c r="GN328" s="43" t="s">
        <v>344</v>
      </c>
      <c r="GO328" s="43" t="s">
        <v>344</v>
      </c>
      <c r="GP328" s="43" t="s">
        <v>344</v>
      </c>
      <c r="GQ328" s="43" t="s">
        <v>344</v>
      </c>
      <c r="GR328" s="43" t="s">
        <v>344</v>
      </c>
      <c r="GS328" s="43" t="s">
        <v>344</v>
      </c>
      <c r="GT328" s="43" t="s">
        <v>344</v>
      </c>
      <c r="GU328" s="43" t="s">
        <v>344</v>
      </c>
      <c r="GV328" s="43" t="s">
        <v>344</v>
      </c>
      <c r="GW328" s="43" t="s">
        <v>344</v>
      </c>
      <c r="GX328" s="43" t="s">
        <v>344</v>
      </c>
      <c r="GY328" s="43" t="s">
        <v>344</v>
      </c>
      <c r="GZ328" s="43" t="s">
        <v>344</v>
      </c>
      <c r="HA328" s="43" t="s">
        <v>345</v>
      </c>
      <c r="HB328" s="43"/>
      <c r="HC328" s="43" t="s">
        <v>344</v>
      </c>
      <c r="HD328" s="43"/>
      <c r="HE328" s="43" t="s">
        <v>344</v>
      </c>
      <c r="HF328" s="43"/>
      <c r="HG328" s="43" t="s">
        <v>344</v>
      </c>
      <c r="HH328" s="43"/>
      <c r="HI328" s="43" t="s">
        <v>344</v>
      </c>
      <c r="HJ328" s="43"/>
      <c r="HK328" s="43" t="s">
        <v>344</v>
      </c>
      <c r="HL328" s="43" t="s">
        <v>344</v>
      </c>
      <c r="HM328" s="43" t="s">
        <v>344</v>
      </c>
      <c r="HN328" s="43" t="s">
        <v>344</v>
      </c>
      <c r="HO328" s="43" t="s">
        <v>344</v>
      </c>
      <c r="HP328" s="43" t="s">
        <v>344</v>
      </c>
      <c r="HQ328" s="43" t="s">
        <v>344</v>
      </c>
      <c r="HR328" s="43" t="s">
        <v>344</v>
      </c>
      <c r="HS328" s="43" t="s">
        <v>344</v>
      </c>
      <c r="HT328" s="43" t="s">
        <v>344</v>
      </c>
      <c r="HU328" s="43" t="s">
        <v>344</v>
      </c>
      <c r="HV328" s="43" t="s">
        <v>344</v>
      </c>
      <c r="HW328" s="43" t="s">
        <v>345</v>
      </c>
      <c r="HX328" s="43" t="s">
        <v>345</v>
      </c>
      <c r="HY328" s="43" t="s">
        <v>344</v>
      </c>
      <c r="HZ328" s="43" t="s">
        <v>344</v>
      </c>
      <c r="IA328" s="43" t="s">
        <v>344</v>
      </c>
      <c r="IB328" s="43" t="s">
        <v>345</v>
      </c>
      <c r="IC328" s="43" t="s">
        <v>344</v>
      </c>
      <c r="ID328" s="43"/>
      <c r="IE328" s="43" t="s">
        <v>345</v>
      </c>
      <c r="IF328" s="43" t="s">
        <v>1656</v>
      </c>
      <c r="IG328" s="43" t="s">
        <v>344</v>
      </c>
      <c r="IH328" s="43"/>
      <c r="II328" s="43" t="s">
        <v>345</v>
      </c>
      <c r="IJ328" s="43" t="s">
        <v>1656</v>
      </c>
      <c r="IK328" s="43" t="s">
        <v>344</v>
      </c>
      <c r="IL328" s="43"/>
      <c r="IM328" s="43" t="s">
        <v>345</v>
      </c>
      <c r="IN328" s="43" t="s">
        <v>345</v>
      </c>
      <c r="IO328" s="43" t="s">
        <v>345</v>
      </c>
      <c r="IP328" s="43" t="s">
        <v>344</v>
      </c>
      <c r="IQ328" s="43" t="s">
        <v>345</v>
      </c>
      <c r="IR328" s="43" t="s">
        <v>345</v>
      </c>
      <c r="IS328" s="43" t="s">
        <v>344</v>
      </c>
      <c r="IT328" s="43" t="s">
        <v>345</v>
      </c>
      <c r="IU328" s="43" t="s">
        <v>344</v>
      </c>
      <c r="IV328" s="43" t="s">
        <v>344</v>
      </c>
      <c r="IW328" s="43" t="s">
        <v>344</v>
      </c>
      <c r="IX328" s="43" t="s">
        <v>344</v>
      </c>
      <c r="IY328" s="43" t="s">
        <v>345</v>
      </c>
      <c r="IZ328" s="43" t="s">
        <v>344</v>
      </c>
      <c r="JA328" s="43"/>
      <c r="JB328" s="43"/>
    </row>
    <row r="329" spans="1:262" x14ac:dyDescent="0.3">
      <c r="A329" s="42" t="s">
        <v>813</v>
      </c>
      <c r="B329" s="43">
        <v>310</v>
      </c>
      <c r="C329" s="43" t="s">
        <v>1698</v>
      </c>
      <c r="D329" s="43">
        <v>14</v>
      </c>
      <c r="E329" s="43" t="s">
        <v>387</v>
      </c>
      <c r="F329" s="43">
        <v>1546648334</v>
      </c>
      <c r="G329" s="43" t="s">
        <v>1699</v>
      </c>
      <c r="H329" s="43" t="s">
        <v>1698</v>
      </c>
      <c r="I329" s="43" t="s">
        <v>1667</v>
      </c>
      <c r="J329" s="43">
        <v>17</v>
      </c>
      <c r="K329" s="43" t="s">
        <v>1255</v>
      </c>
      <c r="L329" s="43"/>
      <c r="M329" s="43" t="s">
        <v>344</v>
      </c>
      <c r="N329" s="43" t="s">
        <v>345</v>
      </c>
      <c r="O329" s="43" t="s">
        <v>344</v>
      </c>
      <c r="P329" s="43" t="s">
        <v>344</v>
      </c>
      <c r="Q329" s="43" t="s">
        <v>344</v>
      </c>
      <c r="R329" s="43"/>
      <c r="S329" s="43" t="s">
        <v>522</v>
      </c>
      <c r="T329" s="43"/>
      <c r="U329" s="43" t="s">
        <v>1270</v>
      </c>
      <c r="V329" s="43"/>
      <c r="W329" s="43" t="s">
        <v>345</v>
      </c>
      <c r="X329" s="43" t="s">
        <v>345</v>
      </c>
      <c r="Y329" s="43" t="s">
        <v>344</v>
      </c>
      <c r="Z329" s="43" t="s">
        <v>344</v>
      </c>
      <c r="AA329" s="43" t="s">
        <v>344</v>
      </c>
      <c r="AB329" s="43" t="s">
        <v>345</v>
      </c>
      <c r="AC329" s="43" t="s">
        <v>344</v>
      </c>
      <c r="AD329" s="43" t="s">
        <v>345</v>
      </c>
      <c r="AE329" s="43" t="s">
        <v>345</v>
      </c>
      <c r="AF329" s="43" t="s">
        <v>344</v>
      </c>
      <c r="AG329" s="43" t="s">
        <v>344</v>
      </c>
      <c r="AH329" s="43" t="s">
        <v>344</v>
      </c>
      <c r="AI329" s="43" t="s">
        <v>344</v>
      </c>
      <c r="AJ329" s="43" t="s">
        <v>344</v>
      </c>
      <c r="AK329" s="43" t="s">
        <v>345</v>
      </c>
      <c r="AL329" s="43" t="s">
        <v>344</v>
      </c>
      <c r="AM329" s="43" t="s">
        <v>345</v>
      </c>
      <c r="AN329" s="43" t="s">
        <v>344</v>
      </c>
      <c r="AO329" s="43" t="s">
        <v>344</v>
      </c>
      <c r="AP329" s="43" t="s">
        <v>344</v>
      </c>
      <c r="AQ329" s="43" t="s">
        <v>344</v>
      </c>
      <c r="AR329" s="43" t="s">
        <v>344</v>
      </c>
      <c r="AS329" s="43" t="s">
        <v>345</v>
      </c>
      <c r="AT329" s="43" t="s">
        <v>345</v>
      </c>
      <c r="AU329" s="43" t="s">
        <v>345</v>
      </c>
      <c r="AV329" s="43" t="s">
        <v>344</v>
      </c>
      <c r="AW329" s="43" t="s">
        <v>344</v>
      </c>
      <c r="AX329" s="43" t="s">
        <v>344</v>
      </c>
      <c r="AY329" s="43" t="s">
        <v>731</v>
      </c>
      <c r="AZ329" s="43" t="s">
        <v>731</v>
      </c>
      <c r="BA329" s="43" t="s">
        <v>731</v>
      </c>
      <c r="BB329" s="43" t="s">
        <v>732</v>
      </c>
      <c r="BC329" s="43" t="s">
        <v>733</v>
      </c>
      <c r="BD329" s="43" t="s">
        <v>391</v>
      </c>
      <c r="BE329" s="43" t="s">
        <v>348</v>
      </c>
      <c r="BF329" s="43" t="s">
        <v>349</v>
      </c>
      <c r="BG329" s="43" t="s">
        <v>390</v>
      </c>
      <c r="BH329" s="43" t="s">
        <v>349</v>
      </c>
      <c r="BI329" s="43" t="s">
        <v>348</v>
      </c>
      <c r="BJ329" s="43" t="s">
        <v>355</v>
      </c>
      <c r="BK329" s="43" t="s">
        <v>357</v>
      </c>
      <c r="BL329" s="43" t="s">
        <v>353</v>
      </c>
      <c r="BM329" s="43" t="s">
        <v>352</v>
      </c>
      <c r="BN329" s="43" t="s">
        <v>351</v>
      </c>
      <c r="BO329" s="43" t="s">
        <v>354</v>
      </c>
      <c r="BP329" s="43" t="s">
        <v>356</v>
      </c>
      <c r="BQ329" s="43" t="s">
        <v>419</v>
      </c>
      <c r="BR329" s="43" t="s">
        <v>344</v>
      </c>
      <c r="BS329" s="43" t="s">
        <v>357</v>
      </c>
      <c r="BT329" s="43" t="s">
        <v>353</v>
      </c>
      <c r="BU329" s="43" t="s">
        <v>355</v>
      </c>
      <c r="BV329" s="43" t="s">
        <v>356</v>
      </c>
      <c r="BW329" s="43" t="s">
        <v>352</v>
      </c>
      <c r="BX329" s="43" t="s">
        <v>351</v>
      </c>
      <c r="BY329" s="43" t="s">
        <v>354</v>
      </c>
      <c r="BZ329" s="43" t="s">
        <v>356</v>
      </c>
      <c r="CA329" s="43" t="s">
        <v>357</v>
      </c>
      <c r="CB329" s="43" t="s">
        <v>353</v>
      </c>
      <c r="CC329" s="43" t="s">
        <v>354</v>
      </c>
      <c r="CD329" s="43" t="s">
        <v>352</v>
      </c>
      <c r="CE329" s="43" t="s">
        <v>351</v>
      </c>
      <c r="CF329" s="43" t="s">
        <v>355</v>
      </c>
      <c r="CG329" s="43" t="s">
        <v>420</v>
      </c>
      <c r="CH329" s="43" t="s">
        <v>360</v>
      </c>
      <c r="CI329" s="43" t="s">
        <v>393</v>
      </c>
      <c r="CJ329" s="43" t="s">
        <v>420</v>
      </c>
      <c r="CK329" s="43" t="s">
        <v>391</v>
      </c>
      <c r="CL329" s="43" t="s">
        <v>344</v>
      </c>
      <c r="CM329" s="43" t="s">
        <v>344</v>
      </c>
      <c r="CN329" s="43" t="s">
        <v>345</v>
      </c>
      <c r="CO329" s="43" t="s">
        <v>344</v>
      </c>
      <c r="CP329" s="43" t="s">
        <v>344</v>
      </c>
      <c r="CQ329" s="43" t="s">
        <v>344</v>
      </c>
      <c r="CR329" s="43" t="s">
        <v>655</v>
      </c>
      <c r="CS329" s="43">
        <v>80</v>
      </c>
      <c r="CT329" s="43">
        <v>60</v>
      </c>
      <c r="CU329" s="43">
        <v>100</v>
      </c>
      <c r="CV329" s="43">
        <v>60</v>
      </c>
      <c r="CW329" s="43" t="s">
        <v>395</v>
      </c>
      <c r="CX329" s="43" t="s">
        <v>396</v>
      </c>
      <c r="CY329" s="43" t="s">
        <v>396</v>
      </c>
      <c r="CZ329" s="43" t="s">
        <v>397</v>
      </c>
      <c r="DA329" s="43" t="s">
        <v>365</v>
      </c>
      <c r="DB329" s="43" t="s">
        <v>397</v>
      </c>
      <c r="DC329" s="43" t="s">
        <v>397</v>
      </c>
      <c r="DD329" s="43" t="s">
        <v>397</v>
      </c>
      <c r="DE329" s="43" t="s">
        <v>397</v>
      </c>
      <c r="DF329" s="43" t="s">
        <v>366</v>
      </c>
      <c r="DG329" s="43" t="s">
        <v>397</v>
      </c>
      <c r="DH329" s="43" t="s">
        <v>397</v>
      </c>
      <c r="DI329" s="43" t="s">
        <v>717</v>
      </c>
      <c r="DJ329" s="43" t="s">
        <v>1700</v>
      </c>
      <c r="DK329" s="43" t="s">
        <v>1357</v>
      </c>
      <c r="DL329" s="43" t="s">
        <v>368</v>
      </c>
      <c r="DM329" s="43" t="s">
        <v>368</v>
      </c>
      <c r="DN329" s="43" t="s">
        <v>368</v>
      </c>
      <c r="DO329" s="43" t="s">
        <v>345</v>
      </c>
      <c r="DP329" s="43" t="s">
        <v>368</v>
      </c>
      <c r="DQ329" s="43" t="s">
        <v>368</v>
      </c>
      <c r="DR329" s="43" t="s">
        <v>368</v>
      </c>
      <c r="DS329" s="43" t="s">
        <v>345</v>
      </c>
      <c r="DT329" s="43" t="s">
        <v>345</v>
      </c>
      <c r="DU329" s="43" t="s">
        <v>345</v>
      </c>
      <c r="DV329" s="43" t="s">
        <v>345</v>
      </c>
      <c r="DW329" s="43" t="s">
        <v>344</v>
      </c>
      <c r="DX329" s="43" t="s">
        <v>397</v>
      </c>
      <c r="DY329" s="43" t="s">
        <v>1273</v>
      </c>
      <c r="DZ329" s="43" t="s">
        <v>397</v>
      </c>
      <c r="EA329" s="43" t="s">
        <v>1273</v>
      </c>
      <c r="EB329" s="43" t="s">
        <v>1273</v>
      </c>
      <c r="EC329" s="43" t="s">
        <v>1273</v>
      </c>
      <c r="ED329" s="43" t="s">
        <v>1273</v>
      </c>
      <c r="EE329" s="43" t="s">
        <v>1258</v>
      </c>
      <c r="EF329" s="43" t="s">
        <v>1258</v>
      </c>
      <c r="EG329" s="43" t="s">
        <v>397</v>
      </c>
      <c r="EH329" s="43" t="s">
        <v>1258</v>
      </c>
      <c r="EI329" s="43" t="s">
        <v>1258</v>
      </c>
      <c r="EJ329" s="43" t="s">
        <v>1258</v>
      </c>
      <c r="EK329" s="43" t="s">
        <v>1258</v>
      </c>
      <c r="EL329" s="43" t="s">
        <v>1276</v>
      </c>
      <c r="EM329" s="43" t="s">
        <v>1259</v>
      </c>
      <c r="EN329" s="43" t="s">
        <v>1275</v>
      </c>
      <c r="EO329" s="43"/>
      <c r="EP329" s="43"/>
      <c r="EQ329" s="43" t="s">
        <v>1263</v>
      </c>
      <c r="ER329" s="43" t="s">
        <v>1264</v>
      </c>
      <c r="ES329" s="43" t="s">
        <v>1264</v>
      </c>
      <c r="ET329" s="43" t="s">
        <v>1263</v>
      </c>
      <c r="EU329" s="43" t="s">
        <v>1277</v>
      </c>
      <c r="EV329" s="43" t="s">
        <v>1265</v>
      </c>
      <c r="EW329" s="43"/>
      <c r="EX329" s="43" t="s">
        <v>368</v>
      </c>
      <c r="EY329" s="43" t="s">
        <v>368</v>
      </c>
      <c r="EZ329" s="43" t="s">
        <v>368</v>
      </c>
      <c r="FA329" s="43" t="s">
        <v>345</v>
      </c>
      <c r="FB329" s="43" t="s">
        <v>1266</v>
      </c>
      <c r="FC329" s="43"/>
      <c r="FD329" s="43" t="s">
        <v>1266</v>
      </c>
      <c r="FE329" s="43"/>
      <c r="FF329" s="43" t="s">
        <v>1322</v>
      </c>
      <c r="FG329" s="43" t="s">
        <v>1323</v>
      </c>
      <c r="FH329" s="43" t="s">
        <v>1301</v>
      </c>
      <c r="FI329" s="43" t="s">
        <v>385</v>
      </c>
      <c r="FJ329" s="43"/>
      <c r="FK329" s="43"/>
      <c r="FL329" s="43"/>
      <c r="FM329" s="43"/>
      <c r="FN329" s="43"/>
      <c r="FO329" s="43"/>
      <c r="FP329" s="43"/>
      <c r="FQ329" s="43"/>
      <c r="FR329" s="43"/>
      <c r="FS329" s="43"/>
      <c r="FT329" s="43"/>
      <c r="FU329" s="43"/>
      <c r="FV329" s="43"/>
      <c r="FW329" s="43"/>
      <c r="FX329" s="43"/>
      <c r="FY329" s="43"/>
      <c r="FZ329" s="43"/>
      <c r="GA329" s="43" t="s">
        <v>368</v>
      </c>
      <c r="GB329" s="43" t="s">
        <v>368</v>
      </c>
      <c r="GC329" s="43" t="s">
        <v>368</v>
      </c>
      <c r="GD329" s="43" t="s">
        <v>368</v>
      </c>
      <c r="GE329" s="43" t="s">
        <v>368</v>
      </c>
      <c r="GF329" s="43" t="s">
        <v>368</v>
      </c>
      <c r="GG329" s="43"/>
      <c r="GH329" s="43"/>
      <c r="GI329" s="43"/>
      <c r="GJ329" s="43"/>
      <c r="GK329" s="43"/>
      <c r="GL329" s="43" t="s">
        <v>344</v>
      </c>
      <c r="GM329" s="43" t="s">
        <v>344</v>
      </c>
      <c r="GN329" s="43" t="s">
        <v>344</v>
      </c>
      <c r="GO329" s="43" t="s">
        <v>344</v>
      </c>
      <c r="GP329" s="43" t="s">
        <v>344</v>
      </c>
      <c r="GQ329" s="43" t="s">
        <v>344</v>
      </c>
      <c r="GR329" s="43" t="s">
        <v>344</v>
      </c>
      <c r="GS329" s="43" t="s">
        <v>344</v>
      </c>
      <c r="GT329" s="43" t="s">
        <v>344</v>
      </c>
      <c r="GU329" s="43" t="s">
        <v>344</v>
      </c>
      <c r="GV329" s="43" t="s">
        <v>344</v>
      </c>
      <c r="GW329" s="43" t="s">
        <v>344</v>
      </c>
      <c r="GX329" s="43" t="s">
        <v>344</v>
      </c>
      <c r="GY329" s="43" t="s">
        <v>344</v>
      </c>
      <c r="GZ329" s="43" t="s">
        <v>344</v>
      </c>
      <c r="HA329" s="43" t="s">
        <v>345</v>
      </c>
      <c r="HB329" s="43"/>
      <c r="HC329" s="43" t="s">
        <v>344</v>
      </c>
      <c r="HD329" s="43"/>
      <c r="HE329" s="43" t="s">
        <v>344</v>
      </c>
      <c r="HF329" s="43"/>
      <c r="HG329" s="43" t="s">
        <v>344</v>
      </c>
      <c r="HH329" s="43"/>
      <c r="HI329" s="43" t="s">
        <v>344</v>
      </c>
      <c r="HJ329" s="43"/>
      <c r="HK329" s="43" t="s">
        <v>344</v>
      </c>
      <c r="HL329" s="43" t="s">
        <v>344</v>
      </c>
      <c r="HM329" s="43" t="s">
        <v>344</v>
      </c>
      <c r="HN329" s="43" t="s">
        <v>344</v>
      </c>
      <c r="HO329" s="43" t="s">
        <v>344</v>
      </c>
      <c r="HP329" s="43" t="s">
        <v>344</v>
      </c>
      <c r="HQ329" s="43" t="s">
        <v>344</v>
      </c>
      <c r="HR329" s="43" t="s">
        <v>344</v>
      </c>
      <c r="HS329" s="43" t="s">
        <v>344</v>
      </c>
      <c r="HT329" s="43" t="s">
        <v>344</v>
      </c>
      <c r="HU329" s="43" t="s">
        <v>344</v>
      </c>
      <c r="HV329" s="43" t="s">
        <v>344</v>
      </c>
      <c r="HW329" s="43" t="s">
        <v>344</v>
      </c>
      <c r="HX329" s="43" t="s">
        <v>344</v>
      </c>
      <c r="HY329" s="43" t="s">
        <v>344</v>
      </c>
      <c r="HZ329" s="43" t="s">
        <v>344</v>
      </c>
      <c r="IA329" s="43" t="s">
        <v>344</v>
      </c>
      <c r="IB329" s="43" t="s">
        <v>344</v>
      </c>
      <c r="IC329" s="43" t="s">
        <v>345</v>
      </c>
      <c r="ID329" s="43"/>
      <c r="IE329" s="43" t="s">
        <v>344</v>
      </c>
      <c r="IF329" s="43"/>
      <c r="IG329" s="43" t="s">
        <v>344</v>
      </c>
      <c r="IH329" s="43"/>
      <c r="II329" s="43" t="s">
        <v>344</v>
      </c>
      <c r="IJ329" s="43"/>
      <c r="IK329" s="43" t="s">
        <v>344</v>
      </c>
      <c r="IL329" s="43"/>
      <c r="IM329" s="43" t="s">
        <v>345</v>
      </c>
      <c r="IN329" s="43" t="s">
        <v>344</v>
      </c>
      <c r="IO329" s="43" t="s">
        <v>344</v>
      </c>
      <c r="IP329" s="43" t="s">
        <v>344</v>
      </c>
      <c r="IQ329" s="43" t="s">
        <v>345</v>
      </c>
      <c r="IR329" s="43" t="s">
        <v>345</v>
      </c>
      <c r="IS329" s="43" t="s">
        <v>344</v>
      </c>
      <c r="IT329" s="43" t="s">
        <v>345</v>
      </c>
      <c r="IU329" s="43" t="s">
        <v>344</v>
      </c>
      <c r="IV329" s="43" t="s">
        <v>344</v>
      </c>
      <c r="IW329" s="43" t="s">
        <v>344</v>
      </c>
      <c r="IX329" s="43" t="s">
        <v>344</v>
      </c>
      <c r="IY329" s="43" t="s">
        <v>344</v>
      </c>
      <c r="IZ329" s="43" t="s">
        <v>344</v>
      </c>
      <c r="JA329" s="43"/>
      <c r="JB329" s="43"/>
    </row>
    <row r="330" spans="1:262" x14ac:dyDescent="0.3">
      <c r="A330" s="42" t="s">
        <v>813</v>
      </c>
      <c r="B330" s="43">
        <v>311</v>
      </c>
      <c r="C330" s="43" t="s">
        <v>1701</v>
      </c>
      <c r="D330" s="43">
        <v>14</v>
      </c>
      <c r="E330" s="43" t="s">
        <v>387</v>
      </c>
      <c r="F330" s="43">
        <v>1458325100</v>
      </c>
      <c r="G330" s="43" t="s">
        <v>1702</v>
      </c>
      <c r="H330" s="43" t="s">
        <v>1701</v>
      </c>
      <c r="I330" s="43" t="s">
        <v>1667</v>
      </c>
      <c r="J330" s="43">
        <v>17</v>
      </c>
      <c r="K330" s="43" t="s">
        <v>1282</v>
      </c>
      <c r="L330" s="43"/>
      <c r="M330" s="43" t="s">
        <v>345</v>
      </c>
      <c r="N330" s="43" t="s">
        <v>345</v>
      </c>
      <c r="O330" s="43" t="s">
        <v>344</v>
      </c>
      <c r="P330" s="43" t="s">
        <v>344</v>
      </c>
      <c r="Q330" s="43" t="s">
        <v>344</v>
      </c>
      <c r="R330" s="43"/>
      <c r="S330" s="43" t="s">
        <v>522</v>
      </c>
      <c r="T330" s="43"/>
      <c r="U330" s="43" t="s">
        <v>1457</v>
      </c>
      <c r="V330" s="43"/>
      <c r="W330" s="43" t="s">
        <v>345</v>
      </c>
      <c r="X330" s="43" t="s">
        <v>344</v>
      </c>
      <c r="Y330" s="43" t="s">
        <v>344</v>
      </c>
      <c r="Z330" s="43" t="s">
        <v>344</v>
      </c>
      <c r="AA330" s="43" t="s">
        <v>344</v>
      </c>
      <c r="AB330" s="43" t="s">
        <v>345</v>
      </c>
      <c r="AC330" s="43" t="s">
        <v>344</v>
      </c>
      <c r="AD330" s="43" t="s">
        <v>344</v>
      </c>
      <c r="AE330" s="43" t="s">
        <v>344</v>
      </c>
      <c r="AF330" s="43" t="s">
        <v>344</v>
      </c>
      <c r="AG330" s="43" t="s">
        <v>345</v>
      </c>
      <c r="AH330" s="43" t="s">
        <v>344</v>
      </c>
      <c r="AI330" s="43" t="s">
        <v>344</v>
      </c>
      <c r="AJ330" s="43" t="s">
        <v>344</v>
      </c>
      <c r="AK330" s="43" t="s">
        <v>344</v>
      </c>
      <c r="AL330" s="43" t="s">
        <v>344</v>
      </c>
      <c r="AM330" s="43" t="s">
        <v>345</v>
      </c>
      <c r="AN330" s="43" t="s">
        <v>344</v>
      </c>
      <c r="AO330" s="43" t="s">
        <v>344</v>
      </c>
      <c r="AP330" s="43" t="s">
        <v>344</v>
      </c>
      <c r="AQ330" s="43" t="s">
        <v>344</v>
      </c>
      <c r="AR330" s="43" t="s">
        <v>344</v>
      </c>
      <c r="AS330" s="43" t="s">
        <v>344</v>
      </c>
      <c r="AT330" s="43" t="s">
        <v>344</v>
      </c>
      <c r="AU330" s="43" t="s">
        <v>345</v>
      </c>
      <c r="AV330" s="43" t="s">
        <v>344</v>
      </c>
      <c r="AW330" s="43" t="s">
        <v>344</v>
      </c>
      <c r="AX330" s="43" t="s">
        <v>344</v>
      </c>
      <c r="AY330" s="43" t="s">
        <v>733</v>
      </c>
      <c r="AZ330" s="43" t="s">
        <v>733</v>
      </c>
      <c r="BA330" s="43" t="s">
        <v>737</v>
      </c>
      <c r="BB330" s="43" t="s">
        <v>732</v>
      </c>
      <c r="BC330" s="43" t="s">
        <v>731</v>
      </c>
      <c r="BD330" s="43" t="s">
        <v>733</v>
      </c>
      <c r="BE330" s="43" t="s">
        <v>349</v>
      </c>
      <c r="BF330" s="43" t="s">
        <v>349</v>
      </c>
      <c r="BG330" s="43" t="s">
        <v>349</v>
      </c>
      <c r="BH330" s="43" t="s">
        <v>349</v>
      </c>
      <c r="BI330" s="43" t="s">
        <v>349</v>
      </c>
      <c r="BJ330" s="43" t="s">
        <v>391</v>
      </c>
      <c r="BK330" s="43" t="s">
        <v>391</v>
      </c>
      <c r="BL330" s="43" t="s">
        <v>391</v>
      </c>
      <c r="BM330" s="43" t="s">
        <v>391</v>
      </c>
      <c r="BN330" s="43" t="s">
        <v>391</v>
      </c>
      <c r="BO330" s="43" t="s">
        <v>391</v>
      </c>
      <c r="BP330" s="43" t="s">
        <v>391</v>
      </c>
      <c r="BQ330" s="43" t="s">
        <v>358</v>
      </c>
      <c r="BR330" s="43" t="s">
        <v>344</v>
      </c>
      <c r="BS330" s="43" t="s">
        <v>391</v>
      </c>
      <c r="BT330" s="43" t="s">
        <v>391</v>
      </c>
      <c r="BU330" s="43" t="s">
        <v>391</v>
      </c>
      <c r="BV330" s="43" t="s">
        <v>391</v>
      </c>
      <c r="BW330" s="43" t="s">
        <v>391</v>
      </c>
      <c r="BX330" s="43" t="s">
        <v>391</v>
      </c>
      <c r="BY330" s="43" t="s">
        <v>391</v>
      </c>
      <c r="BZ330" s="43" t="s">
        <v>391</v>
      </c>
      <c r="CA330" s="43" t="s">
        <v>391</v>
      </c>
      <c r="CB330" s="43" t="s">
        <v>391</v>
      </c>
      <c r="CC330" s="43" t="s">
        <v>391</v>
      </c>
      <c r="CD330" s="43" t="s">
        <v>391</v>
      </c>
      <c r="CE330" s="43" t="s">
        <v>391</v>
      </c>
      <c r="CF330" s="43" t="s">
        <v>391</v>
      </c>
      <c r="CG330" s="43" t="s">
        <v>393</v>
      </c>
      <c r="CH330" s="43" t="s">
        <v>393</v>
      </c>
      <c r="CI330" s="43" t="s">
        <v>420</v>
      </c>
      <c r="CJ330" s="43" t="s">
        <v>420</v>
      </c>
      <c r="CK330" s="43" t="s">
        <v>391</v>
      </c>
      <c r="CL330" s="43" t="s">
        <v>344</v>
      </c>
      <c r="CM330" s="43" t="s">
        <v>344</v>
      </c>
      <c r="CN330" s="43" t="s">
        <v>345</v>
      </c>
      <c r="CO330" s="43" t="s">
        <v>344</v>
      </c>
      <c r="CP330" s="43" t="s">
        <v>345</v>
      </c>
      <c r="CQ330" s="43" t="s">
        <v>345</v>
      </c>
      <c r="CR330" s="43" t="s">
        <v>667</v>
      </c>
      <c r="CS330" s="43">
        <v>63</v>
      </c>
      <c r="CT330" s="43">
        <v>60</v>
      </c>
      <c r="CU330" s="43">
        <v>38</v>
      </c>
      <c r="CV330" s="43">
        <v>9</v>
      </c>
      <c r="CW330" s="43" t="s">
        <v>363</v>
      </c>
      <c r="CX330" s="43" t="s">
        <v>396</v>
      </c>
      <c r="CY330" s="43" t="s">
        <v>396</v>
      </c>
      <c r="CZ330" s="43" t="s">
        <v>397</v>
      </c>
      <c r="DA330" s="43" t="s">
        <v>397</v>
      </c>
      <c r="DB330" s="43" t="s">
        <v>397</v>
      </c>
      <c r="DC330" s="43" t="s">
        <v>397</v>
      </c>
      <c r="DD330" s="43" t="s">
        <v>365</v>
      </c>
      <c r="DE330" s="43" t="s">
        <v>397</v>
      </c>
      <c r="DF330" s="43" t="s">
        <v>397</v>
      </c>
      <c r="DG330" s="43" t="s">
        <v>397</v>
      </c>
      <c r="DH330" s="43" t="s">
        <v>397</v>
      </c>
      <c r="DI330" s="43" t="s">
        <v>366</v>
      </c>
      <c r="DJ330" s="43" t="s">
        <v>1703</v>
      </c>
      <c r="DK330" s="43" t="s">
        <v>344</v>
      </c>
      <c r="DL330" s="43" t="s">
        <v>368</v>
      </c>
      <c r="DM330" s="43" t="s">
        <v>368</v>
      </c>
      <c r="DN330" s="43" t="s">
        <v>368</v>
      </c>
      <c r="DO330" s="43" t="s">
        <v>368</v>
      </c>
      <c r="DP330" s="43" t="s">
        <v>345</v>
      </c>
      <c r="DQ330" s="43" t="s">
        <v>344</v>
      </c>
      <c r="DR330" s="43" t="s">
        <v>345</v>
      </c>
      <c r="DS330" s="43" t="s">
        <v>344</v>
      </c>
      <c r="DT330" s="43" t="s">
        <v>368</v>
      </c>
      <c r="DU330" s="43" t="s">
        <v>368</v>
      </c>
      <c r="DV330" s="43" t="s">
        <v>368</v>
      </c>
      <c r="DW330" s="43" t="s">
        <v>345</v>
      </c>
      <c r="DX330" s="43" t="s">
        <v>397</v>
      </c>
      <c r="DY330" s="43" t="s">
        <v>1258</v>
      </c>
      <c r="DZ330" s="43" t="s">
        <v>1258</v>
      </c>
      <c r="EA330" s="43" t="s">
        <v>1258</v>
      </c>
      <c r="EB330" s="43" t="s">
        <v>397</v>
      </c>
      <c r="EC330" s="43" t="s">
        <v>397</v>
      </c>
      <c r="ED330" s="43" t="s">
        <v>1258</v>
      </c>
      <c r="EE330" s="43" t="s">
        <v>1258</v>
      </c>
      <c r="EF330" s="43" t="s">
        <v>1258</v>
      </c>
      <c r="EG330" s="43" t="s">
        <v>397</v>
      </c>
      <c r="EH330" s="43" t="s">
        <v>1258</v>
      </c>
      <c r="EI330" s="43" t="s">
        <v>397</v>
      </c>
      <c r="EJ330" s="43" t="s">
        <v>397</v>
      </c>
      <c r="EK330" s="43" t="s">
        <v>1258</v>
      </c>
      <c r="EL330" s="43" t="s">
        <v>1276</v>
      </c>
      <c r="EM330" s="43" t="s">
        <v>1260</v>
      </c>
      <c r="EN330" s="43" t="s">
        <v>1259</v>
      </c>
      <c r="EO330" s="43"/>
      <c r="EP330" s="43"/>
      <c r="EQ330" s="43" t="s">
        <v>1264</v>
      </c>
      <c r="ER330" s="43" t="s">
        <v>1264</v>
      </c>
      <c r="ES330" s="43" t="s">
        <v>1263</v>
      </c>
      <c r="ET330" s="43" t="s">
        <v>1263</v>
      </c>
      <c r="EU330" s="43" t="s">
        <v>1264</v>
      </c>
      <c r="EV330" s="43" t="s">
        <v>1265</v>
      </c>
      <c r="EW330" s="43"/>
      <c r="EX330" s="43" t="s">
        <v>368</v>
      </c>
      <c r="EY330" s="43" t="s">
        <v>368</v>
      </c>
      <c r="EZ330" s="43" t="s">
        <v>368</v>
      </c>
      <c r="FA330" s="43" t="s">
        <v>345</v>
      </c>
      <c r="FB330" s="43" t="s">
        <v>1266</v>
      </c>
      <c r="FC330" s="43"/>
      <c r="FD330" s="43" t="s">
        <v>1266</v>
      </c>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t="s">
        <v>368</v>
      </c>
      <c r="GB330" s="43" t="s">
        <v>368</v>
      </c>
      <c r="GC330" s="43" t="s">
        <v>368</v>
      </c>
      <c r="GD330" s="43" t="s">
        <v>368</v>
      </c>
      <c r="GE330" s="43" t="s">
        <v>368</v>
      </c>
      <c r="GF330" s="43" t="s">
        <v>368</v>
      </c>
      <c r="GG330" s="43"/>
      <c r="GH330" s="43"/>
      <c r="GI330" s="43"/>
      <c r="GJ330" s="43"/>
      <c r="GK330" s="43"/>
      <c r="GL330" s="43" t="s">
        <v>344</v>
      </c>
      <c r="GM330" s="43" t="s">
        <v>344</v>
      </c>
      <c r="GN330" s="43" t="s">
        <v>344</v>
      </c>
      <c r="GO330" s="43" t="s">
        <v>344</v>
      </c>
      <c r="GP330" s="43" t="s">
        <v>344</v>
      </c>
      <c r="GQ330" s="43" t="s">
        <v>344</v>
      </c>
      <c r="GR330" s="43" t="s">
        <v>344</v>
      </c>
      <c r="GS330" s="43" t="s">
        <v>344</v>
      </c>
      <c r="GT330" s="43" t="s">
        <v>344</v>
      </c>
      <c r="GU330" s="43" t="s">
        <v>344</v>
      </c>
      <c r="GV330" s="43" t="s">
        <v>344</v>
      </c>
      <c r="GW330" s="43" t="s">
        <v>344</v>
      </c>
      <c r="GX330" s="43" t="s">
        <v>344</v>
      </c>
      <c r="GY330" s="43" t="s">
        <v>344</v>
      </c>
      <c r="GZ330" s="43" t="s">
        <v>344</v>
      </c>
      <c r="HA330" s="43" t="s">
        <v>345</v>
      </c>
      <c r="HB330" s="43"/>
      <c r="HC330" s="43" t="s">
        <v>344</v>
      </c>
      <c r="HD330" s="43"/>
      <c r="HE330" s="43" t="s">
        <v>344</v>
      </c>
      <c r="HF330" s="43"/>
      <c r="HG330" s="43" t="s">
        <v>344</v>
      </c>
      <c r="HH330" s="43"/>
      <c r="HI330" s="43" t="s">
        <v>344</v>
      </c>
      <c r="HJ330" s="43"/>
      <c r="HK330" s="43" t="s">
        <v>344</v>
      </c>
      <c r="HL330" s="43" t="s">
        <v>344</v>
      </c>
      <c r="HM330" s="43" t="s">
        <v>344</v>
      </c>
      <c r="HN330" s="43" t="s">
        <v>344</v>
      </c>
      <c r="HO330" s="43" t="s">
        <v>344</v>
      </c>
      <c r="HP330" s="43" t="s">
        <v>344</v>
      </c>
      <c r="HQ330" s="43" t="s">
        <v>344</v>
      </c>
      <c r="HR330" s="43" t="s">
        <v>344</v>
      </c>
      <c r="HS330" s="43" t="s">
        <v>344</v>
      </c>
      <c r="HT330" s="43" t="s">
        <v>344</v>
      </c>
      <c r="HU330" s="43" t="s">
        <v>344</v>
      </c>
      <c r="HV330" s="43" t="s">
        <v>344</v>
      </c>
      <c r="HW330" s="43" t="s">
        <v>344</v>
      </c>
      <c r="HX330" s="43" t="s">
        <v>344</v>
      </c>
      <c r="HY330" s="43" t="s">
        <v>344</v>
      </c>
      <c r="HZ330" s="43" t="s">
        <v>344</v>
      </c>
      <c r="IA330" s="43" t="s">
        <v>344</v>
      </c>
      <c r="IB330" s="43" t="s">
        <v>344</v>
      </c>
      <c r="IC330" s="43" t="s">
        <v>345</v>
      </c>
      <c r="ID330" s="43"/>
      <c r="IE330" s="43" t="s">
        <v>344</v>
      </c>
      <c r="IF330" s="43"/>
      <c r="IG330" s="43" t="s">
        <v>344</v>
      </c>
      <c r="IH330" s="43"/>
      <c r="II330" s="43" t="s">
        <v>344</v>
      </c>
      <c r="IJ330" s="43"/>
      <c r="IK330" s="43" t="s">
        <v>344</v>
      </c>
      <c r="IL330" s="43"/>
      <c r="IM330" s="43" t="s">
        <v>345</v>
      </c>
      <c r="IN330" s="43" t="s">
        <v>345</v>
      </c>
      <c r="IO330" s="43" t="s">
        <v>344</v>
      </c>
      <c r="IP330" s="43" t="s">
        <v>344</v>
      </c>
      <c r="IQ330" s="43" t="s">
        <v>345</v>
      </c>
      <c r="IR330" s="43" t="s">
        <v>345</v>
      </c>
      <c r="IS330" s="43" t="s">
        <v>344</v>
      </c>
      <c r="IT330" s="43" t="s">
        <v>345</v>
      </c>
      <c r="IU330" s="43" t="s">
        <v>344</v>
      </c>
      <c r="IV330" s="43" t="s">
        <v>344</v>
      </c>
      <c r="IW330" s="43" t="s">
        <v>344</v>
      </c>
      <c r="IX330" s="43" t="s">
        <v>344</v>
      </c>
      <c r="IY330" s="43" t="s">
        <v>345</v>
      </c>
      <c r="IZ330" s="43" t="s">
        <v>344</v>
      </c>
      <c r="JA330" s="43"/>
      <c r="JB330" s="43"/>
    </row>
    <row r="331" spans="1:262" x14ac:dyDescent="0.3">
      <c r="A331" s="42" t="s">
        <v>813</v>
      </c>
      <c r="B331" s="43">
        <v>312</v>
      </c>
      <c r="C331" s="43" t="s">
        <v>1704</v>
      </c>
      <c r="D331" s="43">
        <v>14</v>
      </c>
      <c r="E331" s="43" t="s">
        <v>387</v>
      </c>
      <c r="F331" s="43">
        <v>784393599</v>
      </c>
      <c r="G331" s="43" t="s">
        <v>1705</v>
      </c>
      <c r="H331" s="43" t="s">
        <v>1704</v>
      </c>
      <c r="I331" s="43" t="s">
        <v>1667</v>
      </c>
      <c r="J331" s="43">
        <v>16</v>
      </c>
      <c r="K331" s="43" t="s">
        <v>1282</v>
      </c>
      <c r="L331" s="43"/>
      <c r="M331" s="43" t="s">
        <v>345</v>
      </c>
      <c r="N331" s="43" t="s">
        <v>345</v>
      </c>
      <c r="O331" s="43" t="s">
        <v>344</v>
      </c>
      <c r="P331" s="43" t="s">
        <v>344</v>
      </c>
      <c r="Q331" s="43" t="s">
        <v>344</v>
      </c>
      <c r="R331" s="43"/>
      <c r="S331" s="43" t="s">
        <v>522</v>
      </c>
      <c r="T331" s="43"/>
      <c r="U331" s="43" t="s">
        <v>1270</v>
      </c>
      <c r="V331" s="43"/>
      <c r="W331" s="43" t="s">
        <v>345</v>
      </c>
      <c r="X331" s="43" t="s">
        <v>344</v>
      </c>
      <c r="Y331" s="43" t="s">
        <v>344</v>
      </c>
      <c r="Z331" s="43" t="s">
        <v>344</v>
      </c>
      <c r="AA331" s="43" t="s">
        <v>344</v>
      </c>
      <c r="AB331" s="43" t="s">
        <v>344</v>
      </c>
      <c r="AC331" s="43" t="s">
        <v>344</v>
      </c>
      <c r="AD331" s="43" t="s">
        <v>345</v>
      </c>
      <c r="AE331" s="43" t="s">
        <v>344</v>
      </c>
      <c r="AF331" s="43" t="s">
        <v>344</v>
      </c>
      <c r="AG331" s="43" t="s">
        <v>344</v>
      </c>
      <c r="AH331" s="43" t="s">
        <v>344</v>
      </c>
      <c r="AI331" s="43" t="s">
        <v>344</v>
      </c>
      <c r="AJ331" s="43" t="s">
        <v>344</v>
      </c>
      <c r="AK331" s="43" t="s">
        <v>344</v>
      </c>
      <c r="AL331" s="43" t="s">
        <v>344</v>
      </c>
      <c r="AM331" s="43" t="s">
        <v>344</v>
      </c>
      <c r="AN331" s="43" t="s">
        <v>344</v>
      </c>
      <c r="AO331" s="43" t="s">
        <v>344</v>
      </c>
      <c r="AP331" s="43" t="s">
        <v>345</v>
      </c>
      <c r="AQ331" s="43" t="s">
        <v>344</v>
      </c>
      <c r="AR331" s="43" t="s">
        <v>345</v>
      </c>
      <c r="AS331" s="43" t="s">
        <v>344</v>
      </c>
      <c r="AT331" s="43" t="s">
        <v>344</v>
      </c>
      <c r="AU331" s="43" t="s">
        <v>344</v>
      </c>
      <c r="AV331" s="43" t="s">
        <v>344</v>
      </c>
      <c r="AW331" s="43" t="s">
        <v>344</v>
      </c>
      <c r="AX331" s="43" t="s">
        <v>344</v>
      </c>
      <c r="AY331" s="43" t="s">
        <v>391</v>
      </c>
      <c r="AZ331" s="43" t="s">
        <v>731</v>
      </c>
      <c r="BA331" s="43" t="s">
        <v>731</v>
      </c>
      <c r="BB331" s="43" t="s">
        <v>731</v>
      </c>
      <c r="BC331" s="43" t="s">
        <v>731</v>
      </c>
      <c r="BD331" s="43" t="s">
        <v>391</v>
      </c>
      <c r="BE331" s="43" t="s">
        <v>348</v>
      </c>
      <c r="BF331" s="43" t="s">
        <v>349</v>
      </c>
      <c r="BG331" s="43" t="s">
        <v>349</v>
      </c>
      <c r="BH331" s="43" t="s">
        <v>390</v>
      </c>
      <c r="BI331" s="43" t="s">
        <v>348</v>
      </c>
      <c r="BJ331" s="43" t="s">
        <v>356</v>
      </c>
      <c r="BK331" s="43" t="s">
        <v>356</v>
      </c>
      <c r="BL331" s="43" t="s">
        <v>356</v>
      </c>
      <c r="BM331" s="43" t="s">
        <v>391</v>
      </c>
      <c r="BN331" s="43" t="s">
        <v>391</v>
      </c>
      <c r="BO331" s="43" t="s">
        <v>391</v>
      </c>
      <c r="BP331" s="43" t="s">
        <v>391</v>
      </c>
      <c r="BQ331" s="43" t="s">
        <v>407</v>
      </c>
      <c r="BR331" s="43" t="s">
        <v>1296</v>
      </c>
      <c r="BS331" s="43" t="s">
        <v>391</v>
      </c>
      <c r="BT331" s="43" t="s">
        <v>391</v>
      </c>
      <c r="BU331" s="43" t="s">
        <v>391</v>
      </c>
      <c r="BV331" s="43" t="s">
        <v>391</v>
      </c>
      <c r="BW331" s="43" t="s">
        <v>391</v>
      </c>
      <c r="BX331" s="43" t="s">
        <v>391</v>
      </c>
      <c r="BY331" s="43" t="s">
        <v>391</v>
      </c>
      <c r="BZ331" s="43" t="s">
        <v>391</v>
      </c>
      <c r="CA331" s="43" t="s">
        <v>391</v>
      </c>
      <c r="CB331" s="43" t="s">
        <v>391</v>
      </c>
      <c r="CC331" s="43" t="s">
        <v>391</v>
      </c>
      <c r="CD331" s="43" t="s">
        <v>391</v>
      </c>
      <c r="CE331" s="43" t="s">
        <v>391</v>
      </c>
      <c r="CF331" s="43" t="s">
        <v>391</v>
      </c>
      <c r="CG331" s="43" t="s">
        <v>393</v>
      </c>
      <c r="CH331" s="43" t="s">
        <v>392</v>
      </c>
      <c r="CI331" s="43" t="s">
        <v>392</v>
      </c>
      <c r="CJ331" s="43" t="s">
        <v>392</v>
      </c>
      <c r="CK331" s="43" t="s">
        <v>391</v>
      </c>
      <c r="CL331" s="43" t="s">
        <v>344</v>
      </c>
      <c r="CM331" s="43" t="s">
        <v>344</v>
      </c>
      <c r="CN331" s="43" t="s">
        <v>344</v>
      </c>
      <c r="CO331" s="43" t="s">
        <v>344</v>
      </c>
      <c r="CP331" s="43" t="s">
        <v>345</v>
      </c>
      <c r="CQ331" s="43" t="s">
        <v>344</v>
      </c>
      <c r="CR331" s="43" t="s">
        <v>655</v>
      </c>
      <c r="CS331" s="43">
        <v>10</v>
      </c>
      <c r="CT331" s="43">
        <v>76</v>
      </c>
      <c r="CU331" s="43">
        <v>75</v>
      </c>
      <c r="CV331" s="43">
        <v>1</v>
      </c>
      <c r="CW331" s="43" t="s">
        <v>363</v>
      </c>
      <c r="CX331" s="43" t="s">
        <v>396</v>
      </c>
      <c r="CY331" s="43" t="s">
        <v>396</v>
      </c>
      <c r="CZ331" s="43" t="s">
        <v>397</v>
      </c>
      <c r="DA331" s="43" t="s">
        <v>397</v>
      </c>
      <c r="DB331" s="43" t="s">
        <v>397</v>
      </c>
      <c r="DC331" s="43" t="s">
        <v>365</v>
      </c>
      <c r="DD331" s="43" t="s">
        <v>365</v>
      </c>
      <c r="DE331" s="43" t="s">
        <v>423</v>
      </c>
      <c r="DF331" s="43" t="s">
        <v>423</v>
      </c>
      <c r="DG331" s="43" t="s">
        <v>423</v>
      </c>
      <c r="DH331" s="43" t="s">
        <v>423</v>
      </c>
      <c r="DI331" s="43" t="s">
        <v>423</v>
      </c>
      <c r="DJ331" s="43"/>
      <c r="DK331" s="43" t="s">
        <v>344</v>
      </c>
      <c r="DL331" s="43" t="s">
        <v>368</v>
      </c>
      <c r="DM331" s="43" t="s">
        <v>368</v>
      </c>
      <c r="DN331" s="43" t="s">
        <v>368</v>
      </c>
      <c r="DO331" s="43" t="s">
        <v>368</v>
      </c>
      <c r="DP331" s="43" t="s">
        <v>368</v>
      </c>
      <c r="DQ331" s="43" t="s">
        <v>368</v>
      </c>
      <c r="DR331" s="43" t="s">
        <v>368</v>
      </c>
      <c r="DS331" s="43" t="s">
        <v>345</v>
      </c>
      <c r="DT331" s="43" t="s">
        <v>345</v>
      </c>
      <c r="DU331" s="43" t="s">
        <v>345</v>
      </c>
      <c r="DV331" s="43" t="s">
        <v>345</v>
      </c>
      <c r="DW331" s="43" t="s">
        <v>344</v>
      </c>
      <c r="DX331" s="43" t="s">
        <v>1273</v>
      </c>
      <c r="DY331" s="43" t="s">
        <v>1272</v>
      </c>
      <c r="DZ331" s="43" t="s">
        <v>1272</v>
      </c>
      <c r="EA331" s="43" t="s">
        <v>1274</v>
      </c>
      <c r="EB331" s="43" t="s">
        <v>1273</v>
      </c>
      <c r="EC331" s="43" t="s">
        <v>1273</v>
      </c>
      <c r="ED331" s="43" t="s">
        <v>1258</v>
      </c>
      <c r="EE331" s="43" t="s">
        <v>1258</v>
      </c>
      <c r="EF331" s="43" t="s">
        <v>1258</v>
      </c>
      <c r="EG331" s="43" t="s">
        <v>1258</v>
      </c>
      <c r="EH331" s="43" t="s">
        <v>1258</v>
      </c>
      <c r="EI331" s="43" t="s">
        <v>1258</v>
      </c>
      <c r="EJ331" s="43" t="s">
        <v>1258</v>
      </c>
      <c r="EK331" s="43" t="s">
        <v>1272</v>
      </c>
      <c r="EL331" s="43" t="s">
        <v>1276</v>
      </c>
      <c r="EM331" s="43" t="s">
        <v>1260</v>
      </c>
      <c r="EN331" s="43" t="s">
        <v>1275</v>
      </c>
      <c r="EO331" s="43"/>
      <c r="EP331" s="43"/>
      <c r="EQ331" s="43" t="s">
        <v>1264</v>
      </c>
      <c r="ER331" s="43" t="s">
        <v>1263</v>
      </c>
      <c r="ES331" s="43" t="s">
        <v>1263</v>
      </c>
      <c r="ET331" s="43" t="s">
        <v>1263</v>
      </c>
      <c r="EU331" s="43" t="s">
        <v>1263</v>
      </c>
      <c r="EV331" s="43" t="s">
        <v>1265</v>
      </c>
      <c r="EW331" s="43"/>
      <c r="EX331" s="43" t="s">
        <v>368</v>
      </c>
      <c r="EY331" s="43" t="s">
        <v>368</v>
      </c>
      <c r="EZ331" s="43" t="s">
        <v>368</v>
      </c>
      <c r="FA331" s="43" t="s">
        <v>345</v>
      </c>
      <c r="FB331" s="43" t="s">
        <v>1266</v>
      </c>
      <c r="FC331" s="43"/>
      <c r="FD331" s="43" t="s">
        <v>401</v>
      </c>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t="s">
        <v>368</v>
      </c>
      <c r="GB331" s="43" t="s">
        <v>368</v>
      </c>
      <c r="GC331" s="43" t="s">
        <v>368</v>
      </c>
      <c r="GD331" s="43" t="s">
        <v>368</v>
      </c>
      <c r="GE331" s="43" t="s">
        <v>368</v>
      </c>
      <c r="GF331" s="43" t="s">
        <v>368</v>
      </c>
      <c r="GG331" s="43"/>
      <c r="GH331" s="43"/>
      <c r="GI331" s="43"/>
      <c r="GJ331" s="43"/>
      <c r="GK331" s="43"/>
      <c r="GL331" s="43" t="s">
        <v>344</v>
      </c>
      <c r="GM331" s="43" t="s">
        <v>344</v>
      </c>
      <c r="GN331" s="43" t="s">
        <v>344</v>
      </c>
      <c r="GO331" s="43" t="s">
        <v>344</v>
      </c>
      <c r="GP331" s="43" t="s">
        <v>344</v>
      </c>
      <c r="GQ331" s="43" t="s">
        <v>344</v>
      </c>
      <c r="GR331" s="43" t="s">
        <v>344</v>
      </c>
      <c r="GS331" s="43" t="s">
        <v>344</v>
      </c>
      <c r="GT331" s="43" t="s">
        <v>344</v>
      </c>
      <c r="GU331" s="43" t="s">
        <v>344</v>
      </c>
      <c r="GV331" s="43" t="s">
        <v>344</v>
      </c>
      <c r="GW331" s="43" t="s">
        <v>344</v>
      </c>
      <c r="GX331" s="43" t="s">
        <v>344</v>
      </c>
      <c r="GY331" s="43" t="s">
        <v>344</v>
      </c>
      <c r="GZ331" s="43" t="s">
        <v>344</v>
      </c>
      <c r="HA331" s="43" t="s">
        <v>345</v>
      </c>
      <c r="HB331" s="43"/>
      <c r="HC331" s="43" t="s">
        <v>344</v>
      </c>
      <c r="HD331" s="43"/>
      <c r="HE331" s="43" t="s">
        <v>344</v>
      </c>
      <c r="HF331" s="43"/>
      <c r="HG331" s="43" t="s">
        <v>344</v>
      </c>
      <c r="HH331" s="43"/>
      <c r="HI331" s="43" t="s">
        <v>344</v>
      </c>
      <c r="HJ331" s="43"/>
      <c r="HK331" s="43" t="s">
        <v>344</v>
      </c>
      <c r="HL331" s="43" t="s">
        <v>344</v>
      </c>
      <c r="HM331" s="43" t="s">
        <v>344</v>
      </c>
      <c r="HN331" s="43" t="s">
        <v>345</v>
      </c>
      <c r="HO331" s="43" t="s">
        <v>344</v>
      </c>
      <c r="HP331" s="43" t="s">
        <v>344</v>
      </c>
      <c r="HQ331" s="43" t="s">
        <v>344</v>
      </c>
      <c r="HR331" s="43" t="s">
        <v>344</v>
      </c>
      <c r="HS331" s="43" t="s">
        <v>344</v>
      </c>
      <c r="HT331" s="43" t="s">
        <v>344</v>
      </c>
      <c r="HU331" s="43" t="s">
        <v>344</v>
      </c>
      <c r="HV331" s="43" t="s">
        <v>344</v>
      </c>
      <c r="HW331" s="43" t="s">
        <v>345</v>
      </c>
      <c r="HX331" s="43" t="s">
        <v>344</v>
      </c>
      <c r="HY331" s="43" t="s">
        <v>344</v>
      </c>
      <c r="HZ331" s="43" t="s">
        <v>344</v>
      </c>
      <c r="IA331" s="43" t="s">
        <v>344</v>
      </c>
      <c r="IB331" s="43" t="s">
        <v>345</v>
      </c>
      <c r="IC331" s="43" t="s">
        <v>344</v>
      </c>
      <c r="ID331" s="43"/>
      <c r="IE331" s="43" t="s">
        <v>344</v>
      </c>
      <c r="IF331" s="43"/>
      <c r="IG331" s="43" t="s">
        <v>344</v>
      </c>
      <c r="IH331" s="43"/>
      <c r="II331" s="43" t="s">
        <v>344</v>
      </c>
      <c r="IJ331" s="43"/>
      <c r="IK331" s="43" t="s">
        <v>344</v>
      </c>
      <c r="IL331" s="43"/>
      <c r="IM331" s="43" t="s">
        <v>345</v>
      </c>
      <c r="IN331" s="43" t="s">
        <v>345</v>
      </c>
      <c r="IO331" s="43" t="s">
        <v>345</v>
      </c>
      <c r="IP331" s="43" t="s">
        <v>344</v>
      </c>
      <c r="IQ331" s="43" t="s">
        <v>345</v>
      </c>
      <c r="IR331" s="43" t="s">
        <v>345</v>
      </c>
      <c r="IS331" s="43" t="s">
        <v>344</v>
      </c>
      <c r="IT331" s="43" t="s">
        <v>345</v>
      </c>
      <c r="IU331" s="43" t="s">
        <v>344</v>
      </c>
      <c r="IV331" s="43" t="s">
        <v>344</v>
      </c>
      <c r="IW331" s="43" t="s">
        <v>344</v>
      </c>
      <c r="IX331" s="43" t="s">
        <v>344</v>
      </c>
      <c r="IY331" s="43" t="s">
        <v>345</v>
      </c>
      <c r="IZ331" s="43" t="s">
        <v>344</v>
      </c>
      <c r="JA331" s="43"/>
      <c r="JB331" s="43" t="s">
        <v>1538</v>
      </c>
    </row>
    <row r="332" spans="1:262" x14ac:dyDescent="0.3">
      <c r="A332" s="42" t="s">
        <v>813</v>
      </c>
      <c r="B332" s="43">
        <v>313</v>
      </c>
      <c r="C332" s="43" t="s">
        <v>1706</v>
      </c>
      <c r="D332" s="43">
        <v>14</v>
      </c>
      <c r="E332" s="43" t="s">
        <v>387</v>
      </c>
      <c r="F332" s="43">
        <v>1270151093</v>
      </c>
      <c r="G332" s="43" t="s">
        <v>1707</v>
      </c>
      <c r="H332" s="43" t="s">
        <v>1706</v>
      </c>
      <c r="I332" s="43" t="s">
        <v>1667</v>
      </c>
      <c r="J332" s="43">
        <v>17</v>
      </c>
      <c r="K332" s="43" t="s">
        <v>1255</v>
      </c>
      <c r="L332" s="43"/>
      <c r="M332" s="43" t="s">
        <v>345</v>
      </c>
      <c r="N332" s="43" t="s">
        <v>345</v>
      </c>
      <c r="O332" s="43" t="s">
        <v>344</v>
      </c>
      <c r="P332" s="43" t="s">
        <v>344</v>
      </c>
      <c r="Q332" s="43" t="s">
        <v>344</v>
      </c>
      <c r="R332" s="43"/>
      <c r="S332" s="43" t="s">
        <v>522</v>
      </c>
      <c r="T332" s="43"/>
      <c r="U332" s="43" t="s">
        <v>1457</v>
      </c>
      <c r="V332" s="43"/>
      <c r="W332" s="43" t="s">
        <v>345</v>
      </c>
      <c r="X332" s="43" t="s">
        <v>345</v>
      </c>
      <c r="Y332" s="43" t="s">
        <v>344</v>
      </c>
      <c r="Z332" s="43" t="s">
        <v>344</v>
      </c>
      <c r="AA332" s="43" t="s">
        <v>344</v>
      </c>
      <c r="AB332" s="43" t="s">
        <v>344</v>
      </c>
      <c r="AC332" s="43" t="s">
        <v>344</v>
      </c>
      <c r="AD332" s="43" t="s">
        <v>345</v>
      </c>
      <c r="AE332" s="43" t="s">
        <v>344</v>
      </c>
      <c r="AF332" s="43" t="s">
        <v>344</v>
      </c>
      <c r="AG332" s="43" t="s">
        <v>345</v>
      </c>
      <c r="AH332" s="43" t="s">
        <v>344</v>
      </c>
      <c r="AI332" s="43" t="s">
        <v>344</v>
      </c>
      <c r="AJ332" s="43" t="s">
        <v>344</v>
      </c>
      <c r="AK332" s="43" t="s">
        <v>344</v>
      </c>
      <c r="AL332" s="43" t="s">
        <v>345</v>
      </c>
      <c r="AM332" s="43" t="s">
        <v>345</v>
      </c>
      <c r="AN332" s="43" t="s">
        <v>345</v>
      </c>
      <c r="AO332" s="43" t="s">
        <v>344</v>
      </c>
      <c r="AP332" s="43" t="s">
        <v>344</v>
      </c>
      <c r="AQ332" s="43" t="s">
        <v>344</v>
      </c>
      <c r="AR332" s="43" t="s">
        <v>345</v>
      </c>
      <c r="AS332" s="43" t="s">
        <v>345</v>
      </c>
      <c r="AT332" s="43" t="s">
        <v>345</v>
      </c>
      <c r="AU332" s="43" t="s">
        <v>345</v>
      </c>
      <c r="AV332" s="43" t="s">
        <v>345</v>
      </c>
      <c r="AW332" s="43" t="s">
        <v>345</v>
      </c>
      <c r="AX332" s="43" t="s">
        <v>344</v>
      </c>
      <c r="AY332" s="43" t="s">
        <v>731</v>
      </c>
      <c r="AZ332" s="43" t="s">
        <v>733</v>
      </c>
      <c r="BA332" s="43" t="s">
        <v>732</v>
      </c>
      <c r="BB332" s="43" t="s">
        <v>732</v>
      </c>
      <c r="BC332" s="43" t="s">
        <v>391</v>
      </c>
      <c r="BD332" s="43" t="s">
        <v>391</v>
      </c>
      <c r="BE332" s="43" t="s">
        <v>349</v>
      </c>
      <c r="BF332" s="43" t="s">
        <v>348</v>
      </c>
      <c r="BG332" s="43" t="s">
        <v>390</v>
      </c>
      <c r="BH332" s="43" t="s">
        <v>390</v>
      </c>
      <c r="BI332" s="43" t="s">
        <v>349</v>
      </c>
      <c r="BJ332" s="43" t="s">
        <v>391</v>
      </c>
      <c r="BK332" s="43" t="s">
        <v>391</v>
      </c>
      <c r="BL332" s="43" t="s">
        <v>356</v>
      </c>
      <c r="BM332" s="43" t="s">
        <v>352</v>
      </c>
      <c r="BN332" s="43" t="s">
        <v>391</v>
      </c>
      <c r="BO332" s="43" t="s">
        <v>391</v>
      </c>
      <c r="BP332" s="43" t="s">
        <v>391</v>
      </c>
      <c r="BQ332" s="43" t="s">
        <v>358</v>
      </c>
      <c r="BR332" s="43" t="s">
        <v>1257</v>
      </c>
      <c r="BS332" s="43" t="s">
        <v>391</v>
      </c>
      <c r="BT332" s="43" t="s">
        <v>391</v>
      </c>
      <c r="BU332" s="43" t="s">
        <v>391</v>
      </c>
      <c r="BV332" s="43" t="s">
        <v>391</v>
      </c>
      <c r="BW332" s="43" t="s">
        <v>391</v>
      </c>
      <c r="BX332" s="43" t="s">
        <v>391</v>
      </c>
      <c r="BY332" s="43" t="s">
        <v>391</v>
      </c>
      <c r="BZ332" s="43" t="s">
        <v>391</v>
      </c>
      <c r="CA332" s="43" t="s">
        <v>391</v>
      </c>
      <c r="CB332" s="43" t="s">
        <v>391</v>
      </c>
      <c r="CC332" s="43" t="s">
        <v>391</v>
      </c>
      <c r="CD332" s="43" t="s">
        <v>391</v>
      </c>
      <c r="CE332" s="43" t="s">
        <v>391</v>
      </c>
      <c r="CF332" s="43" t="s">
        <v>391</v>
      </c>
      <c r="CG332" s="43" t="s">
        <v>392</v>
      </c>
      <c r="CH332" s="43" t="s">
        <v>421</v>
      </c>
      <c r="CI332" s="43" t="s">
        <v>420</v>
      </c>
      <c r="CJ332" s="43" t="s">
        <v>393</v>
      </c>
      <c r="CK332" s="43" t="s">
        <v>1708</v>
      </c>
      <c r="CL332" s="43" t="s">
        <v>344</v>
      </c>
      <c r="CM332" s="43" t="s">
        <v>344</v>
      </c>
      <c r="CN332" s="43" t="s">
        <v>345</v>
      </c>
      <c r="CO332" s="43" t="s">
        <v>345</v>
      </c>
      <c r="CP332" s="43" t="s">
        <v>345</v>
      </c>
      <c r="CQ332" s="43" t="s">
        <v>344</v>
      </c>
      <c r="CR332" s="43" t="s">
        <v>655</v>
      </c>
      <c r="CS332" s="43">
        <v>20</v>
      </c>
      <c r="CT332" s="43">
        <v>100</v>
      </c>
      <c r="CU332" s="43">
        <v>70</v>
      </c>
      <c r="CV332" s="43">
        <v>70</v>
      </c>
      <c r="CW332" s="43" t="s">
        <v>363</v>
      </c>
      <c r="CX332" s="43" t="s">
        <v>396</v>
      </c>
      <c r="CY332" s="43" t="s">
        <v>396</v>
      </c>
      <c r="CZ332" s="43" t="s">
        <v>397</v>
      </c>
      <c r="DA332" s="43" t="s">
        <v>397</v>
      </c>
      <c r="DB332" s="43" t="s">
        <v>397</v>
      </c>
      <c r="DC332" s="43" t="s">
        <v>397</v>
      </c>
      <c r="DD332" s="43" t="s">
        <v>397</v>
      </c>
      <c r="DE332" s="43" t="s">
        <v>423</v>
      </c>
      <c r="DF332" s="43" t="s">
        <v>423</v>
      </c>
      <c r="DG332" s="43" t="s">
        <v>397</v>
      </c>
      <c r="DH332" s="43" t="s">
        <v>397</v>
      </c>
      <c r="DI332" s="43" t="s">
        <v>366</v>
      </c>
      <c r="DJ332" s="43" t="s">
        <v>1709</v>
      </c>
      <c r="DK332" s="43" t="s">
        <v>344</v>
      </c>
      <c r="DL332" s="43" t="s">
        <v>368</v>
      </c>
      <c r="DM332" s="43" t="s">
        <v>368</v>
      </c>
      <c r="DN332" s="43" t="s">
        <v>368</v>
      </c>
      <c r="DO332" s="43" t="s">
        <v>368</v>
      </c>
      <c r="DP332" s="43" t="s">
        <v>345</v>
      </c>
      <c r="DQ332" s="43" t="s">
        <v>344</v>
      </c>
      <c r="DR332" s="43" t="s">
        <v>344</v>
      </c>
      <c r="DS332" s="43" t="s">
        <v>344</v>
      </c>
      <c r="DT332" s="43" t="s">
        <v>345</v>
      </c>
      <c r="DU332" s="43" t="s">
        <v>345</v>
      </c>
      <c r="DV332" s="43" t="s">
        <v>345</v>
      </c>
      <c r="DW332" s="43" t="s">
        <v>344</v>
      </c>
      <c r="DX332" s="43" t="s">
        <v>1258</v>
      </c>
      <c r="DY332" s="43" t="s">
        <v>1258</v>
      </c>
      <c r="DZ332" s="43" t="s">
        <v>1258</v>
      </c>
      <c r="EA332" s="43" t="s">
        <v>1258</v>
      </c>
      <c r="EB332" s="43" t="s">
        <v>1272</v>
      </c>
      <c r="EC332" s="43" t="s">
        <v>1272</v>
      </c>
      <c r="ED332" s="43" t="s">
        <v>1258</v>
      </c>
      <c r="EE332" s="43" t="s">
        <v>397</v>
      </c>
      <c r="EF332" s="43" t="s">
        <v>1258</v>
      </c>
      <c r="EG332" s="43" t="s">
        <v>1258</v>
      </c>
      <c r="EH332" s="43" t="s">
        <v>1258</v>
      </c>
      <c r="EI332" s="43" t="s">
        <v>1258</v>
      </c>
      <c r="EJ332" s="43" t="s">
        <v>1258</v>
      </c>
      <c r="EK332" s="43" t="s">
        <v>1258</v>
      </c>
      <c r="EL332" s="43" t="s">
        <v>1259</v>
      </c>
      <c r="EM332" s="43" t="s">
        <v>1260</v>
      </c>
      <c r="EN332" s="43" t="s">
        <v>1261</v>
      </c>
      <c r="EO332" s="43"/>
      <c r="EP332" s="43"/>
      <c r="EQ332" s="43" t="s">
        <v>1264</v>
      </c>
      <c r="ER332" s="43" t="s">
        <v>1264</v>
      </c>
      <c r="ES332" s="43" t="s">
        <v>1277</v>
      </c>
      <c r="ET332" s="43" t="s">
        <v>1264</v>
      </c>
      <c r="EU332" s="43" t="s">
        <v>1264</v>
      </c>
      <c r="EV332" s="43" t="s">
        <v>1265</v>
      </c>
      <c r="EW332" s="43"/>
      <c r="EX332" s="172" t="s">
        <v>345</v>
      </c>
      <c r="EY332" s="172" t="s">
        <v>344</v>
      </c>
      <c r="EZ332" s="172" t="s">
        <v>344</v>
      </c>
      <c r="FA332" s="172" t="s">
        <v>344</v>
      </c>
      <c r="FB332" s="43" t="s">
        <v>1266</v>
      </c>
      <c r="FC332" s="43"/>
      <c r="FD332" s="43" t="s">
        <v>1266</v>
      </c>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t="s">
        <v>368</v>
      </c>
      <c r="GB332" s="43" t="s">
        <v>368</v>
      </c>
      <c r="GC332" s="43" t="s">
        <v>368</v>
      </c>
      <c r="GD332" s="43" t="s">
        <v>368</v>
      </c>
      <c r="GE332" s="43" t="s">
        <v>368</v>
      </c>
      <c r="GF332" s="43" t="s">
        <v>368</v>
      </c>
      <c r="GG332" s="43"/>
      <c r="GH332" s="43"/>
      <c r="GI332" s="43"/>
      <c r="GJ332" s="43"/>
      <c r="GK332" s="43"/>
      <c r="GL332" s="43" t="s">
        <v>344</v>
      </c>
      <c r="GM332" s="43" t="s">
        <v>344</v>
      </c>
      <c r="GN332" s="43" t="s">
        <v>345</v>
      </c>
      <c r="GO332" s="43" t="s">
        <v>345</v>
      </c>
      <c r="GP332" s="43" t="s">
        <v>344</v>
      </c>
      <c r="GQ332" s="43" t="s">
        <v>344</v>
      </c>
      <c r="GR332" s="43" t="s">
        <v>344</v>
      </c>
      <c r="GS332" s="43" t="s">
        <v>344</v>
      </c>
      <c r="GT332" s="43" t="s">
        <v>345</v>
      </c>
      <c r="GU332" s="43" t="s">
        <v>345</v>
      </c>
      <c r="GV332" s="43" t="s">
        <v>345</v>
      </c>
      <c r="GW332" s="43" t="s">
        <v>345</v>
      </c>
      <c r="GX332" s="43" t="s">
        <v>345</v>
      </c>
      <c r="GY332" s="43" t="s">
        <v>345</v>
      </c>
      <c r="GZ332" s="43" t="s">
        <v>345</v>
      </c>
      <c r="HA332" s="43" t="s">
        <v>344</v>
      </c>
      <c r="HB332" s="43"/>
      <c r="HC332" s="43" t="s">
        <v>344</v>
      </c>
      <c r="HD332" s="43"/>
      <c r="HE332" s="43" t="s">
        <v>344</v>
      </c>
      <c r="HF332" s="43"/>
      <c r="HG332" s="43" t="s">
        <v>344</v>
      </c>
      <c r="HH332" s="43"/>
      <c r="HI332" s="43" t="s">
        <v>344</v>
      </c>
      <c r="HJ332" s="43"/>
      <c r="HK332" s="43" t="s">
        <v>344</v>
      </c>
      <c r="HL332" s="43" t="s">
        <v>344</v>
      </c>
      <c r="HM332" s="43" t="s">
        <v>344</v>
      </c>
      <c r="HN332" s="43" t="s">
        <v>344</v>
      </c>
      <c r="HO332" s="43" t="s">
        <v>344</v>
      </c>
      <c r="HP332" s="43" t="s">
        <v>344</v>
      </c>
      <c r="HQ332" s="43" t="s">
        <v>344</v>
      </c>
      <c r="HR332" s="43" t="s">
        <v>344</v>
      </c>
      <c r="HS332" s="43" t="s">
        <v>344</v>
      </c>
      <c r="HT332" s="43" t="s">
        <v>344</v>
      </c>
      <c r="HU332" s="43" t="s">
        <v>344</v>
      </c>
      <c r="HV332" s="43" t="s">
        <v>344</v>
      </c>
      <c r="HW332" s="43" t="s">
        <v>344</v>
      </c>
      <c r="HX332" s="43" t="s">
        <v>344</v>
      </c>
      <c r="HY332" s="43" t="s">
        <v>344</v>
      </c>
      <c r="HZ332" s="43" t="s">
        <v>344</v>
      </c>
      <c r="IA332" s="43" t="s">
        <v>344</v>
      </c>
      <c r="IB332" s="43" t="s">
        <v>344</v>
      </c>
      <c r="IC332" s="43" t="s">
        <v>345</v>
      </c>
      <c r="ID332" s="43"/>
      <c r="IE332" s="43" t="s">
        <v>344</v>
      </c>
      <c r="IF332" s="43"/>
      <c r="IG332" s="43" t="s">
        <v>344</v>
      </c>
      <c r="IH332" s="43"/>
      <c r="II332" s="43" t="s">
        <v>344</v>
      </c>
      <c r="IJ332" s="43"/>
      <c r="IK332" s="43" t="s">
        <v>344</v>
      </c>
      <c r="IL332" s="43"/>
      <c r="IM332" s="43" t="s">
        <v>344</v>
      </c>
      <c r="IN332" s="43" t="s">
        <v>345</v>
      </c>
      <c r="IO332" s="43" t="s">
        <v>344</v>
      </c>
      <c r="IP332" s="43" t="s">
        <v>345</v>
      </c>
      <c r="IQ332" s="43" t="s">
        <v>345</v>
      </c>
      <c r="IR332" s="43" t="s">
        <v>345</v>
      </c>
      <c r="IS332" s="43" t="s">
        <v>344</v>
      </c>
      <c r="IT332" s="43" t="s">
        <v>345</v>
      </c>
      <c r="IU332" s="43" t="s">
        <v>344</v>
      </c>
      <c r="IV332" s="43" t="s">
        <v>344</v>
      </c>
      <c r="IW332" s="43" t="s">
        <v>344</v>
      </c>
      <c r="IX332" s="43" t="s">
        <v>344</v>
      </c>
      <c r="IY332" s="43" t="s">
        <v>345</v>
      </c>
      <c r="IZ332" s="43" t="s">
        <v>344</v>
      </c>
      <c r="JA332" s="43"/>
      <c r="JB332" s="43"/>
    </row>
    <row r="333" spans="1:262" x14ac:dyDescent="0.3">
      <c r="A333" s="42" t="s">
        <v>813</v>
      </c>
      <c r="B333" s="43">
        <v>314</v>
      </c>
      <c r="C333" s="43" t="s">
        <v>1710</v>
      </c>
      <c r="D333" s="43">
        <v>14</v>
      </c>
      <c r="E333" s="43" t="s">
        <v>387</v>
      </c>
      <c r="F333" s="43">
        <v>2109119810</v>
      </c>
      <c r="G333" s="43" t="s">
        <v>1711</v>
      </c>
      <c r="H333" s="43" t="s">
        <v>1710</v>
      </c>
      <c r="I333" s="43" t="s">
        <v>1667</v>
      </c>
      <c r="J333" s="43">
        <v>17</v>
      </c>
      <c r="K333" s="43" t="s">
        <v>1282</v>
      </c>
      <c r="L333" s="43"/>
      <c r="M333" s="43" t="s">
        <v>344</v>
      </c>
      <c r="N333" s="43" t="s">
        <v>345</v>
      </c>
      <c r="O333" s="43" t="s">
        <v>344</v>
      </c>
      <c r="P333" s="43" t="s">
        <v>344</v>
      </c>
      <c r="Q333" s="43" t="s">
        <v>344</v>
      </c>
      <c r="R333" s="43"/>
      <c r="S333" s="43" t="s">
        <v>522</v>
      </c>
      <c r="T333" s="43"/>
      <c r="U333" s="43" t="s">
        <v>1256</v>
      </c>
      <c r="V333" s="43"/>
      <c r="W333" s="43" t="s">
        <v>345</v>
      </c>
      <c r="X333" s="43" t="s">
        <v>344</v>
      </c>
      <c r="Y333" s="43" t="s">
        <v>344</v>
      </c>
      <c r="Z333" s="43" t="s">
        <v>344</v>
      </c>
      <c r="AA333" s="43" t="s">
        <v>344</v>
      </c>
      <c r="AB333" s="43" t="s">
        <v>344</v>
      </c>
      <c r="AC333" s="43" t="s">
        <v>344</v>
      </c>
      <c r="AD333" s="43" t="s">
        <v>368</v>
      </c>
      <c r="AE333" s="43" t="s">
        <v>368</v>
      </c>
      <c r="AF333" s="43" t="s">
        <v>368</v>
      </c>
      <c r="AG333" s="43" t="s">
        <v>368</v>
      </c>
      <c r="AH333" s="43" t="s">
        <v>368</v>
      </c>
      <c r="AI333" s="43" t="s">
        <v>368</v>
      </c>
      <c r="AJ333" s="43" t="s">
        <v>345</v>
      </c>
      <c r="AK333" s="43" t="s">
        <v>344</v>
      </c>
      <c r="AL333" s="43" t="s">
        <v>344</v>
      </c>
      <c r="AM333" s="43" t="s">
        <v>345</v>
      </c>
      <c r="AN333" s="43" t="s">
        <v>344</v>
      </c>
      <c r="AO333" s="43" t="s">
        <v>344</v>
      </c>
      <c r="AP333" s="43" t="s">
        <v>344</v>
      </c>
      <c r="AQ333" s="43" t="s">
        <v>344</v>
      </c>
      <c r="AR333" s="43" t="s">
        <v>344</v>
      </c>
      <c r="AS333" s="43" t="s">
        <v>344</v>
      </c>
      <c r="AT333" s="43" t="s">
        <v>345</v>
      </c>
      <c r="AU333" s="43" t="s">
        <v>344</v>
      </c>
      <c r="AV333" s="43" t="s">
        <v>344</v>
      </c>
      <c r="AW333" s="43" t="s">
        <v>344</v>
      </c>
      <c r="AX333" s="43" t="s">
        <v>344</v>
      </c>
      <c r="AY333" s="43" t="s">
        <v>732</v>
      </c>
      <c r="AZ333" s="43" t="s">
        <v>731</v>
      </c>
      <c r="BA333" s="43" t="s">
        <v>733</v>
      </c>
      <c r="BB333" s="43" t="s">
        <v>732</v>
      </c>
      <c r="BC333" s="43" t="s">
        <v>733</v>
      </c>
      <c r="BD333" s="43" t="s">
        <v>733</v>
      </c>
      <c r="BE333" s="43" t="s">
        <v>390</v>
      </c>
      <c r="BF333" s="43" t="s">
        <v>349</v>
      </c>
      <c r="BG333" s="43" t="s">
        <v>390</v>
      </c>
      <c r="BH333" s="43" t="s">
        <v>349</v>
      </c>
      <c r="BI333" s="43" t="s">
        <v>717</v>
      </c>
      <c r="BJ333" s="43" t="s">
        <v>353</v>
      </c>
      <c r="BK333" s="43" t="s">
        <v>356</v>
      </c>
      <c r="BL333" s="43" t="s">
        <v>357</v>
      </c>
      <c r="BM333" s="43" t="s">
        <v>351</v>
      </c>
      <c r="BN333" s="43" t="s">
        <v>355</v>
      </c>
      <c r="BO333" s="43" t="s">
        <v>354</v>
      </c>
      <c r="BP333" s="43" t="s">
        <v>391</v>
      </c>
      <c r="BQ333" s="43" t="s">
        <v>419</v>
      </c>
      <c r="BR333" s="43" t="s">
        <v>1257</v>
      </c>
      <c r="BS333" s="43" t="s">
        <v>351</v>
      </c>
      <c r="BT333" s="43" t="s">
        <v>356</v>
      </c>
      <c r="BU333" s="43" t="s">
        <v>352</v>
      </c>
      <c r="BV333" s="43" t="s">
        <v>353</v>
      </c>
      <c r="BW333" s="43" t="s">
        <v>357</v>
      </c>
      <c r="BX333" s="43" t="s">
        <v>354</v>
      </c>
      <c r="BY333" s="43" t="s">
        <v>355</v>
      </c>
      <c r="BZ333" s="43" t="s">
        <v>354</v>
      </c>
      <c r="CA333" s="43" t="s">
        <v>355</v>
      </c>
      <c r="CB333" s="43" t="s">
        <v>357</v>
      </c>
      <c r="CC333" s="43" t="s">
        <v>391</v>
      </c>
      <c r="CD333" s="43" t="s">
        <v>391</v>
      </c>
      <c r="CE333" s="43" t="s">
        <v>391</v>
      </c>
      <c r="CF333" s="43" t="s">
        <v>391</v>
      </c>
      <c r="CG333" s="43" t="s">
        <v>420</v>
      </c>
      <c r="CH333" s="43" t="s">
        <v>393</v>
      </c>
      <c r="CI333" s="43" t="s">
        <v>393</v>
      </c>
      <c r="CJ333" s="43" t="s">
        <v>420</v>
      </c>
      <c r="CK333" s="43" t="s">
        <v>391</v>
      </c>
      <c r="CL333" s="43" t="s">
        <v>344</v>
      </c>
      <c r="CM333" s="43" t="s">
        <v>344</v>
      </c>
      <c r="CN333" s="43" t="s">
        <v>344</v>
      </c>
      <c r="CO333" s="43" t="s">
        <v>344</v>
      </c>
      <c r="CP333" s="43" t="s">
        <v>344</v>
      </c>
      <c r="CQ333" s="43" t="s">
        <v>345</v>
      </c>
      <c r="CR333" s="43" t="s">
        <v>655</v>
      </c>
      <c r="CS333" s="43">
        <v>75</v>
      </c>
      <c r="CT333" s="43">
        <v>60</v>
      </c>
      <c r="CU333" s="43">
        <v>77</v>
      </c>
      <c r="CV333" s="43">
        <v>74</v>
      </c>
      <c r="CW333" s="43" t="s">
        <v>471</v>
      </c>
      <c r="CX333" s="43" t="s">
        <v>396</v>
      </c>
      <c r="CY333" s="43" t="s">
        <v>396</v>
      </c>
      <c r="CZ333" s="43" t="s">
        <v>717</v>
      </c>
      <c r="DA333" s="43" t="s">
        <v>397</v>
      </c>
      <c r="DB333" s="43" t="s">
        <v>397</v>
      </c>
      <c r="DC333" s="43" t="s">
        <v>397</v>
      </c>
      <c r="DD333" s="43" t="s">
        <v>397</v>
      </c>
      <c r="DE333" s="43" t="s">
        <v>717</v>
      </c>
      <c r="DF333" s="43" t="s">
        <v>366</v>
      </c>
      <c r="DG333" s="43" t="s">
        <v>397</v>
      </c>
      <c r="DH333" s="43" t="s">
        <v>397</v>
      </c>
      <c r="DI333" s="43" t="s">
        <v>397</v>
      </c>
      <c r="DJ333" s="43" t="s">
        <v>1712</v>
      </c>
      <c r="DK333" s="43" t="s">
        <v>344</v>
      </c>
      <c r="DL333" s="43" t="s">
        <v>368</v>
      </c>
      <c r="DM333" s="43" t="s">
        <v>368</v>
      </c>
      <c r="DN333" s="43" t="s">
        <v>368</v>
      </c>
      <c r="DO333" s="43" t="s">
        <v>368</v>
      </c>
      <c r="DP333" s="43" t="s">
        <v>368</v>
      </c>
      <c r="DQ333" s="43" t="s">
        <v>368</v>
      </c>
      <c r="DR333" s="43" t="s">
        <v>368</v>
      </c>
      <c r="DS333" s="43" t="s">
        <v>345</v>
      </c>
      <c r="DT333" s="43" t="s">
        <v>368</v>
      </c>
      <c r="DU333" s="43" t="s">
        <v>368</v>
      </c>
      <c r="DV333" s="43" t="s">
        <v>368</v>
      </c>
      <c r="DW333" s="43" t="s">
        <v>345</v>
      </c>
      <c r="DX333" s="43" t="s">
        <v>1273</v>
      </c>
      <c r="DY333" s="43" t="s">
        <v>1258</v>
      </c>
      <c r="DZ333" s="43" t="s">
        <v>397</v>
      </c>
      <c r="EA333" s="43" t="s">
        <v>397</v>
      </c>
      <c r="EB333" s="43" t="s">
        <v>1273</v>
      </c>
      <c r="EC333" s="43" t="s">
        <v>397</v>
      </c>
      <c r="ED333" s="43" t="s">
        <v>1274</v>
      </c>
      <c r="EE333" s="43" t="s">
        <v>1258</v>
      </c>
      <c r="EF333" s="43" t="s">
        <v>1258</v>
      </c>
      <c r="EG333" s="43" t="s">
        <v>397</v>
      </c>
      <c r="EH333" s="43" t="s">
        <v>1258</v>
      </c>
      <c r="EI333" s="43" t="s">
        <v>1258</v>
      </c>
      <c r="EJ333" s="43" t="s">
        <v>1258</v>
      </c>
      <c r="EK333" s="43" t="s">
        <v>1258</v>
      </c>
      <c r="EL333" s="43" t="s">
        <v>1276</v>
      </c>
      <c r="EM333" s="43" t="s">
        <v>1260</v>
      </c>
      <c r="EN333" s="43" t="s">
        <v>1275</v>
      </c>
      <c r="EO333" s="43"/>
      <c r="EP333" s="43"/>
      <c r="EQ333" s="43" t="s">
        <v>1263</v>
      </c>
      <c r="ER333" s="43" t="s">
        <v>1263</v>
      </c>
      <c r="ES333" s="43" t="s">
        <v>1263</v>
      </c>
      <c r="ET333" s="43" t="s">
        <v>1263</v>
      </c>
      <c r="EU333" s="43" t="s">
        <v>1263</v>
      </c>
      <c r="EV333" s="43" t="s">
        <v>1265</v>
      </c>
      <c r="EW333" s="43"/>
      <c r="EX333" s="43" t="s">
        <v>368</v>
      </c>
      <c r="EY333" s="43" t="s">
        <v>368</v>
      </c>
      <c r="EZ333" s="43" t="s">
        <v>368</v>
      </c>
      <c r="FA333" s="43" t="s">
        <v>345</v>
      </c>
      <c r="FB333" s="43" t="s">
        <v>1266</v>
      </c>
      <c r="FC333" s="43"/>
      <c r="FD333" s="43" t="s">
        <v>1266</v>
      </c>
      <c r="FE333" s="43"/>
      <c r="FF333" s="43" t="s">
        <v>1322</v>
      </c>
      <c r="FG333" s="43" t="s">
        <v>1323</v>
      </c>
      <c r="FH333" s="43" t="s">
        <v>1293</v>
      </c>
      <c r="FI333" s="43" t="s">
        <v>1294</v>
      </c>
      <c r="FJ333" s="43"/>
      <c r="FK333" s="43"/>
      <c r="FL333" s="43"/>
      <c r="FM333" s="43"/>
      <c r="FN333" s="43"/>
      <c r="FO333" s="43"/>
      <c r="FP333" s="43"/>
      <c r="FQ333" s="43"/>
      <c r="FR333" s="43"/>
      <c r="FS333" s="43"/>
      <c r="FT333" s="43"/>
      <c r="FU333" s="43"/>
      <c r="FV333" s="43"/>
      <c r="FW333" s="43"/>
      <c r="FX333" s="43"/>
      <c r="FY333" s="43"/>
      <c r="FZ333" s="43"/>
      <c r="GA333" s="43" t="s">
        <v>368</v>
      </c>
      <c r="GB333" s="43" t="s">
        <v>368</v>
      </c>
      <c r="GC333" s="43" t="s">
        <v>368</v>
      </c>
      <c r="GD333" s="43" t="s">
        <v>368</v>
      </c>
      <c r="GE333" s="43" t="s">
        <v>368</v>
      </c>
      <c r="GF333" s="43" t="s">
        <v>368</v>
      </c>
      <c r="GG333" s="43"/>
      <c r="GH333" s="43"/>
      <c r="GI333" s="43"/>
      <c r="GJ333" s="43"/>
      <c r="GK333" s="43"/>
      <c r="GL333" s="43" t="s">
        <v>344</v>
      </c>
      <c r="GM333" s="43" t="s">
        <v>344</v>
      </c>
      <c r="GN333" s="43" t="s">
        <v>344</v>
      </c>
      <c r="GO333" s="43" t="s">
        <v>344</v>
      </c>
      <c r="GP333" s="43" t="s">
        <v>344</v>
      </c>
      <c r="GQ333" s="43" t="s">
        <v>344</v>
      </c>
      <c r="GR333" s="43" t="s">
        <v>344</v>
      </c>
      <c r="GS333" s="43" t="s">
        <v>344</v>
      </c>
      <c r="GT333" s="43" t="s">
        <v>344</v>
      </c>
      <c r="GU333" s="43" t="s">
        <v>344</v>
      </c>
      <c r="GV333" s="43" t="s">
        <v>344</v>
      </c>
      <c r="GW333" s="43" t="s">
        <v>344</v>
      </c>
      <c r="GX333" s="43" t="s">
        <v>344</v>
      </c>
      <c r="GY333" s="43" t="s">
        <v>344</v>
      </c>
      <c r="GZ333" s="43" t="s">
        <v>344</v>
      </c>
      <c r="HA333" s="43" t="s">
        <v>345</v>
      </c>
      <c r="HB333" s="43"/>
      <c r="HC333" s="43" t="s">
        <v>344</v>
      </c>
      <c r="HD333" s="43"/>
      <c r="HE333" s="43" t="s">
        <v>344</v>
      </c>
      <c r="HF333" s="43"/>
      <c r="HG333" s="43" t="s">
        <v>344</v>
      </c>
      <c r="HH333" s="43"/>
      <c r="HI333" s="43" t="s">
        <v>344</v>
      </c>
      <c r="HJ333" s="43"/>
      <c r="HK333" s="43" t="s">
        <v>344</v>
      </c>
      <c r="HL333" s="43" t="s">
        <v>344</v>
      </c>
      <c r="HM333" s="43" t="s">
        <v>344</v>
      </c>
      <c r="HN333" s="43" t="s">
        <v>344</v>
      </c>
      <c r="HO333" s="43" t="s">
        <v>344</v>
      </c>
      <c r="HP333" s="43" t="s">
        <v>344</v>
      </c>
      <c r="HQ333" s="43" t="s">
        <v>344</v>
      </c>
      <c r="HR333" s="43" t="s">
        <v>344</v>
      </c>
      <c r="HS333" s="43" t="s">
        <v>344</v>
      </c>
      <c r="HT333" s="43" t="s">
        <v>344</v>
      </c>
      <c r="HU333" s="43" t="s">
        <v>344</v>
      </c>
      <c r="HV333" s="43" t="s">
        <v>344</v>
      </c>
      <c r="HW333" s="43" t="s">
        <v>344</v>
      </c>
      <c r="HX333" s="43" t="s">
        <v>344</v>
      </c>
      <c r="HY333" s="43" t="s">
        <v>344</v>
      </c>
      <c r="HZ333" s="43" t="s">
        <v>344</v>
      </c>
      <c r="IA333" s="43" t="s">
        <v>344</v>
      </c>
      <c r="IB333" s="43" t="s">
        <v>344</v>
      </c>
      <c r="IC333" s="43" t="s">
        <v>345</v>
      </c>
      <c r="ID333" s="43"/>
      <c r="IE333" s="43" t="s">
        <v>344</v>
      </c>
      <c r="IF333" s="43"/>
      <c r="IG333" s="43" t="s">
        <v>344</v>
      </c>
      <c r="IH333" s="43"/>
      <c r="II333" s="43" t="s">
        <v>344</v>
      </c>
      <c r="IJ333" s="43"/>
      <c r="IK333" s="43" t="s">
        <v>344</v>
      </c>
      <c r="IL333" s="43"/>
      <c r="IM333" s="43" t="s">
        <v>345</v>
      </c>
      <c r="IN333" s="43" t="s">
        <v>345</v>
      </c>
      <c r="IO333" s="43" t="s">
        <v>344</v>
      </c>
      <c r="IP333" s="43" t="s">
        <v>344</v>
      </c>
      <c r="IQ333" s="43" t="s">
        <v>345</v>
      </c>
      <c r="IR333" s="43" t="s">
        <v>345</v>
      </c>
      <c r="IS333" s="43" t="s">
        <v>344</v>
      </c>
      <c r="IT333" s="43" t="s">
        <v>345</v>
      </c>
      <c r="IU333" s="43" t="s">
        <v>344</v>
      </c>
      <c r="IV333" s="43" t="s">
        <v>344</v>
      </c>
      <c r="IW333" s="43" t="s">
        <v>344</v>
      </c>
      <c r="IX333" s="43" t="s">
        <v>344</v>
      </c>
      <c r="IY333" s="43" t="s">
        <v>345</v>
      </c>
      <c r="IZ333" s="43" t="s">
        <v>344</v>
      </c>
      <c r="JA333" s="43"/>
      <c r="JB333" s="43" t="s">
        <v>1713</v>
      </c>
    </row>
    <row r="334" spans="1:262" x14ac:dyDescent="0.3">
      <c r="A334" s="42" t="s">
        <v>813</v>
      </c>
      <c r="B334" s="43">
        <v>315</v>
      </c>
      <c r="C334" s="43" t="s">
        <v>1714</v>
      </c>
      <c r="D334" s="43">
        <v>14</v>
      </c>
      <c r="E334" s="43" t="s">
        <v>387</v>
      </c>
      <c r="F334" s="43">
        <v>2014051362</v>
      </c>
      <c r="G334" s="43" t="s">
        <v>1715</v>
      </c>
      <c r="H334" s="43" t="s">
        <v>1714</v>
      </c>
      <c r="I334" s="43" t="s">
        <v>1667</v>
      </c>
      <c r="J334" s="43">
        <v>17</v>
      </c>
      <c r="K334" s="43" t="s">
        <v>1282</v>
      </c>
      <c r="L334" s="43"/>
      <c r="M334" s="43" t="s">
        <v>345</v>
      </c>
      <c r="N334" s="43" t="s">
        <v>344</v>
      </c>
      <c r="O334" s="43" t="s">
        <v>344</v>
      </c>
      <c r="P334" s="43" t="s">
        <v>344</v>
      </c>
      <c r="Q334" s="43" t="s">
        <v>344</v>
      </c>
      <c r="R334" s="43"/>
      <c r="S334" s="43" t="s">
        <v>522</v>
      </c>
      <c r="T334" s="43"/>
      <c r="U334" s="43" t="s">
        <v>1457</v>
      </c>
      <c r="V334" s="43"/>
      <c r="W334" s="43" t="s">
        <v>345</v>
      </c>
      <c r="X334" s="43" t="s">
        <v>345</v>
      </c>
      <c r="Y334" s="43" t="s">
        <v>344</v>
      </c>
      <c r="Z334" s="43" t="s">
        <v>344</v>
      </c>
      <c r="AA334" s="43" t="s">
        <v>344</v>
      </c>
      <c r="AB334" s="43" t="s">
        <v>344</v>
      </c>
      <c r="AC334" s="43" t="s">
        <v>344</v>
      </c>
      <c r="AD334" s="43" t="s">
        <v>344</v>
      </c>
      <c r="AE334" s="43" t="s">
        <v>345</v>
      </c>
      <c r="AF334" s="43" t="s">
        <v>344</v>
      </c>
      <c r="AG334" s="43" t="s">
        <v>344</v>
      </c>
      <c r="AH334" s="43" t="s">
        <v>344</v>
      </c>
      <c r="AI334" s="43" t="s">
        <v>345</v>
      </c>
      <c r="AJ334" s="43" t="s">
        <v>344</v>
      </c>
      <c r="AK334" s="43" t="s">
        <v>368</v>
      </c>
      <c r="AL334" s="43" t="s">
        <v>368</v>
      </c>
      <c r="AM334" s="43" t="s">
        <v>368</v>
      </c>
      <c r="AN334" s="43" t="s">
        <v>368</v>
      </c>
      <c r="AO334" s="43" t="s">
        <v>368</v>
      </c>
      <c r="AP334" s="43" t="s">
        <v>368</v>
      </c>
      <c r="AQ334" s="43" t="s">
        <v>345</v>
      </c>
      <c r="AR334" s="43" t="s">
        <v>344</v>
      </c>
      <c r="AS334" s="43" t="s">
        <v>344</v>
      </c>
      <c r="AT334" s="43" t="s">
        <v>345</v>
      </c>
      <c r="AU334" s="43" t="s">
        <v>344</v>
      </c>
      <c r="AV334" s="43" t="s">
        <v>345</v>
      </c>
      <c r="AW334" s="43" t="s">
        <v>345</v>
      </c>
      <c r="AX334" s="43" t="s">
        <v>344</v>
      </c>
      <c r="AY334" s="43" t="s">
        <v>391</v>
      </c>
      <c r="AZ334" s="43" t="s">
        <v>391</v>
      </c>
      <c r="BA334" s="43" t="s">
        <v>391</v>
      </c>
      <c r="BB334" s="43" t="s">
        <v>391</v>
      </c>
      <c r="BC334" s="43" t="s">
        <v>391</v>
      </c>
      <c r="BD334" s="43" t="s">
        <v>391</v>
      </c>
      <c r="BE334" s="43" t="s">
        <v>348</v>
      </c>
      <c r="BF334" s="43" t="s">
        <v>349</v>
      </c>
      <c r="BG334" s="43" t="s">
        <v>390</v>
      </c>
      <c r="BH334" s="43" t="s">
        <v>349</v>
      </c>
      <c r="BI334" s="43" t="s">
        <v>348</v>
      </c>
      <c r="BJ334" s="43" t="s">
        <v>391</v>
      </c>
      <c r="BK334" s="43" t="s">
        <v>391</v>
      </c>
      <c r="BL334" s="43" t="s">
        <v>391</v>
      </c>
      <c r="BM334" s="43" t="s">
        <v>391</v>
      </c>
      <c r="BN334" s="43" t="s">
        <v>391</v>
      </c>
      <c r="BO334" s="43" t="s">
        <v>391</v>
      </c>
      <c r="BP334" s="43" t="s">
        <v>391</v>
      </c>
      <c r="BQ334" s="43" t="s">
        <v>358</v>
      </c>
      <c r="BR334" s="43" t="s">
        <v>1296</v>
      </c>
      <c r="BS334" s="43" t="s">
        <v>391</v>
      </c>
      <c r="BT334" s="43" t="s">
        <v>391</v>
      </c>
      <c r="BU334" s="43" t="s">
        <v>391</v>
      </c>
      <c r="BV334" s="43" t="s">
        <v>391</v>
      </c>
      <c r="BW334" s="43" t="s">
        <v>391</v>
      </c>
      <c r="BX334" s="43" t="s">
        <v>391</v>
      </c>
      <c r="BY334" s="43" t="s">
        <v>391</v>
      </c>
      <c r="BZ334" s="43" t="s">
        <v>391</v>
      </c>
      <c r="CA334" s="43" t="s">
        <v>391</v>
      </c>
      <c r="CB334" s="43" t="s">
        <v>391</v>
      </c>
      <c r="CC334" s="43" t="s">
        <v>391</v>
      </c>
      <c r="CD334" s="43" t="s">
        <v>391</v>
      </c>
      <c r="CE334" s="43" t="s">
        <v>391</v>
      </c>
      <c r="CF334" s="43" t="s">
        <v>391</v>
      </c>
      <c r="CG334" s="43" t="s">
        <v>420</v>
      </c>
      <c r="CH334" s="43" t="s">
        <v>360</v>
      </c>
      <c r="CI334" s="43" t="s">
        <v>393</v>
      </c>
      <c r="CJ334" s="43" t="s">
        <v>360</v>
      </c>
      <c r="CK334" s="43" t="s">
        <v>1716</v>
      </c>
      <c r="CL334" s="43" t="s">
        <v>345</v>
      </c>
      <c r="CM334" s="43" t="s">
        <v>344</v>
      </c>
      <c r="CN334" s="43" t="s">
        <v>345</v>
      </c>
      <c r="CO334" s="43" t="s">
        <v>345</v>
      </c>
      <c r="CP334" s="43" t="s">
        <v>345</v>
      </c>
      <c r="CQ334" s="43" t="s">
        <v>344</v>
      </c>
      <c r="CR334" s="43" t="s">
        <v>667</v>
      </c>
      <c r="CS334" s="43">
        <v>12</v>
      </c>
      <c r="CT334" s="43">
        <v>100</v>
      </c>
      <c r="CU334" s="43"/>
      <c r="CV334" s="43"/>
      <c r="CW334" s="43" t="s">
        <v>364</v>
      </c>
      <c r="CX334" s="43" t="s">
        <v>364</v>
      </c>
      <c r="CY334" s="43" t="s">
        <v>396</v>
      </c>
      <c r="CZ334" s="43" t="s">
        <v>366</v>
      </c>
      <c r="DA334" s="43" t="s">
        <v>366</v>
      </c>
      <c r="DB334" s="43" t="s">
        <v>366</v>
      </c>
      <c r="DC334" s="43" t="s">
        <v>366</v>
      </c>
      <c r="DD334" s="43" t="s">
        <v>423</v>
      </c>
      <c r="DE334" s="43"/>
      <c r="DF334" s="43"/>
      <c r="DG334" s="43"/>
      <c r="DH334" s="43"/>
      <c r="DI334" s="43"/>
      <c r="DJ334" s="43" t="s">
        <v>1717</v>
      </c>
      <c r="DK334" s="43" t="s">
        <v>344</v>
      </c>
      <c r="DL334" s="43" t="s">
        <v>368</v>
      </c>
      <c r="DM334" s="43" t="s">
        <v>368</v>
      </c>
      <c r="DN334" s="43" t="s">
        <v>368</v>
      </c>
      <c r="DO334" s="43" t="s">
        <v>368</v>
      </c>
      <c r="DP334" s="43" t="s">
        <v>345</v>
      </c>
      <c r="DQ334" s="43" t="s">
        <v>344</v>
      </c>
      <c r="DR334" s="43" t="s">
        <v>344</v>
      </c>
      <c r="DS334" s="43" t="s">
        <v>344</v>
      </c>
      <c r="DT334" s="43" t="s">
        <v>345</v>
      </c>
      <c r="DU334" s="43" t="s">
        <v>345</v>
      </c>
      <c r="DV334" s="43" t="s">
        <v>345</v>
      </c>
      <c r="DW334" s="43" t="s">
        <v>344</v>
      </c>
      <c r="DX334" s="43" t="s">
        <v>1258</v>
      </c>
      <c r="DY334" s="43" t="s">
        <v>1258</v>
      </c>
      <c r="DZ334" s="43" t="s">
        <v>1258</v>
      </c>
      <c r="EA334" s="43" t="s">
        <v>1258</v>
      </c>
      <c r="EB334" s="43" t="s">
        <v>1258</v>
      </c>
      <c r="EC334" s="43" t="s">
        <v>1258</v>
      </c>
      <c r="ED334" s="43" t="s">
        <v>1258</v>
      </c>
      <c r="EE334" s="43" t="s">
        <v>397</v>
      </c>
      <c r="EF334" s="43" t="s">
        <v>1274</v>
      </c>
      <c r="EG334" s="43" t="s">
        <v>397</v>
      </c>
      <c r="EH334" s="43" t="s">
        <v>1272</v>
      </c>
      <c r="EI334" s="43" t="s">
        <v>397</v>
      </c>
      <c r="EJ334" s="43" t="s">
        <v>1272</v>
      </c>
      <c r="EK334" s="43" t="s">
        <v>1272</v>
      </c>
      <c r="EL334" s="43" t="s">
        <v>1275</v>
      </c>
      <c r="EM334" s="43" t="s">
        <v>1276</v>
      </c>
      <c r="EN334" s="43" t="s">
        <v>1260</v>
      </c>
      <c r="EO334" s="43"/>
      <c r="EP334" s="43"/>
      <c r="EQ334" s="43" t="s">
        <v>1264</v>
      </c>
      <c r="ER334" s="43" t="s">
        <v>1264</v>
      </c>
      <c r="ES334" s="43" t="s">
        <v>1263</v>
      </c>
      <c r="ET334" s="43" t="s">
        <v>1264</v>
      </c>
      <c r="EU334" s="43" t="s">
        <v>1264</v>
      </c>
      <c r="EV334" s="43" t="s">
        <v>1265</v>
      </c>
      <c r="EW334" s="43"/>
      <c r="EX334" s="43" t="s">
        <v>368</v>
      </c>
      <c r="EY334" s="43" t="s">
        <v>368</v>
      </c>
      <c r="EZ334" s="43" t="s">
        <v>368</v>
      </c>
      <c r="FA334" s="43" t="s">
        <v>345</v>
      </c>
      <c r="FB334" s="43" t="s">
        <v>1266</v>
      </c>
      <c r="FC334" s="43"/>
      <c r="FD334" s="43" t="s">
        <v>1266</v>
      </c>
      <c r="FE334" s="43"/>
      <c r="FF334" s="43" t="s">
        <v>382</v>
      </c>
      <c r="FG334" s="43" t="s">
        <v>1292</v>
      </c>
      <c r="FH334" s="43" t="s">
        <v>1301</v>
      </c>
      <c r="FI334" s="43" t="s">
        <v>385</v>
      </c>
      <c r="FJ334" s="43"/>
      <c r="FK334" s="43"/>
      <c r="FL334" s="43"/>
      <c r="FM334" s="43"/>
      <c r="FN334" s="43"/>
      <c r="FO334" s="43"/>
      <c r="FP334" s="43"/>
      <c r="FQ334" s="43"/>
      <c r="FR334" s="43"/>
      <c r="FS334" s="43"/>
      <c r="FT334" s="43"/>
      <c r="FU334" s="43"/>
      <c r="FV334" s="43"/>
      <c r="FW334" s="43"/>
      <c r="FX334" s="43"/>
      <c r="FY334" s="43"/>
      <c r="FZ334" s="43"/>
      <c r="GA334" s="43" t="s">
        <v>368</v>
      </c>
      <c r="GB334" s="43" t="s">
        <v>368</v>
      </c>
      <c r="GC334" s="43" t="s">
        <v>368</v>
      </c>
      <c r="GD334" s="43" t="s">
        <v>368</v>
      </c>
      <c r="GE334" s="43" t="s">
        <v>368</v>
      </c>
      <c r="GF334" s="43" t="s">
        <v>368</v>
      </c>
      <c r="GG334" s="43"/>
      <c r="GH334" s="43"/>
      <c r="GI334" s="43"/>
      <c r="GJ334" s="43"/>
      <c r="GK334" s="43"/>
      <c r="GL334" s="43" t="s">
        <v>344</v>
      </c>
      <c r="GM334" s="43" t="s">
        <v>344</v>
      </c>
      <c r="GN334" s="43" t="s">
        <v>344</v>
      </c>
      <c r="GO334" s="43" t="s">
        <v>344</v>
      </c>
      <c r="GP334" s="43" t="s">
        <v>344</v>
      </c>
      <c r="GQ334" s="43" t="s">
        <v>344</v>
      </c>
      <c r="GR334" s="43" t="s">
        <v>344</v>
      </c>
      <c r="GS334" s="43" t="s">
        <v>344</v>
      </c>
      <c r="GT334" s="43" t="s">
        <v>345</v>
      </c>
      <c r="GU334" s="43" t="s">
        <v>344</v>
      </c>
      <c r="GV334" s="43" t="s">
        <v>344</v>
      </c>
      <c r="GW334" s="43" t="s">
        <v>345</v>
      </c>
      <c r="GX334" s="43" t="s">
        <v>344</v>
      </c>
      <c r="GY334" s="43" t="s">
        <v>344</v>
      </c>
      <c r="GZ334" s="43" t="s">
        <v>344</v>
      </c>
      <c r="HA334" s="43" t="s">
        <v>344</v>
      </c>
      <c r="HB334" s="43"/>
      <c r="HC334" s="43" t="s">
        <v>344</v>
      </c>
      <c r="HD334" s="43"/>
      <c r="HE334" s="43" t="s">
        <v>344</v>
      </c>
      <c r="HF334" s="43"/>
      <c r="HG334" s="43" t="s">
        <v>344</v>
      </c>
      <c r="HH334" s="43"/>
      <c r="HI334" s="43" t="s">
        <v>344</v>
      </c>
      <c r="HJ334" s="43"/>
      <c r="HK334" s="43" t="s">
        <v>344</v>
      </c>
      <c r="HL334" s="43" t="s">
        <v>344</v>
      </c>
      <c r="HM334" s="43" t="s">
        <v>344</v>
      </c>
      <c r="HN334" s="43" t="s">
        <v>344</v>
      </c>
      <c r="HO334" s="43" t="s">
        <v>344</v>
      </c>
      <c r="HP334" s="43" t="s">
        <v>344</v>
      </c>
      <c r="HQ334" s="43" t="s">
        <v>344</v>
      </c>
      <c r="HR334" s="43" t="s">
        <v>344</v>
      </c>
      <c r="HS334" s="43" t="s">
        <v>344</v>
      </c>
      <c r="HT334" s="43" t="s">
        <v>344</v>
      </c>
      <c r="HU334" s="43" t="s">
        <v>344</v>
      </c>
      <c r="HV334" s="43" t="s">
        <v>344</v>
      </c>
      <c r="HW334" s="43" t="s">
        <v>344</v>
      </c>
      <c r="HX334" s="43" t="s">
        <v>344</v>
      </c>
      <c r="HY334" s="43" t="s">
        <v>344</v>
      </c>
      <c r="HZ334" s="43" t="s">
        <v>344</v>
      </c>
      <c r="IA334" s="43" t="s">
        <v>344</v>
      </c>
      <c r="IB334" s="43" t="s">
        <v>344</v>
      </c>
      <c r="IC334" s="43" t="s">
        <v>345</v>
      </c>
      <c r="ID334" s="43"/>
      <c r="IE334" s="43" t="s">
        <v>344</v>
      </c>
      <c r="IF334" s="43"/>
      <c r="IG334" s="43" t="s">
        <v>344</v>
      </c>
      <c r="IH334" s="43"/>
      <c r="II334" s="43" t="s">
        <v>344</v>
      </c>
      <c r="IJ334" s="43"/>
      <c r="IK334" s="43" t="s">
        <v>344</v>
      </c>
      <c r="IL334" s="43"/>
      <c r="IM334" s="43" t="s">
        <v>345</v>
      </c>
      <c r="IN334" s="43" t="s">
        <v>345</v>
      </c>
      <c r="IO334" s="43" t="s">
        <v>344</v>
      </c>
      <c r="IP334" s="43" t="s">
        <v>344</v>
      </c>
      <c r="IQ334" s="43" t="s">
        <v>345</v>
      </c>
      <c r="IR334" s="43" t="s">
        <v>345</v>
      </c>
      <c r="IS334" s="43" t="s">
        <v>344</v>
      </c>
      <c r="IT334" s="43" t="s">
        <v>345</v>
      </c>
      <c r="IU334" s="43" t="s">
        <v>344</v>
      </c>
      <c r="IV334" s="43" t="s">
        <v>344</v>
      </c>
      <c r="IW334" s="43" t="s">
        <v>344</v>
      </c>
      <c r="IX334" s="43" t="s">
        <v>344</v>
      </c>
      <c r="IY334" s="43" t="s">
        <v>345</v>
      </c>
      <c r="IZ334" s="43" t="s">
        <v>344</v>
      </c>
      <c r="JA334" s="43"/>
      <c r="JB334" s="43" t="s">
        <v>1718</v>
      </c>
    </row>
    <row r="335" spans="1:262" x14ac:dyDescent="0.3">
      <c r="A335" s="42" t="s">
        <v>813</v>
      </c>
      <c r="B335" s="43">
        <v>316</v>
      </c>
      <c r="C335" s="43" t="s">
        <v>1719</v>
      </c>
      <c r="D335" s="43">
        <v>14</v>
      </c>
      <c r="E335" s="43" t="s">
        <v>340</v>
      </c>
      <c r="F335" s="43">
        <v>561219466</v>
      </c>
      <c r="G335" s="43" t="s">
        <v>1720</v>
      </c>
      <c r="H335" s="43" t="s">
        <v>1719</v>
      </c>
      <c r="I335" s="43" t="s">
        <v>1721</v>
      </c>
      <c r="J335" s="43">
        <v>16</v>
      </c>
      <c r="K335" s="43" t="s">
        <v>1282</v>
      </c>
      <c r="L335" s="43"/>
      <c r="M335" s="43" t="s">
        <v>345</v>
      </c>
      <c r="N335" s="43" t="s">
        <v>345</v>
      </c>
      <c r="O335" s="43" t="s">
        <v>344</v>
      </c>
      <c r="P335" s="43" t="s">
        <v>344</v>
      </c>
      <c r="Q335" s="43" t="s">
        <v>344</v>
      </c>
      <c r="R335" s="43"/>
      <c r="S335" s="43" t="s">
        <v>522</v>
      </c>
      <c r="T335" s="43"/>
      <c r="U335" s="43" t="s">
        <v>1457</v>
      </c>
      <c r="V335" s="43"/>
      <c r="W335" s="43" t="s">
        <v>344</v>
      </c>
      <c r="X335" s="43" t="s">
        <v>345</v>
      </c>
      <c r="Y335" s="43" t="s">
        <v>344</v>
      </c>
      <c r="Z335" s="43" t="s">
        <v>344</v>
      </c>
      <c r="AA335" s="43" t="s">
        <v>344</v>
      </c>
      <c r="AB335" s="43" t="s">
        <v>344</v>
      </c>
      <c r="AC335" s="43" t="s">
        <v>344</v>
      </c>
      <c r="AD335" s="43" t="s">
        <v>344</v>
      </c>
      <c r="AE335" s="43" t="s">
        <v>345</v>
      </c>
      <c r="AF335" s="43" t="s">
        <v>344</v>
      </c>
      <c r="AG335" s="43" t="s">
        <v>344</v>
      </c>
      <c r="AH335" s="43" t="s">
        <v>344</v>
      </c>
      <c r="AI335" s="43" t="s">
        <v>344</v>
      </c>
      <c r="AJ335" s="43" t="s">
        <v>344</v>
      </c>
      <c r="AK335" s="43" t="s">
        <v>344</v>
      </c>
      <c r="AL335" s="43" t="s">
        <v>345</v>
      </c>
      <c r="AM335" s="43" t="s">
        <v>345</v>
      </c>
      <c r="AN335" s="43" t="s">
        <v>344</v>
      </c>
      <c r="AO335" s="43" t="s">
        <v>344</v>
      </c>
      <c r="AP335" s="43" t="s">
        <v>344</v>
      </c>
      <c r="AQ335" s="43" t="s">
        <v>344</v>
      </c>
      <c r="AR335" s="43" t="s">
        <v>345</v>
      </c>
      <c r="AS335" s="43" t="s">
        <v>345</v>
      </c>
      <c r="AT335" s="43" t="s">
        <v>344</v>
      </c>
      <c r="AU335" s="43" t="s">
        <v>344</v>
      </c>
      <c r="AV335" s="43" t="s">
        <v>344</v>
      </c>
      <c r="AW335" s="43" t="s">
        <v>344</v>
      </c>
      <c r="AX335" s="43" t="s">
        <v>344</v>
      </c>
      <c r="AY335" s="43" t="s">
        <v>732</v>
      </c>
      <c r="AZ335" s="43" t="s">
        <v>737</v>
      </c>
      <c r="BA335" s="43" t="s">
        <v>733</v>
      </c>
      <c r="BB335" s="43" t="s">
        <v>732</v>
      </c>
      <c r="BC335" s="43" t="s">
        <v>733</v>
      </c>
      <c r="BD335" s="43" t="s">
        <v>733</v>
      </c>
      <c r="BE335" s="43" t="s">
        <v>350</v>
      </c>
      <c r="BF335" s="43" t="s">
        <v>349</v>
      </c>
      <c r="BG335" s="43" t="s">
        <v>349</v>
      </c>
      <c r="BH335" s="43" t="s">
        <v>390</v>
      </c>
      <c r="BI335" s="43" t="s">
        <v>349</v>
      </c>
      <c r="BJ335" s="43" t="s">
        <v>351</v>
      </c>
      <c r="BK335" s="43" t="s">
        <v>356</v>
      </c>
      <c r="BL335" s="43" t="s">
        <v>391</v>
      </c>
      <c r="BM335" s="43" t="s">
        <v>353</v>
      </c>
      <c r="BN335" s="43" t="s">
        <v>391</v>
      </c>
      <c r="BO335" s="43" t="s">
        <v>391</v>
      </c>
      <c r="BP335" s="43" t="s">
        <v>355</v>
      </c>
      <c r="BQ335" s="43" t="s">
        <v>407</v>
      </c>
      <c r="BR335" s="43" t="s">
        <v>1296</v>
      </c>
      <c r="BS335" s="43" t="s">
        <v>391</v>
      </c>
      <c r="BT335" s="43" t="s">
        <v>391</v>
      </c>
      <c r="BU335" s="43" t="s">
        <v>391</v>
      </c>
      <c r="BV335" s="43" t="s">
        <v>391</v>
      </c>
      <c r="BW335" s="43" t="s">
        <v>391</v>
      </c>
      <c r="BX335" s="43" t="s">
        <v>391</v>
      </c>
      <c r="BY335" s="43" t="s">
        <v>391</v>
      </c>
      <c r="BZ335" s="43" t="s">
        <v>391</v>
      </c>
      <c r="CA335" s="43" t="s">
        <v>391</v>
      </c>
      <c r="CB335" s="43" t="s">
        <v>391</v>
      </c>
      <c r="CC335" s="43" t="s">
        <v>391</v>
      </c>
      <c r="CD335" s="43" t="s">
        <v>391</v>
      </c>
      <c r="CE335" s="43" t="s">
        <v>391</v>
      </c>
      <c r="CF335" s="43" t="s">
        <v>391</v>
      </c>
      <c r="CG335" s="43" t="s">
        <v>420</v>
      </c>
      <c r="CH335" s="43" t="s">
        <v>421</v>
      </c>
      <c r="CI335" s="43" t="s">
        <v>420</v>
      </c>
      <c r="CJ335" s="43" t="s">
        <v>392</v>
      </c>
      <c r="CK335" s="43" t="s">
        <v>510</v>
      </c>
      <c r="CL335" s="43" t="s">
        <v>344</v>
      </c>
      <c r="CM335" s="43" t="s">
        <v>344</v>
      </c>
      <c r="CN335" s="43" t="s">
        <v>344</v>
      </c>
      <c r="CO335" s="43" t="s">
        <v>344</v>
      </c>
      <c r="CP335" s="43" t="s">
        <v>345</v>
      </c>
      <c r="CQ335" s="43" t="s">
        <v>344</v>
      </c>
      <c r="CR335" s="43" t="s">
        <v>655</v>
      </c>
      <c r="CS335" s="43">
        <v>20</v>
      </c>
      <c r="CT335" s="43">
        <v>70</v>
      </c>
      <c r="CU335" s="43">
        <v>63</v>
      </c>
      <c r="CV335" s="43">
        <v>50</v>
      </c>
      <c r="CW335" s="43" t="s">
        <v>363</v>
      </c>
      <c r="CX335" s="43" t="s">
        <v>396</v>
      </c>
      <c r="CY335" s="43" t="s">
        <v>396</v>
      </c>
      <c r="CZ335" s="43" t="s">
        <v>397</v>
      </c>
      <c r="DA335" s="43" t="s">
        <v>397</v>
      </c>
      <c r="DB335" s="43" t="s">
        <v>397</v>
      </c>
      <c r="DC335" s="43" t="s">
        <v>397</v>
      </c>
      <c r="DD335" s="43" t="s">
        <v>423</v>
      </c>
      <c r="DE335" s="43" t="s">
        <v>423</v>
      </c>
      <c r="DF335" s="43" t="s">
        <v>423</v>
      </c>
      <c r="DG335" s="43" t="s">
        <v>397</v>
      </c>
      <c r="DH335" s="43" t="s">
        <v>397</v>
      </c>
      <c r="DI335" s="43" t="s">
        <v>397</v>
      </c>
      <c r="DJ335" s="43"/>
      <c r="DK335" s="43" t="s">
        <v>344</v>
      </c>
      <c r="DL335" s="43" t="s">
        <v>368</v>
      </c>
      <c r="DM335" s="43" t="s">
        <v>368</v>
      </c>
      <c r="DN335" s="43" t="s">
        <v>368</v>
      </c>
      <c r="DO335" s="43" t="s">
        <v>368</v>
      </c>
      <c r="DP335" s="43" t="s">
        <v>344</v>
      </c>
      <c r="DQ335" s="43" t="s">
        <v>344</v>
      </c>
      <c r="DR335" s="43" t="s">
        <v>345</v>
      </c>
      <c r="DS335" s="43" t="s">
        <v>344</v>
      </c>
      <c r="DT335" s="43" t="s">
        <v>368</v>
      </c>
      <c r="DU335" s="43" t="s">
        <v>368</v>
      </c>
      <c r="DV335" s="43" t="s">
        <v>368</v>
      </c>
      <c r="DW335" s="43" t="s">
        <v>345</v>
      </c>
      <c r="DX335" s="43" t="s">
        <v>1272</v>
      </c>
      <c r="DY335" s="43" t="s">
        <v>1258</v>
      </c>
      <c r="DZ335" s="43" t="s">
        <v>1258</v>
      </c>
      <c r="EA335" s="43" t="s">
        <v>397</v>
      </c>
      <c r="EB335" s="43" t="s">
        <v>397</v>
      </c>
      <c r="EC335" s="43" t="s">
        <v>397</v>
      </c>
      <c r="ED335" s="43" t="s">
        <v>1272</v>
      </c>
      <c r="EE335" s="43" t="s">
        <v>1272</v>
      </c>
      <c r="EF335" s="43" t="s">
        <v>1272</v>
      </c>
      <c r="EG335" s="43" t="s">
        <v>397</v>
      </c>
      <c r="EH335" s="43" t="s">
        <v>1258</v>
      </c>
      <c r="EI335" s="43" t="s">
        <v>1258</v>
      </c>
      <c r="EJ335" s="43" t="s">
        <v>1258</v>
      </c>
      <c r="EK335" s="43" t="s">
        <v>1274</v>
      </c>
      <c r="EL335" s="43" t="s">
        <v>1259</v>
      </c>
      <c r="EM335" s="43" t="s">
        <v>1276</v>
      </c>
      <c r="EN335" s="43" t="s">
        <v>1275</v>
      </c>
      <c r="EO335" s="43"/>
      <c r="EP335" s="43"/>
      <c r="EQ335" s="43" t="s">
        <v>1263</v>
      </c>
      <c r="ER335" s="43" t="s">
        <v>1263</v>
      </c>
      <c r="ES335" s="43" t="s">
        <v>1264</v>
      </c>
      <c r="ET335" s="43" t="s">
        <v>1263</v>
      </c>
      <c r="EU335" s="43" t="s">
        <v>1277</v>
      </c>
      <c r="EV335" s="43" t="s">
        <v>1265</v>
      </c>
      <c r="EW335" s="43"/>
      <c r="EX335" s="43" t="s">
        <v>368</v>
      </c>
      <c r="EY335" s="43" t="s">
        <v>368</v>
      </c>
      <c r="EZ335" s="43" t="s">
        <v>368</v>
      </c>
      <c r="FA335" s="43" t="s">
        <v>345</v>
      </c>
      <c r="FB335" s="43" t="s">
        <v>1266</v>
      </c>
      <c r="FC335" s="43"/>
      <c r="FD335" s="43" t="s">
        <v>1266</v>
      </c>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t="s">
        <v>368</v>
      </c>
      <c r="GB335" s="43" t="s">
        <v>368</v>
      </c>
      <c r="GC335" s="43" t="s">
        <v>368</v>
      </c>
      <c r="GD335" s="43" t="s">
        <v>368</v>
      </c>
      <c r="GE335" s="43" t="s">
        <v>368</v>
      </c>
      <c r="GF335" s="43" t="s">
        <v>368</v>
      </c>
      <c r="GG335" s="43"/>
      <c r="GH335" s="43"/>
      <c r="GI335" s="43"/>
      <c r="GJ335" s="43"/>
      <c r="GK335" s="43"/>
      <c r="GL335" s="43" t="s">
        <v>344</v>
      </c>
      <c r="GM335" s="43" t="s">
        <v>344</v>
      </c>
      <c r="GN335" s="43" t="s">
        <v>345</v>
      </c>
      <c r="GO335" s="43" t="s">
        <v>345</v>
      </c>
      <c r="GP335" s="43" t="s">
        <v>344</v>
      </c>
      <c r="GQ335" s="43" t="s">
        <v>345</v>
      </c>
      <c r="GR335" s="43" t="s">
        <v>344</v>
      </c>
      <c r="GS335" s="43" t="s">
        <v>344</v>
      </c>
      <c r="GT335" s="43" t="s">
        <v>344</v>
      </c>
      <c r="GU335" s="43" t="s">
        <v>344</v>
      </c>
      <c r="GV335" s="43" t="s">
        <v>344</v>
      </c>
      <c r="GW335" s="43" t="s">
        <v>345</v>
      </c>
      <c r="GX335" s="43" t="s">
        <v>344</v>
      </c>
      <c r="GY335" s="43" t="s">
        <v>344</v>
      </c>
      <c r="GZ335" s="43" t="s">
        <v>344</v>
      </c>
      <c r="HA335" s="43" t="s">
        <v>344</v>
      </c>
      <c r="HB335" s="43"/>
      <c r="HC335" s="43" t="s">
        <v>344</v>
      </c>
      <c r="HD335" s="43"/>
      <c r="HE335" s="43" t="s">
        <v>344</v>
      </c>
      <c r="HF335" s="43"/>
      <c r="HG335" s="43" t="s">
        <v>344</v>
      </c>
      <c r="HH335" s="43"/>
      <c r="HI335" s="43" t="s">
        <v>344</v>
      </c>
      <c r="HJ335" s="43"/>
      <c r="HK335" s="43" t="s">
        <v>344</v>
      </c>
      <c r="HL335" s="43" t="s">
        <v>344</v>
      </c>
      <c r="HM335" s="43" t="s">
        <v>344</v>
      </c>
      <c r="HN335" s="43" t="s">
        <v>345</v>
      </c>
      <c r="HO335" s="43" t="s">
        <v>344</v>
      </c>
      <c r="HP335" s="43" t="s">
        <v>344</v>
      </c>
      <c r="HQ335" s="43" t="s">
        <v>345</v>
      </c>
      <c r="HR335" s="43" t="s">
        <v>344</v>
      </c>
      <c r="HS335" s="43" t="s">
        <v>344</v>
      </c>
      <c r="HT335" s="43" t="s">
        <v>344</v>
      </c>
      <c r="HU335" s="43" t="s">
        <v>344</v>
      </c>
      <c r="HV335" s="43" t="s">
        <v>344</v>
      </c>
      <c r="HW335" s="43" t="s">
        <v>345</v>
      </c>
      <c r="HX335" s="43" t="s">
        <v>345</v>
      </c>
      <c r="HY335" s="43" t="s">
        <v>344</v>
      </c>
      <c r="HZ335" s="43" t="s">
        <v>344</v>
      </c>
      <c r="IA335" s="43" t="s">
        <v>344</v>
      </c>
      <c r="IB335" s="43" t="s">
        <v>345</v>
      </c>
      <c r="IC335" s="43" t="s">
        <v>344</v>
      </c>
      <c r="ID335" s="43"/>
      <c r="IE335" s="43" t="s">
        <v>344</v>
      </c>
      <c r="IF335" s="43"/>
      <c r="IG335" s="43" t="s">
        <v>344</v>
      </c>
      <c r="IH335" s="43"/>
      <c r="II335" s="43" t="s">
        <v>344</v>
      </c>
      <c r="IJ335" s="43"/>
      <c r="IK335" s="43" t="s">
        <v>344</v>
      </c>
      <c r="IL335" s="43"/>
      <c r="IM335" s="43" t="s">
        <v>345</v>
      </c>
      <c r="IN335" s="43" t="s">
        <v>345</v>
      </c>
      <c r="IO335" s="43" t="s">
        <v>344</v>
      </c>
      <c r="IP335" s="43" t="s">
        <v>344</v>
      </c>
      <c r="IQ335" s="43" t="s">
        <v>345</v>
      </c>
      <c r="IR335" s="43" t="s">
        <v>345</v>
      </c>
      <c r="IS335" s="43" t="s">
        <v>344</v>
      </c>
      <c r="IT335" s="43" t="s">
        <v>345</v>
      </c>
      <c r="IU335" s="43" t="s">
        <v>344</v>
      </c>
      <c r="IV335" s="43" t="s">
        <v>344</v>
      </c>
      <c r="IW335" s="43" t="s">
        <v>344</v>
      </c>
      <c r="IX335" s="43" t="s">
        <v>344</v>
      </c>
      <c r="IY335" s="43" t="s">
        <v>345</v>
      </c>
      <c r="IZ335" s="43" t="s">
        <v>344</v>
      </c>
      <c r="JA335" s="43"/>
      <c r="JB335" s="43"/>
    </row>
    <row r="336" spans="1:262" x14ac:dyDescent="0.3">
      <c r="A336" s="42" t="s">
        <v>813</v>
      </c>
      <c r="B336" s="43">
        <v>317</v>
      </c>
      <c r="C336" s="43" t="s">
        <v>1722</v>
      </c>
      <c r="D336" s="43">
        <v>14</v>
      </c>
      <c r="E336" s="43" t="s">
        <v>387</v>
      </c>
      <c r="F336" s="43">
        <v>1518681725</v>
      </c>
      <c r="G336" s="43" t="s">
        <v>1723</v>
      </c>
      <c r="H336" s="43" t="s">
        <v>1722</v>
      </c>
      <c r="I336" s="43" t="s">
        <v>1667</v>
      </c>
      <c r="J336" s="43">
        <v>17</v>
      </c>
      <c r="K336" s="43" t="s">
        <v>1282</v>
      </c>
      <c r="L336" s="43"/>
      <c r="M336" s="43" t="s">
        <v>345</v>
      </c>
      <c r="N336" s="43" t="s">
        <v>345</v>
      </c>
      <c r="O336" s="43" t="s">
        <v>344</v>
      </c>
      <c r="P336" s="43" t="s">
        <v>344</v>
      </c>
      <c r="Q336" s="43" t="s">
        <v>344</v>
      </c>
      <c r="R336" s="43"/>
      <c r="S336" s="43" t="s">
        <v>522</v>
      </c>
      <c r="T336" s="43"/>
      <c r="U336" s="43" t="s">
        <v>1270</v>
      </c>
      <c r="V336" s="43"/>
      <c r="W336" s="43" t="s">
        <v>345</v>
      </c>
      <c r="X336" s="43" t="s">
        <v>345</v>
      </c>
      <c r="Y336" s="43" t="s">
        <v>344</v>
      </c>
      <c r="Z336" s="43" t="s">
        <v>344</v>
      </c>
      <c r="AA336" s="43" t="s">
        <v>344</v>
      </c>
      <c r="AB336" s="43" t="s">
        <v>345</v>
      </c>
      <c r="AC336" s="43" t="s">
        <v>344</v>
      </c>
      <c r="AD336" s="43" t="s">
        <v>368</v>
      </c>
      <c r="AE336" s="43" t="s">
        <v>368</v>
      </c>
      <c r="AF336" s="43" t="s">
        <v>368</v>
      </c>
      <c r="AG336" s="43" t="s">
        <v>368</v>
      </c>
      <c r="AH336" s="43" t="s">
        <v>368</v>
      </c>
      <c r="AI336" s="43" t="s">
        <v>368</v>
      </c>
      <c r="AJ336" s="43" t="s">
        <v>345</v>
      </c>
      <c r="AK336" s="43" t="s">
        <v>345</v>
      </c>
      <c r="AL336" s="43" t="s">
        <v>344</v>
      </c>
      <c r="AM336" s="43" t="s">
        <v>344</v>
      </c>
      <c r="AN336" s="43" t="s">
        <v>344</v>
      </c>
      <c r="AO336" s="43" t="s">
        <v>344</v>
      </c>
      <c r="AP336" s="43" t="s">
        <v>344</v>
      </c>
      <c r="AQ336" s="43" t="s">
        <v>344</v>
      </c>
      <c r="AR336" s="43" t="s">
        <v>345</v>
      </c>
      <c r="AS336" s="43" t="s">
        <v>344</v>
      </c>
      <c r="AT336" s="43" t="s">
        <v>344</v>
      </c>
      <c r="AU336" s="43" t="s">
        <v>345</v>
      </c>
      <c r="AV336" s="43" t="s">
        <v>344</v>
      </c>
      <c r="AW336" s="43" t="s">
        <v>344</v>
      </c>
      <c r="AX336" s="43" t="s">
        <v>344</v>
      </c>
      <c r="AY336" s="43" t="s">
        <v>391</v>
      </c>
      <c r="AZ336" s="43" t="s">
        <v>391</v>
      </c>
      <c r="BA336" s="43" t="s">
        <v>737</v>
      </c>
      <c r="BB336" s="43" t="s">
        <v>731</v>
      </c>
      <c r="BC336" s="43" t="s">
        <v>731</v>
      </c>
      <c r="BD336" s="43" t="s">
        <v>731</v>
      </c>
      <c r="BE336" s="43" t="s">
        <v>348</v>
      </c>
      <c r="BF336" s="43" t="s">
        <v>349</v>
      </c>
      <c r="BG336" s="43" t="s">
        <v>349</v>
      </c>
      <c r="BH336" s="43" t="s">
        <v>390</v>
      </c>
      <c r="BI336" s="43" t="s">
        <v>348</v>
      </c>
      <c r="BJ336" s="43" t="s">
        <v>391</v>
      </c>
      <c r="BK336" s="43" t="s">
        <v>391</v>
      </c>
      <c r="BL336" s="43" t="s">
        <v>391</v>
      </c>
      <c r="BM336" s="43" t="s">
        <v>391</v>
      </c>
      <c r="BN336" s="43" t="s">
        <v>391</v>
      </c>
      <c r="BO336" s="43" t="s">
        <v>391</v>
      </c>
      <c r="BP336" s="43" t="s">
        <v>391</v>
      </c>
      <c r="BQ336" s="43" t="s">
        <v>358</v>
      </c>
      <c r="BR336" s="43" t="s">
        <v>1296</v>
      </c>
      <c r="BS336" s="43" t="s">
        <v>391</v>
      </c>
      <c r="BT336" s="43" t="s">
        <v>391</v>
      </c>
      <c r="BU336" s="43" t="s">
        <v>391</v>
      </c>
      <c r="BV336" s="43" t="s">
        <v>391</v>
      </c>
      <c r="BW336" s="43" t="s">
        <v>391</v>
      </c>
      <c r="BX336" s="43" t="s">
        <v>391</v>
      </c>
      <c r="BY336" s="43" t="s">
        <v>391</v>
      </c>
      <c r="BZ336" s="43" t="s">
        <v>391</v>
      </c>
      <c r="CA336" s="43" t="s">
        <v>391</v>
      </c>
      <c r="CB336" s="43" t="s">
        <v>391</v>
      </c>
      <c r="CC336" s="43" t="s">
        <v>391</v>
      </c>
      <c r="CD336" s="43" t="s">
        <v>391</v>
      </c>
      <c r="CE336" s="43" t="s">
        <v>391</v>
      </c>
      <c r="CF336" s="43" t="s">
        <v>391</v>
      </c>
      <c r="CG336" s="43" t="s">
        <v>393</v>
      </c>
      <c r="CH336" s="43" t="s">
        <v>360</v>
      </c>
      <c r="CI336" s="43" t="s">
        <v>392</v>
      </c>
      <c r="CJ336" s="43" t="s">
        <v>392</v>
      </c>
      <c r="CK336" s="43" t="s">
        <v>1724</v>
      </c>
      <c r="CL336" s="43" t="s">
        <v>344</v>
      </c>
      <c r="CM336" s="43" t="s">
        <v>344</v>
      </c>
      <c r="CN336" s="43" t="s">
        <v>344</v>
      </c>
      <c r="CO336" s="43" t="s">
        <v>344</v>
      </c>
      <c r="CP336" s="43" t="s">
        <v>345</v>
      </c>
      <c r="CQ336" s="43" t="s">
        <v>344</v>
      </c>
      <c r="CR336" s="43" t="s">
        <v>829</v>
      </c>
      <c r="CS336" s="43">
        <v>50</v>
      </c>
      <c r="CT336" s="43">
        <v>90</v>
      </c>
      <c r="CU336" s="43">
        <v>77</v>
      </c>
      <c r="CV336" s="43">
        <v>5</v>
      </c>
      <c r="CW336" s="43" t="s">
        <v>364</v>
      </c>
      <c r="CX336" s="43" t="s">
        <v>363</v>
      </c>
      <c r="CY336" s="43" t="s">
        <v>395</v>
      </c>
      <c r="CZ336" s="43" t="s">
        <v>397</v>
      </c>
      <c r="DA336" s="43" t="s">
        <v>397</v>
      </c>
      <c r="DB336" s="43" t="s">
        <v>397</v>
      </c>
      <c r="DC336" s="43" t="s">
        <v>397</v>
      </c>
      <c r="DD336" s="43" t="s">
        <v>397</v>
      </c>
      <c r="DE336" s="43" t="s">
        <v>397</v>
      </c>
      <c r="DF336" s="43" t="s">
        <v>365</v>
      </c>
      <c r="DG336" s="43" t="s">
        <v>397</v>
      </c>
      <c r="DH336" s="43" t="s">
        <v>397</v>
      </c>
      <c r="DI336" s="43" t="s">
        <v>397</v>
      </c>
      <c r="DJ336" s="43" t="s">
        <v>1725</v>
      </c>
      <c r="DK336" s="43" t="s">
        <v>1403</v>
      </c>
      <c r="DL336" s="43" t="s">
        <v>368</v>
      </c>
      <c r="DM336" s="43" t="s">
        <v>368</v>
      </c>
      <c r="DN336" s="43" t="s">
        <v>368</v>
      </c>
      <c r="DO336" s="43" t="s">
        <v>345</v>
      </c>
      <c r="DP336" s="43" t="s">
        <v>345</v>
      </c>
      <c r="DQ336" s="43" t="s">
        <v>344</v>
      </c>
      <c r="DR336" s="43" t="s">
        <v>344</v>
      </c>
      <c r="DS336" s="43" t="s">
        <v>344</v>
      </c>
      <c r="DT336" s="43" t="s">
        <v>345</v>
      </c>
      <c r="DU336" s="43" t="s">
        <v>345</v>
      </c>
      <c r="DV336" s="43" t="s">
        <v>345</v>
      </c>
      <c r="DW336" s="43" t="s">
        <v>344</v>
      </c>
      <c r="DX336" s="43" t="s">
        <v>1258</v>
      </c>
      <c r="DY336" s="43" t="s">
        <v>1258</v>
      </c>
      <c r="DZ336" s="43" t="s">
        <v>397</v>
      </c>
      <c r="EA336" s="43" t="s">
        <v>1274</v>
      </c>
      <c r="EB336" s="43" t="s">
        <v>397</v>
      </c>
      <c r="EC336" s="43" t="s">
        <v>397</v>
      </c>
      <c r="ED336" s="43" t="s">
        <v>397</v>
      </c>
      <c r="EE336" s="43" t="s">
        <v>1258</v>
      </c>
      <c r="EF336" s="43" t="s">
        <v>1258</v>
      </c>
      <c r="EG336" s="43" t="s">
        <v>1258</v>
      </c>
      <c r="EH336" s="43" t="s">
        <v>1258</v>
      </c>
      <c r="EI336" s="43" t="s">
        <v>1258</v>
      </c>
      <c r="EJ336" s="43" t="s">
        <v>1258</v>
      </c>
      <c r="EK336" s="43" t="s">
        <v>1258</v>
      </c>
      <c r="EL336" s="43" t="s">
        <v>1275</v>
      </c>
      <c r="EM336" s="43" t="s">
        <v>1276</v>
      </c>
      <c r="EN336" s="43" t="s">
        <v>1260</v>
      </c>
      <c r="EO336" s="43"/>
      <c r="EP336" s="43"/>
      <c r="EQ336" s="43" t="s">
        <v>717</v>
      </c>
      <c r="ER336" s="43" t="s">
        <v>717</v>
      </c>
      <c r="ES336" s="43" t="s">
        <v>1263</v>
      </c>
      <c r="ET336" s="43" t="s">
        <v>1277</v>
      </c>
      <c r="EU336" s="43" t="s">
        <v>1277</v>
      </c>
      <c r="EV336" s="43" t="s">
        <v>1265</v>
      </c>
      <c r="EW336" s="43"/>
      <c r="EX336" s="43" t="s">
        <v>368</v>
      </c>
      <c r="EY336" s="43" t="s">
        <v>368</v>
      </c>
      <c r="EZ336" s="43" t="s">
        <v>368</v>
      </c>
      <c r="FA336" s="43" t="s">
        <v>345</v>
      </c>
      <c r="FB336" s="43" t="s">
        <v>1300</v>
      </c>
      <c r="FC336" s="43"/>
      <c r="FD336" s="43" t="s">
        <v>1266</v>
      </c>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t="s">
        <v>368</v>
      </c>
      <c r="GB336" s="43" t="s">
        <v>368</v>
      </c>
      <c r="GC336" s="43" t="s">
        <v>368</v>
      </c>
      <c r="GD336" s="43" t="s">
        <v>368</v>
      </c>
      <c r="GE336" s="43" t="s">
        <v>368</v>
      </c>
      <c r="GF336" s="43" t="s">
        <v>368</v>
      </c>
      <c r="GG336" s="43"/>
      <c r="GH336" s="43"/>
      <c r="GI336" s="43"/>
      <c r="GJ336" s="43"/>
      <c r="GK336" s="43"/>
      <c r="GL336" s="43" t="s">
        <v>344</v>
      </c>
      <c r="GM336" s="43" t="s">
        <v>344</v>
      </c>
      <c r="GN336" s="43" t="s">
        <v>344</v>
      </c>
      <c r="GO336" s="43" t="s">
        <v>344</v>
      </c>
      <c r="GP336" s="43" t="s">
        <v>344</v>
      </c>
      <c r="GQ336" s="43" t="s">
        <v>344</v>
      </c>
      <c r="GR336" s="43" t="s">
        <v>344</v>
      </c>
      <c r="GS336" s="43" t="s">
        <v>344</v>
      </c>
      <c r="GT336" s="43" t="s">
        <v>344</v>
      </c>
      <c r="GU336" s="43" t="s">
        <v>344</v>
      </c>
      <c r="GV336" s="43" t="s">
        <v>344</v>
      </c>
      <c r="GW336" s="43" t="s">
        <v>344</v>
      </c>
      <c r="GX336" s="43" t="s">
        <v>344</v>
      </c>
      <c r="GY336" s="43" t="s">
        <v>344</v>
      </c>
      <c r="GZ336" s="43" t="s">
        <v>344</v>
      </c>
      <c r="HA336" s="43" t="s">
        <v>345</v>
      </c>
      <c r="HB336" s="43"/>
      <c r="HC336" s="43" t="s">
        <v>344</v>
      </c>
      <c r="HD336" s="43"/>
      <c r="HE336" s="43" t="s">
        <v>344</v>
      </c>
      <c r="HF336" s="43"/>
      <c r="HG336" s="43" t="s">
        <v>344</v>
      </c>
      <c r="HH336" s="43"/>
      <c r="HI336" s="43" t="s">
        <v>344</v>
      </c>
      <c r="HJ336" s="43"/>
      <c r="HK336" s="43" t="s">
        <v>344</v>
      </c>
      <c r="HL336" s="43" t="s">
        <v>344</v>
      </c>
      <c r="HM336" s="43" t="s">
        <v>344</v>
      </c>
      <c r="HN336" s="43" t="s">
        <v>344</v>
      </c>
      <c r="HO336" s="43" t="s">
        <v>344</v>
      </c>
      <c r="HP336" s="43" t="s">
        <v>344</v>
      </c>
      <c r="HQ336" s="43" t="s">
        <v>344</v>
      </c>
      <c r="HR336" s="43" t="s">
        <v>344</v>
      </c>
      <c r="HS336" s="43" t="s">
        <v>344</v>
      </c>
      <c r="HT336" s="43" t="s">
        <v>344</v>
      </c>
      <c r="HU336" s="43" t="s">
        <v>344</v>
      </c>
      <c r="HV336" s="43" t="s">
        <v>344</v>
      </c>
      <c r="HW336" s="43" t="s">
        <v>344</v>
      </c>
      <c r="HX336" s="43" t="s">
        <v>344</v>
      </c>
      <c r="HY336" s="43" t="s">
        <v>344</v>
      </c>
      <c r="HZ336" s="43" t="s">
        <v>344</v>
      </c>
      <c r="IA336" s="43" t="s">
        <v>344</v>
      </c>
      <c r="IB336" s="43" t="s">
        <v>344</v>
      </c>
      <c r="IC336" s="43" t="s">
        <v>345</v>
      </c>
      <c r="ID336" s="43"/>
      <c r="IE336" s="43" t="s">
        <v>344</v>
      </c>
      <c r="IF336" s="43"/>
      <c r="IG336" s="43" t="s">
        <v>344</v>
      </c>
      <c r="IH336" s="43"/>
      <c r="II336" s="43" t="s">
        <v>344</v>
      </c>
      <c r="IJ336" s="43"/>
      <c r="IK336" s="43" t="s">
        <v>344</v>
      </c>
      <c r="IL336" s="43"/>
      <c r="IM336" s="43" t="s">
        <v>344</v>
      </c>
      <c r="IN336" s="43" t="s">
        <v>344</v>
      </c>
      <c r="IO336" s="43" t="s">
        <v>345</v>
      </c>
      <c r="IP336" s="43" t="s">
        <v>344</v>
      </c>
      <c r="IQ336" s="43" t="s">
        <v>345</v>
      </c>
      <c r="IR336" s="43" t="s">
        <v>345</v>
      </c>
      <c r="IS336" s="43" t="s">
        <v>344</v>
      </c>
      <c r="IT336" s="43" t="s">
        <v>345</v>
      </c>
      <c r="IU336" s="43" t="s">
        <v>344</v>
      </c>
      <c r="IV336" s="43" t="s">
        <v>344</v>
      </c>
      <c r="IW336" s="43" t="s">
        <v>344</v>
      </c>
      <c r="IX336" s="43" t="s">
        <v>344</v>
      </c>
      <c r="IY336" s="43" t="s">
        <v>344</v>
      </c>
      <c r="IZ336" s="43" t="s">
        <v>344</v>
      </c>
      <c r="JA336" s="43"/>
      <c r="JB336" s="43"/>
    </row>
    <row r="337" spans="1:331" x14ac:dyDescent="0.3">
      <c r="A337" s="42" t="s">
        <v>813</v>
      </c>
      <c r="B337" s="43">
        <v>318</v>
      </c>
      <c r="C337" s="43" t="s">
        <v>1726</v>
      </c>
      <c r="D337" s="43">
        <v>14</v>
      </c>
      <c r="E337" s="43" t="s">
        <v>387</v>
      </c>
      <c r="F337" s="43">
        <v>1753851380</v>
      </c>
      <c r="G337" s="43" t="s">
        <v>1727</v>
      </c>
      <c r="H337" s="43" t="s">
        <v>1726</v>
      </c>
      <c r="I337" s="43" t="s">
        <v>1667</v>
      </c>
      <c r="J337" s="43">
        <v>17</v>
      </c>
      <c r="K337" s="43" t="s">
        <v>1255</v>
      </c>
      <c r="L337" s="43"/>
      <c r="M337" s="43" t="s">
        <v>345</v>
      </c>
      <c r="N337" s="43" t="s">
        <v>345</v>
      </c>
      <c r="O337" s="43" t="s">
        <v>344</v>
      </c>
      <c r="P337" s="43" t="s">
        <v>344</v>
      </c>
      <c r="Q337" s="43" t="s">
        <v>344</v>
      </c>
      <c r="R337" s="43"/>
      <c r="S337" s="43" t="s">
        <v>522</v>
      </c>
      <c r="T337" s="43"/>
      <c r="U337" s="43" t="s">
        <v>1457</v>
      </c>
      <c r="V337" s="43"/>
      <c r="W337" s="43" t="s">
        <v>345</v>
      </c>
      <c r="X337" s="43" t="s">
        <v>344</v>
      </c>
      <c r="Y337" s="43" t="s">
        <v>345</v>
      </c>
      <c r="Z337" s="43" t="s">
        <v>344</v>
      </c>
      <c r="AA337" s="43" t="s">
        <v>344</v>
      </c>
      <c r="AB337" s="43" t="s">
        <v>344</v>
      </c>
      <c r="AC337" s="43" t="s">
        <v>344</v>
      </c>
      <c r="AD337" s="43" t="s">
        <v>345</v>
      </c>
      <c r="AE337" s="43" t="s">
        <v>345</v>
      </c>
      <c r="AF337" s="43" t="s">
        <v>344</v>
      </c>
      <c r="AG337" s="43" t="s">
        <v>344</v>
      </c>
      <c r="AH337" s="43" t="s">
        <v>344</v>
      </c>
      <c r="AI337" s="43" t="s">
        <v>344</v>
      </c>
      <c r="AJ337" s="43" t="s">
        <v>344</v>
      </c>
      <c r="AK337" s="43" t="s">
        <v>344</v>
      </c>
      <c r="AL337" s="43" t="s">
        <v>345</v>
      </c>
      <c r="AM337" s="43" t="s">
        <v>344</v>
      </c>
      <c r="AN337" s="43" t="s">
        <v>344</v>
      </c>
      <c r="AO337" s="43" t="s">
        <v>344</v>
      </c>
      <c r="AP337" s="43" t="s">
        <v>344</v>
      </c>
      <c r="AQ337" s="43" t="s">
        <v>344</v>
      </c>
      <c r="AR337" s="43" t="s">
        <v>345</v>
      </c>
      <c r="AS337" s="43" t="s">
        <v>345</v>
      </c>
      <c r="AT337" s="43" t="s">
        <v>344</v>
      </c>
      <c r="AU337" s="43" t="s">
        <v>344</v>
      </c>
      <c r="AV337" s="43" t="s">
        <v>344</v>
      </c>
      <c r="AW337" s="43" t="s">
        <v>344</v>
      </c>
      <c r="AX337" s="43" t="s">
        <v>344</v>
      </c>
      <c r="AY337" s="43" t="s">
        <v>733</v>
      </c>
      <c r="AZ337" s="43" t="s">
        <v>733</v>
      </c>
      <c r="BA337" s="43" t="s">
        <v>731</v>
      </c>
      <c r="BB337" s="43" t="s">
        <v>733</v>
      </c>
      <c r="BC337" s="43" t="s">
        <v>737</v>
      </c>
      <c r="BD337" s="43" t="s">
        <v>733</v>
      </c>
      <c r="BE337" s="43" t="s">
        <v>349</v>
      </c>
      <c r="BF337" s="43" t="s">
        <v>390</v>
      </c>
      <c r="BG337" s="43" t="s">
        <v>390</v>
      </c>
      <c r="BH337" s="43" t="s">
        <v>390</v>
      </c>
      <c r="BI337" s="43" t="s">
        <v>349</v>
      </c>
      <c r="BJ337" s="43" t="s">
        <v>391</v>
      </c>
      <c r="BK337" s="43" t="s">
        <v>391</v>
      </c>
      <c r="BL337" s="43" t="s">
        <v>391</v>
      </c>
      <c r="BM337" s="43" t="s">
        <v>391</v>
      </c>
      <c r="BN337" s="43" t="s">
        <v>391</v>
      </c>
      <c r="BO337" s="43" t="s">
        <v>391</v>
      </c>
      <c r="BP337" s="43" t="s">
        <v>391</v>
      </c>
      <c r="BQ337" s="43" t="s">
        <v>358</v>
      </c>
      <c r="BR337" s="43" t="s">
        <v>1296</v>
      </c>
      <c r="BS337" s="43" t="s">
        <v>391</v>
      </c>
      <c r="BT337" s="43" t="s">
        <v>391</v>
      </c>
      <c r="BU337" s="43" t="s">
        <v>391</v>
      </c>
      <c r="BV337" s="43" t="s">
        <v>391</v>
      </c>
      <c r="BW337" s="43" t="s">
        <v>391</v>
      </c>
      <c r="BX337" s="43" t="s">
        <v>391</v>
      </c>
      <c r="BY337" s="43" t="s">
        <v>391</v>
      </c>
      <c r="BZ337" s="43" t="s">
        <v>391</v>
      </c>
      <c r="CA337" s="43" t="s">
        <v>391</v>
      </c>
      <c r="CB337" s="43" t="s">
        <v>391</v>
      </c>
      <c r="CC337" s="43" t="s">
        <v>391</v>
      </c>
      <c r="CD337" s="43" t="s">
        <v>391</v>
      </c>
      <c r="CE337" s="43" t="s">
        <v>391</v>
      </c>
      <c r="CF337" s="43" t="s">
        <v>391</v>
      </c>
      <c r="CG337" s="43" t="s">
        <v>392</v>
      </c>
      <c r="CH337" s="43" t="s">
        <v>420</v>
      </c>
      <c r="CI337" s="43" t="s">
        <v>360</v>
      </c>
      <c r="CJ337" s="43" t="s">
        <v>393</v>
      </c>
      <c r="CK337" s="43" t="s">
        <v>1728</v>
      </c>
      <c r="CL337" s="43" t="s">
        <v>344</v>
      </c>
      <c r="CM337" s="43" t="s">
        <v>344</v>
      </c>
      <c r="CN337" s="43" t="s">
        <v>344</v>
      </c>
      <c r="CO337" s="43" t="s">
        <v>345</v>
      </c>
      <c r="CP337" s="43" t="s">
        <v>345</v>
      </c>
      <c r="CQ337" s="43" t="s">
        <v>344</v>
      </c>
      <c r="CR337" s="43" t="s">
        <v>667</v>
      </c>
      <c r="CS337" s="43">
        <v>25</v>
      </c>
      <c r="CT337" s="43">
        <v>100</v>
      </c>
      <c r="CU337" s="43">
        <v>30</v>
      </c>
      <c r="CV337" s="43">
        <v>1</v>
      </c>
      <c r="CW337" s="43" t="s">
        <v>395</v>
      </c>
      <c r="CX337" s="43" t="s">
        <v>363</v>
      </c>
      <c r="CY337" s="43" t="s">
        <v>396</v>
      </c>
      <c r="CZ337" s="43" t="s">
        <v>397</v>
      </c>
      <c r="DA337" s="43" t="s">
        <v>397</v>
      </c>
      <c r="DB337" s="43" t="s">
        <v>397</v>
      </c>
      <c r="DC337" s="43" t="s">
        <v>397</v>
      </c>
      <c r="DD337" s="43" t="s">
        <v>397</v>
      </c>
      <c r="DE337" s="43" t="s">
        <v>397</v>
      </c>
      <c r="DF337" s="43" t="s">
        <v>366</v>
      </c>
      <c r="DG337" s="43" t="s">
        <v>397</v>
      </c>
      <c r="DH337" s="43" t="s">
        <v>397</v>
      </c>
      <c r="DI337" s="43" t="s">
        <v>397</v>
      </c>
      <c r="DJ337" s="43" t="s">
        <v>1729</v>
      </c>
      <c r="DK337" s="43" t="s">
        <v>344</v>
      </c>
      <c r="DL337" s="43" t="s">
        <v>368</v>
      </c>
      <c r="DM337" s="43" t="s">
        <v>368</v>
      </c>
      <c r="DN337" s="43" t="s">
        <v>368</v>
      </c>
      <c r="DO337" s="43" t="s">
        <v>368</v>
      </c>
      <c r="DP337" s="43" t="s">
        <v>344</v>
      </c>
      <c r="DQ337" s="43" t="s">
        <v>344</v>
      </c>
      <c r="DR337" s="43" t="s">
        <v>345</v>
      </c>
      <c r="DS337" s="43" t="s">
        <v>344</v>
      </c>
      <c r="DT337" s="43" t="s">
        <v>344</v>
      </c>
      <c r="DU337" s="43" t="s">
        <v>345</v>
      </c>
      <c r="DV337" s="43" t="s">
        <v>345</v>
      </c>
      <c r="DW337" s="43" t="s">
        <v>344</v>
      </c>
      <c r="DX337" s="43" t="s">
        <v>1258</v>
      </c>
      <c r="DY337" s="43" t="s">
        <v>1258</v>
      </c>
      <c r="DZ337" s="43" t="s">
        <v>397</v>
      </c>
      <c r="EA337" s="43" t="s">
        <v>1273</v>
      </c>
      <c r="EB337" s="43" t="s">
        <v>1273</v>
      </c>
      <c r="EC337" s="43" t="s">
        <v>1272</v>
      </c>
      <c r="ED337" s="43" t="s">
        <v>1272</v>
      </c>
      <c r="EE337" s="43" t="s">
        <v>1258</v>
      </c>
      <c r="EF337" s="43" t="s">
        <v>1258</v>
      </c>
      <c r="EG337" s="43" t="s">
        <v>397</v>
      </c>
      <c r="EH337" s="43" t="s">
        <v>1258</v>
      </c>
      <c r="EI337" s="43" t="s">
        <v>1258</v>
      </c>
      <c r="EJ337" s="43" t="s">
        <v>1258</v>
      </c>
      <c r="EK337" s="43" t="s">
        <v>1274</v>
      </c>
      <c r="EL337" s="43" t="s">
        <v>1259</v>
      </c>
      <c r="EM337" s="43" t="s">
        <v>1260</v>
      </c>
      <c r="EN337" s="43" t="s">
        <v>1275</v>
      </c>
      <c r="EO337" s="43"/>
      <c r="EP337" s="43"/>
      <c r="EQ337" s="43" t="s">
        <v>1263</v>
      </c>
      <c r="ER337" s="43" t="s">
        <v>1263</v>
      </c>
      <c r="ES337" s="43" t="s">
        <v>1262</v>
      </c>
      <c r="ET337" s="43" t="s">
        <v>1264</v>
      </c>
      <c r="EU337" s="43" t="s">
        <v>1277</v>
      </c>
      <c r="EV337" s="43" t="s">
        <v>1265</v>
      </c>
      <c r="EW337" s="43"/>
      <c r="EX337" s="43" t="s">
        <v>368</v>
      </c>
      <c r="EY337" s="43" t="s">
        <v>368</v>
      </c>
      <c r="EZ337" s="43" t="s">
        <v>368</v>
      </c>
      <c r="FA337" s="43" t="s">
        <v>345</v>
      </c>
      <c r="FB337" s="43" t="s">
        <v>1266</v>
      </c>
      <c r="FC337" s="43"/>
      <c r="FD337" s="43" t="s">
        <v>1266</v>
      </c>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t="s">
        <v>368</v>
      </c>
      <c r="GB337" s="43" t="s">
        <v>368</v>
      </c>
      <c r="GC337" s="43" t="s">
        <v>368</v>
      </c>
      <c r="GD337" s="43" t="s">
        <v>368</v>
      </c>
      <c r="GE337" s="43" t="s">
        <v>368</v>
      </c>
      <c r="GF337" s="43" t="s">
        <v>368</v>
      </c>
      <c r="GG337" s="43"/>
      <c r="GH337" s="43"/>
      <c r="GI337" s="43"/>
      <c r="GJ337" s="43"/>
      <c r="GK337" s="43"/>
      <c r="GL337" s="43" t="s">
        <v>344</v>
      </c>
      <c r="GM337" s="43" t="s">
        <v>344</v>
      </c>
      <c r="GN337" s="43" t="s">
        <v>344</v>
      </c>
      <c r="GO337" s="43" t="s">
        <v>344</v>
      </c>
      <c r="GP337" s="43" t="s">
        <v>344</v>
      </c>
      <c r="GQ337" s="43" t="s">
        <v>344</v>
      </c>
      <c r="GR337" s="43" t="s">
        <v>344</v>
      </c>
      <c r="GS337" s="43" t="s">
        <v>344</v>
      </c>
      <c r="GT337" s="43" t="s">
        <v>344</v>
      </c>
      <c r="GU337" s="43" t="s">
        <v>345</v>
      </c>
      <c r="GV337" s="43" t="s">
        <v>344</v>
      </c>
      <c r="GW337" s="43" t="s">
        <v>344</v>
      </c>
      <c r="GX337" s="43" t="s">
        <v>345</v>
      </c>
      <c r="GY337" s="43" t="s">
        <v>344</v>
      </c>
      <c r="GZ337" s="43" t="s">
        <v>345</v>
      </c>
      <c r="HA337" s="43" t="s">
        <v>344</v>
      </c>
      <c r="HB337" s="43"/>
      <c r="HC337" s="43" t="s">
        <v>344</v>
      </c>
      <c r="HD337" s="43"/>
      <c r="HE337" s="43" t="s">
        <v>344</v>
      </c>
      <c r="HF337" s="43"/>
      <c r="HG337" s="43" t="s">
        <v>344</v>
      </c>
      <c r="HH337" s="43"/>
      <c r="HI337" s="43" t="s">
        <v>344</v>
      </c>
      <c r="HJ337" s="43"/>
      <c r="HK337" s="43" t="s">
        <v>344</v>
      </c>
      <c r="HL337" s="43" t="s">
        <v>344</v>
      </c>
      <c r="HM337" s="43" t="s">
        <v>344</v>
      </c>
      <c r="HN337" s="43" t="s">
        <v>344</v>
      </c>
      <c r="HO337" s="43" t="s">
        <v>344</v>
      </c>
      <c r="HP337" s="43" t="s">
        <v>344</v>
      </c>
      <c r="HQ337" s="43" t="s">
        <v>344</v>
      </c>
      <c r="HR337" s="43" t="s">
        <v>344</v>
      </c>
      <c r="HS337" s="43" t="s">
        <v>344</v>
      </c>
      <c r="HT337" s="43" t="s">
        <v>344</v>
      </c>
      <c r="HU337" s="43" t="s">
        <v>344</v>
      </c>
      <c r="HV337" s="43" t="s">
        <v>344</v>
      </c>
      <c r="HW337" s="43" t="s">
        <v>345</v>
      </c>
      <c r="HX337" s="43" t="s">
        <v>344</v>
      </c>
      <c r="HY337" s="43" t="s">
        <v>344</v>
      </c>
      <c r="HZ337" s="43" t="s">
        <v>344</v>
      </c>
      <c r="IA337" s="43" t="s">
        <v>344</v>
      </c>
      <c r="IB337" s="43" t="s">
        <v>344</v>
      </c>
      <c r="IC337" s="43" t="s">
        <v>344</v>
      </c>
      <c r="ID337" s="43"/>
      <c r="IE337" s="43" t="s">
        <v>344</v>
      </c>
      <c r="IF337" s="43"/>
      <c r="IG337" s="43" t="s">
        <v>344</v>
      </c>
      <c r="IH337" s="43"/>
      <c r="II337" s="43" t="s">
        <v>344</v>
      </c>
      <c r="IJ337" s="43"/>
      <c r="IK337" s="43" t="s">
        <v>344</v>
      </c>
      <c r="IL337" s="43"/>
      <c r="IM337" s="43" t="s">
        <v>345</v>
      </c>
      <c r="IN337" s="43" t="s">
        <v>345</v>
      </c>
      <c r="IO337" s="43" t="s">
        <v>344</v>
      </c>
      <c r="IP337" s="43" t="s">
        <v>345</v>
      </c>
      <c r="IQ337" s="43" t="s">
        <v>345</v>
      </c>
      <c r="IR337" s="43" t="s">
        <v>345</v>
      </c>
      <c r="IS337" s="43" t="s">
        <v>344</v>
      </c>
      <c r="IT337" s="43" t="s">
        <v>345</v>
      </c>
      <c r="IU337" s="43" t="s">
        <v>345</v>
      </c>
      <c r="IV337" s="43" t="s">
        <v>344</v>
      </c>
      <c r="IW337" s="43" t="s">
        <v>345</v>
      </c>
      <c r="IX337" s="43" t="s">
        <v>344</v>
      </c>
      <c r="IY337" s="43" t="s">
        <v>345</v>
      </c>
      <c r="IZ337" s="43" t="s">
        <v>344</v>
      </c>
      <c r="JA337" s="43"/>
      <c r="JB337" s="43"/>
    </row>
    <row r="338" spans="1:331" s="118" customFormat="1" x14ac:dyDescent="0.3">
      <c r="A338" s="118" t="s">
        <v>727</v>
      </c>
      <c r="B338" s="118">
        <v>152</v>
      </c>
      <c r="D338" s="118">
        <v>13</v>
      </c>
      <c r="E338" s="118" t="s">
        <v>387</v>
      </c>
      <c r="F338" s="118">
        <v>1169374601</v>
      </c>
      <c r="G338" s="118" t="s">
        <v>1289</v>
      </c>
      <c r="H338" s="118" t="s">
        <v>17902</v>
      </c>
      <c r="I338" s="118" t="s">
        <v>1254</v>
      </c>
      <c r="J338" s="118">
        <v>16</v>
      </c>
      <c r="K338" s="118" t="s">
        <v>1255</v>
      </c>
      <c r="M338" s="118" t="s">
        <v>345</v>
      </c>
      <c r="N338" s="118" t="s">
        <v>344</v>
      </c>
      <c r="O338" s="118" t="s">
        <v>344</v>
      </c>
      <c r="P338" s="118" t="s">
        <v>345</v>
      </c>
      <c r="Q338" s="118" t="s">
        <v>344</v>
      </c>
      <c r="S338" s="118" t="s">
        <v>475</v>
      </c>
      <c r="U338" s="118" t="s">
        <v>1270</v>
      </c>
      <c r="W338" s="118" t="s">
        <v>344</v>
      </c>
      <c r="X338" s="118" t="s">
        <v>344</v>
      </c>
      <c r="Y338" s="118" t="s">
        <v>345</v>
      </c>
      <c r="Z338" s="118" t="s">
        <v>344</v>
      </c>
      <c r="AA338" s="118" t="s">
        <v>345</v>
      </c>
      <c r="AB338" s="118" t="s">
        <v>344</v>
      </c>
      <c r="AC338" s="118" t="s">
        <v>344</v>
      </c>
      <c r="AD338" s="118" t="s">
        <v>345</v>
      </c>
      <c r="AE338" s="118" t="s">
        <v>345</v>
      </c>
      <c r="AF338" s="118" t="s">
        <v>345</v>
      </c>
      <c r="AG338" s="118" t="s">
        <v>344</v>
      </c>
      <c r="AH338" s="118" t="s">
        <v>344</v>
      </c>
      <c r="AI338" s="118" t="s">
        <v>344</v>
      </c>
      <c r="AJ338" s="118" t="s">
        <v>344</v>
      </c>
      <c r="AK338" s="118" t="s">
        <v>344</v>
      </c>
      <c r="AL338" s="118" t="s">
        <v>345</v>
      </c>
      <c r="AM338" s="118" t="s">
        <v>344</v>
      </c>
      <c r="AN338" s="118" t="s">
        <v>344</v>
      </c>
      <c r="AO338" s="118" t="s">
        <v>344</v>
      </c>
      <c r="AP338" s="118" t="s">
        <v>344</v>
      </c>
      <c r="AQ338" s="118" t="s">
        <v>344</v>
      </c>
      <c r="AR338" s="118" t="s">
        <v>345</v>
      </c>
      <c r="AS338" s="118" t="s">
        <v>344</v>
      </c>
      <c r="AT338" s="118" t="s">
        <v>344</v>
      </c>
      <c r="AU338" s="118" t="s">
        <v>345</v>
      </c>
      <c r="AV338" s="118" t="s">
        <v>344</v>
      </c>
      <c r="AW338" s="118" t="s">
        <v>344</v>
      </c>
      <c r="AX338" s="118" t="s">
        <v>344</v>
      </c>
      <c r="AY338" s="118" t="s">
        <v>733</v>
      </c>
      <c r="AZ338" s="118" t="s">
        <v>732</v>
      </c>
      <c r="BA338" s="118" t="s">
        <v>732</v>
      </c>
      <c r="BB338" s="118" t="s">
        <v>391</v>
      </c>
      <c r="BC338" s="118" t="s">
        <v>733</v>
      </c>
      <c r="BD338" s="118" t="s">
        <v>733</v>
      </c>
      <c r="BE338" s="118" t="s">
        <v>349</v>
      </c>
      <c r="BF338" s="118" t="s">
        <v>348</v>
      </c>
      <c r="BG338" s="118" t="s">
        <v>390</v>
      </c>
      <c r="BH338" s="118" t="s">
        <v>349</v>
      </c>
      <c r="BI338" s="118" t="s">
        <v>717</v>
      </c>
      <c r="BJ338" s="118" t="s">
        <v>391</v>
      </c>
      <c r="BK338" s="118" t="s">
        <v>391</v>
      </c>
      <c r="BL338" s="118" t="s">
        <v>391</v>
      </c>
      <c r="BM338" s="118" t="s">
        <v>391</v>
      </c>
      <c r="BN338" s="118" t="s">
        <v>391</v>
      </c>
      <c r="BO338" s="118" t="s">
        <v>391</v>
      </c>
      <c r="BP338" s="118" t="s">
        <v>391</v>
      </c>
      <c r="BQ338" s="118" t="s">
        <v>358</v>
      </c>
      <c r="BR338" s="118" t="s">
        <v>1296</v>
      </c>
      <c r="BS338" s="118" t="s">
        <v>391</v>
      </c>
      <c r="BT338" s="118" t="s">
        <v>391</v>
      </c>
      <c r="BU338" s="118" t="s">
        <v>391</v>
      </c>
      <c r="BV338" s="118" t="s">
        <v>391</v>
      </c>
      <c r="BW338" s="118" t="s">
        <v>391</v>
      </c>
      <c r="BX338" s="118" t="s">
        <v>391</v>
      </c>
      <c r="BY338" s="118" t="s">
        <v>391</v>
      </c>
      <c r="BZ338" s="118" t="s">
        <v>391</v>
      </c>
      <c r="CA338" s="118" t="s">
        <v>391</v>
      </c>
      <c r="CB338" s="118" t="s">
        <v>391</v>
      </c>
      <c r="CC338" s="118" t="s">
        <v>391</v>
      </c>
      <c r="CD338" s="118" t="s">
        <v>391</v>
      </c>
      <c r="CE338" s="118" t="s">
        <v>391</v>
      </c>
      <c r="CF338" s="118" t="s">
        <v>391</v>
      </c>
      <c r="CG338" s="118" t="s">
        <v>392</v>
      </c>
      <c r="CH338" s="118" t="s">
        <v>420</v>
      </c>
      <c r="CI338" s="118" t="s">
        <v>393</v>
      </c>
      <c r="CJ338" s="118" t="s">
        <v>420</v>
      </c>
      <c r="CK338" s="118" t="s">
        <v>17903</v>
      </c>
      <c r="CL338" s="118" t="s">
        <v>344</v>
      </c>
      <c r="CM338" s="118" t="s">
        <v>345</v>
      </c>
      <c r="CN338" s="118" t="s">
        <v>344</v>
      </c>
      <c r="CO338" s="118" t="s">
        <v>345</v>
      </c>
      <c r="CP338" s="118" t="s">
        <v>345</v>
      </c>
      <c r="CQ338" s="118" t="s">
        <v>344</v>
      </c>
      <c r="CR338" s="118" t="s">
        <v>667</v>
      </c>
      <c r="CS338" s="118">
        <v>35</v>
      </c>
      <c r="CT338" s="118">
        <v>100</v>
      </c>
      <c r="CW338" s="118" t="s">
        <v>364</v>
      </c>
      <c r="CX338" s="118" t="s">
        <v>395</v>
      </c>
      <c r="CY338" s="118" t="s">
        <v>363</v>
      </c>
      <c r="CZ338" s="118" t="s">
        <v>717</v>
      </c>
      <c r="DA338" s="118" t="s">
        <v>366</v>
      </c>
      <c r="DB338" s="118" t="s">
        <v>397</v>
      </c>
      <c r="DC338" s="118" t="s">
        <v>366</v>
      </c>
      <c r="DD338" s="118" t="s">
        <v>423</v>
      </c>
      <c r="DJ338" s="118" t="s">
        <v>17904</v>
      </c>
      <c r="DK338" s="118" t="s">
        <v>344</v>
      </c>
      <c r="DL338" s="118" t="s">
        <v>368</v>
      </c>
      <c r="DM338" s="118" t="s">
        <v>368</v>
      </c>
      <c r="DN338" s="118" t="s">
        <v>368</v>
      </c>
      <c r="DO338" s="118" t="s">
        <v>368</v>
      </c>
      <c r="DP338" s="118" t="s">
        <v>345</v>
      </c>
      <c r="DQ338" s="118" t="s">
        <v>344</v>
      </c>
      <c r="DR338" s="118" t="s">
        <v>344</v>
      </c>
      <c r="DS338" s="118" t="s">
        <v>344</v>
      </c>
      <c r="DT338" s="118" t="s">
        <v>345</v>
      </c>
      <c r="DU338" s="118" t="s">
        <v>345</v>
      </c>
      <c r="DV338" s="118" t="s">
        <v>344</v>
      </c>
      <c r="DW338" s="118" t="s">
        <v>344</v>
      </c>
      <c r="DX338" s="118" t="s">
        <v>1258</v>
      </c>
      <c r="DY338" s="118" t="s">
        <v>1258</v>
      </c>
      <c r="DZ338" s="118" t="s">
        <v>1258</v>
      </c>
      <c r="EA338" s="118" t="s">
        <v>1272</v>
      </c>
      <c r="EB338" s="118" t="s">
        <v>1258</v>
      </c>
      <c r="EC338" s="118" t="s">
        <v>1258</v>
      </c>
      <c r="ED338" s="118" t="s">
        <v>1258</v>
      </c>
      <c r="EE338" s="118" t="s">
        <v>397</v>
      </c>
      <c r="EF338" s="118" t="s">
        <v>397</v>
      </c>
      <c r="EG338" s="118" t="s">
        <v>397</v>
      </c>
      <c r="EH338" s="118" t="s">
        <v>397</v>
      </c>
      <c r="EI338" s="118" t="s">
        <v>397</v>
      </c>
      <c r="EJ338" s="118" t="s">
        <v>397</v>
      </c>
      <c r="EK338" s="118" t="s">
        <v>397</v>
      </c>
      <c r="EL338" s="118" t="s">
        <v>1259</v>
      </c>
      <c r="EM338" s="118" t="s">
        <v>1275</v>
      </c>
      <c r="EN338" s="118" t="s">
        <v>1276</v>
      </c>
      <c r="EQ338" s="118" t="s">
        <v>1263</v>
      </c>
      <c r="ER338" s="118" t="s">
        <v>1262</v>
      </c>
      <c r="ES338" s="118" t="s">
        <v>1277</v>
      </c>
      <c r="ET338" s="118" t="s">
        <v>1264</v>
      </c>
      <c r="EU338" s="118" t="s">
        <v>1264</v>
      </c>
      <c r="EV338" s="118" t="s">
        <v>1265</v>
      </c>
      <c r="EX338" s="118" t="s">
        <v>368</v>
      </c>
      <c r="EY338" s="118" t="s">
        <v>368</v>
      </c>
      <c r="EZ338" s="118" t="s">
        <v>368</v>
      </c>
      <c r="FA338" s="118" t="s">
        <v>345</v>
      </c>
      <c r="FB338" s="118" t="s">
        <v>1266</v>
      </c>
      <c r="FD338" s="118" t="s">
        <v>1266</v>
      </c>
      <c r="FF338" s="118" t="s">
        <v>431</v>
      </c>
      <c r="FG338" s="118" t="s">
        <v>402</v>
      </c>
      <c r="FH338" s="118" t="s">
        <v>432</v>
      </c>
      <c r="FI338" s="118" t="s">
        <v>1286</v>
      </c>
      <c r="GA338" s="118" t="s">
        <v>368</v>
      </c>
      <c r="GB338" s="118" t="s">
        <v>368</v>
      </c>
      <c r="GC338" s="118" t="s">
        <v>368</v>
      </c>
      <c r="GD338" s="118" t="s">
        <v>368</v>
      </c>
      <c r="GE338" s="118" t="s">
        <v>368</v>
      </c>
      <c r="GF338" s="118" t="s">
        <v>368</v>
      </c>
      <c r="GL338" s="118" t="s">
        <v>344</v>
      </c>
      <c r="GM338" s="118" t="s">
        <v>344</v>
      </c>
      <c r="GN338" s="118" t="s">
        <v>345</v>
      </c>
      <c r="GO338" s="118" t="s">
        <v>344</v>
      </c>
      <c r="GP338" s="118" t="s">
        <v>344</v>
      </c>
      <c r="GQ338" s="118" t="s">
        <v>344</v>
      </c>
      <c r="GR338" s="118" t="s">
        <v>344</v>
      </c>
      <c r="GS338" s="118" t="s">
        <v>344</v>
      </c>
      <c r="GT338" s="118" t="s">
        <v>345</v>
      </c>
      <c r="GU338" s="118" t="s">
        <v>344</v>
      </c>
      <c r="GV338" s="118" t="s">
        <v>345</v>
      </c>
      <c r="GW338" s="118" t="s">
        <v>345</v>
      </c>
      <c r="GX338" s="118" t="s">
        <v>344</v>
      </c>
      <c r="GY338" s="118" t="s">
        <v>344</v>
      </c>
      <c r="GZ338" s="118" t="s">
        <v>344</v>
      </c>
      <c r="HA338" s="118" t="s">
        <v>344</v>
      </c>
      <c r="HC338" s="118" t="s">
        <v>344</v>
      </c>
      <c r="HE338" s="118" t="s">
        <v>344</v>
      </c>
      <c r="HG338" s="118" t="s">
        <v>344</v>
      </c>
      <c r="HI338" s="118" t="s">
        <v>344</v>
      </c>
      <c r="HK338" s="118" t="s">
        <v>344</v>
      </c>
      <c r="HL338" s="118" t="s">
        <v>344</v>
      </c>
      <c r="HM338" s="118" t="s">
        <v>344</v>
      </c>
      <c r="HN338" s="118" t="s">
        <v>345</v>
      </c>
      <c r="HO338" s="118" t="s">
        <v>344</v>
      </c>
      <c r="HP338" s="118" t="s">
        <v>344</v>
      </c>
      <c r="HQ338" s="118" t="s">
        <v>344</v>
      </c>
      <c r="HR338" s="118" t="s">
        <v>344</v>
      </c>
      <c r="HS338" s="118" t="s">
        <v>344</v>
      </c>
      <c r="HT338" s="118" t="s">
        <v>344</v>
      </c>
      <c r="HU338" s="118" t="s">
        <v>344</v>
      </c>
      <c r="HV338" s="118" t="s">
        <v>344</v>
      </c>
      <c r="HW338" s="118" t="s">
        <v>344</v>
      </c>
      <c r="HX338" s="118" t="s">
        <v>344</v>
      </c>
      <c r="HY338" s="118" t="s">
        <v>344</v>
      </c>
      <c r="HZ338" s="118" t="s">
        <v>344</v>
      </c>
      <c r="IA338" s="118" t="s">
        <v>345</v>
      </c>
      <c r="IB338" s="118" t="s">
        <v>344</v>
      </c>
      <c r="IC338" s="118" t="s">
        <v>344</v>
      </c>
      <c r="IE338" s="118" t="s">
        <v>344</v>
      </c>
      <c r="IG338" s="118" t="s">
        <v>344</v>
      </c>
      <c r="II338" s="118" t="s">
        <v>344</v>
      </c>
      <c r="IK338" s="118" t="s">
        <v>344</v>
      </c>
      <c r="IM338" s="118" t="s">
        <v>345</v>
      </c>
      <c r="IN338" s="118" t="s">
        <v>345</v>
      </c>
      <c r="IO338" s="118" t="s">
        <v>344</v>
      </c>
      <c r="IP338" s="118" t="s">
        <v>344</v>
      </c>
      <c r="IQ338" s="118" t="s">
        <v>345</v>
      </c>
      <c r="IR338" s="118" t="s">
        <v>344</v>
      </c>
      <c r="IS338" s="118" t="s">
        <v>344</v>
      </c>
      <c r="IT338" s="118" t="s">
        <v>345</v>
      </c>
      <c r="IU338" s="118" t="s">
        <v>345</v>
      </c>
      <c r="IV338" s="118" t="s">
        <v>344</v>
      </c>
      <c r="IW338" s="118" t="s">
        <v>345</v>
      </c>
      <c r="IX338" s="118" t="s">
        <v>344</v>
      </c>
      <c r="IY338" s="118" t="s">
        <v>345</v>
      </c>
      <c r="IZ338" s="118" t="s">
        <v>344</v>
      </c>
      <c r="JC338" s="118">
        <v>1492.18</v>
      </c>
      <c r="JD338" s="118">
        <v>8.42</v>
      </c>
      <c r="JF338" s="118">
        <v>57.19</v>
      </c>
      <c r="JL338" s="118">
        <v>331.16</v>
      </c>
      <c r="JR338" s="118">
        <v>341.2</v>
      </c>
      <c r="KA338" s="118">
        <v>307.05</v>
      </c>
      <c r="KJ338" s="118">
        <v>106.21</v>
      </c>
      <c r="KQ338" s="118">
        <v>113.13</v>
      </c>
      <c r="KT338" s="118">
        <v>72.8</v>
      </c>
      <c r="KY338" s="118">
        <v>47.85</v>
      </c>
      <c r="LS338" s="118">
        <v>107.17</v>
      </c>
    </row>
    <row r="339" spans="1:331" s="118" customFormat="1" x14ac:dyDescent="0.3">
      <c r="A339" s="118" t="s">
        <v>727</v>
      </c>
      <c r="B339" s="118">
        <v>171</v>
      </c>
      <c r="D339" s="118">
        <v>13</v>
      </c>
      <c r="E339" s="118" t="s">
        <v>340</v>
      </c>
      <c r="F339" s="118">
        <v>1303322540</v>
      </c>
      <c r="G339" s="118" t="s">
        <v>1350</v>
      </c>
      <c r="H339" s="118" t="s">
        <v>17905</v>
      </c>
      <c r="I339" s="118" t="s">
        <v>1290</v>
      </c>
      <c r="J339" s="118">
        <v>17</v>
      </c>
      <c r="K339" s="118" t="s">
        <v>1255</v>
      </c>
      <c r="M339" s="118" t="s">
        <v>345</v>
      </c>
      <c r="N339" s="118" t="s">
        <v>345</v>
      </c>
      <c r="O339" s="118" t="s">
        <v>344</v>
      </c>
      <c r="P339" s="118" t="s">
        <v>344</v>
      </c>
      <c r="Q339" s="118" t="s">
        <v>344</v>
      </c>
      <c r="S339" s="118" t="s">
        <v>475</v>
      </c>
      <c r="U339" s="118" t="s">
        <v>1256</v>
      </c>
      <c r="W339" s="118" t="s">
        <v>344</v>
      </c>
      <c r="X339" s="118" t="s">
        <v>345</v>
      </c>
      <c r="Y339" s="118" t="s">
        <v>344</v>
      </c>
      <c r="Z339" s="118" t="s">
        <v>344</v>
      </c>
      <c r="AA339" s="118" t="s">
        <v>344</v>
      </c>
      <c r="AB339" s="118" t="s">
        <v>344</v>
      </c>
      <c r="AC339" s="118" t="s">
        <v>344</v>
      </c>
      <c r="AD339" s="118" t="s">
        <v>344</v>
      </c>
      <c r="AE339" s="118" t="s">
        <v>344</v>
      </c>
      <c r="AF339" s="118" t="s">
        <v>344</v>
      </c>
      <c r="AG339" s="118" t="s">
        <v>345</v>
      </c>
      <c r="AH339" s="118" t="s">
        <v>344</v>
      </c>
      <c r="AI339" s="118" t="s">
        <v>344</v>
      </c>
      <c r="AJ339" s="118" t="s">
        <v>344</v>
      </c>
      <c r="AK339" s="118" t="s">
        <v>344</v>
      </c>
      <c r="AL339" s="118" t="s">
        <v>344</v>
      </c>
      <c r="AM339" s="118" t="s">
        <v>345</v>
      </c>
      <c r="AN339" s="118" t="s">
        <v>344</v>
      </c>
      <c r="AO339" s="118" t="s">
        <v>344</v>
      </c>
      <c r="AP339" s="118" t="s">
        <v>344</v>
      </c>
      <c r="AQ339" s="118" t="s">
        <v>344</v>
      </c>
      <c r="AR339" s="118" t="s">
        <v>345</v>
      </c>
      <c r="AS339" s="118" t="s">
        <v>344</v>
      </c>
      <c r="AT339" s="118" t="s">
        <v>344</v>
      </c>
      <c r="AU339" s="118" t="s">
        <v>344</v>
      </c>
      <c r="AV339" s="118" t="s">
        <v>344</v>
      </c>
      <c r="AW339" s="118" t="s">
        <v>344</v>
      </c>
      <c r="AX339" s="118" t="s">
        <v>344</v>
      </c>
      <c r="BC339" s="118" t="s">
        <v>731</v>
      </c>
      <c r="BE339" s="118" t="s">
        <v>349</v>
      </c>
      <c r="BF339" s="118" t="s">
        <v>350</v>
      </c>
      <c r="BG339" s="118" t="s">
        <v>349</v>
      </c>
      <c r="BH339" s="118" t="s">
        <v>390</v>
      </c>
      <c r="BI339" s="118" t="s">
        <v>348</v>
      </c>
      <c r="BJ339" s="118" t="s">
        <v>391</v>
      </c>
      <c r="BK339" s="118" t="s">
        <v>391</v>
      </c>
      <c r="BL339" s="118" t="s">
        <v>391</v>
      </c>
      <c r="BM339" s="118" t="s">
        <v>391</v>
      </c>
      <c r="BN339" s="118" t="s">
        <v>391</v>
      </c>
      <c r="BO339" s="118" t="s">
        <v>391</v>
      </c>
      <c r="BP339" s="118" t="s">
        <v>391</v>
      </c>
      <c r="BQ339" s="118" t="s">
        <v>358</v>
      </c>
      <c r="BR339" s="118" t="s">
        <v>1339</v>
      </c>
      <c r="BS339" s="118" t="s">
        <v>391</v>
      </c>
      <c r="BT339" s="118" t="s">
        <v>391</v>
      </c>
      <c r="BU339" s="118" t="s">
        <v>391</v>
      </c>
      <c r="BV339" s="118" t="s">
        <v>391</v>
      </c>
      <c r="BW339" s="118" t="s">
        <v>391</v>
      </c>
      <c r="BX339" s="118" t="s">
        <v>391</v>
      </c>
      <c r="BY339" s="118" t="s">
        <v>391</v>
      </c>
      <c r="BZ339" s="118" t="s">
        <v>391</v>
      </c>
      <c r="CA339" s="118" t="s">
        <v>391</v>
      </c>
      <c r="CB339" s="118" t="s">
        <v>391</v>
      </c>
      <c r="CC339" s="118" t="s">
        <v>391</v>
      </c>
      <c r="CD339" s="118" t="s">
        <v>391</v>
      </c>
      <c r="CE339" s="118" t="s">
        <v>391</v>
      </c>
      <c r="CF339" s="118" t="s">
        <v>391</v>
      </c>
      <c r="CG339" s="118" t="s">
        <v>421</v>
      </c>
      <c r="CH339" s="118" t="s">
        <v>421</v>
      </c>
      <c r="CI339" s="118" t="s">
        <v>421</v>
      </c>
      <c r="CJ339" s="118" t="s">
        <v>421</v>
      </c>
      <c r="CK339" s="118" t="s">
        <v>17906</v>
      </c>
      <c r="CL339" s="118" t="s">
        <v>344</v>
      </c>
      <c r="CM339" s="118" t="s">
        <v>344</v>
      </c>
      <c r="CN339" s="118" t="s">
        <v>345</v>
      </c>
      <c r="CO339" s="118" t="s">
        <v>344</v>
      </c>
      <c r="CP339" s="118" t="s">
        <v>345</v>
      </c>
      <c r="CQ339" s="118" t="s">
        <v>344</v>
      </c>
      <c r="CR339" s="118" t="s">
        <v>655</v>
      </c>
      <c r="CS339" s="118">
        <v>60</v>
      </c>
      <c r="CT339" s="118">
        <v>100</v>
      </c>
      <c r="CU339" s="118">
        <v>100</v>
      </c>
      <c r="CV339" s="118">
        <v>100</v>
      </c>
      <c r="CW339" s="118" t="s">
        <v>364</v>
      </c>
      <c r="CX339" s="118" t="s">
        <v>395</v>
      </c>
      <c r="CY339" s="118" t="s">
        <v>396</v>
      </c>
      <c r="CZ339" s="118" t="s">
        <v>397</v>
      </c>
      <c r="DA339" s="118" t="s">
        <v>397</v>
      </c>
      <c r="DB339" s="118" t="s">
        <v>397</v>
      </c>
      <c r="DC339" s="118" t="s">
        <v>397</v>
      </c>
      <c r="DD339" s="118" t="s">
        <v>397</v>
      </c>
      <c r="DE339" s="118" t="s">
        <v>366</v>
      </c>
      <c r="DF339" s="118" t="s">
        <v>366</v>
      </c>
      <c r="DG339" s="118" t="s">
        <v>366</v>
      </c>
      <c r="DH339" s="118" t="s">
        <v>366</v>
      </c>
      <c r="DI339" s="118" t="s">
        <v>365</v>
      </c>
      <c r="DJ339" s="118" t="s">
        <v>17907</v>
      </c>
      <c r="DK339" s="118" t="s">
        <v>344</v>
      </c>
      <c r="DL339" s="118" t="s">
        <v>368</v>
      </c>
      <c r="DM339" s="118" t="s">
        <v>368</v>
      </c>
      <c r="DN339" s="118" t="s">
        <v>368</v>
      </c>
      <c r="DO339" s="118" t="s">
        <v>368</v>
      </c>
      <c r="DP339" s="118" t="s">
        <v>344</v>
      </c>
      <c r="DQ339" s="118" t="s">
        <v>344</v>
      </c>
      <c r="DR339" s="118" t="s">
        <v>345</v>
      </c>
      <c r="DS339" s="118" t="s">
        <v>344</v>
      </c>
      <c r="DT339" s="118" t="s">
        <v>368</v>
      </c>
      <c r="DU339" s="118" t="s">
        <v>368</v>
      </c>
      <c r="DV339" s="118" t="s">
        <v>368</v>
      </c>
      <c r="DW339" s="118" t="s">
        <v>345</v>
      </c>
      <c r="DX339" s="118" t="s">
        <v>397</v>
      </c>
      <c r="DY339" s="118" t="s">
        <v>1258</v>
      </c>
      <c r="DZ339" s="118" t="s">
        <v>1258</v>
      </c>
      <c r="EA339" s="118" t="s">
        <v>397</v>
      </c>
      <c r="EB339" s="118" t="s">
        <v>397</v>
      </c>
      <c r="EC339" s="118" t="s">
        <v>397</v>
      </c>
      <c r="ED339" s="118" t="s">
        <v>1272</v>
      </c>
      <c r="EE339" s="118" t="s">
        <v>1258</v>
      </c>
      <c r="EF339" s="118" t="s">
        <v>1258</v>
      </c>
      <c r="EG339" s="118" t="s">
        <v>397</v>
      </c>
      <c r="EH339" s="118" t="s">
        <v>1258</v>
      </c>
      <c r="EI339" s="118" t="s">
        <v>1258</v>
      </c>
      <c r="EJ339" s="118" t="s">
        <v>1258</v>
      </c>
      <c r="EK339" s="118" t="s">
        <v>397</v>
      </c>
      <c r="EL339" s="118" t="s">
        <v>1259</v>
      </c>
      <c r="EM339" s="118" t="s">
        <v>1276</v>
      </c>
      <c r="EN339" s="118" t="s">
        <v>1260</v>
      </c>
      <c r="EQ339" s="118" t="s">
        <v>717</v>
      </c>
      <c r="ER339" s="118" t="s">
        <v>717</v>
      </c>
      <c r="ES339" s="118" t="s">
        <v>717</v>
      </c>
      <c r="ET339" s="118" t="s">
        <v>717</v>
      </c>
      <c r="EU339" s="118" t="s">
        <v>717</v>
      </c>
      <c r="EV339" s="118" t="s">
        <v>1265</v>
      </c>
      <c r="EX339" s="118" t="s">
        <v>368</v>
      </c>
      <c r="EY339" s="118" t="s">
        <v>368</v>
      </c>
      <c r="EZ339" s="118" t="s">
        <v>368</v>
      </c>
      <c r="FA339" s="118" t="s">
        <v>345</v>
      </c>
      <c r="FB339" s="118" t="s">
        <v>1300</v>
      </c>
      <c r="FD339" s="118" t="s">
        <v>1266</v>
      </c>
      <c r="GA339" s="118" t="s">
        <v>368</v>
      </c>
      <c r="GB339" s="118" t="s">
        <v>368</v>
      </c>
      <c r="GC339" s="118" t="s">
        <v>368</v>
      </c>
      <c r="GD339" s="118" t="s">
        <v>368</v>
      </c>
      <c r="GE339" s="118" t="s">
        <v>368</v>
      </c>
      <c r="GF339" s="118" t="s">
        <v>368</v>
      </c>
      <c r="GL339" s="118" t="s">
        <v>344</v>
      </c>
      <c r="GM339" s="118" t="s">
        <v>344</v>
      </c>
      <c r="GN339" s="118" t="s">
        <v>344</v>
      </c>
      <c r="GO339" s="118" t="s">
        <v>344</v>
      </c>
      <c r="GP339" s="118" t="s">
        <v>344</v>
      </c>
      <c r="GQ339" s="118" t="s">
        <v>344</v>
      </c>
      <c r="GR339" s="118" t="s">
        <v>344</v>
      </c>
      <c r="GS339" s="118" t="s">
        <v>344</v>
      </c>
      <c r="GT339" s="118" t="s">
        <v>344</v>
      </c>
      <c r="GU339" s="118" t="s">
        <v>344</v>
      </c>
      <c r="GV339" s="118" t="s">
        <v>344</v>
      </c>
      <c r="GW339" s="118" t="s">
        <v>344</v>
      </c>
      <c r="GX339" s="118" t="s">
        <v>344</v>
      </c>
      <c r="GY339" s="118" t="s">
        <v>344</v>
      </c>
      <c r="GZ339" s="118" t="s">
        <v>344</v>
      </c>
      <c r="HA339" s="118" t="s">
        <v>345</v>
      </c>
      <c r="HC339" s="118" t="s">
        <v>344</v>
      </c>
      <c r="HE339" s="118" t="s">
        <v>344</v>
      </c>
      <c r="HG339" s="118" t="s">
        <v>344</v>
      </c>
      <c r="HI339" s="118" t="s">
        <v>344</v>
      </c>
      <c r="HK339" s="118" t="s">
        <v>344</v>
      </c>
      <c r="HL339" s="118" t="s">
        <v>344</v>
      </c>
      <c r="HM339" s="118" t="s">
        <v>344</v>
      </c>
      <c r="HN339" s="118" t="s">
        <v>344</v>
      </c>
      <c r="HO339" s="118" t="s">
        <v>344</v>
      </c>
      <c r="HP339" s="118" t="s">
        <v>344</v>
      </c>
      <c r="HQ339" s="118" t="s">
        <v>344</v>
      </c>
      <c r="HR339" s="118" t="s">
        <v>344</v>
      </c>
      <c r="HS339" s="118" t="s">
        <v>344</v>
      </c>
      <c r="HT339" s="118" t="s">
        <v>344</v>
      </c>
      <c r="HU339" s="118" t="s">
        <v>344</v>
      </c>
      <c r="HV339" s="118" t="s">
        <v>344</v>
      </c>
      <c r="HW339" s="118" t="s">
        <v>344</v>
      </c>
      <c r="HX339" s="118" t="s">
        <v>344</v>
      </c>
      <c r="HY339" s="118" t="s">
        <v>344</v>
      </c>
      <c r="HZ339" s="118" t="s">
        <v>344</v>
      </c>
      <c r="IA339" s="118" t="s">
        <v>344</v>
      </c>
      <c r="IB339" s="118" t="s">
        <v>344</v>
      </c>
      <c r="IC339" s="118" t="s">
        <v>345</v>
      </c>
      <c r="IE339" s="118" t="s">
        <v>344</v>
      </c>
      <c r="IG339" s="118" t="s">
        <v>344</v>
      </c>
      <c r="II339" s="118" t="s">
        <v>344</v>
      </c>
      <c r="IK339" s="118" t="s">
        <v>344</v>
      </c>
      <c r="IM339" s="118" t="s">
        <v>345</v>
      </c>
      <c r="IN339" s="118" t="s">
        <v>345</v>
      </c>
      <c r="IO339" s="118" t="s">
        <v>345</v>
      </c>
      <c r="IP339" s="118" t="s">
        <v>345</v>
      </c>
      <c r="IQ339" s="118" t="s">
        <v>345</v>
      </c>
      <c r="IR339" s="118" t="s">
        <v>345</v>
      </c>
      <c r="IS339" s="118" t="s">
        <v>344</v>
      </c>
      <c r="IT339" s="118" t="s">
        <v>345</v>
      </c>
      <c r="IU339" s="118" t="s">
        <v>344</v>
      </c>
      <c r="IV339" s="118" t="s">
        <v>344</v>
      </c>
      <c r="IW339" s="118" t="s">
        <v>344</v>
      </c>
      <c r="IX339" s="118" t="s">
        <v>344</v>
      </c>
      <c r="IY339" s="118" t="s">
        <v>345</v>
      </c>
      <c r="IZ339" s="118" t="s">
        <v>344</v>
      </c>
      <c r="JC339" s="118">
        <v>1724.84</v>
      </c>
      <c r="JD339" s="118">
        <v>14.27</v>
      </c>
      <c r="JF339" s="118">
        <v>48.53</v>
      </c>
      <c r="JL339" s="118">
        <v>301.26</v>
      </c>
      <c r="JR339" s="118">
        <v>665.1</v>
      </c>
      <c r="KA339" s="118">
        <v>368.43</v>
      </c>
      <c r="KJ339" s="118">
        <v>120.12</v>
      </c>
      <c r="KQ339" s="118">
        <v>111.93</v>
      </c>
      <c r="KT339" s="118">
        <v>42.43</v>
      </c>
      <c r="LS339" s="118">
        <v>52.77</v>
      </c>
    </row>
    <row r="340" spans="1:331" s="118" customFormat="1" x14ac:dyDescent="0.3">
      <c r="A340" s="118" t="s">
        <v>338</v>
      </c>
      <c r="B340" s="118">
        <v>257</v>
      </c>
      <c r="D340" s="118">
        <v>13</v>
      </c>
      <c r="E340" s="118" t="s">
        <v>387</v>
      </c>
      <c r="F340" s="118">
        <v>76278457</v>
      </c>
      <c r="G340" s="118" t="s">
        <v>17908</v>
      </c>
      <c r="H340" s="118" t="s">
        <v>17909</v>
      </c>
      <c r="I340" s="118" t="s">
        <v>1486</v>
      </c>
      <c r="J340" s="118">
        <v>17</v>
      </c>
      <c r="K340" s="118" t="s">
        <v>1255</v>
      </c>
      <c r="M340" s="118" t="s">
        <v>344</v>
      </c>
      <c r="N340" s="118" t="s">
        <v>344</v>
      </c>
      <c r="O340" s="118" t="s">
        <v>344</v>
      </c>
      <c r="P340" s="118" t="s">
        <v>345</v>
      </c>
      <c r="Q340" s="118" t="s">
        <v>344</v>
      </c>
      <c r="S340" s="118" t="s">
        <v>343</v>
      </c>
      <c r="T340" s="118" t="s">
        <v>17910</v>
      </c>
      <c r="U340" s="118" t="s">
        <v>1457</v>
      </c>
      <c r="W340" s="118" t="s">
        <v>344</v>
      </c>
      <c r="X340" s="118" t="s">
        <v>345</v>
      </c>
      <c r="Y340" s="118" t="s">
        <v>344</v>
      </c>
      <c r="Z340" s="118" t="s">
        <v>344</v>
      </c>
      <c r="AA340" s="118" t="s">
        <v>344</v>
      </c>
      <c r="AB340" s="118" t="s">
        <v>344</v>
      </c>
      <c r="AC340" s="118" t="s">
        <v>344</v>
      </c>
      <c r="AD340" s="118" t="s">
        <v>345</v>
      </c>
      <c r="AE340" s="118" t="s">
        <v>345</v>
      </c>
      <c r="AF340" s="118" t="s">
        <v>344</v>
      </c>
      <c r="AG340" s="118" t="s">
        <v>344</v>
      </c>
      <c r="AH340" s="118" t="s">
        <v>344</v>
      </c>
      <c r="AI340" s="118" t="s">
        <v>344</v>
      </c>
      <c r="AJ340" s="118" t="s">
        <v>344</v>
      </c>
      <c r="AK340" s="118" t="s">
        <v>344</v>
      </c>
      <c r="AL340" s="118" t="s">
        <v>344</v>
      </c>
      <c r="AM340" s="118" t="s">
        <v>344</v>
      </c>
      <c r="AN340" s="118" t="s">
        <v>345</v>
      </c>
      <c r="AO340" s="118" t="s">
        <v>344</v>
      </c>
      <c r="AP340" s="118" t="s">
        <v>344</v>
      </c>
      <c r="AQ340" s="118" t="s">
        <v>344</v>
      </c>
      <c r="AR340" s="118" t="s">
        <v>345</v>
      </c>
      <c r="AS340" s="118" t="s">
        <v>345</v>
      </c>
      <c r="AT340" s="118" t="s">
        <v>344</v>
      </c>
      <c r="AU340" s="118" t="s">
        <v>344</v>
      </c>
      <c r="AV340" s="118" t="s">
        <v>344</v>
      </c>
      <c r="AW340" s="118" t="s">
        <v>344</v>
      </c>
      <c r="AX340" s="118" t="s">
        <v>344</v>
      </c>
      <c r="AY340" s="118" t="s">
        <v>731</v>
      </c>
      <c r="AZ340" s="118" t="s">
        <v>732</v>
      </c>
      <c r="BA340" s="118" t="s">
        <v>732</v>
      </c>
      <c r="BB340" s="118" t="s">
        <v>732</v>
      </c>
      <c r="BC340" s="118" t="s">
        <v>732</v>
      </c>
      <c r="BD340" s="118" t="s">
        <v>732</v>
      </c>
      <c r="BE340" s="118" t="s">
        <v>390</v>
      </c>
      <c r="BF340" s="118" t="s">
        <v>390</v>
      </c>
      <c r="BG340" s="118" t="s">
        <v>390</v>
      </c>
      <c r="BH340" s="118" t="s">
        <v>390</v>
      </c>
      <c r="BI340" s="118" t="s">
        <v>390</v>
      </c>
      <c r="BJ340" s="118" t="s">
        <v>391</v>
      </c>
      <c r="BK340" s="118" t="s">
        <v>391</v>
      </c>
      <c r="BL340" s="118" t="s">
        <v>391</v>
      </c>
      <c r="BM340" s="118" t="s">
        <v>391</v>
      </c>
      <c r="BN340" s="118" t="s">
        <v>391</v>
      </c>
      <c r="BO340" s="118" t="s">
        <v>391</v>
      </c>
      <c r="BP340" s="118" t="s">
        <v>391</v>
      </c>
      <c r="BQ340" s="118" t="s">
        <v>455</v>
      </c>
      <c r="BR340" s="118" t="s">
        <v>1257</v>
      </c>
      <c r="BS340" s="118" t="s">
        <v>391</v>
      </c>
      <c r="BT340" s="118" t="s">
        <v>391</v>
      </c>
      <c r="BU340" s="118" t="s">
        <v>391</v>
      </c>
      <c r="BV340" s="118" t="s">
        <v>391</v>
      </c>
      <c r="BW340" s="118" t="s">
        <v>391</v>
      </c>
      <c r="BX340" s="118" t="s">
        <v>391</v>
      </c>
      <c r="BY340" s="118" t="s">
        <v>391</v>
      </c>
      <c r="BZ340" s="118" t="s">
        <v>391</v>
      </c>
      <c r="CA340" s="118" t="s">
        <v>391</v>
      </c>
      <c r="CB340" s="118" t="s">
        <v>391</v>
      </c>
      <c r="CC340" s="118" t="s">
        <v>391</v>
      </c>
      <c r="CD340" s="118" t="s">
        <v>391</v>
      </c>
      <c r="CE340" s="118" t="s">
        <v>391</v>
      </c>
      <c r="CF340" s="118" t="s">
        <v>391</v>
      </c>
      <c r="CG340" s="118" t="s">
        <v>420</v>
      </c>
      <c r="CH340" s="118" t="s">
        <v>421</v>
      </c>
      <c r="CI340" s="118" t="s">
        <v>393</v>
      </c>
      <c r="CJ340" s="118" t="s">
        <v>420</v>
      </c>
      <c r="CK340" s="118" t="s">
        <v>391</v>
      </c>
      <c r="CL340" s="118" t="s">
        <v>368</v>
      </c>
      <c r="CM340" s="118" t="s">
        <v>368</v>
      </c>
      <c r="CN340" s="118" t="s">
        <v>368</v>
      </c>
      <c r="CO340" s="118" t="s">
        <v>368</v>
      </c>
      <c r="CP340" s="118" t="s">
        <v>368</v>
      </c>
      <c r="CQ340" s="118" t="s">
        <v>368</v>
      </c>
      <c r="DK340" s="118" t="s">
        <v>344</v>
      </c>
      <c r="DL340" s="118" t="s">
        <v>368</v>
      </c>
      <c r="DM340" s="118" t="s">
        <v>368</v>
      </c>
      <c r="DN340" s="118" t="s">
        <v>368</v>
      </c>
      <c r="DO340" s="118" t="s">
        <v>368</v>
      </c>
      <c r="DP340" s="118" t="s">
        <v>345</v>
      </c>
      <c r="DQ340" s="118" t="s">
        <v>345</v>
      </c>
      <c r="DR340" s="118" t="s">
        <v>345</v>
      </c>
      <c r="DS340" s="118" t="s">
        <v>344</v>
      </c>
      <c r="DT340" s="118" t="s">
        <v>345</v>
      </c>
      <c r="DU340" s="118" t="s">
        <v>344</v>
      </c>
      <c r="DV340" s="118" t="s">
        <v>345</v>
      </c>
      <c r="DW340" s="118" t="s">
        <v>344</v>
      </c>
      <c r="EL340" s="118" t="s">
        <v>1276</v>
      </c>
      <c r="EM340" s="118" t="s">
        <v>1275</v>
      </c>
      <c r="EN340" s="118" t="s">
        <v>1259</v>
      </c>
      <c r="EQ340" s="118" t="s">
        <v>1264</v>
      </c>
      <c r="ER340" s="118" t="s">
        <v>1264</v>
      </c>
      <c r="ES340" s="118" t="s">
        <v>1264</v>
      </c>
      <c r="ET340" s="118" t="s">
        <v>717</v>
      </c>
      <c r="EU340" s="118" t="s">
        <v>717</v>
      </c>
      <c r="EV340" s="118" t="s">
        <v>400</v>
      </c>
      <c r="EX340" s="173" t="s">
        <v>345</v>
      </c>
      <c r="EY340" s="173" t="s">
        <v>344</v>
      </c>
      <c r="EZ340" s="173" t="s">
        <v>344</v>
      </c>
      <c r="FA340" s="173" t="s">
        <v>344</v>
      </c>
      <c r="FB340" s="118" t="s">
        <v>343</v>
      </c>
      <c r="FC340" s="118" t="s">
        <v>873</v>
      </c>
      <c r="FD340" s="118" t="s">
        <v>1266</v>
      </c>
      <c r="FJ340" s="118" t="s">
        <v>382</v>
      </c>
      <c r="FK340" s="118" t="s">
        <v>1323</v>
      </c>
      <c r="FL340" s="118" t="s">
        <v>1293</v>
      </c>
      <c r="FM340" s="118" t="s">
        <v>385</v>
      </c>
      <c r="FN340" s="118" t="s">
        <v>397</v>
      </c>
      <c r="FO340" s="118" t="s">
        <v>365</v>
      </c>
      <c r="FP340" s="118" t="s">
        <v>366</v>
      </c>
      <c r="FQ340" s="118" t="s">
        <v>366</v>
      </c>
      <c r="FR340" s="118" t="s">
        <v>365</v>
      </c>
      <c r="FS340" s="118" t="s">
        <v>366</v>
      </c>
      <c r="FT340" s="118" t="s">
        <v>366</v>
      </c>
      <c r="FU340" s="118" t="s">
        <v>366</v>
      </c>
      <c r="FV340" s="118" t="s">
        <v>366</v>
      </c>
      <c r="FW340" s="118" t="s">
        <v>365</v>
      </c>
      <c r="FX340" s="118" t="s">
        <v>17911</v>
      </c>
      <c r="FZ340" s="118" t="s">
        <v>1373</v>
      </c>
      <c r="GA340" s="118" t="s">
        <v>344</v>
      </c>
      <c r="GB340" s="118" t="s">
        <v>344</v>
      </c>
      <c r="GC340" s="118" t="s">
        <v>345</v>
      </c>
      <c r="GD340" s="118" t="s">
        <v>344</v>
      </c>
      <c r="GE340" s="118" t="s">
        <v>345</v>
      </c>
      <c r="GF340" s="118" t="s">
        <v>344</v>
      </c>
      <c r="GG340" s="118">
        <v>80</v>
      </c>
      <c r="GH340" s="118">
        <v>25</v>
      </c>
      <c r="GK340" s="118" t="s">
        <v>367</v>
      </c>
      <c r="GL340" s="118" t="s">
        <v>344</v>
      </c>
      <c r="GM340" s="118" t="s">
        <v>344</v>
      </c>
      <c r="GN340" s="118" t="s">
        <v>344</v>
      </c>
      <c r="GO340" s="118" t="s">
        <v>344</v>
      </c>
      <c r="GP340" s="118" t="s">
        <v>344</v>
      </c>
      <c r="GQ340" s="118" t="s">
        <v>344</v>
      </c>
      <c r="GR340" s="118" t="s">
        <v>344</v>
      </c>
      <c r="GS340" s="118" t="s">
        <v>344</v>
      </c>
      <c r="GT340" s="118" t="s">
        <v>344</v>
      </c>
      <c r="GU340" s="118" t="s">
        <v>344</v>
      </c>
      <c r="GV340" s="118" t="s">
        <v>344</v>
      </c>
      <c r="GW340" s="118" t="s">
        <v>344</v>
      </c>
      <c r="GX340" s="118" t="s">
        <v>344</v>
      </c>
      <c r="GY340" s="118" t="s">
        <v>344</v>
      </c>
      <c r="GZ340" s="118" t="s">
        <v>344</v>
      </c>
      <c r="HA340" s="118" t="s">
        <v>345</v>
      </c>
      <c r="HC340" s="118" t="s">
        <v>344</v>
      </c>
      <c r="HE340" s="118" t="s">
        <v>344</v>
      </c>
      <c r="HG340" s="118" t="s">
        <v>344</v>
      </c>
      <c r="HI340" s="118" t="s">
        <v>344</v>
      </c>
      <c r="HK340" s="118" t="s">
        <v>344</v>
      </c>
      <c r="HL340" s="118" t="s">
        <v>344</v>
      </c>
      <c r="HM340" s="118" t="s">
        <v>344</v>
      </c>
      <c r="HN340" s="118" t="s">
        <v>344</v>
      </c>
      <c r="HO340" s="118" t="s">
        <v>344</v>
      </c>
      <c r="HP340" s="118" t="s">
        <v>344</v>
      </c>
      <c r="HQ340" s="118" t="s">
        <v>344</v>
      </c>
      <c r="HR340" s="118" t="s">
        <v>344</v>
      </c>
      <c r="HS340" s="118" t="s">
        <v>344</v>
      </c>
      <c r="HT340" s="118" t="s">
        <v>344</v>
      </c>
      <c r="HU340" s="118" t="s">
        <v>344</v>
      </c>
      <c r="HV340" s="118" t="s">
        <v>344</v>
      </c>
      <c r="HW340" s="118" t="s">
        <v>344</v>
      </c>
      <c r="HX340" s="118" t="s">
        <v>344</v>
      </c>
      <c r="HY340" s="118" t="s">
        <v>344</v>
      </c>
      <c r="HZ340" s="118" t="s">
        <v>344</v>
      </c>
      <c r="IA340" s="118" t="s">
        <v>344</v>
      </c>
      <c r="IB340" s="118" t="s">
        <v>344</v>
      </c>
      <c r="IC340" s="118" t="s">
        <v>345</v>
      </c>
      <c r="IE340" s="118" t="s">
        <v>344</v>
      </c>
      <c r="IG340" s="118" t="s">
        <v>344</v>
      </c>
      <c r="II340" s="118" t="s">
        <v>344</v>
      </c>
      <c r="IK340" s="118" t="s">
        <v>344</v>
      </c>
      <c r="IM340" s="118" t="s">
        <v>345</v>
      </c>
      <c r="IN340" s="118" t="s">
        <v>344</v>
      </c>
      <c r="IO340" s="118" t="s">
        <v>344</v>
      </c>
      <c r="IP340" s="118" t="s">
        <v>344</v>
      </c>
      <c r="IQ340" s="118" t="s">
        <v>345</v>
      </c>
      <c r="IR340" s="118" t="s">
        <v>345</v>
      </c>
      <c r="IS340" s="118" t="s">
        <v>344</v>
      </c>
      <c r="IT340" s="118" t="s">
        <v>345</v>
      </c>
      <c r="IU340" s="118" t="s">
        <v>344</v>
      </c>
      <c r="IV340" s="118" t="s">
        <v>344</v>
      </c>
      <c r="IW340" s="118" t="s">
        <v>344</v>
      </c>
      <c r="IX340" s="118" t="s">
        <v>344</v>
      </c>
      <c r="IY340" s="118" t="s">
        <v>344</v>
      </c>
      <c r="IZ340" s="118" t="s">
        <v>344</v>
      </c>
      <c r="JC340" s="118">
        <v>2049.4499999999998</v>
      </c>
      <c r="JD340" s="118">
        <v>12.72</v>
      </c>
      <c r="JF340" s="118">
        <v>93.75</v>
      </c>
      <c r="JL340" s="118">
        <v>668.21</v>
      </c>
      <c r="JR340" s="118">
        <v>403.46</v>
      </c>
      <c r="KJ340" s="118">
        <v>52.88</v>
      </c>
      <c r="KQ340" s="118">
        <v>253.5</v>
      </c>
      <c r="KT340" s="118">
        <v>60.41</v>
      </c>
      <c r="LD340" s="118">
        <v>55.98</v>
      </c>
      <c r="LI340" s="118">
        <v>106.09</v>
      </c>
      <c r="LN340" s="118">
        <v>222.74</v>
      </c>
      <c r="LS340" s="118">
        <v>119.71</v>
      </c>
    </row>
    <row r="341" spans="1:331" x14ac:dyDescent="0.3">
      <c r="CW341" s="121" t="s">
        <v>1812</v>
      </c>
      <c r="CX341" s="121" t="s">
        <v>1814</v>
      </c>
      <c r="DP341" s="121" t="s">
        <v>1812</v>
      </c>
      <c r="DQ341" s="121" t="s">
        <v>1812</v>
      </c>
      <c r="DR341" s="121" t="s">
        <v>1812</v>
      </c>
      <c r="DT341" s="121" t="s">
        <v>1812</v>
      </c>
      <c r="DU341" s="121" t="s">
        <v>1812</v>
      </c>
      <c r="DV341" s="121" t="s">
        <v>1812</v>
      </c>
    </row>
    <row r="342" spans="1:331" x14ac:dyDescent="0.3">
      <c r="A342">
        <f>COUNTIF(A2:A340,"Rīga")</f>
        <v>116</v>
      </c>
      <c r="B342" t="s">
        <v>338</v>
      </c>
      <c r="M342">
        <f>COUNT(Nē)</f>
        <v>0</v>
      </c>
      <c r="BH342">
        <f>COUNTIF(BH2:BH340,"Vienlīdzīgi")</f>
        <v>139</v>
      </c>
      <c r="CI342">
        <f>COUNTIF(CI2:CI340,"Viduvēji")</f>
        <v>127</v>
      </c>
      <c r="CV342" t="s">
        <v>364</v>
      </c>
      <c r="CW342">
        <f>COUNTIFS(Kopējie!M2:M340,"Jā",Kopējie!N2:N340,"Nē",Kopējie!O2:O340,"Nē",Kopējie!P2:P340,"Nē",Kopējie!Q2:Q340,"Nē",Kopējie!CW2:CW340,"Ļoti saspīlētas")</f>
        <v>20</v>
      </c>
      <c r="CX342">
        <f>COUNTIFS(Kopējie!M2:M340,"Nē",Kopējie!N2:N340,"Jā",Kopējie!O2:O340,"Nē",Kopējie!P2:P340,"Nē",Kopējie!Q2:Q340,"Nē",Kopējie!CW2:CW340,"Ļoti saspīlētas")</f>
        <v>24</v>
      </c>
      <c r="DP342">
        <f>COUNTIFS(Kopējie!M2:M340,"Jā",Kopējie!N2:N340,"Nē",Kopējie!O2:O340,"Nē",Kopējie!P2:P340,"Nē",Kopējie!Q2:Q340,"Nē",Kopējie!DP2:DP340,"Jā")</f>
        <v>40</v>
      </c>
      <c r="DQ342">
        <f>COUNTIFS(Kopējie!M2:M340,"Jā",Kopējie!N2:N340,"Nē",Kopējie!O2:O340,"Nē",Kopējie!P2:P340,"Nē",Kopējie!Q2:Q340,"Nē",Kopējie!DQ2:DQ340,"Jā")</f>
        <v>30</v>
      </c>
      <c r="DR342">
        <f>COUNTIFS(Kopējie!M2:M340,"Jā",Kopējie!N2:N340,"Nē",Kopējie!O2:O340,"Nē",Kopējie!P2:P340,"Nē",Kopējie!Q2:Q340,"Nē",Kopējie!DR2:DR340,"Jā")</f>
        <v>33</v>
      </c>
      <c r="DT342">
        <f>COUNTIFS(Kopējie!M2:M340,"Jā",Kopējie!N2:N340,"Nē",Kopējie!O2:O340,"Nē",Kopējie!P2:P340,"Nē",Kopējie!Q2:Q340,"Nē",Kopējie!DT2:DT340,"Jā")</f>
        <v>63</v>
      </c>
      <c r="DU342">
        <f>COUNTIFS(Kopējie!M2:M340,"Jā",Kopējie!N2:N340,"Nē",Kopējie!O2:O340,"Nē",Kopējie!P2:P340,"Nē",Kopējie!Q2:Q340,"Nē",Kopējie!DU2:DU340,"Jā")</f>
        <v>34</v>
      </c>
      <c r="DV342">
        <f>COUNTIFS(Kopējie!M2:M340,"Jā",Kopējie!N2:N340,"Nē",Kopējie!O2:O340,"Nē",Kopējie!P2:P340,"Nē",Kopējie!Q2:Q340,"Nē",Kopējie!DV2:DV340,"Jā")</f>
        <v>45</v>
      </c>
      <c r="EL342" s="121" t="s">
        <v>18129</v>
      </c>
      <c r="EM342" s="121" t="s">
        <v>18129</v>
      </c>
      <c r="EN342" s="121" t="s">
        <v>18129</v>
      </c>
      <c r="EQ342" s="121" t="s">
        <v>18129</v>
      </c>
      <c r="ER342" s="121" t="s">
        <v>18129</v>
      </c>
      <c r="ES342" s="121" t="s">
        <v>18129</v>
      </c>
      <c r="ET342" s="121" t="s">
        <v>18129</v>
      </c>
      <c r="EU342" s="121" t="s">
        <v>18129</v>
      </c>
    </row>
    <row r="343" spans="1:331" x14ac:dyDescent="0.3">
      <c r="A343">
        <f>COUNTIF(A2:A340,"Liepāja")</f>
        <v>103</v>
      </c>
      <c r="B343" t="s">
        <v>727</v>
      </c>
      <c r="U343" s="157" t="str">
        <f t="shared" ref="U343:U388" si="0">TRIM(CLEAN(U2))</f>
        <v>ateistu(ti), nereliģiozu</v>
      </c>
      <c r="BH343">
        <f>COUNTIF(BH2:BH340,"Lielākoties vienlīdzīgi")</f>
        <v>112</v>
      </c>
      <c r="CV343" t="s">
        <v>363</v>
      </c>
      <c r="CW343">
        <f>COUNTIFS(Kopējie!M2:M340,"Jā",Kopējie!N2:N340,"Nē",Kopējie!O2:O340,"Nē",Kopējie!P2:P340,"Nē",Kopējie!Q2:Q340,"Nē",Kopējie!CW2:CW340,"Drīzāk saspīlētas")</f>
        <v>39</v>
      </c>
      <c r="CX343">
        <f>COUNTIFS(Kopējie!M2:M340,"Nē",Kopējie!N2:N340,"Jā",Kopējie!O2:O340,"Nē",Kopējie!P2:P340,"Nē",Kopējie!Q2:Q340,"Nē",Kopējie!CW2:CW340,"Drīzāk saspīlētas")</f>
        <v>39</v>
      </c>
      <c r="DP343" s="121" t="s">
        <v>1814</v>
      </c>
      <c r="DQ343" s="121" t="s">
        <v>1814</v>
      </c>
      <c r="DR343" s="121" t="s">
        <v>1814</v>
      </c>
      <c r="DT343" s="121" t="s">
        <v>1814</v>
      </c>
      <c r="DU343" s="121" t="s">
        <v>1814</v>
      </c>
      <c r="DV343" s="121" t="s">
        <v>1814</v>
      </c>
      <c r="EK343" t="s">
        <v>1259</v>
      </c>
      <c r="EL343">
        <f>COUNTIFS(Kopējie!M2:M340,"Jā",Kopējie!N2:N340,"Nē",Kopējie!O2:O340,"Nē",Kopējie!P2:P340,"Nē",Kopējie!Q2:Q340,"Nē",Kopējie!EL2:EL340,"Brīvas vēlēšanas un plurālisms")</f>
        <v>23</v>
      </c>
      <c r="EM343">
        <f>COUNTIFS(Kopējie!M2:M340,"Jā",Kopējie!N2:N340,"Nē",Kopējie!O2:O340,"Nē",Kopējie!P2:P340,"Nē",Kopējie!Q2:Q340,"Nē",Kopējie!EM2:EM340,"Brīvas vēlēšanas un plurālisms")</f>
        <v>25</v>
      </c>
      <c r="EN343">
        <f>COUNTIFS(Kopējie!M2:M340,"Jā",Kopējie!N2:N340,"Nē",Kopējie!O2:O340,"Nē",Kopējie!P2:P340,"Nē",Kopējie!Q2:Q340,"Nē",Kopējie!EN2:EN340,"Brīvas vēlēšanas un plurālisms")</f>
        <v>41</v>
      </c>
      <c r="EP343" t="s">
        <v>1262</v>
      </c>
      <c r="EQ343">
        <f>COUNTIFS(Kopējie!M2:M340,"Jā",Kopējie!N2:N340,"Nē",Kopējie!O2:O340,"Nē",Kopējie!P2:P340,"Nē",Kopējie!Q2:Q340,"Nē",Kopējie!EQ2:EQ340,"Ļoti labi")</f>
        <v>13</v>
      </c>
      <c r="ER343">
        <f>COUNTIFS(Kopējie!M2:M340,"Jā",Kopējie!N2:N340,"Nē",Kopējie!O2:O340,"Nē",Kopējie!P2:P340,"Nē",Kopējie!Q2:Q340,"Nē",Kopējie!ER2:ER340,"Ļoti labi")</f>
        <v>14</v>
      </c>
      <c r="ES343">
        <f>COUNTIFS(Kopējie!M2:M340,"Jā",Kopējie!N2:N340,"Nē",Kopējie!O2:O340,"Nē",Kopējie!P2:P340,"Nē",Kopējie!Q2:Q340,"Nē",Kopējie!ES2:ES340,"Ļoti labi")</f>
        <v>14</v>
      </c>
      <c r="ET343" s="122">
        <f>COUNTIFS(Kopējie!M2:M340,"Jā",Kopējie!N2:N340,"Nē",Kopējie!O2:O340,"Nē",Kopējie!P2:P340,"Nē",Kopējie!Q2:Q340,"Nē",Kopējie!ET2:ET340,"Ļoti labi")</f>
        <v>5</v>
      </c>
      <c r="EU343">
        <f>COUNTIFS(Kopējie!M2:M340,"Jā",Kopējie!N2:N340,"Nē",Kopējie!O2:O340,"Nē",Kopējie!P2:P340,"Nē",Kopējie!Q2:Q340,"Nē",Kopējie!EU2:EU340,"Ļoti labi")</f>
        <v>8</v>
      </c>
    </row>
    <row r="344" spans="1:331" x14ac:dyDescent="0.3">
      <c r="A344">
        <f>COUNTIF(A2:A340,"Daugavpils")</f>
        <v>120</v>
      </c>
      <c r="B344" t="s">
        <v>813</v>
      </c>
      <c r="U344" s="157" t="str">
        <f t="shared" si="0"/>
        <v>ateistu(ti), nereliģiozu</v>
      </c>
      <c r="CV344" t="s">
        <v>395</v>
      </c>
      <c r="CW344">
        <f>COUNTIFS(Kopējie!M2:M340,"Jā",Kopējie!N2:N340,"Nē",Kopējie!O2:O340,"Nē",Kopējie!P2:P340,"Nē",Kopējie!Q2:Q340,"Nē",Kopējie!CW2:CW340,"Mazliet saspīlētas")</f>
        <v>41</v>
      </c>
      <c r="CX344">
        <f>COUNTIFS(Kopējie!M2:M340,"Nē",Kopējie!N2:N340,"Jā",Kopējie!O2:O340,"Nē",Kopējie!P2:P340,"Nē",Kopējie!Q2:Q340,"Nē",Kopējie!CW2:CW340,"Mazliet saspīlētas")</f>
        <v>27</v>
      </c>
      <c r="DP344">
        <f>COUNTIFS(Kopējie!M2:M340,"Nē",Kopējie!N2:N340,"Jā",Kopējie!O2:O340,"Nē",Kopējie!P2:P340,"Nē",Kopējie!Q2:Q340,"Nē",Kopējie!DP2:DP340,"Jā")</f>
        <v>37</v>
      </c>
      <c r="DQ344">
        <f>COUNTIFS(Kopējie!M2:M340,"Nē",Kopējie!N2:N340,"Jā",Kopējie!O2:O340,"Nē",Kopējie!P2:P340,"Nē",Kopējie!Q2:Q340,"Nē",Kopējie!DQ2:DQ340,"Jā")</f>
        <v>17</v>
      </c>
      <c r="DR344">
        <f>COUNTIFS(Kopējie!M2:M340,"Nē",Kopējie!N2:N340,"Jā",Kopējie!O2:O340,"Nē",Kopējie!P2:P340,"Nē",Kopējie!Q2:Q340,"Nē",Kopējie!DR2:DR340,"Jā")</f>
        <v>34</v>
      </c>
      <c r="DT344">
        <f>COUNTIFS(Kopējie!M2:M340,"Nē",Kopējie!N2:N340,"Jā",Kopējie!O2:O340,"Nē",Kopējie!P2:P340,"Nē",Kopējie!Q2:Q340,"Nē",Kopējie!DT2:DT340,"Jā")</f>
        <v>39</v>
      </c>
      <c r="DU344">
        <f>COUNTIFS(Kopējie!M2:M340,"Nē",Kopējie!N2:N340,"Jā",Kopējie!O2:O340,"Nē",Kopējie!P2:P340,"Nē",Kopējie!Q2:Q340,"Nē",Kopējie!DU2:DU340,"Jā")</f>
        <v>24</v>
      </c>
      <c r="DV344">
        <f>COUNTIFS(Kopējie!M2:M340,"Nē",Kopējie!N2:N340,"Jā",Kopējie!O2:O340,"Nē",Kopējie!P2:P340,"Nē",Kopējie!Q2:Q340,"Nē",Kopējie!DV2:DV340,"Jā")</f>
        <v>31</v>
      </c>
      <c r="EK344" t="s">
        <v>1276</v>
      </c>
      <c r="EL344">
        <f>COUNTIFS(Kopējie!M2:M340,"Jā",Kopējie!N2:N340,"Nē",Kopējie!O2:O340,"Nē",Kopējie!P2:P340,"Nē",Kopējie!Q2:Q340,"Nē",Kopējie!EL2:EL340,"Pilsoniskās brīvības (vārda brīvība, tiesības uz tiesisko aizsardzību)")</f>
        <v>58</v>
      </c>
      <c r="EM344">
        <f>COUNTIFS(Kopējie!M2:M340,"Jā",Kopējie!N2:N340,"Nē",Kopējie!O2:O340,"Nē",Kopējie!P2:P340,"Nē",Kopējie!Q2:Q340,"Nē",Kopējie!EM2:EM340,"Pilsoniskās brīvības (vārda brīvība, tiesības uz tiesisko aizsardzību)")</f>
        <v>32</v>
      </c>
      <c r="EN344">
        <f>COUNTIFS(Kopējie!M2:M340,"Jā",Kopējie!N2:N340,"Nē",Kopējie!O2:O340,"Nē",Kopējie!P2:P340,"Nē",Kopējie!Q2:Q340,"Nē",Kopējie!EN2:EN340,"Pilsoniskās brīvības (vārda brīvība, tiesības uz tiesisko aizsardzību)")</f>
        <v>14</v>
      </c>
      <c r="EP344" t="s">
        <v>1263</v>
      </c>
      <c r="EQ344">
        <f>COUNTIFS(Kopējie!M2:M340,"Jā",Kopējie!N2:N340,"Nē",Kopējie!O2:O340,"Nē",Kopējie!P2:P340,"Nē",Kopējie!Q2:Q340,"Nē",Kopējie!EQ2:EQ340,"Labi")</f>
        <v>48</v>
      </c>
      <c r="ER344">
        <f>COUNTIFS(Kopējie!M2:M340,"Jā",Kopējie!N2:N340,"Nē",Kopējie!O2:O340,"Nē",Kopējie!P2:P340,"Nē",Kopējie!Q2:Q340,"Nē",Kopējie!ER2:ER340,"Labi")</f>
        <v>51</v>
      </c>
      <c r="ES344">
        <f>COUNTIFS(Kopējie!M2:M340,"Jā",Kopējie!N2:N340,"Nē",Kopējie!O2:O340,"Nē",Kopējie!P2:P340,"Nē",Kopējie!Q2:Q340,"Nē",Kopējie!ES2:ES340,"Labi")</f>
        <v>39</v>
      </c>
      <c r="ET344" s="122">
        <f>COUNTIFS(Kopējie!M2:M340,"Jā",Kopējie!N2:N340,"Nē",Kopējie!O2:O340,"Nē",Kopējie!P2:P340,"Nē",Kopējie!Q2:Q340,"Nē",Kopējie!ET2:ET340,"Labi")</f>
        <v>24</v>
      </c>
      <c r="EU344">
        <f>COUNTIFS(Kopējie!M2:M340,"Jā",Kopējie!N2:N340,"Nē",Kopējie!O2:O340,"Nē",Kopējie!P2:P340,"Nē",Kopējie!Q2:Q340,"Nē",Kopējie!EU2:EU340,"Labi")</f>
        <v>18</v>
      </c>
    </row>
    <row r="345" spans="1:331" x14ac:dyDescent="0.3">
      <c r="U345" s="157" t="str">
        <f t="shared" si="0"/>
        <v>ateistu(ti), nereliģiozu</v>
      </c>
      <c r="CV345" t="s">
        <v>396</v>
      </c>
      <c r="CW345">
        <f>COUNTIFS(Kopējie!M2:M340,"Jā",Kopējie!N2:N340,"Nē",Kopējie!O2:O340,"Nē",Kopējie!P2:P340,"Nē",Kopējie!Q2:Q340,"Nē",Kopējie!CW2:CW340,"Nav saspīlētas")</f>
        <v>18</v>
      </c>
      <c r="CX345">
        <f>COUNTIFS(Kopējie!M2:M340,"Nē",Kopējie!N2:N340,"Jā",Kopējie!O2:O340,"Nē",Kopējie!P2:P340,"Nē",Kopējie!Q2:Q340,"Nē",Kopējie!CW2:CW340,"Nav saspīlētas")</f>
        <v>11</v>
      </c>
      <c r="EK345" t="s">
        <v>1275</v>
      </c>
      <c r="EL345">
        <f>COUNTIFS(Kopējie!M2:M340,"Jā",Kopējie!N2:N340,"Nē",Kopējie!O2:O340,"Nē",Kopējie!P2:P340,"Nē",Kopējie!Q2:Q340,"Nē",Kopējie!EL2:EL340,"Vienlīdzīgas tiesības minoritātēm un ievainojamām sabiedrības grupām")</f>
        <v>6</v>
      </c>
      <c r="EM345">
        <f>COUNTIFS(Kopējie!M2:M340,"Jā",Kopējie!N2:N340,"Nē",Kopējie!O2:O340,"Nē",Kopējie!P2:P340,"Nē",Kopējie!Q2:Q340,"Nē",Kopējie!EM2:EM340,"Vienlīdzīgas tiesības minoritātēm un ievainojamām sabiedrības grupām")</f>
        <v>15</v>
      </c>
      <c r="EN345">
        <f>COUNTIFS(Kopējie!M2:M340,"Jā",Kopējie!N2:N340,"Nē",Kopējie!O2:O340,"Nē",Kopējie!P2:P340,"Nē",Kopējie!Q2:Q340,"Nē",Kopējie!EN2:EN340,"Vienlīdzīgas tiesības minoritātēm un ievainojamām sabiedrības grupām")</f>
        <v>15</v>
      </c>
      <c r="EP345" t="s">
        <v>1264</v>
      </c>
      <c r="EQ345">
        <f>COUNTIFS(Kopējie!M2:M340,"Jā",Kopējie!N2:N340,"Nē",Kopējie!O2:O340,"Nē",Kopējie!P2:P340,"Nē",Kopējie!Q2:Q340,"Nē",Kopējie!EQ2:EQ340,"Citreiz labi, citreiz slikti")</f>
        <v>40</v>
      </c>
      <c r="ER345">
        <f>COUNTIFS(Kopējie!M2:M340,"Jā",Kopējie!N2:N340,"Nē",Kopējie!O2:O340,"Nē",Kopējie!P2:P340,"Nē",Kopējie!Q2:Q340,"Nē",Kopējie!ER2:ER340,"Citreiz labi, citreiz slikti")</f>
        <v>34</v>
      </c>
      <c r="ES345">
        <f>COUNTIFS(Kopējie!M2:M340,"Jā",Kopējie!N2:N340,"Nē",Kopējie!O2:O340,"Nē",Kopējie!P2:P340,"Nē",Kopējie!Q2:Q340,"Nē",Kopējie!ES2:ES340,"Citreiz labi, citreiz slikti")</f>
        <v>42</v>
      </c>
      <c r="ET345" s="122">
        <f>COUNTIFS(Kopējie!M2:M340,"Jā",Kopējie!N2:N340,"Nē",Kopējie!O2:O340,"Nē",Kopējie!P2:P340,"Nē",Kopējie!Q2:Q340,"Nē",Kopējie!ET2:ET340,"Citreiz labi, citreiz slikti")</f>
        <v>43</v>
      </c>
      <c r="EU345">
        <f>COUNTIFS(Kopējie!M2:M340,"Jā",Kopējie!N2:N340,"Nē",Kopējie!O2:O340,"Nē",Kopējie!P2:P340,"Nē",Kopējie!Q2:Q340,"Nē",Kopējie!EU2:EU340,"Citreiz labi, citreiz slikti")</f>
        <v>39</v>
      </c>
    </row>
    <row r="346" spans="1:331" x14ac:dyDescent="0.3">
      <c r="U346" s="157" t="str">
        <f t="shared" si="0"/>
        <v>pareizticīgo</v>
      </c>
      <c r="CV346" t="s">
        <v>471</v>
      </c>
      <c r="CW346">
        <f>COUNTIFS(Kopējie!M2:M340,"Jā",Kopējie!N2:N340,"Nē",Kopējie!O2:O340,"Nē",Kopējie!P2:P340,"Nē",Kopējie!Q2:Q340,"Nē",Kopējie!CW2:CW340,"Es nezinu")</f>
        <v>6</v>
      </c>
      <c r="CX346">
        <f>COUNTIFS(Kopējie!M2:M340,"Nē",Kopējie!N2:N340,"Jā",Kopējie!O2:O340,"Nē",Kopējie!P2:P340,"Nē",Kopējie!Q2:Q340,"Nē",Kopējie!CW2:CW340,"Es nezinu")</f>
        <v>9</v>
      </c>
      <c r="EK346" t="s">
        <v>1261</v>
      </c>
      <c r="EL346">
        <f>COUNTIFS(Kopējie!M2:M340,"Jā",Kopējie!N2:N340,"Nē",Kopējie!O2:O340,"Nē",Kopējie!P2:P340,"Nē",Kopējie!Q2:Q340,"Nē",Kopējie!EL2:EL340,"Varas līdzsvars starp parlamentu, prezidentu un tiesām, lai neviena no institūcijām nespētu sevī koncentrēt lielāko daļu varas")</f>
        <v>12</v>
      </c>
      <c r="EM346">
        <f>COUNTIFS(Kopējie!M2:M340,"Jā",Kopējie!N2:N340,"Nē",Kopējie!O2:O340,"Nē",Kopējie!P2:P340,"Nē",Kopējie!Q2:Q340,"Nē",Kopējie!EM2:EM340,"Varas līdzsvars starp parlamentu, prezidentu un tiesām, lai neviena no institūcijām nespētu sevī koncentrēt lielāko daļu varas")</f>
        <v>13</v>
      </c>
      <c r="EN346">
        <f>COUNTIFS(Kopējie!M2:M340,"Jā",Kopējie!N2:N340,"Nē",Kopējie!O2:O340,"Nē",Kopējie!P2:P340,"Nē",Kopējie!Q2:Q340,"Nē",Kopējie!EN2:EN340,"Varas līdzsvars starp parlamentu, prezidentu un tiesām, lai neviena no institūcijām nespētu sevī koncentrēt lielāko daļu varas")</f>
        <v>22</v>
      </c>
      <c r="EP346" t="s">
        <v>1277</v>
      </c>
      <c r="EQ346">
        <f>COUNTIFS(Kopējie!M2:M340,"Jā",Kopējie!N2:N340,"Nē",Kopējie!O2:O340,"Nē",Kopējie!P2:P340,"Nē",Kopējie!Q2:Q340,"Nē",Kopējie!EQ2:EQ340,"Slikti")</f>
        <v>3</v>
      </c>
      <c r="ER346">
        <f>COUNTIFS(Kopējie!M2:M340,"Jā",Kopējie!N2:N340,"Nē",Kopējie!O2:O340,"Nē",Kopējie!P2:P340,"Nē",Kopējie!Q2:Q340,"Nē",Kopējie!ER2:ER340,"Slikti")</f>
        <v>10</v>
      </c>
      <c r="ES346">
        <f>COUNTIFS(Kopējie!M2:M340,"Jā",Kopējie!N2:N340,"Nē",Kopējie!O2:O340,"Nē",Kopējie!P2:P340,"Nē",Kopējie!Q2:Q340,"Nē",Kopējie!ES2:ES340,"Slikti")</f>
        <v>10</v>
      </c>
      <c r="ET346" s="122">
        <f>COUNTIFS(Kopējie!M2:M340,"Jā",Kopējie!N2:N340,"Nē",Kopējie!O2:O340,"Nē",Kopējie!P2:P340,"Nē",Kopējie!Q2:Q340,"Nē",Kopējie!ET2:ET340,"Slikti")</f>
        <v>11</v>
      </c>
      <c r="EU346">
        <f>COUNTIFS(Kopējie!M2:M340,"Jā",Kopējie!N2:N340,"Nē",Kopējie!O2:O340,"Nē",Kopējie!P2:P340,"Nē",Kopējie!Q2:Q340,"Nē",Kopējie!EU2:EU340,"Slikti")</f>
        <v>17</v>
      </c>
    </row>
    <row r="347" spans="1:331" x14ac:dyDescent="0.3">
      <c r="U347" s="157" t="str">
        <f t="shared" si="0"/>
        <v>katoli(ieti)</v>
      </c>
      <c r="EK347" t="s">
        <v>1260</v>
      </c>
      <c r="EL347">
        <f>COUNTIFS(Kopējie!M2:M340,"Jā",Kopējie!N2:N340,"Nē",Kopējie!O2:O340,"Nē",Kopējie!P2:P340,"Nē",Kopējie!Q2:Q340,"Nē",Kopējie!EL2:EL340,"Vienlīdz pieejama izglītība, veselības aprūpe, sociālais nodrošinājums")</f>
        <v>25</v>
      </c>
      <c r="EM347">
        <f>COUNTIFS(Kopējie!M2:M340,"Jā",Kopējie!N2:N340,"Nē",Kopējie!O2:O340,"Nē",Kopējie!P2:P340,"Nē",Kopējie!Q2:Q340,"Nē",Kopējie!EM2:EM340,"Vienlīdz pieejama izglītība, veselības aprūpe, sociālais nodrošinājums")</f>
        <v>39</v>
      </c>
      <c r="EN347">
        <f>COUNTIFS(Kopējie!M2:M340,"Jā",Kopējie!N2:N340,"Nē",Kopējie!O2:O340,"Nē",Kopējie!P2:P340,"Nē",Kopējie!Q2:Q340,"Nē",Kopējie!EN2:EN340,"Vienlīdz pieejama izglītība, veselības aprūpe, sociālais nodrošinājums")</f>
        <v>32</v>
      </c>
      <c r="EP347" t="s">
        <v>18180</v>
      </c>
      <c r="EQ347">
        <f>COUNTIFS(Kopējie!M2:M340,"Jā",Kopējie!N2:N340,"Nē",Kopējie!O2:O340,"Nē",Kopējie!P2:P340,"Nē",Kopējie!Q2:Q340,"Nē",Kopējie!EQ2:EQ340,"Knapi/gandrīz necik")</f>
        <v>1</v>
      </c>
      <c r="ER347">
        <f>COUNTIFS(Kopējie!M2:M340,"Jā",Kopējie!N2:N340,"Nē",Kopējie!O2:O340,"Nē",Kopējie!P2:P340,"Nē",Kopējie!Q2:Q340,"Nē",Kopējie!ER2:ER340,"Knapi/gandrīz necik")</f>
        <v>1</v>
      </c>
      <c r="ES347">
        <f>COUNTIFS(Kopējie!M2:M340,"Jā",Kopējie!N2:N340,"Nē",Kopējie!O2:O340,"Nē",Kopējie!P2:P340,"Nē",Kopējie!Q2:Q340,"Nē",Kopējie!ES2:ES340,"Knapi/gandrīz necik")</f>
        <v>4</v>
      </c>
      <c r="ET347" s="122">
        <f>COUNTIFS(Kopējie!M2:M340,"Jā",Kopējie!N2:N340,"Nē",Kopējie!O2:O340,"Nē",Kopējie!P2:P340,"Nē",Kopējie!Q2:Q340,"Nē",Kopējie!ET2:ET340,"Knapi/gandrīz necik")</f>
        <v>4</v>
      </c>
      <c r="EU347">
        <f>COUNTIFS(Kopējie!M2:M340,"Jā",Kopējie!N2:N340,"Nē",Kopējie!O2:O340,"Nē",Kopējie!P2:P340,"Nē",Kopējie!Q2:Q340,"Nē",Kopējie!EU2:EU340,"Knapi/gandrīz necik")</f>
        <v>5</v>
      </c>
    </row>
    <row r="348" spans="1:331" x14ac:dyDescent="0.3">
      <c r="U348" s="157" t="str">
        <f t="shared" si="0"/>
        <v>ateistu(ti), nereliģiozu</v>
      </c>
      <c r="EP348" t="s">
        <v>717</v>
      </c>
      <c r="EQ348">
        <f>COUNTIFS(Kopējie!M2:M340,"Jā",Kopējie!N2:N340,"Nē",Kopējie!O2:O340,"Nē",Kopējie!P2:P340,"Nē",Kopējie!Q2:Q340,"Nē",Kopējie!EQ2:EQ340,"Nezinu")</f>
        <v>19</v>
      </c>
      <c r="ER348">
        <f>COUNTIFS(Kopējie!M2:M340,"Jā",Kopējie!N2:N340,"Nē",Kopējie!O2:O340,"Nē",Kopējie!P2:P340,"Nē",Kopējie!Q2:Q340,"Nē",Kopējie!ER2:ER340,"Nezinu")</f>
        <v>14</v>
      </c>
      <c r="ES348">
        <f>COUNTIFS(Kopējie!M2:M340,"Jā",Kopējie!N2:N340,"Nē",Kopējie!O2:O340,"Nē",Kopējie!P2:P340,"Nē",Kopējie!Q2:Q340,"Nē",Kopējie!ES2:ES340,"Nezinu")</f>
        <v>15</v>
      </c>
      <c r="ET348" s="122">
        <f>COUNTIFS(Kopējie!M2:M340,"Jā",Kopējie!N2:N340,"Nē",Kopējie!O2:O340,"Nē",Kopējie!P2:P340,"Nē",Kopējie!Q2:Q340,"Nē",Kopējie!ET2:ET340,"Nezinu")</f>
        <v>35</v>
      </c>
      <c r="EU348">
        <f>COUNTIFS(Kopējie!M2:M340,"Jā",Kopējie!N2:N340,"Nē",Kopējie!O2:O340,"Nē",Kopējie!P2:P340,"Nē",Kopējie!Q2:Q340,"Nē",Kopējie!EU2:EU340,"Nezinu")</f>
        <v>32</v>
      </c>
    </row>
    <row r="349" spans="1:331" x14ac:dyDescent="0.3">
      <c r="U349" s="157" t="str">
        <f t="shared" si="0"/>
        <v>ateistu(ti), nereliģiozu</v>
      </c>
      <c r="EL349" s="121" t="s">
        <v>18018</v>
      </c>
      <c r="EM349" s="121" t="s">
        <v>18018</v>
      </c>
      <c r="EN349" s="121" t="s">
        <v>18018</v>
      </c>
      <c r="EQ349" s="121" t="s">
        <v>18018</v>
      </c>
      <c r="ER349" s="121" t="s">
        <v>18018</v>
      </c>
      <c r="ES349" s="121" t="s">
        <v>18018</v>
      </c>
      <c r="ET349" s="121" t="s">
        <v>18018</v>
      </c>
      <c r="EU349" s="121" t="s">
        <v>18018</v>
      </c>
    </row>
    <row r="350" spans="1:331" x14ac:dyDescent="0.3">
      <c r="U350" s="157" t="str">
        <f t="shared" si="0"/>
        <v>pareizticīgo</v>
      </c>
      <c r="EK350" t="s">
        <v>1259</v>
      </c>
      <c r="EL350">
        <f>COUNTIFS(Kopējie!M2:M340,"Nē",Kopējie!N2:N340,"Jā",Kopējie!O2:O340,"Nē",Kopējie!P2:P340,"Nē",Kopējie!Q2:Q340,"Nē",Kopējie!EL2:EL340,"Brīvas vēlēšanas un plurālisms")</f>
        <v>30</v>
      </c>
      <c r="EM350">
        <f>COUNTIFS(Kopējie!M2:M340,"Nē",Kopējie!N2:N340,"Jā",Kopējie!O2:O340,"Nē",Kopējie!P2:P340,"Nē",Kopējie!Q2:Q340,"Nē",Kopējie!EM2:EM340,"Brīvas vēlēšanas un plurālisms")</f>
        <v>13</v>
      </c>
      <c r="EN350">
        <f>COUNTIFS(Kopējie!M2:M340,"Nē",Kopējie!N2:N340,"Jā",Kopējie!O2:O340,"Nē",Kopējie!P2:P340,"Nē",Kopējie!Q2:Q340,"Nē",Kopējie!EN2:EN340,"Brīvas vēlēšanas un plurālisms")</f>
        <v>21</v>
      </c>
      <c r="EP350" t="s">
        <v>1262</v>
      </c>
      <c r="EQ350">
        <f>COUNTIFS(Kopējie!M2:M340,"Nē",Kopējie!N2:N340,"Jā",Kopējie!O2:O340,"Nē",Kopējie!P2:P340,"Nē",Kopējie!Q2:Q340,"Nē",Kopējie!EQ2:EQ340,"Ļoti labi")</f>
        <v>3</v>
      </c>
      <c r="ER350">
        <f>COUNTIFS(Kopējie!M2:M340,"Nē",Kopējie!N2:N340,"Jā",Kopējie!O2:O340,"Nē",Kopējie!P2:P340,"Nē",Kopējie!Q2:Q340,"Nē",Kopējie!ER2:ER340,"Ļoti labi")</f>
        <v>2</v>
      </c>
      <c r="ES350">
        <f>COUNTIFS(Kopējie!M2:M340,"Nē",Kopējie!N2:N340,"Jā",Kopējie!O2:O340,"Nē",Kopējie!P2:P340,"Nē",Kopējie!Q2:Q340,"Nē",Kopējie!ES2:ES340,"Ļoti labi")</f>
        <v>8</v>
      </c>
      <c r="ET350">
        <f>COUNTIFS(Kopējie!M2:M340,"Nē",Kopējie!N2:N340,"Jā",Kopējie!O2:O340,"Nē",Kopējie!P2:P340,"Nē",Kopējie!Q2:Q340,"Nē",Kopējie!ET2:ET340,"Ļoti labi")</f>
        <v>1</v>
      </c>
      <c r="EU350">
        <f>COUNTIFS(Kopējie!M2:M340,"Nē",Kopējie!N2:N340,"Jā",Kopējie!O2:O340,"Nē",Kopējie!P2:P340,"Nē",Kopējie!Q2:Q340,"Nē",Kopējie!EU2:EU340,"Ļoti labi")</f>
        <v>4</v>
      </c>
    </row>
    <row r="351" spans="1:331" x14ac:dyDescent="0.3">
      <c r="U351" s="157" t="str">
        <f t="shared" si="0"/>
        <v>ateistu(ti), nereliģiozu</v>
      </c>
      <c r="EK351" t="s">
        <v>1276</v>
      </c>
      <c r="EL351">
        <f>COUNTIFS(Kopējie!M2:M340,"Nē",Kopējie!N2:N340,"Jā",Kopējie!O2:O340,"Nē",Kopējie!P2:P340,"Nē",Kopējie!Q2:Q340,"Nē",Kopējie!EL2:EL340,"Pilsoniskās brīvības (vārda brīvība, tiesības uz tiesisko aizsardzību)")</f>
        <v>43</v>
      </c>
      <c r="EM351">
        <f>COUNTIFS(Kopējie!M2:M340,"Nē",Kopējie!N2:N340,"Jā",Kopējie!O2:O340,"Nē",Kopējie!P2:P340,"Nē",Kopējie!Q2:Q340,"Nē",Kopējie!EM2:EM340,"Pilsoniskās brīvības (vārda brīvība, tiesības uz tiesisko aizsardzību)")</f>
        <v>32</v>
      </c>
      <c r="EN351">
        <f>COUNTIFS(Kopējie!M2:M340,"Nē",Kopējie!N2:N340,"Jā",Kopējie!O2:O340,"Nē",Kopējie!P2:P340,"Nē",Kopējie!Q2:Q340,"Nē",Kopējie!EN2:EN340,"Pilsoniskās brīvības (vārda brīvība, tiesības uz tiesisko aizsardzību)")</f>
        <v>18</v>
      </c>
      <c r="EP351" t="s">
        <v>1263</v>
      </c>
      <c r="EQ351">
        <f>COUNTIFS(Kopējie!M2:M340,"Nē",Kopējie!N2:N340,"Jā",Kopējie!O2:O340,"Nē",Kopējie!P2:P340,"Nē",Kopējie!Q2:Q340,"Nē",Kopējie!EQ2:EQ340,"Labi")</f>
        <v>21</v>
      </c>
      <c r="ER351">
        <f>COUNTIFS(Kopējie!M2:M340,"Nē",Kopējie!N2:N340,"Jā",Kopējie!O2:O340,"Nē",Kopējie!P2:P340,"Nē",Kopējie!Q2:Q340,"Nē",Kopējie!ER2:ER340,"Labi")</f>
        <v>16</v>
      </c>
      <c r="ES351">
        <f>COUNTIFS(Kopējie!M2:M340,"Nē",Kopējie!N2:N340,"Jā",Kopējie!O2:O340,"Nē",Kopējie!P2:P340,"Nē",Kopējie!Q2:Q340,"Nē",Kopējie!ES2:ES340,"Labi")</f>
        <v>30</v>
      </c>
      <c r="ET351">
        <f>COUNTIFS(Kopējie!M2:M340,"Nē",Kopējie!N2:N340,"Jā",Kopējie!O2:O340,"Nē",Kopējie!P2:P340,"Nē",Kopējie!Q2:Q340,"Nē",Kopējie!ET2:ET340,"Labi")</f>
        <v>14</v>
      </c>
      <c r="EU351">
        <f>COUNTIFS(Kopējie!M2:M340,"Nē",Kopējie!N2:N340,"Jā",Kopējie!O2:O340,"Nē",Kopējie!P2:P340,"Nē",Kopējie!Q2:Q340,"Nē",Kopējie!EU2:EU340,"Labi")</f>
        <v>11</v>
      </c>
    </row>
    <row r="352" spans="1:331" x14ac:dyDescent="0.3">
      <c r="U352" s="157" t="str">
        <f t="shared" si="0"/>
        <v>katoli(ieti)</v>
      </c>
      <c r="CU352">
        <f>COUNTIFS(Kopējie!M2:M340,"Nē",Kopējie!N2:N340,"Jā",Kopējie!O2:O340,"Nē",Kopējie!P2:P340,"Nē",Kopējie!Q2:Q340,"Nē",Kopējie!CU2:CU340,"&gt;50")</f>
        <v>97</v>
      </c>
      <c r="CV352">
        <f>COUNTIFS(Kopējie!M2:M340,"Nē",Kopējie!N2:N340,"Jā",Kopējie!O2:O340,"Nē",Kopējie!P2:P340,"Nē",Kopējie!Q2:Q340,"Nē",Kopējie!CV2:CV340,"&gt;50")</f>
        <v>38</v>
      </c>
      <c r="EK352" t="s">
        <v>1275</v>
      </c>
      <c r="EL352">
        <f>COUNTIFS(Kopējie!M2:M340,"Nē",Kopējie!N2:N340,"Jā",Kopējie!O2:O340,"Nē",Kopējie!P2:P340,"Nē",Kopējie!Q2:Q340,"Nē",Kopējie!EL2:EL340,"Vienlīdzīgas tiesības minoritātēm un ievainojamām sabiedrības grupām")</f>
        <v>12</v>
      </c>
      <c r="EM352">
        <f>COUNTIFS(Kopējie!M2:M340,"Nē",Kopējie!N2:N340,"Jā",Kopējie!O2:O340,"Nē",Kopējie!P2:P340,"Nē",Kopējie!Q2:Q340,"Nē",Kopējie!EM2:EM340,"Vienlīdzīgas tiesības minoritātēm un ievainojamām sabiedrības grupām")</f>
        <v>18</v>
      </c>
      <c r="EN352">
        <f>COUNTIFS(Kopējie!M2:M340,"Nē",Kopējie!N2:N340,"Jā",Kopējie!O2:O340,"Nē",Kopējie!P2:P340,"Nē",Kopējie!Q2:Q340,"Nē",Kopējie!EN2:EN340,"Vienlīdzīgas tiesības minoritātēm un ievainojamām sabiedrības grupām")</f>
        <v>26</v>
      </c>
      <c r="EP352" t="s">
        <v>1264</v>
      </c>
      <c r="EQ352">
        <f>COUNTIFS(Kopējie!M2:M340,"Nē",Kopējie!N2:N340,"Jā",Kopējie!O2:O340,"Nē",Kopējie!P2:P340,"Nē",Kopējie!Q2:Q340,"Nē",Kopējie!EQ2:EQ340,"Citreiz labi, citreiz slikti")</f>
        <v>33</v>
      </c>
      <c r="ER352">
        <f>COUNTIFS(Kopējie!M2:M340,"Nē",Kopējie!N2:N340,"Jā",Kopējie!O2:O340,"Nē",Kopējie!P2:P340,"Nē",Kopējie!Q2:Q340,"Nē",Kopējie!ER2:ER340,"Citreiz labi, citreiz slikti")</f>
        <v>35</v>
      </c>
      <c r="ES352">
        <f>COUNTIFS(Kopējie!M2:M340,"Nē",Kopējie!N2:N340,"Jā",Kopējie!O2:O340,"Nē",Kopējie!P2:P340,"Nē",Kopējie!Q2:Q340,"Nē",Kopējie!ES2:ES340,"Citreiz labi, citreiz slikti")</f>
        <v>36</v>
      </c>
      <c r="ET352">
        <f>COUNTIFS(Kopējie!M2:M340,"Nē",Kopējie!N2:N340,"Jā",Kopējie!O2:O340,"Nē",Kopējie!P2:P340,"Nē",Kopējie!Q2:Q340,"Nē",Kopējie!ET2:ET340,"Citreiz labi, citreiz slikti")</f>
        <v>33</v>
      </c>
      <c r="EU352">
        <f>COUNTIFS(Kopējie!M2:M340,"Nē",Kopējie!N2:N340,"Jā",Kopējie!O2:O340,"Nē",Kopējie!P2:P340,"Nē",Kopējie!Q2:Q340,"Nē",Kopējie!EU2:EU340,"Citreiz labi, citreiz slikti")</f>
        <v>34</v>
      </c>
    </row>
    <row r="353" spans="21:151" x14ac:dyDescent="0.3">
      <c r="U353" s="157" t="str">
        <f t="shared" si="0"/>
        <v>ateistu(ti), nereliģiozu</v>
      </c>
      <c r="EK353" t="s">
        <v>1261</v>
      </c>
      <c r="EL353">
        <f>COUNTIFS(Kopējie!M2:M340,"Nē",Kopējie!N2:N340,"Jā",Kopējie!O2:O340,"Nē",Kopējie!P2:P340,"Nē",Kopējie!Q2:Q340,"Nē",Kopējie!EL2:EL340,"Varas līdzsvars starp parlamentu, prezidentu un tiesām, lai neviena no institūcijām nespētu sevī koncentrēt lielāko daļu varas")</f>
        <v>4</v>
      </c>
      <c r="EM353">
        <f>COUNTIFS(Kopējie!M2:M340,"Nē",Kopējie!N2:N340,"Jā",Kopējie!O2:O340,"Nē",Kopējie!P2:P340,"Nē",Kopējie!Q2:Q340,"Nē",Kopējie!EM2:EM340,"Varas līdzsvars starp parlamentu, prezidentu un tiesām, lai neviena no institūcijām nespētu sevī koncentrēt lielāko daļu varas")</f>
        <v>12</v>
      </c>
      <c r="EN353">
        <f>COUNTIFS(Kopējie!M2:M340,"Nē",Kopējie!N2:N340,"Jā",Kopējie!O2:O340,"Nē",Kopējie!P2:P340,"Nē",Kopējie!Q2:Q340,"Nē",Kopējie!EN2:EN340,"Varas līdzsvars starp parlamentu, prezidentu un tiesām, lai neviena no institūcijām nespētu sevī koncentrēt lielāko daļu varas")</f>
        <v>23</v>
      </c>
      <c r="EP353" t="s">
        <v>1277</v>
      </c>
      <c r="EQ353">
        <f>COUNTIFS(Kopējie!M2:M340,"Nē",Kopējie!N2:N340,"Jā",Kopējie!O2:O340,"Nē",Kopējie!P2:P340,"Nē",Kopējie!Q2:Q340,"Nē",Kopējie!EQ2:EQ340,"Slikti")</f>
        <v>19</v>
      </c>
      <c r="ER353">
        <f>COUNTIFS(Kopējie!M2:M340,"Nē",Kopējie!N2:N340,"Jā",Kopējie!O2:O340,"Nē",Kopējie!P2:P340,"Nē",Kopējie!Q2:Q340,"Nē",Kopējie!ER2:ER340,"Slikti")</f>
        <v>24</v>
      </c>
      <c r="ES353">
        <f>COUNTIFS(Kopējie!M2:M340,"Nē",Kopējie!N2:N340,"Jā",Kopējie!O2:O340,"Nē",Kopējie!P2:P340,"Nē",Kopējie!Q2:Q340,"Nē",Kopējie!ES2:ES340,"Slikti")</f>
        <v>12</v>
      </c>
      <c r="ET353">
        <f>COUNTIFS(Kopējie!M2:M340,"Nē",Kopējie!N2:N340,"Jā",Kopējie!O2:O340,"Nē",Kopējie!P2:P340,"Nē",Kopējie!Q2:Q340,"Nē",Kopējie!ET2:ET340,"Slikti")</f>
        <v>20</v>
      </c>
      <c r="EU353">
        <f>COUNTIFS(Kopējie!M2:M340,"Nē",Kopējie!N2:N340,"Jā",Kopējie!O2:O340,"Nē",Kopējie!P2:P340,"Nē",Kopējie!Q2:Q340,"Nē",Kopējie!EU2:EU340,"Slikti")</f>
        <v>23</v>
      </c>
    </row>
    <row r="354" spans="21:151" x14ac:dyDescent="0.3">
      <c r="U354" s="157" t="str">
        <f t="shared" si="0"/>
        <v>pareizticīgo</v>
      </c>
      <c r="CU354">
        <f>COUNTIFS(Kopējie!M2:M340,"Nē",Kopējie!N2:N340,"Jā",Kopējie!O2:O340,"Nē",Kopējie!P2:P340,"Nē",Kopējie!Q2:Q340,"Nē",Kopējie!CU2:CU340,"&lt;51")</f>
        <v>13</v>
      </c>
      <c r="CV354">
        <f>COUNTIFS(Kopējie!M2:M340,"Nē",Kopējie!N2:N340,"Jā",Kopējie!O2:O340,"Nē",Kopējie!P2:P340,"Nē",Kopējie!Q2:Q340,"Nē",Kopējie!CV2:CV340,"&lt;51")</f>
        <v>72</v>
      </c>
      <c r="EK354" t="s">
        <v>1260</v>
      </c>
      <c r="EL354">
        <f>COUNTIFS(Kopējie!M2:M340,"Nē",Kopējie!N2:N340,"Jā",Kopējie!O2:O340,"Nē",Kopējie!P2:P340,"Nē",Kopējie!Q2:Q340,"Nē",Kopējie!EL2:EL340,"Vienlīdz pieejama izglītība, veselības aprūpe, sociālais nodrošinājums")</f>
        <v>22</v>
      </c>
      <c r="EM354">
        <f>COUNTIFS(Kopējie!M2:M340,"Nē",Kopējie!N2:N340,"Jā",Kopējie!O2:O340,"Nē",Kopējie!P2:P340,"Nē",Kopējie!Q2:Q340,"Nē",Kopējie!EM2:EM340,"Vienlīdz pieejama izglītība, veselības aprūpe, sociālais nodrošinājums")</f>
        <v>36</v>
      </c>
      <c r="EN354">
        <f>COUNTIFS(Kopējie!M2:M340,"Nē",Kopējie!N2:N340,"Jā",Kopējie!O2:O340,"Nē",Kopējie!P2:P340,"Nē",Kopējie!Q2:Q340,"Nē",Kopējie!EN2:EN340,"Vienlīdz pieejama izglītība, veselības aprūpe, sociālais nodrošinājums")</f>
        <v>23</v>
      </c>
      <c r="EP354" t="s">
        <v>18180</v>
      </c>
      <c r="EQ354">
        <f>COUNTIFS(Kopējie!M2:M340,"Nē",Kopējie!N2:N340,"Jā",Kopējie!O2:O340,"Nē",Kopējie!P2:P340,"Nē",Kopējie!Q2:Q340,"Nē",Kopējie!EQ2:EQ340,"Knapi/gandrīz necik")</f>
        <v>8</v>
      </c>
      <c r="ER354">
        <f>COUNTIFS(Kopējie!M2:M340,"Nē",Kopējie!N2:N340,"Jā",Kopējie!O2:O340,"Nē",Kopējie!P2:P340,"Nē",Kopējie!Q2:Q340,"Nē",Kopējie!ER2:ER340,"Knapi/gandrīz necik")</f>
        <v>11</v>
      </c>
      <c r="ES354">
        <f>COUNTIFS(Kopējie!M2:M340,"Nē",Kopējie!N2:N340,"Jā",Kopējie!O2:O340,"Nē",Kopējie!P2:P340,"Nē",Kopējie!Q2:Q340,"Nē",Kopējie!ES2:ES340,"Knapi/gandrīz necik")</f>
        <v>4</v>
      </c>
      <c r="ET354">
        <f>COUNTIFS(Kopējie!M2:M340,"Nē",Kopējie!N2:N340,"Jā",Kopējie!O2:O340,"Nē",Kopējie!P2:P340,"Nē",Kopējie!Q2:Q340,"Nē",Kopējie!ET2:ET340,"Knapi/gandrīz necik")</f>
        <v>6</v>
      </c>
      <c r="EU354">
        <f>COUNTIFS(Kopējie!M2:M340,"Nē",Kopējie!N2:N340,"Jā",Kopējie!O2:O340,"Nē",Kopējie!P2:P340,"Nē",Kopējie!Q2:Q340,"Nē",Kopējie!EU2:EU340,"Knapi/gandrīz necik")</f>
        <v>11</v>
      </c>
    </row>
    <row r="355" spans="21:151" x14ac:dyDescent="0.3">
      <c r="U355" s="157" t="str">
        <f t="shared" si="0"/>
        <v>pareizticīgo</v>
      </c>
      <c r="EP355" t="s">
        <v>717</v>
      </c>
      <c r="EQ355">
        <f>COUNTIFS(Kopējie!M2:M340,"Nē",Kopējie!N2:N340,"Jā",Kopējie!O2:O340,"Nē",Kopējie!P2:P340,"Nē",Kopējie!Q2:Q340,"Nē",Kopējie!EQ2:EQ340,"Nezinu")</f>
        <v>27</v>
      </c>
      <c r="ER355">
        <f>COUNTIFS(Kopējie!M2:M340,"Nē",Kopējie!N2:N340,"Jā",Kopējie!O2:O340,"Nē",Kopējie!P2:P340,"Nē",Kopējie!Q2:Q340,"Nē",Kopējie!ER2:ER340,"Nezinu")</f>
        <v>23</v>
      </c>
      <c r="ES355">
        <f>COUNTIFS(Kopējie!M2:M340,"Nē",Kopējie!N2:N340,"Jā",Kopējie!O2:O340,"Nē",Kopējie!P2:P340,"Nē",Kopējie!Q2:Q340,"Nē",Kopējie!ES2:ES340,"Nezinu")</f>
        <v>20</v>
      </c>
      <c r="ET355">
        <f>COUNTIFS(Kopējie!M2:M340,"Nē",Kopējie!N2:N340,"Jā",Kopējie!O2:O340,"Nē",Kopējie!P2:P340,"Nē",Kopējie!Q2:Q340,"Nē",Kopējie!ET2:ET340,"Nezinu")</f>
        <v>36</v>
      </c>
      <c r="EU355">
        <f>COUNTIFS(Kopējie!M2:M340,"Nē",Kopējie!N2:N340,"Jā",Kopējie!O2:O340,"Nē",Kopējie!P2:P340,"Nē",Kopējie!Q2:Q340,"Nē",Kopējie!EU2:EU340,"Nezinu")</f>
        <v>27</v>
      </c>
    </row>
    <row r="356" spans="21:151" x14ac:dyDescent="0.3">
      <c r="U356" s="157" t="str">
        <f t="shared" si="0"/>
        <v>ateistu(ti), nereliģiozu</v>
      </c>
      <c r="EQ356" s="121" t="s">
        <v>18181</v>
      </c>
      <c r="ER356" s="121" t="s">
        <v>18181</v>
      </c>
      <c r="ES356" s="121" t="s">
        <v>18181</v>
      </c>
      <c r="ET356" s="121" t="s">
        <v>18181</v>
      </c>
      <c r="EU356" s="121" t="s">
        <v>18181</v>
      </c>
    </row>
    <row r="357" spans="21:151" x14ac:dyDescent="0.3">
      <c r="U357" s="157" t="str">
        <f t="shared" si="0"/>
        <v>ateistu(ti), nereliģiozu</v>
      </c>
      <c r="CW357" t="s">
        <v>364</v>
      </c>
      <c r="CX357" s="121" t="s">
        <v>18015</v>
      </c>
      <c r="EP357" t="s">
        <v>1262</v>
      </c>
      <c r="EQ357">
        <f>COUNTIFS(Kopējie!E2:E340,"lv",Kopējie!M2:M340,"Jā",Kopējie!N2:N340,"Jā",Kopējie!O2:O340,"Nē",Kopējie!P2:P340,"Nē",Kopējie!Q2:Q340,"Nē",Kopējie!EQ2:EQ340,"Ļoti labi")</f>
        <v>4</v>
      </c>
      <c r="ER357">
        <f>COUNTIFS(Kopējie!E2:E340,"lv",Kopējie!M2:M340,"Jā",Kopējie!N2:N340,"Jā",Kopējie!O2:O340,"Nē",Kopējie!P2:P340,"Nē",Kopējie!Q2:Q340,"Nē",Kopējie!ER2:ER340,"Ļoti labi")</f>
        <v>3</v>
      </c>
      <c r="ES357">
        <f>COUNTIFS(Kopējie!E2:E340,"lv",Kopējie!M2:M340,"Jā",Kopējie!N2:N340,"Jā",Kopējie!O2:O340,"Nē",Kopējie!P2:P340,"Nē",Kopējie!Q2:Q340,"Nē",Kopējie!ES2:ES340,"Ļoti labi")</f>
        <v>8</v>
      </c>
      <c r="ET357">
        <f>COUNTIFS(Kopējie!E2:E340,"lv",Kopējie!M2:M340,"Jā",Kopējie!N2:N340,"Jā",Kopējie!O2:O340,"Nē",Kopējie!P2:P340,"Nē",Kopējie!Q2:Q340,"Nē",Kopējie!ET2:ET340,"Ļoti labi")</f>
        <v>1</v>
      </c>
      <c r="EU357">
        <f>COUNTIFS(Kopējie!E2:E340,"lv",Kopējie!M2:M340,"Jā",Kopējie!N2:N340,"Jā",Kopējie!O2:O340,"Nē",Kopējie!P2:P340,"Nē",Kopējie!Q2:Q340,"Nē",Kopējie!EU2:EU340,"Ļoti labi")</f>
        <v>1</v>
      </c>
    </row>
    <row r="358" spans="21:151" x14ac:dyDescent="0.3">
      <c r="U358" s="157" t="str">
        <f t="shared" si="0"/>
        <v>ateistu(ti), nereliģiozu</v>
      </c>
      <c r="CW358">
        <f>COUNTIFS(Kopējie!M2:M340,"Jā",Kopējie!N2:N340,"Jā",Kopējie!O2:O340,"Nē",Kopējie!P2:P340,"Nē",Kopējie!Q2:Q340,"Nē",Kopējie!CV2:CV340,"&gt;50",Kopējie!E2:E340,"ru",Kopējie!CW2:CW340,"Ļoti saspīlētas")</f>
        <v>4</v>
      </c>
      <c r="CX358" s="121" t="s">
        <v>813</v>
      </c>
      <c r="EP358" t="s">
        <v>1263</v>
      </c>
      <c r="EQ358">
        <f>COUNTIFS(Kopējie!E2:E340,"lv",Kopējie!M2:M340,"Jā",Kopējie!N2:N340,"Jā",Kopējie!O2:O340,"Nē",Kopējie!P2:P340,"Nē",Kopējie!Q2:Q340,"Nē",Kopējie!EQ2:EQ340,"Labi")</f>
        <v>12</v>
      </c>
      <c r="ER358">
        <f>COUNTIFS(Kopējie!E2:E340,"lv",Kopējie!M2:M340,"Jā",Kopējie!N2:N340,"Jā",Kopējie!O2:O340,"Nē",Kopējie!P2:P340,"Nē",Kopējie!Q2:Q340,"Nē",Kopējie!ER2:ER340,"Labi")</f>
        <v>11</v>
      </c>
      <c r="ES358">
        <f>COUNTIFS(Kopējie!E2:E340,"lv",Kopējie!M2:M340,"Jā",Kopējie!N2:N340,"Jā",Kopējie!O2:O340,"Nē",Kopējie!P2:P340,"Nē",Kopējie!Q2:Q340,"Nē",Kopējie!ES2:ES340,"Labi")</f>
        <v>16</v>
      </c>
      <c r="ET358">
        <f>COUNTIFS(Kopējie!E2:E340,"lv",Kopējie!M2:M340,"Jā",Kopējie!N2:N340,"Jā",Kopējie!O2:O340,"Nē",Kopējie!P2:P340,"Nē",Kopējie!Q2:Q340,"Nē",Kopējie!ET2:ET340,"Labi")</f>
        <v>9</v>
      </c>
      <c r="EU358">
        <f>COUNTIFS(Kopējie!E2:E340,"lv",Kopējie!M2:M340,"Jā",Kopējie!N2:N340,"Jā",Kopējie!O2:O340,"Nē",Kopējie!P2:P340,"Nē",Kopējie!Q2:Q340,"Nē",Kopējie!EU2:EU340,"Labi")</f>
        <v>7</v>
      </c>
    </row>
    <row r="359" spans="21:151" x14ac:dyDescent="0.3">
      <c r="U359" s="157" t="str">
        <f t="shared" si="0"/>
        <v>ateistu(ti), nereliģiozu</v>
      </c>
      <c r="CW359" t="s">
        <v>363</v>
      </c>
      <c r="CX359">
        <f>COUNTIFS(Kopējie!M2:M340,"Jā",Kopējie!N2:N340,"Jā",Kopējie!O2:O340,"Nē",Kopējie!P2:P340,"Nē",Kopējie!Q2:Q340,"Nē",Kopējie!CV2:CV340,"&gt;50",Kopējie!A2:A340,"Daugavpils",Kopējie!E2:E340,"ru")</f>
        <v>10</v>
      </c>
      <c r="EP359" t="s">
        <v>1264</v>
      </c>
      <c r="EQ359">
        <f>COUNTIFS(Kopējie!E2:E340,"lv",Kopējie!M2:M340,"Jā",Kopējie!N2:N340,"Jā",Kopējie!O2:O340,"Nē",Kopējie!P2:P340,"Nē",Kopējie!Q2:Q340,"Nē",Kopējie!EQ2:EQ340,"Citreiz labi, citreiz slikti")</f>
        <v>19</v>
      </c>
      <c r="ER359">
        <f>COUNTIFS(Kopējie!E2:E340,"lv",Kopējie!M2:M340,"Jā",Kopējie!N2:N340,"Jā",Kopējie!O2:O340,"Nē",Kopējie!P2:P340,"Nē",Kopējie!Q2:Q340,"Nē",Kopējie!ER2:ER340,"Citreiz labi, citreiz slikti")</f>
        <v>21</v>
      </c>
      <c r="ES359">
        <f>COUNTIFS(Kopējie!E2:E340,"lv",Kopējie!M2:M340,"Jā",Kopējie!N2:N340,"Jā",Kopējie!O2:O340,"Nē",Kopējie!P2:P340,"Nē",Kopējie!Q2:Q340,"Nē",Kopējie!ES2:ES340,"Citreiz labi, citreiz slikti")</f>
        <v>9</v>
      </c>
      <c r="ET359">
        <f>COUNTIFS(Kopējie!E2:E340,"lv",Kopējie!M2:M340,"Jā",Kopējie!N2:N340,"Jā",Kopējie!O2:O340,"Nē",Kopējie!P2:P340,"Nē",Kopējie!Q2:Q340,"Nē",Kopējie!ET2:ET340,"Citreiz labi, citreiz slikti")</f>
        <v>13</v>
      </c>
      <c r="EU359">
        <f>COUNTIFS(Kopējie!E2:E340,"lv",Kopējie!M2:M340,"Jā",Kopējie!N2:N340,"Jā",Kopējie!O2:O340,"Nē",Kopējie!P2:P340,"Nē",Kopējie!Q2:Q340,"Nē",Kopējie!EU2:EU340,"Citreiz labi, citreiz slikti")</f>
        <v>14</v>
      </c>
    </row>
    <row r="360" spans="21:151" x14ac:dyDescent="0.3">
      <c r="U360" s="157" t="str">
        <f t="shared" si="0"/>
        <v>ateistu(ti), nereliģiozu</v>
      </c>
      <c r="CU360">
        <f>COUNTIFS(Kopējie!M2:M340,"Jā",Kopējie!N2:N340,"Jā",Kopējie!O2:O340,"Nē",Kopējie!P2:P340,"Nē",Kopējie!Q2:Q340,"Nē",Kopējie!CU2:CU340,"&gt;50",Kopējie!E2:E340,"ru")</f>
        <v>35</v>
      </c>
      <c r="CV360">
        <f>COUNTIFS(Kopējie!M2:M340,"Jā",Kopējie!N2:N340,"Jā",Kopējie!O2:O340,"Nē",Kopējie!P2:P340,"Nē",Kopējie!Q2:Q340,"Nē",Kopējie!CV2:CV340,"&gt;50",Kopējie!E2:E340,"ru")</f>
        <v>21</v>
      </c>
      <c r="CW360">
        <f>COUNTIFS(Kopējie!M2:M340,"Jā",Kopējie!N2:N340,"Jā",Kopējie!O2:O340,"Nē",Kopējie!P2:P340,"Nē",Kopējie!Q2:Q340,"Nē",Kopējie!CV2:CV340,"&gt;50",Kopējie!E2:E340,"ru",Kopējie!CW2:CW340,"Drīzāk saspīlētas")</f>
        <v>4</v>
      </c>
      <c r="CX360">
        <f>COUNTIFS(Kopējie!M2:M340,"Jā",Kopējie!N2:N340,"Jā",Kopējie!O2:O340,"Nē",Kopējie!P2:P340,"Nē",Kopējie!Q2:Q340,"Nē",Kopējie!CV2:CV340,"&lt;51",Kopējie!A2:A340,"Daugavpils",Kopējie!E2:E340,"ru")</f>
        <v>14</v>
      </c>
      <c r="EP360" t="s">
        <v>1277</v>
      </c>
      <c r="EQ360">
        <f>COUNTIFS(Kopējie!E2:E340,"lv",Kopējie!M2:M340,"Jā",Kopējie!N2:N340,"Jā",Kopējie!O2:O340,"Nē",Kopējie!P2:P340,"Nē",Kopējie!Q2:Q340,"Nē",Kopējie!EQ2:EQ340,"Slikti")</f>
        <v>5</v>
      </c>
      <c r="ER360">
        <f>COUNTIFS(Kopējie!E2:E340,"lv",Kopējie!M2:M340,"Jā",Kopējie!N2:N340,"Jā",Kopējie!O2:O340,"Nē",Kopējie!P2:P340,"Nē",Kopējie!Q2:Q340,"Nē",Kopējie!ER2:ER340,"Slikti")</f>
        <v>5</v>
      </c>
      <c r="ES360">
        <f>COUNTIFS(Kopējie!E2:E340,"lv",Kopējie!M2:M340,"Jā",Kopējie!N2:N340,"Jā",Kopējie!O2:O340,"Nē",Kopējie!P2:P340,"Nē",Kopējie!Q2:Q340,"Nē",Kopējie!ES2:ES340,"Slikti")</f>
        <v>8</v>
      </c>
      <c r="ET360">
        <f>COUNTIFS(Kopējie!E2:E340,"lv",Kopējie!M2:M340,"Jā",Kopējie!N2:N340,"Jā",Kopējie!O2:O340,"Nē",Kopējie!P2:P340,"Nē",Kopējie!Q2:Q340,"Nē",Kopējie!ET2:ET340,"Slikti")</f>
        <v>13</v>
      </c>
      <c r="EU360">
        <f>COUNTIFS(Kopējie!E2:E340,"lv",Kopējie!M2:M340,"Jā",Kopējie!N2:N340,"Jā",Kopējie!O2:O340,"Nē",Kopējie!P2:P340,"Nē",Kopējie!Q2:Q340,"Nē",Kopējie!EU2:EU340,"Slikti")</f>
        <v>12</v>
      </c>
    </row>
    <row r="361" spans="21:151" x14ac:dyDescent="0.3">
      <c r="U361" s="157" t="str">
        <f t="shared" si="0"/>
        <v>ateistu(ti), nereliģiozu</v>
      </c>
      <c r="CW361" t="s">
        <v>364</v>
      </c>
      <c r="CX361" s="121" t="s">
        <v>727</v>
      </c>
      <c r="EP361" t="s">
        <v>18180</v>
      </c>
      <c r="EQ361">
        <f>COUNTIFS(Kopējie!E2:E340,"lv",Kopējie!M2:M340,"Jā",Kopējie!N2:N340,"Jā",Kopējie!O2:O340,"Nē",Kopējie!P2:P340,"Nē",Kopējie!Q2:Q340,"Nē",Kopējie!EQ2:EQ340,"Knapi/gandrīz necik")</f>
        <v>0</v>
      </c>
      <c r="ER361">
        <f>COUNTIFS(Kopējie!E2:E340,"lv",Kopējie!M2:M340,"Jā",Kopējie!N2:N340,"Jā",Kopējie!O2:O340,"Nē",Kopējie!P2:P340,"Nē",Kopējie!Q2:Q340,"Nē",Kopējie!ER2:ER340,"Knapi/gandrīz necik")</f>
        <v>1</v>
      </c>
      <c r="ES361">
        <f>COUNTIFS(Kopējie!E2:E340,"lv",Kopējie!M2:M340,"Jā",Kopējie!N2:N340,"Jā",Kopējie!O2:O340,"Nē",Kopējie!P2:P340,"Nē",Kopējie!Q2:Q340,"Nē",Kopējie!ES2:ES340,"Knapi/gandrīz necik")</f>
        <v>1</v>
      </c>
      <c r="ET361">
        <f>COUNTIFS(Kopējie!E2:E340,"lv",Kopējie!M2:M340,"Jā",Kopējie!N2:N340,"Jā",Kopējie!O2:O340,"Nē",Kopējie!P2:P340,"Nē",Kopējie!Q2:Q340,"Nē",Kopējie!ET2:ET340,"Knapi/gandrīz necik")</f>
        <v>2</v>
      </c>
      <c r="EU361">
        <f>COUNTIFS(Kopējie!E2:E340,"lv",Kopējie!M2:M340,"Jā",Kopējie!N2:N340,"Jā",Kopējie!O2:O340,"Nē",Kopējie!P2:P340,"Nē",Kopējie!Q2:Q340,"Nē",Kopējie!EU2:EU340,"Knapi/gandrīz necik")</f>
        <v>1</v>
      </c>
    </row>
    <row r="362" spans="21:151" x14ac:dyDescent="0.3">
      <c r="U362" s="157" t="str">
        <f t="shared" si="0"/>
        <v>pareizticīgo</v>
      </c>
      <c r="CU362">
        <f>COUNTIFS(Kopējie!M2:M340,"Jā",Kopējie!N2:N340,"Jā",Kopējie!O2:O340,"Nē",Kopējie!P2:P340,"Nē",Kopējie!Q2:Q340,"Nē",Kopējie!CU2:CU340,"&lt;51",Kopējie!E2:E340,"ru")</f>
        <v>6</v>
      </c>
      <c r="CV362">
        <f>COUNTIFS(Kopējie!M2:M340,"Jā",Kopējie!N2:N340,"Jā",Kopējie!O2:O340,"Nē",Kopējie!P2:P340,"Nē",Kopējie!Q2:Q340,"Nē",Kopējie!CV2:CV340,"&lt;51",Kopējie!E2:E340,"ru")</f>
        <v>20</v>
      </c>
      <c r="CW362">
        <f>COUNTIFS(Kopējie!M2:M340,"Jā",Kopējie!N2:N340,"Jā",Kopējie!O2:O340,"Nē",Kopējie!P2:P340,"Nē",Kopējie!Q2:Q340,"Nē",Kopējie!CV2:CV340,"&lt;51",Kopējie!E2:E340,"ru",Kopējie!CW2:CW340,"Ļoti saspīlētas")</f>
        <v>2</v>
      </c>
      <c r="CX362">
        <f>COUNTIFS(Kopējie!M2:M340,"Jā",Kopējie!N2:N340,"Jā",Kopējie!O2:O340,"Nē",Kopējie!P2:P340,"Nē",Kopējie!Q2:Q340,"Nē",Kopējie!CV2:CV340,"&gt;50",Kopējie!A2:A340,"Liepāja",Kopējie!E2:E340,"ru")</f>
        <v>7</v>
      </c>
      <c r="EP362" t="s">
        <v>717</v>
      </c>
      <c r="EQ362">
        <f>COUNTIFS(Kopējie!E2:E340,"lv",Kopējie!M2:M340,"Jā",Kopējie!N2:N340,"Jā",Kopējie!O2:O340,"Nē",Kopējie!P2:P340,"Nē",Kopējie!Q2:Q340,"Nē",Kopējie!EQ2:EQ340,"Nezinu")</f>
        <v>5</v>
      </c>
      <c r="ER362">
        <f>COUNTIFS(Kopējie!E2:E340,"lv",Kopējie!M2:M340,"Jā",Kopējie!N2:N340,"Jā",Kopējie!O2:O340,"Nē",Kopējie!P2:P340,"Nē",Kopējie!Q2:Q340,"Nē",Kopējie!ER2:ER340,"Nezinu")</f>
        <v>4</v>
      </c>
      <c r="ES362">
        <f>COUNTIFS(Kopējie!E2:E340,"lv",Kopējie!M2:M340,"Jā",Kopējie!N2:N340,"Jā",Kopējie!O2:O340,"Nē",Kopējie!P2:P340,"Nē",Kopējie!Q2:Q340,"Nē",Kopējie!ES2:ES340,"Nezinu")</f>
        <v>3</v>
      </c>
      <c r="ET362">
        <f>COUNTIFS(Kopējie!E2:E340,"lv",Kopējie!M2:M340,"Jā",Kopējie!N2:N340,"Jā",Kopējie!O2:O340,"Nē",Kopējie!P2:P340,"Nē",Kopējie!Q2:Q340,"Nē",Kopējie!ET2:ET340,"Nezinu")</f>
        <v>7</v>
      </c>
      <c r="EU362">
        <f>COUNTIFS(Kopējie!E2:E340,"lv",Kopējie!M2:M340,"Jā",Kopējie!N2:N340,"Jā",Kopējie!O2:O340,"Nē",Kopējie!P2:P340,"Nē",Kopējie!Q2:Q340,"Nē",Kopējie!EU2:EU340,"Nezinu")</f>
        <v>10</v>
      </c>
    </row>
    <row r="363" spans="21:151" x14ac:dyDescent="0.3">
      <c r="U363" s="157" t="str">
        <f t="shared" si="0"/>
        <v>vecticībnieku(ci)</v>
      </c>
      <c r="CS363" s="121" t="s">
        <v>18183</v>
      </c>
      <c r="CT363" s="121" t="s">
        <v>18183</v>
      </c>
      <c r="CU363" s="121" t="s">
        <v>18191</v>
      </c>
      <c r="CV363" t="s">
        <v>1256</v>
      </c>
      <c r="CW363" t="s">
        <v>363</v>
      </c>
      <c r="CX363">
        <f>COUNTIFS(Kopējie!M2:M340,"Jā",Kopējie!N2:N340,"Jā",Kopējie!O2:O340,"Nē",Kopējie!P2:P340,"Nē",Kopējie!Q2:Q340,"Nē",Kopējie!CV2:CV340,"&lt;51",Kopējie!A2:A340,"Liepāja",Kopējie!E2:E340,"ru")</f>
        <v>4</v>
      </c>
      <c r="EQ363" s="121" t="s">
        <v>18182</v>
      </c>
      <c r="ER363" s="121" t="s">
        <v>18182</v>
      </c>
      <c r="ES363" s="121" t="s">
        <v>18182</v>
      </c>
      <c r="ET363" s="121" t="s">
        <v>18182</v>
      </c>
      <c r="EU363" s="121" t="s">
        <v>18182</v>
      </c>
    </row>
    <row r="364" spans="21:151" x14ac:dyDescent="0.3">
      <c r="U364" s="157" t="str">
        <f t="shared" si="0"/>
        <v>pareizticīgo</v>
      </c>
      <c r="CS364">
        <f>COUNTIFS(Kopējie!M2:M340,"Jā",Kopējie!N2:N340,"Nē",Kopējie!O2:O340,"Nē",Kopējie!P2:P340,"Nē",Kopējie!Q2:Q340,"Nē",Kopējie!CS2:CS340,"&gt;50")</f>
        <v>78</v>
      </c>
      <c r="CT364">
        <f>COUNTIFS(Kopējie!M2:M340,"Jā",Kopējie!N2:N340,"Nē",Kopējie!O2:O340,"Nē",Kopējie!P2:P340,"Nē",Kopējie!Q2:Q340,"Nē",Kopējie!CT2:CT340,"&gt;50")</f>
        <v>110</v>
      </c>
      <c r="CU364">
        <f>COUNTIFS(Kopējie!M2:M340,"Jā",Kopējie!N2:N340,"Jā",Kopējie!O2:O340,"Nē",Kopējie!P2:P340,"Nē",Kopējie!Q2:Q340,"Nē",Kopējie!E2:E340,"ru")</f>
        <v>41</v>
      </c>
      <c r="CV364">
        <f>COUNTIFS(Kopējie!M2:M340,"Jā",Kopējie!N2:N340,"Jā",Kopējie!O2:O340,"Nē",Kopējie!P2:P340,"Nē",Kopējie!Q2:Q340,"Nē",Kopējie!CV2:CV340,"&gt;50",Kopējie!E2:E340,"ru",Kopējie!U2:U340,"Pareizticīgo")</f>
        <v>9</v>
      </c>
      <c r="CW364">
        <f>COUNTIFS(Kopējie!M2:M340,"Jā",Kopējie!N2:N340,"Jā",Kopējie!O2:O340,"Nē",Kopējie!P2:P340,"Nē",Kopējie!Q2:Q340,"Nē",Kopējie!CV2:CV340,"&lt;51",Kopējie!E2:E340,"ru",Kopējie!CW2:CW340,"Drīzāk saspīlētas")</f>
        <v>8</v>
      </c>
      <c r="CX364" s="121" t="s">
        <v>338</v>
      </c>
      <c r="EP364" t="s">
        <v>1262</v>
      </c>
      <c r="EQ364">
        <f>COUNTIFS(Kopējie!E2:E340,"ru",Kopējie!M2:M340,"Jā",Kopējie!N2:N340,"Jā",Kopējie!O2:O340,"Nē",Kopējie!P2:P340,"Nē",Kopējie!Q2:Q340,"Nē",Kopējie!EQ2:EQ340,"Ļoti labi")</f>
        <v>2</v>
      </c>
      <c r="ER364">
        <f>COUNTIFS(Kopējie!E2:E340,"ru",Kopējie!M2:M340,"Jā",Kopējie!N2:N340,"Jā",Kopējie!O2:O340,"Nē",Kopējie!P2:P340,"Nē",Kopējie!Q2:Q340,"Nē",Kopējie!ER2:ER340,"Ļoti labi")</f>
        <v>2</v>
      </c>
      <c r="ES364">
        <f>COUNTIFS(Kopējie!E2:E340,"ru",Kopējie!M2:M340,"Jā",Kopējie!N2:N340,"Jā",Kopējie!O2:O340,"Nē",Kopējie!P2:P340,"Nē",Kopējie!Q2:Q340,"Nē",Kopējie!ES2:ES340,"Ļoti labi")</f>
        <v>5</v>
      </c>
      <c r="ET364">
        <f>COUNTIFS(Kopējie!E2:E340,"ru",Kopējie!M2:M340,"Jā",Kopējie!N2:N340,"Jā",Kopējie!O2:O340,"Nē",Kopējie!P2:P340,"Nē",Kopējie!Q2:Q340,"Nē",Kopējie!ET2:ET340,"Ļoti labi")</f>
        <v>1</v>
      </c>
      <c r="EU364">
        <f>COUNTIFS(Kopējie!E2:E340,"ru",Kopējie!M2:M340,"Jā",Kopējie!N2:N340,"Jā",Kopējie!O2:O340,"Nē",Kopējie!P2:P340,"Nē",Kopējie!Q2:Q340,"Nē",Kopējie!EU2:EU340,"Ļoti labi")</f>
        <v>2</v>
      </c>
    </row>
    <row r="365" spans="21:151" x14ac:dyDescent="0.3">
      <c r="U365" s="157" t="str">
        <f t="shared" si="0"/>
        <v>ateistu(ti), nereliģiozu</v>
      </c>
      <c r="CS365" s="121" t="s">
        <v>18184</v>
      </c>
      <c r="CT365" s="121" t="s">
        <v>18184</v>
      </c>
      <c r="CV365">
        <f>COUNTIFS(Kopējie!M2:M340,"Jā",Kopējie!N2:N340,"Jā",Kopējie!O2:O340,"Nē",Kopējie!P2:P340,"Nē",Kopējie!Q2:Q340,"Nē",Kopējie!CV2:CV340,"&lt;51",Kopējie!E2:E340,"ru",Kopējie!U2:U340,"Pareizticīgo")</f>
        <v>3</v>
      </c>
      <c r="CX365">
        <f>COUNTIFS(Kopējie!M2:M340,"Jā",Kopējie!N2:N340,"Jā",Kopējie!O2:O340,"Nē",Kopējie!P2:P340,"Nē",Kopējie!Q2:Q340,"Nē",Kopējie!CV2:CV340,"&gt;50",Kopējie!A2:A340,"Rīga",Kopējie!E2:E340,"ru")</f>
        <v>4</v>
      </c>
      <c r="EP365" t="s">
        <v>1263</v>
      </c>
      <c r="EQ365">
        <f>COUNTIFS(Kopējie!E2:E340,"ru",Kopējie!M2:M340,"Jā",Kopējie!N2:N340,"Jā",Kopējie!O2:O340,"Nē",Kopējie!P2:P340,"Nē",Kopējie!Q2:Q340,"Nē",Kopējie!EQ2:EQ340,"Labi")</f>
        <v>8</v>
      </c>
      <c r="ER365">
        <f>COUNTIFS(Kopējie!E2:E340,"ru",Kopējie!M2:M340,"Jā",Kopējie!N2:N340,"Jā",Kopējie!O2:O340,"Nē",Kopējie!P2:P340,"Nē",Kopējie!Q2:Q340,"Nē",Kopējie!ER2:ER340,"Labi")</f>
        <v>5</v>
      </c>
      <c r="ES365">
        <f>COUNTIFS(Kopējie!E2:E340,"ru",Kopējie!M2:M340,"Jā",Kopējie!N2:N340,"Jā",Kopējie!O2:O340,"Nē",Kopējie!P2:P340,"Nē",Kopējie!Q2:Q340,"Nē",Kopējie!ES2:ES340,"Labi")</f>
        <v>9</v>
      </c>
      <c r="ET365">
        <f>COUNTIFS(Kopējie!E2:E340,"ru",Kopējie!M2:M340,"Jā",Kopējie!N2:N340,"Jā",Kopējie!O2:O340,"Nē",Kopējie!P2:P340,"Nē",Kopējie!Q2:Q340,"Nē",Kopējie!ET2:ET340,"Labi")</f>
        <v>9</v>
      </c>
      <c r="EU365">
        <f>COUNTIFS(Kopējie!E2:E340,"ru",Kopējie!M2:M340,"Jā",Kopējie!N2:N340,"Jā",Kopējie!O2:O340,"Nē",Kopējie!P2:P340,"Nē",Kopējie!Q2:Q340,"Nē",Kopējie!EU2:EU340,"Labi")</f>
        <v>5</v>
      </c>
    </row>
    <row r="366" spans="21:151" x14ac:dyDescent="0.3">
      <c r="U366" s="157" t="str">
        <f t="shared" si="0"/>
        <v>ateistu(ti), nereliģiozu</v>
      </c>
      <c r="CS366">
        <f>COUNTIFS(Kopējie!M2:M340,"Jā",Kopējie!N2:N340,"Nē",Kopējie!O2:O340,"Nē",Kopējie!P2:P340,"Nē",Kopējie!Q2:Q340,"Nē",Kopējie!CS2:CS340,"&lt;51")</f>
        <v>46</v>
      </c>
      <c r="CT366">
        <f>COUNTIFS(Kopējie!M2:M340,"Jā",Kopējie!N2:N340,"Nē",Kopējie!O2:O340,"Nē",Kopējie!P2:P340,"Nē",Kopējie!Q2:Q340,"Nē",Kopējie!CT2:CT340,"&lt;51")</f>
        <v>14</v>
      </c>
      <c r="CU366" s="121" t="s">
        <v>813</v>
      </c>
      <c r="CV366" s="121" t="s">
        <v>813</v>
      </c>
      <c r="CX366">
        <f>COUNTIFS(Kopējie!M2:M340,"Jā",Kopējie!N2:N340,"Jā",Kopējie!O2:O340,"Nē",Kopējie!P2:P340,"Nē",Kopējie!Q2:Q340,"Nē",Kopējie!CV2:CV340,"&lt;51",Kopējie!A2:A340,"Rīga",Kopējie!E2:E340,"ru")</f>
        <v>2</v>
      </c>
      <c r="EP366" t="s">
        <v>1264</v>
      </c>
      <c r="EQ366">
        <f>COUNTIFS(Kopējie!E2:E340,"ru",Kopējie!M2:M340,"Jā",Kopējie!N2:N340,"Jā",Kopējie!O2:O340,"Nē",Kopējie!P2:P340,"Nē",Kopējie!Q2:Q340,"Nē",Kopējie!EQ2:EQ340,"Citreiz labi, citreiz slikti")</f>
        <v>15</v>
      </c>
      <c r="ER366">
        <f>COUNTIFS(Kopējie!E2:E340,"ru",Kopējie!M2:M340,"Jā",Kopējie!N2:N340,"Jā",Kopējie!O2:O340,"Nē",Kopējie!P2:P340,"Nē",Kopējie!Q2:Q340,"Nē",Kopējie!ER2:ER340,"Citreiz labi, citreiz slikti")</f>
        <v>16</v>
      </c>
      <c r="ES366">
        <f>COUNTIFS(Kopējie!E2:E340,"ru",Kopējie!M2:M340,"Jā",Kopējie!N2:N340,"Jā",Kopējie!O2:O340,"Nē",Kopējie!P2:P340,"Nē",Kopējie!Q2:Q340,"Nē",Kopējie!ES2:ES340,"Citreiz labi, citreiz slikti")</f>
        <v>11</v>
      </c>
      <c r="ET366">
        <f>COUNTIFS(Kopējie!E2:E340,"ru",Kopējie!M2:M340,"Jā",Kopējie!N2:N340,"Jā",Kopējie!O2:O340,"Nē",Kopējie!P2:P340,"Nē",Kopējie!Q2:Q340,"Nē",Kopējie!ET2:ET340,"Citreiz labi, citreiz slikti")</f>
        <v>9</v>
      </c>
      <c r="EU366">
        <f>COUNTIFS(Kopējie!E2:E340,"ru",Kopējie!M2:M340,"Jā",Kopējie!N2:N340,"Jā",Kopējie!O2:O340,"Nē",Kopējie!P2:P340,"Nē",Kopējie!Q2:Q340,"Nē",Kopējie!EU2:EU340,"Citreiz labi, citreiz slikti")</f>
        <v>9</v>
      </c>
    </row>
    <row r="367" spans="21:151" x14ac:dyDescent="0.3">
      <c r="U367" s="157" t="str">
        <f t="shared" si="0"/>
        <v>katoli(ieti)</v>
      </c>
      <c r="CS367" s="121" t="s">
        <v>18185</v>
      </c>
      <c r="CT367" s="121" t="s">
        <v>18185</v>
      </c>
      <c r="CU367">
        <f>COUNTIFS(Kopējie!M2:M340,"Nē",Kopējie!N2:N340,"Jā",Kopējie!O2:O340,"Nē",Kopējie!P2:P340,"Nē",Kopējie!Q2:Q340,"Nē",Kopējie!CU2:CU340,"&gt;50",Kopējie!A2:A340,"Daugavpils")</f>
        <v>40</v>
      </c>
      <c r="CV367">
        <f>COUNTIFS(Kopējie!M2:M340,"Nē",Kopējie!N2:N340,"Jā",Kopējie!O2:O340,"Nē",Kopējie!P2:P340,"Nē",Kopējie!Q2:Q340,"Nē",Kopējie!CV2:CV340,"&gt;50",Kopējie!A2:A340,"Daugavpils")</f>
        <v>20</v>
      </c>
      <c r="CW367">
        <f>COUNTIFS(Kopējie!M2:M340,"Jā",Kopējie!N2:N340,"Jā",Kopējie!O2:O340,"Nē",Kopējie!P2:P340,"Nē",Kopējie!Q2:Q340,"Nē",Kopējie!CV2:CV340,"&gt;50",Kopējie!A2:A340,"Daugavpils")</f>
        <v>18</v>
      </c>
      <c r="EP367" t="s">
        <v>1277</v>
      </c>
      <c r="EQ367">
        <f>COUNTIFS(Kopējie!E2:E340,"ru",Kopējie!M2:M340,"Jā",Kopējie!N2:N340,"Jā",Kopējie!O2:O340,"Nē",Kopējie!P2:P340,"Nē",Kopējie!Q2:Q340,"Nē",Kopējie!EQ2:EQ340,"Slikti")</f>
        <v>5</v>
      </c>
      <c r="ER367">
        <f>COUNTIFS(Kopējie!E2:E340,"ru",Kopējie!M2:M340,"Jā",Kopējie!N2:N340,"Jā",Kopējie!O2:O340,"Nē",Kopējie!P2:P340,"Nē",Kopējie!Q2:Q340,"Nē",Kopējie!ER2:ER340,"Slikti")</f>
        <v>7</v>
      </c>
      <c r="ES367">
        <f>COUNTIFS(Kopējie!E2:E340,"ru",Kopējie!M2:M340,"Jā",Kopējie!N2:N340,"Jā",Kopējie!O2:O340,"Nē",Kopējie!P2:P340,"Nē",Kopējie!Q2:Q340,"Nē",Kopējie!ES2:ES340,"Slikti")</f>
        <v>8</v>
      </c>
      <c r="ET367">
        <f>COUNTIFS(Kopējie!E2:E340,"ru",Kopējie!M2:M340,"Jā",Kopējie!N2:N340,"Jā",Kopējie!O2:O340,"Nē",Kopējie!P2:P340,"Nē",Kopējie!Q2:Q340,"Nē",Kopējie!ET2:ET340,"Slikti")</f>
        <v>6</v>
      </c>
      <c r="EU367">
        <f>COUNTIFS(Kopējie!E2:E340,"ru",Kopējie!M2:M340,"Jā",Kopējie!N2:N340,"Jā",Kopējie!O2:O340,"Nē",Kopējie!P2:P340,"Nē",Kopējie!Q2:Q340,"Nē",Kopējie!EU2:EU340,"Slikti")</f>
        <v>9</v>
      </c>
    </row>
    <row r="368" spans="21:151" x14ac:dyDescent="0.3">
      <c r="U368" s="157" t="str">
        <f t="shared" si="0"/>
        <v>ateistu(ti), nereliģiozu</v>
      </c>
      <c r="CS368">
        <f>COUNTIFS(Kopējie!M2:M340,"Nē",Kopējie!N2:N340,"Jā",Kopējie!O2:O340,"Nē",Kopējie!P2:P340,"Nē",Kopējie!Q2:Q340,"Nē",Kopējie!CS2:CS340,"&gt;50")</f>
        <v>64</v>
      </c>
      <c r="CT368">
        <f>COUNTIFS(Kopējie!M2:M340,"Nē",Kopējie!N2:N340,"Jā",Kopējie!O2:O340,"Nē",Kopējie!P2:P340,"Nē",Kopējie!Q2:Q340,"Nē",Kopējie!CT2:CT340,"&gt;50")</f>
        <v>21</v>
      </c>
      <c r="CU368">
        <f>COUNTIFS(Kopējie!M2:M340,"Nē",Kopējie!N2:N340,"Jā",Kopējie!O2:O340,"Nē",Kopējie!P2:P340,"Nē",Kopējie!Q2:Q340,"Nē",Kopējie!CU2:CU340,"&lt;51",Kopējie!A2:A340,"Daugavpils")</f>
        <v>7</v>
      </c>
      <c r="CV368">
        <f>COUNTIFS(Kopējie!M2:M340,"Nē",Kopējie!N2:N340,"Jā",Kopējie!O2:O340,"Nē",Kopējie!P2:P340,"Nē",Kopējie!Q2:Q340,"Nē",Kopējie!CV2:CV340,"&lt;51",Kopējie!A2:A340,"Daugavpils")</f>
        <v>27</v>
      </c>
      <c r="CW368">
        <f>COUNTIFS(Kopējie!M2:M340,"Jā",Kopējie!N2:N340,"Jā",Kopējie!O2:O340,"Nē",Kopējie!P2:P340,"Nē",Kopējie!Q2:Q340,"Nē",Kopējie!CV2:CV340,"&lt;51",Kopējie!A2:A340,"Daugavpils")</f>
        <v>37</v>
      </c>
      <c r="EP368" t="s">
        <v>18180</v>
      </c>
      <c r="EQ368">
        <f>COUNTIFS(Kopējie!E2:E340,"ru",Kopējie!M2:M340,"Jā",Kopējie!N2:N340,"Jā",Kopējie!O2:O340,"Nē",Kopējie!P2:P340,"Nē",Kopējie!Q2:Q340,"Nē",Kopējie!EQ2:EQ340,"Knapi/gandrīz necik")</f>
        <v>2</v>
      </c>
      <c r="ER368">
        <f>COUNTIFS(Kopējie!E2:E340,"ru",Kopējie!M2:M340,"Jā",Kopējie!N2:N340,"Jā",Kopējie!O2:O340,"Nē",Kopējie!P2:P340,"Nē",Kopējie!Q2:Q340,"Nē",Kopējie!ER2:ER340,"Knapi/gandrīz necik")</f>
        <v>2</v>
      </c>
      <c r="ES368">
        <f>COUNTIFS(Kopējie!E2:E340,"ru",Kopējie!M2:M340,"Jā",Kopējie!N2:N340,"Jā",Kopējie!O2:O340,"Nē",Kopējie!P2:P340,"Nē",Kopējie!Q2:Q340,"Nē",Kopējie!ES2:ES340,"Knapi/gandrīz necik")</f>
        <v>1</v>
      </c>
      <c r="ET368">
        <f>COUNTIFS(Kopējie!E2:E340,"ru",Kopējie!M2:M340,"Jā",Kopējie!N2:N340,"Jā",Kopējie!O2:O340,"Nē",Kopējie!P2:P340,"Nē",Kopējie!Q2:Q340,"Nē",Kopējie!ET2:ET340,"Knapi/gandrīz necik")</f>
        <v>1</v>
      </c>
      <c r="EU368">
        <f>COUNTIFS(Kopējie!E2:E340,"ru",Kopējie!M2:M340,"Jā",Kopējie!N2:N340,"Jā",Kopējie!O2:O340,"Nē",Kopējie!P2:P340,"Nē",Kopējie!Q2:Q340,"Nē",Kopējie!EU2:EU340,"Knapi/gandrīz necik")</f>
        <v>4</v>
      </c>
    </row>
    <row r="369" spans="21:151" x14ac:dyDescent="0.3">
      <c r="U369" s="157" t="str">
        <f t="shared" si="0"/>
        <v>pareizticīgo</v>
      </c>
      <c r="CS369" s="121" t="s">
        <v>18186</v>
      </c>
      <c r="CT369" s="121" t="s">
        <v>18186</v>
      </c>
      <c r="CU369" s="121" t="s">
        <v>727</v>
      </c>
      <c r="CV369" s="121" t="s">
        <v>727</v>
      </c>
      <c r="EP369" t="s">
        <v>717</v>
      </c>
      <c r="EQ369">
        <f>COUNTIFS(Kopējie!E2:E340,"ru",Kopējie!M2:M340,"Jā",Kopējie!N2:N340,"Jā",Kopējie!O2:O340,"Nē",Kopējie!P2:P340,"Nē",Kopējie!Q2:Q340,"Nē",Kopējie!EQ2:EQ340,"Nezinu")</f>
        <v>9</v>
      </c>
      <c r="ER369">
        <f>COUNTIFS(Kopējie!E2:E340,"ru",Kopējie!M2:M340,"Jā",Kopējie!N2:N340,"Jā",Kopējie!O2:O340,"Nē",Kopējie!P2:P340,"Nē",Kopējie!Q2:Q340,"Nē",Kopējie!ER2:ER340,"Nezinu")</f>
        <v>6</v>
      </c>
      <c r="ES369">
        <f>COUNTIFS(Kopējie!E2:E340,"ru",Kopējie!M2:M340,"Jā",Kopējie!N2:N340,"Jā",Kopējie!O2:O340,"Nē",Kopējie!P2:P340,"Nē",Kopējie!Q2:Q340,"Nē",Kopējie!ES2:ES340,"Nezinu")</f>
        <v>6</v>
      </c>
      <c r="ET369">
        <f>COUNTIFS(Kopējie!E2:E340,"ru",Kopējie!M2:M340,"Jā",Kopējie!N2:N340,"Jā",Kopējie!O2:O340,"Nē",Kopējie!P2:P340,"Nē",Kopējie!Q2:Q340,"Nē",Kopējie!ET2:ET340,"Nezinu")</f>
        <v>14</v>
      </c>
      <c r="EU369">
        <f>COUNTIFS(Kopējie!E2:E340,"ru",Kopējie!M2:M340,"Jā",Kopējie!N2:N340,"Jā",Kopējie!O2:O340,"Nē",Kopējie!P2:P340,"Nē",Kopējie!Q2:Q340,"Nē",Kopējie!EU2:EU340,"Nezinu")</f>
        <v>10</v>
      </c>
    </row>
    <row r="370" spans="21:151" x14ac:dyDescent="0.3">
      <c r="U370" s="157" t="str">
        <f t="shared" si="0"/>
        <v>katoli(ieti)</v>
      </c>
      <c r="CS370">
        <f>COUNTIFS(Kopējie!M2:M340,"Nē",Kopējie!N2:N340,"Jā",Kopējie!O2:O340,"Nē",Kopējie!P2:P340,"Nē",Kopējie!Q2:Q340,"Nē",Kopējie!CS2:CS340,"&lt;51")</f>
        <v>47</v>
      </c>
      <c r="CT370">
        <f>COUNTIFS(Kopējie!M2:M340,"Nē",Kopējie!N2:N340,"Jā",Kopējie!O2:O340,"Nē",Kopējie!P2:P340,"Nē",Kopējie!Q2:Q340,"Nē",Kopējie!CT2:CT340,"&lt;51")</f>
        <v>90</v>
      </c>
      <c r="CU370">
        <f>COUNTIFS(Kopējie!M2:M340,"Nē",Kopējie!N2:N340,"Jā",Kopējie!O2:O340,"Nē",Kopējie!P2:P340,"Nē",Kopējie!Q2:Q340,"Nē",Kopējie!CU2:CU340,"&gt;50",Kopējie!A2:A340,"Liepāja")</f>
        <v>24</v>
      </c>
      <c r="CV370">
        <f>COUNTIFS(Kopējie!M2:M340,"Nē",Kopējie!N2:N340,"Jā",Kopējie!O2:O340,"Nē",Kopējie!P2:P340,"Nē",Kopējie!Q2:Q340,"Nē",Kopējie!CV2:CV340,"&gt;50",Kopējie!A2:A340,"Liepāja")</f>
        <v>4</v>
      </c>
    </row>
    <row r="371" spans="21:151" x14ac:dyDescent="0.3">
      <c r="U371" s="157" t="str">
        <f t="shared" si="0"/>
        <v>pareizticīgo</v>
      </c>
      <c r="CS371" s="121" t="s">
        <v>18188</v>
      </c>
      <c r="CT371" s="121" t="s">
        <v>18188</v>
      </c>
      <c r="CU371">
        <f>COUNTIFS(Kopējie!M2:M340,"Nē",Kopējie!N2:N340,"Jā",Kopējie!O2:O340,"Nē",Kopējie!P2:P340,"Nē",Kopējie!Q2:Q340,"Nē",Kopējie!CU2:CU340,"&lt;51",Kopējie!A2:A340,"Liepāja")</f>
        <v>1</v>
      </c>
      <c r="CV371">
        <f>COUNTIFS(Kopējie!M2:M340,"Nē",Kopējie!N2:N340,"Jā",Kopējie!O2:O340,"Nē",Kopējie!P2:P340,"Nē",Kopējie!Q2:Q340,"Nē",Kopējie!CV2:CV340,"&lt;51",Kopējie!A2:A340,"Liepāja")</f>
        <v>21</v>
      </c>
    </row>
    <row r="372" spans="21:151" x14ac:dyDescent="0.3">
      <c r="U372" s="157" t="str">
        <f t="shared" si="0"/>
        <v>ateistu(ti), nereliģiozu</v>
      </c>
      <c r="CS372">
        <f>COUNTIFS(Kopējie!M2:M340,"Jā",Kopējie!N2:N340,"Jā",Kopējie!O2:O340,"Nē",Kopējie!P2:P340,"Nē",Kopējie!Q2:Q340,"Nē",Kopējie!CS2:CS340,"&gt;50",Kopējie!E2:E340,"lv")</f>
        <v>10</v>
      </c>
      <c r="CT372">
        <f>COUNTIFS(Kopējie!M2:M340,"Jā",Kopējie!N2:N340,"Jā",Kopējie!O2:O340,"Nē",Kopējie!P2:P340,"Nē",Kopējie!Q2:Q340,"Nē",Kopējie!CT2:CT340,"&gt;50",Kopējie!E2:E340,"lv")</f>
        <v>38</v>
      </c>
      <c r="CU372" s="121" t="s">
        <v>338</v>
      </c>
      <c r="CV372" s="121" t="s">
        <v>338</v>
      </c>
    </row>
    <row r="373" spans="21:151" x14ac:dyDescent="0.3">
      <c r="U373" s="157" t="str">
        <f t="shared" si="0"/>
        <v>ateistu(ti), nereliģiozu</v>
      </c>
      <c r="CS373" s="121" t="s">
        <v>18187</v>
      </c>
      <c r="CT373" s="121" t="s">
        <v>18187</v>
      </c>
      <c r="CU373">
        <f>COUNTIFS(Kopējie!M2:M340,"Nē",Kopējie!N2:N340,"Jā",Kopējie!O2:O340,"Nē",Kopējie!P2:P340,"Nē",Kopējie!Q2:Q340,"Nē",Kopējie!CU2:CU340,"&gt;50",Kopējie!A2:A340,"Rīga")</f>
        <v>33</v>
      </c>
      <c r="CV373">
        <f>COUNTIFS(Kopējie!M2:M340,"Nē",Kopējie!N2:N340,"Jā",Kopējie!O2:O340,"Nē",Kopējie!P2:P340,"Nē",Kopējie!Q2:Q340,"Nē",Kopējie!CV2:CV340,"&gt;50",Kopējie!A2:A340,"Rīga")</f>
        <v>14</v>
      </c>
    </row>
    <row r="374" spans="21:151" x14ac:dyDescent="0.3">
      <c r="U374" s="157" t="str">
        <f t="shared" si="0"/>
        <v>ateistu(ti), nereliģiozu</v>
      </c>
      <c r="CS374">
        <f>COUNTIFS(Kopējie!M2:M340,"Jā",Kopējie!N2:N340,"Jā",Kopējie!O2:O340,"Nē",Kopējie!P2:P340,"Nē",Kopējie!Q2:Q340,"Nē",Kopējie!CS2:CS340,"&lt;51",Kopējie!E2:E340,"lv")</f>
        <v>35</v>
      </c>
      <c r="CT374">
        <f>COUNTIFS(Kopējie!M2:M340,"Jā",Kopējie!N2:N340,"Jā",Kopējie!O2:O340,"Nē",Kopējie!P2:P340,"Nē",Kopējie!Q2:Q340,"Nē",Kopējie!CT2:CT340,"&lt;51",Kopējie!E2:E340,"lv")</f>
        <v>7</v>
      </c>
      <c r="CU374">
        <f>COUNTIFS(Kopējie!M2:M340,"Nē",Kopējie!N2:N340,"Jā",Kopējie!O2:O340,"Nē",Kopējie!P2:P340,"Nē",Kopējie!Q2:Q340,"Nē",Kopējie!CU2:CU340,"&lt;51",Kopējie!A2:A340,"Rīga")</f>
        <v>5</v>
      </c>
      <c r="CV374">
        <f>COUNTIFS(Kopējie!M2:M340,"Nē",Kopējie!N2:N340,"Jā",Kopējie!O2:O340,"Nē",Kopējie!P2:P340,"Nē",Kopējie!Q2:Q340,"Nē",Kopējie!CV2:CV340,"&lt;51",Kopējie!A2:A340,"Rīga")</f>
        <v>24</v>
      </c>
    </row>
    <row r="375" spans="21:151" x14ac:dyDescent="0.3">
      <c r="U375" s="157" t="str">
        <f t="shared" si="0"/>
        <v>protestantu(ti)</v>
      </c>
      <c r="CS375" s="121" t="s">
        <v>18189</v>
      </c>
      <c r="CT375" s="121" t="s">
        <v>18189</v>
      </c>
    </row>
    <row r="376" spans="21:151" x14ac:dyDescent="0.3">
      <c r="U376" s="157" t="str">
        <f t="shared" si="0"/>
        <v>ateistu(ti), nereliģiozu</v>
      </c>
      <c r="CS376">
        <f>COUNTIFS(Kopējie!M2:M340,"Jā",Kopējie!N2:N340,"Jā",Kopējie!O2:O340,"Nē",Kopējie!P2:P340,"Nē",Kopējie!Q2:Q340,"Nē",Kopējie!CS2:CS340,"&gt;50",Kopējie!E2:E340,"ru")</f>
        <v>15</v>
      </c>
      <c r="CT376">
        <f>COUNTIFS(Kopējie!M2:M340,"Jā",Kopējie!N2:N340,"Jā",Kopējie!O2:O340,"Nē",Kopējie!P2:P340,"Nē",Kopējie!Q2:Q340,"Nē",Kopējie!CT2:CT340,"&gt;50",Kopējie!E2:E340,"ru")</f>
        <v>24</v>
      </c>
      <c r="CV376" s="121" t="s">
        <v>18200</v>
      </c>
    </row>
    <row r="377" spans="21:151" x14ac:dyDescent="0.3">
      <c r="U377" s="157" t="str">
        <f t="shared" si="0"/>
        <v>ateistu(ti), nereliģiozu</v>
      </c>
      <c r="CS377" s="121" t="s">
        <v>18190</v>
      </c>
      <c r="CT377" s="121" t="s">
        <v>18190</v>
      </c>
      <c r="CV377">
        <f>COUNTIFS(Kopējie!M2:M340,"Jā",Kopējie!N2:N340,"Jā",Kopējie!O2:O340,"Nē",Kopējie!P2:P340,"Nē",Kopējie!Q2:Q340,"Nē",Kopējie!CV2:CV340,"&gt;50",Kopējie!E2:E340,"ru",Kopējie!CN2:CN340,"Jā")</f>
        <v>5</v>
      </c>
    </row>
    <row r="378" spans="21:151" x14ac:dyDescent="0.3">
      <c r="U378" s="157" t="str">
        <f t="shared" si="0"/>
        <v>ateistu(ti), nereliģiozu</v>
      </c>
      <c r="CS378">
        <f>COUNTIFS(Kopējie!M2:M340,"Jā",Kopējie!N2:N340,"Jā",Kopējie!O2:O340,"Nē",Kopējie!P2:P340,"Nē",Kopējie!Q2:Q340,"Nē",Kopējie!CS2:CS340,"&lt;51",Kopējie!E2:E340,"ru")</f>
        <v>26</v>
      </c>
      <c r="CT378">
        <f>COUNTIFS(Kopējie!M2:M340,"Jā",Kopējie!N2:N340,"Jā",Kopējie!O2:O340,"Nē",Kopējie!P2:P340,"Nē",Kopējie!Q2:Q340,"Nē",Kopējie!CT2:CT340,"&lt;51",Kopējie!E2:E340,"ru")</f>
        <v>17</v>
      </c>
      <c r="CV378">
        <f>COUNTIFS(Kopējie!M2:M340,"Jā",Kopējie!N2:N340,"Jā",Kopējie!O2:O340,"Nē",Kopējie!P2:P340,"Nē",Kopējie!Q2:Q340,"Nē",Kopējie!CV2:CV340,"&lt;51",Kopējie!E2:E340,"ru",Kopējie!CN2:CN340,"Jā")</f>
        <v>5</v>
      </c>
    </row>
    <row r="379" spans="21:151" x14ac:dyDescent="0.3">
      <c r="U379" s="157" t="str">
        <f t="shared" si="0"/>
        <v>pareizticīgo</v>
      </c>
      <c r="CT379" s="121" t="s">
        <v>813</v>
      </c>
      <c r="CV379" s="121" t="s">
        <v>18201</v>
      </c>
    </row>
    <row r="380" spans="21:151" x14ac:dyDescent="0.3">
      <c r="U380" s="157" t="str">
        <f t="shared" si="0"/>
        <v>ateistu(ti), nereliģiozu</v>
      </c>
      <c r="CS380" t="s">
        <v>18192</v>
      </c>
      <c r="CT380">
        <f>COUNTIFS(Kopējie!M2:M340,"Nē",Kopējie!N2:N340,"Jā",Kopējie!O2:O340,"Nē",Kopējie!P2:P340,"Nē",Kopējie!Q2:Q340,"Nē",Kopējie!CT2:CT340,"&gt;50",Kopējie!A2:A340,"Daugavpils")</f>
        <v>13</v>
      </c>
      <c r="CV380">
        <f>COUNTIFS(Kopējie!M2:M340,"Jā",Kopējie!N2:N340,"Jā",Kopējie!O2:O340,"Nē",Kopējie!P2:P340,"Nē",Kopējie!Q2:Q340,"Nē",Kopējie!CV2:CV340,"&gt;50",Kopējie!E2:E340,"ru",Kopējie!CQ2:CQ340,"Jā")</f>
        <v>2</v>
      </c>
    </row>
    <row r="381" spans="21:151" x14ac:dyDescent="0.3">
      <c r="U381" s="157" t="str">
        <f t="shared" si="0"/>
        <v>pareizticīgo</v>
      </c>
      <c r="CS381" t="s">
        <v>18193</v>
      </c>
      <c r="CT381">
        <f>COUNTIFS(Kopējie!M2:M340,"Nē",Kopējie!N2:N340,"Jā",Kopējie!O2:O340,"Nē",Kopējie!P2:P340,"Nē",Kopējie!Q2:Q340,"Nē",Kopējie!CT2:CT340,"&lt;51",Kopējie!A2:A340,"Daugavpils")</f>
        <v>34</v>
      </c>
      <c r="CV381">
        <f>COUNTIFS(Kopējie!M2:M340,"Jā",Kopējie!N2:N340,"Jā",Kopējie!O2:O340,"Nē",Kopējie!P2:P340,"Nē",Kopējie!Q2:Q340,"Nē",Kopējie!CV2:CV340,"&lt;51",Kopējie!E2:E340,"ru",Kopējie!CQ2:CQ340,"Jā")</f>
        <v>1</v>
      </c>
    </row>
    <row r="382" spans="21:151" x14ac:dyDescent="0.3">
      <c r="U382" s="157" t="str">
        <f t="shared" si="0"/>
        <v>katoli(ieti)</v>
      </c>
      <c r="CT382" s="121" t="s">
        <v>727</v>
      </c>
      <c r="CV382" s="121" t="s">
        <v>18202</v>
      </c>
    </row>
    <row r="383" spans="21:151" x14ac:dyDescent="0.3">
      <c r="U383" s="157" t="str">
        <f t="shared" si="0"/>
        <v>ateistu(ti), nereliģiozu</v>
      </c>
      <c r="CS383" t="s">
        <v>18192</v>
      </c>
      <c r="CT383">
        <f>COUNTIFS(Kopējie!M2:M340,"Nē",Kopējie!N2:N340,"Jā",Kopējie!O2:O340,"Nē",Kopējie!P2:P340,"Nē",Kopējie!Q2:Q340,"Nē",Kopējie!CT2:CT340,"&gt;50",Kopējie!A2:A340,"Liepāja")</f>
        <v>2</v>
      </c>
      <c r="CV383">
        <f>COUNTIFS(Kopējie!M2:M340,"Jā",Kopējie!N2:N340,"Jā",Kopējie!O2:O340,"Nē",Kopējie!P2:P340,"Nē",Kopējie!Q2:Q340,"Nē",Kopējie!CV2:CV340,"&gt;50",Kopējie!E2:E340,"ru",Kopējie!CM2:CM340,"Jā")</f>
        <v>2</v>
      </c>
    </row>
    <row r="384" spans="21:151" x14ac:dyDescent="0.3">
      <c r="U384" s="157" t="str">
        <f t="shared" si="0"/>
        <v>ateistu(ti), nereliģiozu</v>
      </c>
      <c r="CS384" t="s">
        <v>18193</v>
      </c>
      <c r="CT384">
        <f>COUNTIFS(Kopējie!M2:M340,"Nē",Kopējie!N2:N340,"Jā",Kopējie!O2:O340,"Nē",Kopējie!P2:P340,"Nē",Kopējie!Q2:Q340,"Nē",Kopējie!CT2:CT340,"&lt;51",Kopējie!A2:A340,"Liepāja")</f>
        <v>23</v>
      </c>
      <c r="CV384">
        <f>COUNTIFS(Kopējie!M2:M340,"Jā",Kopējie!N2:N340,"Jā",Kopējie!O2:O340,"Nē",Kopējie!P2:P340,"Nē",Kopējie!Q2:Q340,"Nē",Kopējie!CV2:CV340,"&lt;51",Kopējie!E2:E340,"ru",Kopējie!CM2:CM340,"Jā")</f>
        <v>1</v>
      </c>
    </row>
    <row r="385" spans="21:100" x14ac:dyDescent="0.3">
      <c r="U385" s="157" t="str">
        <f t="shared" si="0"/>
        <v>ateistu(ti), nereliģiozu</v>
      </c>
      <c r="CT385" s="121" t="s">
        <v>338</v>
      </c>
      <c r="CV385" s="121" t="s">
        <v>18203</v>
      </c>
    </row>
    <row r="386" spans="21:100" x14ac:dyDescent="0.3">
      <c r="U386" s="157" t="str">
        <f t="shared" si="0"/>
        <v>pareizticīgo</v>
      </c>
      <c r="CS386" t="s">
        <v>18192</v>
      </c>
      <c r="CT386">
        <f>COUNTIFS(Kopējie!M2:M340,"Nē",Kopējie!N2:N340,"Jā",Kopējie!O2:O340,"Nē",Kopējie!P2:P340,"Nē",Kopējie!Q2:Q340,"Nē",Kopējie!CT2:CT340,"&gt;50",Kopējie!A2:A340,"Rīga")</f>
        <v>6</v>
      </c>
      <c r="CV386">
        <f>COUNTIFS(Kopējie!M2:M340,"Jā",Kopējie!N2:N340,"Jā",Kopējie!O2:O340,"Nē",Kopējie!P2:P340,"Nē",Kopējie!Q2:Q340,"Nē",Kopējie!CV2:CV340,"&gt;50",Kopējie!E2:E340,"ru",Kopējie!CL2:CL340,"Jā")</f>
        <v>2</v>
      </c>
    </row>
    <row r="387" spans="21:100" x14ac:dyDescent="0.3">
      <c r="U387" s="157" t="str">
        <f t="shared" si="0"/>
        <v>ateistu(ti), nereliģiozu</v>
      </c>
      <c r="CS387" t="s">
        <v>18193</v>
      </c>
      <c r="CT387">
        <f>COUNTIFS(Kopējie!M2:M340,"Nē",Kopējie!N2:N340,"Jā",Kopējie!O2:O340,"Nē",Kopējie!P2:P340,"Nē",Kopējie!Q2:Q340,"Nē",Kopējie!CT2:CT340,"&lt;51",Kopējie!A2:A340,"Rīga")</f>
        <v>33</v>
      </c>
      <c r="CV387">
        <f>COUNTIFS(Kopējie!M2:M340,"Jā",Kopējie!N2:N340,"Jā",Kopējie!O2:O340,"Nē",Kopējie!P2:P340,"Nē",Kopējie!Q2:Q340,"Nē",Kopējie!CV2:CV340,"&lt;51",Kopējie!E2:E340,"ru",Kopējie!CL2:CL340,"Jā")</f>
        <v>3</v>
      </c>
    </row>
    <row r="388" spans="21:100" x14ac:dyDescent="0.3">
      <c r="U388" s="157" t="str">
        <f t="shared" si="0"/>
        <v>protestantu(ti)</v>
      </c>
      <c r="CV388" s="121" t="s">
        <v>18204</v>
      </c>
    </row>
    <row r="389" spans="21:100" x14ac:dyDescent="0.3">
      <c r="U389" s="157" t="str">
        <f>TRIM(CLEAN('Izgrieztais saturs'!U1))</f>
        <v>ateistu(ti), nereliģiozu</v>
      </c>
      <c r="CV389">
        <f>COUNTIFS(Kopējie!M2:M340,"Jā",Kopējie!N2:N340,"Jā",Kopējie!O2:O340,"Nē",Kopējie!P2:P340,"Nē",Kopējie!Q2:Q340,"Nē",Kopējie!CV2:CV340,"&gt;50",Kopējie!E2:E340,"ru",Kopējie!CP2:CP340,"Jā")</f>
        <v>13</v>
      </c>
    </row>
    <row r="390" spans="21:100" x14ac:dyDescent="0.3">
      <c r="U390" s="157" t="str">
        <f t="shared" ref="U390:U408" si="1">TRIM(CLEAN(U48))</f>
        <v>katoli(ieti)</v>
      </c>
      <c r="CS390" s="121" t="s">
        <v>18197</v>
      </c>
      <c r="CT390" s="121" t="s">
        <v>18194</v>
      </c>
      <c r="CV390">
        <f>COUNTIFS(Kopējie!M2:M340,"Jā",Kopējie!N2:N340,"Jā",Kopējie!O2:O340,"Nē",Kopējie!P2:P340,"Nē",Kopējie!Q2:Q340,"Nē",Kopējie!CV2:CV340,"&lt;51",Kopējie!E2:E340,"ru",Kopējie!CP2:CP340,"Jā")</f>
        <v>16</v>
      </c>
    </row>
    <row r="391" spans="21:100" x14ac:dyDescent="0.3">
      <c r="U391" s="157" t="str">
        <f t="shared" si="1"/>
        <v>protestantu(ti)</v>
      </c>
      <c r="CS391" s="122">
        <f>COUNTIFS(Kopējie!M2:M340,"Jā",Kopējie!N2:N340,"Nē",Kopējie!O2:O340,"Nē",Kopējie!P2:P340,"Nē",Kopējie!Q2:Q340,"Nē",Kopējie!A2:A340,"Daugavpils")</f>
        <v>11</v>
      </c>
      <c r="CT391">
        <f>COUNTIFS(Kopējie!M2:M340,"Nē",Kopējie!N2:N340,"Jā",Kopējie!O2:O340,"Nē",Kopējie!P2:P340,"Nē",Kopējie!Q2:Q340,"Nē",Kopējie!A2:A340,"Daugavpils")</f>
        <v>47</v>
      </c>
      <c r="CV391" s="121" t="s">
        <v>18205</v>
      </c>
    </row>
    <row r="392" spans="21:100" x14ac:dyDescent="0.3">
      <c r="U392" s="157" t="str">
        <f t="shared" si="1"/>
        <v>ateistu(ti), nereliģiozu</v>
      </c>
      <c r="CS392" s="121"/>
      <c r="CV392">
        <f>COUNTIFS(Kopējie!M2:M340,"Jā",Kopējie!N2:N340,"Jā",Kopējie!O2:O340,"Nē",Kopējie!P2:P340,"Nē",Kopējie!Q2:Q340,"Nē",Kopējie!CV2:CV340,"&gt;50",Kopējie!E2:E340,"ru",Kopējie!CO2:CO340,"Jā")</f>
        <v>7</v>
      </c>
    </row>
    <row r="393" spans="21:100" x14ac:dyDescent="0.3">
      <c r="U393" s="157" t="str">
        <f t="shared" si="1"/>
        <v>protestantu(ti)</v>
      </c>
      <c r="CS393" s="121" t="s">
        <v>18198</v>
      </c>
      <c r="CT393" s="121" t="s">
        <v>18195</v>
      </c>
      <c r="CV393">
        <f>COUNTIFS(Kopējie!M2:M340,"Jā",Kopējie!N2:N340,"Jā",Kopējie!O2:O340,"Nē",Kopējie!P2:P340,"Nē",Kopējie!Q2:Q340,"Nē",Kopējie!CV2:CV340,"&lt;51",Kopējie!E2:E340,"ru",Kopējie!CO2:CO340,"Jā")</f>
        <v>6</v>
      </c>
    </row>
    <row r="394" spans="21:100" x14ac:dyDescent="0.3">
      <c r="U394" s="157" t="str">
        <f t="shared" si="1"/>
        <v>ateistu(ti), nereliģiozu</v>
      </c>
      <c r="CS394" s="122">
        <f>COUNTIFS(Kopējie!M2:M340,"Jā",Kopējie!N2:N340,"Nē",Kopējie!O2:O340,"Nē",Kopējie!P2:P340,"Nē",Kopējie!Q2:Q340,"Nē",Kopējie!A2:A340,"Liepāja")</f>
        <v>54</v>
      </c>
      <c r="CT394">
        <f>COUNTIFS(Kopējie!M2:M340,"Nē",Kopējie!N2:N340,"Jā",Kopējie!O2:O340,"Nē",Kopējie!P2:P340,"Nē",Kopējie!Q2:Q340,"Nē",Kopējie!A2:A340,"Liepāja")</f>
        <v>25</v>
      </c>
    </row>
    <row r="395" spans="21:100" x14ac:dyDescent="0.3">
      <c r="U395" s="157" t="str">
        <f t="shared" si="1"/>
        <v>ateistu(ti), nereliģiozu</v>
      </c>
      <c r="CS395" s="121"/>
    </row>
    <row r="396" spans="21:100" x14ac:dyDescent="0.3">
      <c r="U396" s="157" t="str">
        <f t="shared" si="1"/>
        <v>protestantu(ti)</v>
      </c>
      <c r="CS396" s="121" t="s">
        <v>18199</v>
      </c>
      <c r="CT396" s="121" t="s">
        <v>18196</v>
      </c>
    </row>
    <row r="397" spans="21:100" x14ac:dyDescent="0.3">
      <c r="U397" s="157" t="str">
        <f t="shared" si="1"/>
        <v>pareizticīgo</v>
      </c>
      <c r="CS397">
        <f>COUNTIFS(Kopējie!M2:M340,"Jā",Kopējie!N2:N340,"Nē",Kopējie!O2:O340,"Nē",Kopējie!P2:P340,"Nē",Kopējie!Q2:Q340,"Nē",Kopējie!A2:A340,"Rīga")</f>
        <v>59</v>
      </c>
      <c r="CT397">
        <f>COUNTIFS(Kopējie!M2:M340,"Nē",Kopējie!N2:N340,"Jā",Kopējie!O2:O340,"Nē",Kopējie!P2:P340,"Nē",Kopējie!Q2:Q340,"Nē",Kopējie!A2:A340,"Rīga")</f>
        <v>39</v>
      </c>
    </row>
    <row r="398" spans="21:100" x14ac:dyDescent="0.3">
      <c r="U398" s="157" t="str">
        <f t="shared" si="1"/>
        <v>pareizticīgo</v>
      </c>
    </row>
    <row r="399" spans="21:100" x14ac:dyDescent="0.3">
      <c r="U399" s="157" t="str">
        <f t="shared" si="1"/>
        <v>ateistu(ti), nereliģiozu</v>
      </c>
    </row>
    <row r="400" spans="21:100" x14ac:dyDescent="0.3">
      <c r="U400" s="157" t="str">
        <f t="shared" si="1"/>
        <v>pareizticīgo</v>
      </c>
    </row>
    <row r="401" spans="21:21" x14ac:dyDescent="0.3">
      <c r="U401" s="157" t="str">
        <f t="shared" si="1"/>
        <v>pareizticīgo</v>
      </c>
    </row>
    <row r="402" spans="21:21" x14ac:dyDescent="0.3">
      <c r="U402" s="157" t="str">
        <f t="shared" si="1"/>
        <v>pareizticīgo</v>
      </c>
    </row>
    <row r="403" spans="21:21" x14ac:dyDescent="0.3">
      <c r="U403" s="157" t="str">
        <f t="shared" si="1"/>
        <v>katoli(ieti)</v>
      </c>
    </row>
    <row r="404" spans="21:21" x14ac:dyDescent="0.3">
      <c r="U404" s="157" t="str">
        <f t="shared" si="1"/>
        <v>pareizticīgo</v>
      </c>
    </row>
    <row r="405" spans="21:21" x14ac:dyDescent="0.3">
      <c r="U405" s="157" t="str">
        <f t="shared" si="1"/>
        <v>ateistu(ti), nereliģiozu</v>
      </c>
    </row>
    <row r="406" spans="21:21" x14ac:dyDescent="0.3">
      <c r="U406" s="157" t="str">
        <f t="shared" si="1"/>
        <v>ateistu(ti), nereliģiozu</v>
      </c>
    </row>
    <row r="407" spans="21:21" x14ac:dyDescent="0.3">
      <c r="U407" s="157" t="str">
        <f t="shared" si="1"/>
        <v>pareizticīgo</v>
      </c>
    </row>
    <row r="408" spans="21:21" x14ac:dyDescent="0.3">
      <c r="U408" s="157" t="str">
        <f t="shared" si="1"/>
        <v>pareizticīgo</v>
      </c>
    </row>
    <row r="409" spans="21:21" x14ac:dyDescent="0.3">
      <c r="U409" s="157" t="str">
        <f t="shared" ref="U409:U472" si="2">TRIM(CLEAN(U67))</f>
        <v>ateistu(ti), nereliģiozu</v>
      </c>
    </row>
    <row r="410" spans="21:21" x14ac:dyDescent="0.3">
      <c r="U410" s="157" t="str">
        <f t="shared" si="2"/>
        <v>pareizticīgo</v>
      </c>
    </row>
    <row r="411" spans="21:21" x14ac:dyDescent="0.3">
      <c r="U411" s="157" t="str">
        <f t="shared" si="2"/>
        <v>pareizticīgo</v>
      </c>
    </row>
    <row r="412" spans="21:21" x14ac:dyDescent="0.3">
      <c r="U412" s="157" t="str">
        <f t="shared" si="2"/>
        <v>ateistu(ti), nereliģiozu</v>
      </c>
    </row>
    <row r="413" spans="21:21" x14ac:dyDescent="0.3">
      <c r="U413" s="157" t="str">
        <f t="shared" si="2"/>
        <v>ateistu(ti), nereliģiozu</v>
      </c>
    </row>
    <row r="414" spans="21:21" x14ac:dyDescent="0.3">
      <c r="U414" s="157" t="str">
        <f t="shared" si="2"/>
        <v>ateistu(ti), nereliģiozu</v>
      </c>
    </row>
    <row r="415" spans="21:21" x14ac:dyDescent="0.3">
      <c r="U415" s="157" t="str">
        <f t="shared" si="2"/>
        <v>Cita atbilde</v>
      </c>
    </row>
    <row r="416" spans="21:21" x14ac:dyDescent="0.3">
      <c r="U416" s="157" t="str">
        <f t="shared" si="2"/>
        <v>ateistu(ti), nereliģiozu</v>
      </c>
    </row>
    <row r="417" spans="21:21" x14ac:dyDescent="0.3">
      <c r="U417" s="157" t="str">
        <f t="shared" si="2"/>
        <v>Cita atbilde</v>
      </c>
    </row>
    <row r="418" spans="21:21" x14ac:dyDescent="0.3">
      <c r="U418" s="157" t="str">
        <f t="shared" si="2"/>
        <v>ateistu(ti), nereliģiozu</v>
      </c>
    </row>
    <row r="419" spans="21:21" x14ac:dyDescent="0.3">
      <c r="U419" s="157" t="str">
        <f t="shared" si="2"/>
        <v>pareizticīgo</v>
      </c>
    </row>
    <row r="420" spans="21:21" x14ac:dyDescent="0.3">
      <c r="U420" s="157" t="str">
        <f t="shared" si="2"/>
        <v>ateistu(ti), nereliģiozu</v>
      </c>
    </row>
    <row r="421" spans="21:21" x14ac:dyDescent="0.3">
      <c r="U421" s="157" t="str">
        <f t="shared" si="2"/>
        <v>ateistu(ti), nereliģiozu</v>
      </c>
    </row>
    <row r="422" spans="21:21" x14ac:dyDescent="0.3">
      <c r="U422" s="157" t="str">
        <f t="shared" si="2"/>
        <v>ateistu(ti), nereliģiozu</v>
      </c>
    </row>
    <row r="423" spans="21:21" x14ac:dyDescent="0.3">
      <c r="U423" s="157" t="str">
        <f t="shared" si="2"/>
        <v>ateistu(ti), nereliģiozu</v>
      </c>
    </row>
    <row r="424" spans="21:21" x14ac:dyDescent="0.3">
      <c r="U424" s="157" t="str">
        <f t="shared" si="2"/>
        <v>protestantu(ti)</v>
      </c>
    </row>
    <row r="425" spans="21:21" x14ac:dyDescent="0.3">
      <c r="U425" s="157" t="str">
        <f t="shared" si="2"/>
        <v>Cita atbilde</v>
      </c>
    </row>
    <row r="426" spans="21:21" x14ac:dyDescent="0.3">
      <c r="U426" s="157" t="str">
        <f t="shared" si="2"/>
        <v>ateistu(ti), nereliģiozu</v>
      </c>
    </row>
    <row r="427" spans="21:21" x14ac:dyDescent="0.3">
      <c r="U427" s="157" t="str">
        <f t="shared" si="2"/>
        <v>katoli(ieti)</v>
      </c>
    </row>
    <row r="428" spans="21:21" x14ac:dyDescent="0.3">
      <c r="U428" s="157" t="str">
        <f t="shared" si="2"/>
        <v>pareizticīgo</v>
      </c>
    </row>
    <row r="429" spans="21:21" x14ac:dyDescent="0.3">
      <c r="U429" s="157" t="str">
        <f t="shared" si="2"/>
        <v>protestantu(ti)</v>
      </c>
    </row>
    <row r="430" spans="21:21" x14ac:dyDescent="0.3">
      <c r="U430" s="157" t="str">
        <f t="shared" si="2"/>
        <v>ateistu(ti), nereliģiozu</v>
      </c>
    </row>
    <row r="431" spans="21:21" x14ac:dyDescent="0.3">
      <c r="U431" s="157" t="str">
        <f t="shared" si="2"/>
        <v>ateistu(ti), nereliģiozu</v>
      </c>
    </row>
    <row r="432" spans="21:21" x14ac:dyDescent="0.3">
      <c r="U432" s="157" t="str">
        <f t="shared" si="2"/>
        <v>katoli(ieti)</v>
      </c>
    </row>
    <row r="433" spans="21:21" x14ac:dyDescent="0.3">
      <c r="U433" s="157" t="str">
        <f t="shared" si="2"/>
        <v>pareizticīgo</v>
      </c>
    </row>
    <row r="434" spans="21:21" x14ac:dyDescent="0.3">
      <c r="U434" s="157" t="str">
        <f t="shared" si="2"/>
        <v>pareizticīgo</v>
      </c>
    </row>
    <row r="435" spans="21:21" x14ac:dyDescent="0.3">
      <c r="U435" s="157" t="str">
        <f t="shared" si="2"/>
        <v>katoli(ieti)</v>
      </c>
    </row>
    <row r="436" spans="21:21" x14ac:dyDescent="0.3">
      <c r="U436" s="157" t="str">
        <f t="shared" si="2"/>
        <v>pareizticīgo</v>
      </c>
    </row>
    <row r="437" spans="21:21" x14ac:dyDescent="0.3">
      <c r="U437" s="157" t="str">
        <f t="shared" si="2"/>
        <v>vecticībnieku(ci)</v>
      </c>
    </row>
    <row r="438" spans="21:21" x14ac:dyDescent="0.3">
      <c r="U438" s="157" t="str">
        <f t="shared" si="2"/>
        <v>katoli(ieti)</v>
      </c>
    </row>
    <row r="439" spans="21:21" x14ac:dyDescent="0.3">
      <c r="U439" s="157" t="str">
        <f t="shared" si="2"/>
        <v>pareizticīgo</v>
      </c>
    </row>
    <row r="440" spans="21:21" x14ac:dyDescent="0.3">
      <c r="U440" s="157" t="str">
        <f t="shared" si="2"/>
        <v>ateistu(ti), nereliģiozu</v>
      </c>
    </row>
    <row r="441" spans="21:21" x14ac:dyDescent="0.3">
      <c r="U441" s="157" t="str">
        <f t="shared" si="2"/>
        <v>ateistu(ti), nereliģiozu</v>
      </c>
    </row>
    <row r="442" spans="21:21" x14ac:dyDescent="0.3">
      <c r="U442" s="157" t="str">
        <f t="shared" si="2"/>
        <v>katoli(ieti)</v>
      </c>
    </row>
    <row r="443" spans="21:21" x14ac:dyDescent="0.3">
      <c r="U443" s="157" t="str">
        <f t="shared" si="2"/>
        <v>katoli(ieti)</v>
      </c>
    </row>
    <row r="444" spans="21:21" x14ac:dyDescent="0.3">
      <c r="U444" s="157" t="str">
        <f t="shared" si="2"/>
        <v>pareizticīgo</v>
      </c>
    </row>
    <row r="445" spans="21:21" x14ac:dyDescent="0.3">
      <c r="U445" s="157" t="str">
        <f t="shared" si="2"/>
        <v>vecticībnieku(ci)</v>
      </c>
    </row>
    <row r="446" spans="21:21" x14ac:dyDescent="0.3">
      <c r="U446" s="157" t="str">
        <f t="shared" si="2"/>
        <v>pareizticīgo</v>
      </c>
    </row>
    <row r="447" spans="21:21" x14ac:dyDescent="0.3">
      <c r="U447" s="157" t="str">
        <f t="shared" si="2"/>
        <v>ateistu(ti), nereliģiozu</v>
      </c>
    </row>
    <row r="448" spans="21:21" x14ac:dyDescent="0.3">
      <c r="U448" s="157" t="str">
        <f t="shared" si="2"/>
        <v>ateistu(ti), nereliģiozu</v>
      </c>
    </row>
    <row r="449" spans="21:21" x14ac:dyDescent="0.3">
      <c r="U449" s="157" t="str">
        <f t="shared" si="2"/>
        <v>ateistu(ti), nereliģiozu</v>
      </c>
    </row>
    <row r="450" spans="21:21" x14ac:dyDescent="0.3">
      <c r="U450" s="157" t="str">
        <f t="shared" si="2"/>
        <v>ateistu(ti), nereliģiozu</v>
      </c>
    </row>
    <row r="451" spans="21:21" x14ac:dyDescent="0.3">
      <c r="U451" s="157" t="str">
        <f t="shared" si="2"/>
        <v>ateistu(ti), nereliģiozu</v>
      </c>
    </row>
    <row r="452" spans="21:21" x14ac:dyDescent="0.3">
      <c r="U452" s="157" t="str">
        <f t="shared" si="2"/>
        <v>ateistu(ti), nereliģiozu</v>
      </c>
    </row>
    <row r="453" spans="21:21" x14ac:dyDescent="0.3">
      <c r="U453" s="157" t="str">
        <f t="shared" si="2"/>
        <v>pareizticīgo</v>
      </c>
    </row>
    <row r="454" spans="21:21" x14ac:dyDescent="0.3">
      <c r="U454" s="157" t="str">
        <f t="shared" si="2"/>
        <v>ateistu(ti), nereliģiozu</v>
      </c>
    </row>
    <row r="455" spans="21:21" x14ac:dyDescent="0.3">
      <c r="U455" s="157" t="str">
        <f t="shared" si="2"/>
        <v>ateistu(ti), nereliģiozu</v>
      </c>
    </row>
    <row r="456" spans="21:21" x14ac:dyDescent="0.3">
      <c r="U456" s="157" t="str">
        <f t="shared" si="2"/>
        <v>pareizticīgo</v>
      </c>
    </row>
    <row r="457" spans="21:21" x14ac:dyDescent="0.3">
      <c r="U457" s="157" t="str">
        <f t="shared" si="2"/>
        <v>ateistu(ti), nereliģiozu</v>
      </c>
    </row>
    <row r="458" spans="21:21" x14ac:dyDescent="0.3">
      <c r="U458" s="157" t="str">
        <f t="shared" si="2"/>
        <v>katoli(ieti)</v>
      </c>
    </row>
    <row r="459" spans="21:21" x14ac:dyDescent="0.3">
      <c r="U459" s="157" t="str">
        <f t="shared" si="2"/>
        <v>vecticībnieku(ci)</v>
      </c>
    </row>
    <row r="460" spans="21:21" x14ac:dyDescent="0.3">
      <c r="U460" s="157" t="str">
        <f t="shared" si="2"/>
        <v>vecticībnieku(ci)</v>
      </c>
    </row>
    <row r="461" spans="21:21" x14ac:dyDescent="0.3">
      <c r="U461" s="157" t="str">
        <f t="shared" si="2"/>
        <v>ateistu(ti), nereliģiozu</v>
      </c>
    </row>
    <row r="462" spans="21:21" x14ac:dyDescent="0.3">
      <c r="U462" s="157" t="str">
        <f t="shared" si="2"/>
        <v>ateistu(ti), nereliģiozu</v>
      </c>
    </row>
    <row r="463" spans="21:21" x14ac:dyDescent="0.3">
      <c r="U463" s="157" t="str">
        <f t="shared" si="2"/>
        <v>pareizticīgo</v>
      </c>
    </row>
    <row r="464" spans="21:21" x14ac:dyDescent="0.3">
      <c r="U464" s="157" t="str">
        <f t="shared" si="2"/>
        <v>pareizticīgo</v>
      </c>
    </row>
    <row r="465" spans="21:21" x14ac:dyDescent="0.3">
      <c r="U465" s="157" t="str">
        <f t="shared" si="2"/>
        <v>pareizticīgo</v>
      </c>
    </row>
    <row r="466" spans="21:21" x14ac:dyDescent="0.3">
      <c r="U466" s="157" t="str">
        <f t="shared" si="2"/>
        <v>katoli(ieti)</v>
      </c>
    </row>
    <row r="467" spans="21:21" x14ac:dyDescent="0.3">
      <c r="U467" s="157" t="str">
        <f t="shared" si="2"/>
        <v>ateistu(ti), nereliģiozu</v>
      </c>
    </row>
    <row r="468" spans="21:21" x14ac:dyDescent="0.3">
      <c r="U468" s="157" t="str">
        <f t="shared" si="2"/>
        <v>ateistu(ti), nereliģiozu</v>
      </c>
    </row>
    <row r="469" spans="21:21" x14ac:dyDescent="0.3">
      <c r="U469" s="157" t="str">
        <f t="shared" si="2"/>
        <v>pareizticīgo</v>
      </c>
    </row>
    <row r="470" spans="21:21" x14ac:dyDescent="0.3">
      <c r="U470" s="157" t="str">
        <f t="shared" si="2"/>
        <v>katoli(ieti)</v>
      </c>
    </row>
    <row r="471" spans="21:21" x14ac:dyDescent="0.3">
      <c r="U471" s="157" t="str">
        <f t="shared" si="2"/>
        <v>pareizticīgo</v>
      </c>
    </row>
    <row r="472" spans="21:21" x14ac:dyDescent="0.3">
      <c r="U472" s="157" t="str">
        <f t="shared" si="2"/>
        <v>ateistu(ti), nereliģiozu</v>
      </c>
    </row>
    <row r="473" spans="21:21" x14ac:dyDescent="0.3">
      <c r="U473" s="157" t="str">
        <f t="shared" ref="U473:U536" si="3">TRIM(CLEAN(U131))</f>
        <v>ateistu(ti), nereliģiozu</v>
      </c>
    </row>
    <row r="474" spans="21:21" x14ac:dyDescent="0.3">
      <c r="U474" s="157" t="str">
        <f t="shared" si="3"/>
        <v>pareizticīgo</v>
      </c>
    </row>
    <row r="475" spans="21:21" x14ac:dyDescent="0.3">
      <c r="U475" s="157" t="str">
        <f t="shared" si="3"/>
        <v>pareizticīgo</v>
      </c>
    </row>
    <row r="476" spans="21:21" x14ac:dyDescent="0.3">
      <c r="U476" s="157" t="str">
        <f t="shared" si="3"/>
        <v>pareizticīgo</v>
      </c>
    </row>
    <row r="477" spans="21:21" x14ac:dyDescent="0.3">
      <c r="U477" s="157" t="str">
        <f t="shared" si="3"/>
        <v>pareizticīgo</v>
      </c>
    </row>
    <row r="478" spans="21:21" x14ac:dyDescent="0.3">
      <c r="U478" s="157" t="str">
        <f t="shared" si="3"/>
        <v>ateistu(ti), nereliģiozu</v>
      </c>
    </row>
    <row r="479" spans="21:21" x14ac:dyDescent="0.3">
      <c r="U479" s="157" t="str">
        <f t="shared" si="3"/>
        <v>ateistu(ti), nereliģiozu</v>
      </c>
    </row>
    <row r="480" spans="21:21" x14ac:dyDescent="0.3">
      <c r="U480" s="157" t="str">
        <f t="shared" si="3"/>
        <v>pareizticīgo</v>
      </c>
    </row>
    <row r="481" spans="21:21" x14ac:dyDescent="0.3">
      <c r="U481" s="157" t="str">
        <f t="shared" si="3"/>
        <v>ateistu(ti), nereliģiozu</v>
      </c>
    </row>
    <row r="482" spans="21:21" x14ac:dyDescent="0.3">
      <c r="U482" s="157" t="str">
        <f t="shared" si="3"/>
        <v>pareizticīgo</v>
      </c>
    </row>
    <row r="483" spans="21:21" x14ac:dyDescent="0.3">
      <c r="U483" s="157" t="str">
        <f t="shared" si="3"/>
        <v>ateistu(ti), nereliģiozu</v>
      </c>
    </row>
    <row r="484" spans="21:21" x14ac:dyDescent="0.3">
      <c r="U484" s="157" t="str">
        <f t="shared" si="3"/>
        <v>pareizticīgo</v>
      </c>
    </row>
    <row r="485" spans="21:21" x14ac:dyDescent="0.3">
      <c r="U485" s="157" t="str">
        <f t="shared" si="3"/>
        <v>pareizticīgo</v>
      </c>
    </row>
    <row r="486" spans="21:21" x14ac:dyDescent="0.3">
      <c r="U486" s="157" t="str">
        <f t="shared" si="3"/>
        <v>ateistu(ti), nereliģiozu</v>
      </c>
    </row>
    <row r="487" spans="21:21" x14ac:dyDescent="0.3">
      <c r="U487" s="157" t="str">
        <f t="shared" si="3"/>
        <v>protestantu(ti)</v>
      </c>
    </row>
    <row r="488" spans="21:21" x14ac:dyDescent="0.3">
      <c r="U488" s="157" t="str">
        <f t="shared" si="3"/>
        <v>pareizticīgo</v>
      </c>
    </row>
    <row r="489" spans="21:21" x14ac:dyDescent="0.3">
      <c r="U489" s="157" t="str">
        <f t="shared" si="3"/>
        <v>ateistu(ti), nereliģiozu</v>
      </c>
    </row>
    <row r="490" spans="21:21" x14ac:dyDescent="0.3">
      <c r="U490" s="157" t="str">
        <f t="shared" si="3"/>
        <v>pareizticīgo</v>
      </c>
    </row>
    <row r="491" spans="21:21" x14ac:dyDescent="0.3">
      <c r="U491" s="157" t="str">
        <f t="shared" si="3"/>
        <v>Cita atbilde</v>
      </c>
    </row>
    <row r="492" spans="21:21" x14ac:dyDescent="0.3">
      <c r="U492" s="157" t="str">
        <f t="shared" si="3"/>
        <v>katoli(ieti)</v>
      </c>
    </row>
    <row r="493" spans="21:21" x14ac:dyDescent="0.3">
      <c r="U493" s="157" t="str">
        <f t="shared" si="3"/>
        <v>pareizticīgo</v>
      </c>
    </row>
    <row r="494" spans="21:21" x14ac:dyDescent="0.3">
      <c r="U494" s="157" t="str">
        <f t="shared" si="3"/>
        <v>katoli(ieti)</v>
      </c>
    </row>
    <row r="495" spans="21:21" x14ac:dyDescent="0.3">
      <c r="U495" s="157" t="str">
        <f t="shared" si="3"/>
        <v>katoli(ieti)</v>
      </c>
    </row>
    <row r="496" spans="21:21" x14ac:dyDescent="0.3">
      <c r="U496" s="157" t="str">
        <f t="shared" si="3"/>
        <v>ateistu(ti), nereliģiozu</v>
      </c>
    </row>
    <row r="497" spans="21:21" x14ac:dyDescent="0.3">
      <c r="U497" s="157" t="str">
        <f t="shared" si="3"/>
        <v>vecticībnieku(ci)</v>
      </c>
    </row>
    <row r="498" spans="21:21" x14ac:dyDescent="0.3">
      <c r="U498" s="157" t="str">
        <f t="shared" si="3"/>
        <v>ateistu(ti), nereliģiozu</v>
      </c>
    </row>
    <row r="499" spans="21:21" x14ac:dyDescent="0.3">
      <c r="U499" s="157" t="str">
        <f t="shared" si="3"/>
        <v>vecticībnieku(ci)</v>
      </c>
    </row>
    <row r="500" spans="21:21" x14ac:dyDescent="0.3">
      <c r="U500" s="157" t="str">
        <f t="shared" si="3"/>
        <v>vecticībnieku(ci)</v>
      </c>
    </row>
    <row r="501" spans="21:21" x14ac:dyDescent="0.3">
      <c r="U501" s="157" t="str">
        <f t="shared" si="3"/>
        <v>ateistu(ti), nereliģiozu</v>
      </c>
    </row>
    <row r="502" spans="21:21" x14ac:dyDescent="0.3">
      <c r="U502" s="157" t="str">
        <f t="shared" si="3"/>
        <v>katoli(ieti)</v>
      </c>
    </row>
    <row r="503" spans="21:21" x14ac:dyDescent="0.3">
      <c r="U503" s="157" t="str">
        <f t="shared" si="3"/>
        <v>katoli(ieti)</v>
      </c>
    </row>
    <row r="504" spans="21:21" x14ac:dyDescent="0.3">
      <c r="U504" s="157" t="str">
        <f t="shared" si="3"/>
        <v>ateistu(ti), nereliģiozu</v>
      </c>
    </row>
    <row r="505" spans="21:21" x14ac:dyDescent="0.3">
      <c r="U505" s="157" t="str">
        <f t="shared" si="3"/>
        <v>ateistu(ti), nereliģiozu</v>
      </c>
    </row>
    <row r="506" spans="21:21" x14ac:dyDescent="0.3">
      <c r="U506" s="157" t="str">
        <f t="shared" si="3"/>
        <v>katoli(ieti)</v>
      </c>
    </row>
    <row r="507" spans="21:21" x14ac:dyDescent="0.3">
      <c r="U507" s="157" t="str">
        <f t="shared" si="3"/>
        <v>katoli(ieti)</v>
      </c>
    </row>
    <row r="508" spans="21:21" x14ac:dyDescent="0.3">
      <c r="U508" s="157" t="str">
        <f t="shared" si="3"/>
        <v>ateistu(ti), nereliģiozu</v>
      </c>
    </row>
    <row r="509" spans="21:21" x14ac:dyDescent="0.3">
      <c r="U509" s="157" t="str">
        <f t="shared" si="3"/>
        <v>katoli(ieti)</v>
      </c>
    </row>
    <row r="510" spans="21:21" x14ac:dyDescent="0.3">
      <c r="U510" s="157" t="str">
        <f t="shared" si="3"/>
        <v>Cita atbilde</v>
      </c>
    </row>
    <row r="511" spans="21:21" x14ac:dyDescent="0.3">
      <c r="U511" s="157" t="str">
        <f t="shared" si="3"/>
        <v>pareizticīgo</v>
      </c>
    </row>
    <row r="512" spans="21:21" x14ac:dyDescent="0.3">
      <c r="U512" s="157" t="str">
        <f t="shared" si="3"/>
        <v>katoli(ieti)</v>
      </c>
    </row>
    <row r="513" spans="21:21" x14ac:dyDescent="0.3">
      <c r="U513" s="157" t="str">
        <f t="shared" si="3"/>
        <v>katoli(ieti)</v>
      </c>
    </row>
    <row r="514" spans="21:21" x14ac:dyDescent="0.3">
      <c r="U514" s="157" t="str">
        <f t="shared" si="3"/>
        <v>pareizticīgo</v>
      </c>
    </row>
    <row r="515" spans="21:21" x14ac:dyDescent="0.3">
      <c r="U515" s="157" t="str">
        <f t="shared" si="3"/>
        <v>pareizticīgo</v>
      </c>
    </row>
    <row r="516" spans="21:21" x14ac:dyDescent="0.3">
      <c r="U516" s="157" t="str">
        <f t="shared" si="3"/>
        <v>katoli(ieti)</v>
      </c>
    </row>
    <row r="517" spans="21:21" x14ac:dyDescent="0.3">
      <c r="U517" s="157" t="str">
        <f t="shared" si="3"/>
        <v>katoli(ieti)</v>
      </c>
    </row>
    <row r="518" spans="21:21" x14ac:dyDescent="0.3">
      <c r="U518" s="157" t="str">
        <f t="shared" si="3"/>
        <v>pareizticīgo</v>
      </c>
    </row>
    <row r="519" spans="21:21" x14ac:dyDescent="0.3">
      <c r="U519" s="157" t="str">
        <f t="shared" si="3"/>
        <v>ateistu(ti), nereliģiozu</v>
      </c>
    </row>
    <row r="520" spans="21:21" x14ac:dyDescent="0.3">
      <c r="U520" s="157" t="str">
        <f t="shared" si="3"/>
        <v>ateistu(ti), nereliģiozu</v>
      </c>
    </row>
    <row r="521" spans="21:21" x14ac:dyDescent="0.3">
      <c r="U521" s="157" t="str">
        <f t="shared" si="3"/>
        <v>katoli(ieti)</v>
      </c>
    </row>
    <row r="522" spans="21:21" x14ac:dyDescent="0.3">
      <c r="U522" s="157" t="str">
        <f t="shared" si="3"/>
        <v>katoli(ieti)</v>
      </c>
    </row>
    <row r="523" spans="21:21" x14ac:dyDescent="0.3">
      <c r="U523" s="157" t="str">
        <f t="shared" si="3"/>
        <v>katoli(ieti)</v>
      </c>
    </row>
    <row r="524" spans="21:21" x14ac:dyDescent="0.3">
      <c r="U524" s="157" t="str">
        <f t="shared" si="3"/>
        <v>ateistu(ti), nereliģiozu</v>
      </c>
    </row>
    <row r="525" spans="21:21" x14ac:dyDescent="0.3">
      <c r="U525" s="157" t="str">
        <f t="shared" si="3"/>
        <v>ateistu(ti), nereliģiozu</v>
      </c>
    </row>
    <row r="526" spans="21:21" x14ac:dyDescent="0.3">
      <c r="U526" s="157" t="str">
        <f t="shared" si="3"/>
        <v>pareizticīgo</v>
      </c>
    </row>
    <row r="527" spans="21:21" x14ac:dyDescent="0.3">
      <c r="U527" s="157" t="str">
        <f t="shared" si="3"/>
        <v>vecticībnieku(ci)</v>
      </c>
    </row>
    <row r="528" spans="21:21" x14ac:dyDescent="0.3">
      <c r="U528" s="157" t="str">
        <f t="shared" si="3"/>
        <v>pareizticīgo</v>
      </c>
    </row>
    <row r="529" spans="21:21" x14ac:dyDescent="0.3">
      <c r="U529" s="157" t="str">
        <f t="shared" si="3"/>
        <v>ateistu(ti), nereliģiozu</v>
      </c>
    </row>
    <row r="530" spans="21:21" x14ac:dyDescent="0.3">
      <c r="U530" s="157" t="str">
        <f t="shared" si="3"/>
        <v>katoli(ieti)</v>
      </c>
    </row>
    <row r="531" spans="21:21" x14ac:dyDescent="0.3">
      <c r="U531" s="157" t="str">
        <f t="shared" si="3"/>
        <v>ateistu(ti), nereliģiozu</v>
      </c>
    </row>
    <row r="532" spans="21:21" x14ac:dyDescent="0.3">
      <c r="U532" s="157" t="str">
        <f t="shared" si="3"/>
        <v>pareizticīgo</v>
      </c>
    </row>
    <row r="533" spans="21:21" x14ac:dyDescent="0.3">
      <c r="U533" s="157" t="str">
        <f t="shared" si="3"/>
        <v>ateistu(ti), nereliģiozu</v>
      </c>
    </row>
    <row r="534" spans="21:21" x14ac:dyDescent="0.3">
      <c r="U534" s="157" t="str">
        <f t="shared" si="3"/>
        <v>pareizticīgo</v>
      </c>
    </row>
    <row r="535" spans="21:21" x14ac:dyDescent="0.3">
      <c r="U535" s="157" t="str">
        <f t="shared" si="3"/>
        <v>pareizticīgo</v>
      </c>
    </row>
    <row r="536" spans="21:21" x14ac:dyDescent="0.3">
      <c r="U536" s="157" t="str">
        <f t="shared" si="3"/>
        <v>vecticībnieku(ci)</v>
      </c>
    </row>
    <row r="537" spans="21:21" x14ac:dyDescent="0.3">
      <c r="U537" s="157" t="str">
        <f t="shared" ref="U537:U600" si="4">TRIM(CLEAN(U195))</f>
        <v>pareizticīgo</v>
      </c>
    </row>
    <row r="538" spans="21:21" x14ac:dyDescent="0.3">
      <c r="U538" s="157" t="str">
        <f t="shared" si="4"/>
        <v>pareizticīgo</v>
      </c>
    </row>
    <row r="539" spans="21:21" x14ac:dyDescent="0.3">
      <c r="U539" s="157" t="str">
        <f t="shared" si="4"/>
        <v>Cita atbilde</v>
      </c>
    </row>
    <row r="540" spans="21:21" x14ac:dyDescent="0.3">
      <c r="U540" s="157" t="str">
        <f t="shared" si="4"/>
        <v>pareizticīgo</v>
      </c>
    </row>
    <row r="541" spans="21:21" x14ac:dyDescent="0.3">
      <c r="U541" s="157" t="str">
        <f t="shared" si="4"/>
        <v>ateistu(ti), nereliģiozu</v>
      </c>
    </row>
    <row r="542" spans="21:21" x14ac:dyDescent="0.3">
      <c r="U542" s="157" t="str">
        <f t="shared" si="4"/>
        <v>ateistu(ti), nereliģiozu</v>
      </c>
    </row>
    <row r="543" spans="21:21" x14ac:dyDescent="0.3">
      <c r="U543" s="157" t="str">
        <f t="shared" si="4"/>
        <v>pareizticīgo</v>
      </c>
    </row>
    <row r="544" spans="21:21" x14ac:dyDescent="0.3">
      <c r="U544" s="157" t="str">
        <f t="shared" si="4"/>
        <v>katoli(ieti)</v>
      </c>
    </row>
    <row r="545" spans="21:21" x14ac:dyDescent="0.3">
      <c r="U545" s="157" t="str">
        <f t="shared" si="4"/>
        <v>pareizticīgo</v>
      </c>
    </row>
    <row r="546" spans="21:21" x14ac:dyDescent="0.3">
      <c r="U546" s="157" t="str">
        <f t="shared" si="4"/>
        <v>pareizticīgo</v>
      </c>
    </row>
    <row r="547" spans="21:21" x14ac:dyDescent="0.3">
      <c r="U547" s="157" t="str">
        <f t="shared" si="4"/>
        <v>ateistu(ti), nereliģiozu</v>
      </c>
    </row>
    <row r="548" spans="21:21" x14ac:dyDescent="0.3">
      <c r="U548" s="157" t="str">
        <f t="shared" si="4"/>
        <v>ateistu(ti), nereliģiozu</v>
      </c>
    </row>
    <row r="549" spans="21:21" x14ac:dyDescent="0.3">
      <c r="U549" s="157" t="str">
        <f t="shared" si="4"/>
        <v>ateistu(ti), nereliģiozu</v>
      </c>
    </row>
    <row r="550" spans="21:21" x14ac:dyDescent="0.3">
      <c r="U550" s="157" t="str">
        <f t="shared" si="4"/>
        <v>ateistu(ti), nereliģiozu</v>
      </c>
    </row>
    <row r="551" spans="21:21" x14ac:dyDescent="0.3">
      <c r="U551" s="157" t="str">
        <f t="shared" si="4"/>
        <v>ateistu(ti), nereliģiozu</v>
      </c>
    </row>
    <row r="552" spans="21:21" x14ac:dyDescent="0.3">
      <c r="U552" s="157" t="str">
        <f t="shared" si="4"/>
        <v>ateistu(ti), nereliģiozu</v>
      </c>
    </row>
    <row r="553" spans="21:21" x14ac:dyDescent="0.3">
      <c r="U553" s="157" t="str">
        <f t="shared" si="4"/>
        <v>pareizticīgo</v>
      </c>
    </row>
    <row r="554" spans="21:21" x14ac:dyDescent="0.3">
      <c r="U554" s="157" t="str">
        <f t="shared" si="4"/>
        <v>ateistu(ti), nereliģiozu</v>
      </c>
    </row>
    <row r="555" spans="21:21" x14ac:dyDescent="0.3">
      <c r="U555" s="157" t="str">
        <f t="shared" si="4"/>
        <v>pareizticīgo</v>
      </c>
    </row>
    <row r="556" spans="21:21" x14ac:dyDescent="0.3">
      <c r="U556" s="157" t="str">
        <f t="shared" si="4"/>
        <v>pareizticīgo</v>
      </c>
    </row>
    <row r="557" spans="21:21" x14ac:dyDescent="0.3">
      <c r="U557" s="157" t="str">
        <f t="shared" si="4"/>
        <v>Pareizticīgo</v>
      </c>
    </row>
    <row r="558" spans="21:21" x14ac:dyDescent="0.3">
      <c r="U558" s="157" t="str">
        <f t="shared" si="4"/>
        <v>Ateistu(ti), nereliģiozu</v>
      </c>
    </row>
    <row r="559" spans="21:21" x14ac:dyDescent="0.3">
      <c r="U559" s="157" t="str">
        <f t="shared" si="4"/>
        <v>Ateistu(ti), nereliģiozu</v>
      </c>
    </row>
    <row r="560" spans="21:21" x14ac:dyDescent="0.3">
      <c r="U560" s="157" t="str">
        <f t="shared" si="4"/>
        <v>Ateistu(ti), nereliģiozu</v>
      </c>
    </row>
    <row r="561" spans="21:21" x14ac:dyDescent="0.3">
      <c r="U561" s="157" t="str">
        <f t="shared" si="4"/>
        <v>Pareizticīgo</v>
      </c>
    </row>
    <row r="562" spans="21:21" x14ac:dyDescent="0.3">
      <c r="U562" s="157" t="str">
        <f t="shared" si="4"/>
        <v>Pareizticīgo</v>
      </c>
    </row>
    <row r="563" spans="21:21" x14ac:dyDescent="0.3">
      <c r="U563" s="157" t="str">
        <f t="shared" si="4"/>
        <v>Ateistu(ti), nereliģiozu</v>
      </c>
    </row>
    <row r="564" spans="21:21" x14ac:dyDescent="0.3">
      <c r="U564" s="157" t="str">
        <f t="shared" si="4"/>
        <v>Pareizticīgo</v>
      </c>
    </row>
    <row r="565" spans="21:21" x14ac:dyDescent="0.3">
      <c r="U565" s="157" t="str">
        <f t="shared" si="4"/>
        <v>Pareizticīgo</v>
      </c>
    </row>
    <row r="566" spans="21:21" x14ac:dyDescent="0.3">
      <c r="U566" s="157" t="str">
        <f t="shared" si="4"/>
        <v>Ateistu(ti), nereliģiozu</v>
      </c>
    </row>
    <row r="567" spans="21:21" x14ac:dyDescent="0.3">
      <c r="U567" s="157" t="str">
        <f t="shared" si="4"/>
        <v>Ateistu(ti), nereliģiozu</v>
      </c>
    </row>
    <row r="568" spans="21:21" x14ac:dyDescent="0.3">
      <c r="U568" s="157" t="str">
        <f t="shared" si="4"/>
        <v>Pareizticīgo</v>
      </c>
    </row>
    <row r="569" spans="21:21" x14ac:dyDescent="0.3">
      <c r="U569" s="157" t="str">
        <f t="shared" si="4"/>
        <v>Pareizticīgo</v>
      </c>
    </row>
    <row r="570" spans="21:21" x14ac:dyDescent="0.3">
      <c r="U570" s="157" t="str">
        <f t="shared" si="4"/>
        <v>Ateistu(ti), nereliģiozu</v>
      </c>
    </row>
    <row r="571" spans="21:21" x14ac:dyDescent="0.3">
      <c r="U571" s="157" t="str">
        <f t="shared" si="4"/>
        <v>Cita atbilde</v>
      </c>
    </row>
    <row r="572" spans="21:21" x14ac:dyDescent="0.3">
      <c r="U572" s="157" t="str">
        <f t="shared" si="4"/>
        <v>Pareizticīgo</v>
      </c>
    </row>
    <row r="573" spans="21:21" x14ac:dyDescent="0.3">
      <c r="U573" s="157" t="str">
        <f t="shared" si="4"/>
        <v>Ateistu(ti), nereliģiozu</v>
      </c>
    </row>
    <row r="574" spans="21:21" x14ac:dyDescent="0.3">
      <c r="U574" s="157" t="str">
        <f t="shared" si="4"/>
        <v>Ateistu(ti), nereliģiozu</v>
      </c>
    </row>
    <row r="575" spans="21:21" x14ac:dyDescent="0.3">
      <c r="U575" s="157" t="str">
        <f t="shared" si="4"/>
        <v>Pareizticīgo</v>
      </c>
    </row>
    <row r="576" spans="21:21" x14ac:dyDescent="0.3">
      <c r="U576" s="157" t="str">
        <f t="shared" si="4"/>
        <v>Ateistu(ti), nereliģiozu</v>
      </c>
    </row>
    <row r="577" spans="21:21" x14ac:dyDescent="0.3">
      <c r="U577" s="157" t="str">
        <f t="shared" si="4"/>
        <v>Ateistu(ti), nereliģiozu</v>
      </c>
    </row>
    <row r="578" spans="21:21" x14ac:dyDescent="0.3">
      <c r="U578" s="157" t="str">
        <f t="shared" si="4"/>
        <v>Pareizticīgo</v>
      </c>
    </row>
    <row r="579" spans="21:21" x14ac:dyDescent="0.3">
      <c r="U579" s="157" t="str">
        <f t="shared" si="4"/>
        <v>Cita atbilde</v>
      </c>
    </row>
    <row r="580" spans="21:21" x14ac:dyDescent="0.3">
      <c r="U580" s="157" t="str">
        <f t="shared" si="4"/>
        <v>ateistu(ti), nereliģiozu</v>
      </c>
    </row>
    <row r="581" spans="21:21" x14ac:dyDescent="0.3">
      <c r="U581" s="157" t="str">
        <f t="shared" si="4"/>
        <v>Cita atbilde</v>
      </c>
    </row>
    <row r="582" spans="21:21" x14ac:dyDescent="0.3">
      <c r="U582" s="157" t="str">
        <f t="shared" si="4"/>
        <v>Ateistu(ti), nereliģiozu</v>
      </c>
    </row>
    <row r="583" spans="21:21" x14ac:dyDescent="0.3">
      <c r="U583" s="157" t="str">
        <f t="shared" si="4"/>
        <v>ateistu(ti), nereliģiozu</v>
      </c>
    </row>
    <row r="584" spans="21:21" x14ac:dyDescent="0.3">
      <c r="U584" s="157" t="str">
        <f t="shared" si="4"/>
        <v>Pareizticīgo</v>
      </c>
    </row>
    <row r="585" spans="21:21" x14ac:dyDescent="0.3">
      <c r="U585" s="157" t="str">
        <f t="shared" si="4"/>
        <v>Pareizticīgo</v>
      </c>
    </row>
    <row r="586" spans="21:21" x14ac:dyDescent="0.3">
      <c r="U586" s="157" t="str">
        <f t="shared" si="4"/>
        <v>Pareizticīgo</v>
      </c>
    </row>
    <row r="587" spans="21:21" x14ac:dyDescent="0.3">
      <c r="U587" s="157" t="str">
        <f t="shared" si="4"/>
        <v>Ateistu(ti), nereliģiozu</v>
      </c>
    </row>
    <row r="588" spans="21:21" x14ac:dyDescent="0.3">
      <c r="U588" s="157" t="str">
        <f t="shared" si="4"/>
        <v>Ateistu(ti), nereliģiozu</v>
      </c>
    </row>
    <row r="589" spans="21:21" x14ac:dyDescent="0.3">
      <c r="U589" s="157" t="str">
        <f t="shared" si="4"/>
        <v>Pareizticīgo</v>
      </c>
    </row>
    <row r="590" spans="21:21" x14ac:dyDescent="0.3">
      <c r="U590" s="157" t="str">
        <f t="shared" si="4"/>
        <v>ateistu(ti), nereliģiozu</v>
      </c>
    </row>
    <row r="591" spans="21:21" x14ac:dyDescent="0.3">
      <c r="U591" s="157" t="str">
        <f t="shared" si="4"/>
        <v>Ateistu(ti), nereliģiozu</v>
      </c>
    </row>
    <row r="592" spans="21:21" x14ac:dyDescent="0.3">
      <c r="U592" s="157" t="str">
        <f t="shared" si="4"/>
        <v>Protestantu(ti)</v>
      </c>
    </row>
    <row r="593" spans="21:21" x14ac:dyDescent="0.3">
      <c r="U593" s="157" t="str">
        <f t="shared" si="4"/>
        <v>Pareizticīgo</v>
      </c>
    </row>
    <row r="594" spans="21:21" x14ac:dyDescent="0.3">
      <c r="U594" s="157" t="str">
        <f t="shared" si="4"/>
        <v>Ateistu(ti), nereliģiozu</v>
      </c>
    </row>
    <row r="595" spans="21:21" x14ac:dyDescent="0.3">
      <c r="U595" s="157" t="str">
        <f t="shared" si="4"/>
        <v>Ateistu(ti), nereliģiozu</v>
      </c>
    </row>
    <row r="596" spans="21:21" x14ac:dyDescent="0.3">
      <c r="U596" s="157" t="str">
        <f t="shared" si="4"/>
        <v>ateistu(ti), nereliģiozu</v>
      </c>
    </row>
    <row r="597" spans="21:21" x14ac:dyDescent="0.3">
      <c r="U597" s="157" t="str">
        <f t="shared" si="4"/>
        <v>Pareizticīgo</v>
      </c>
    </row>
    <row r="598" spans="21:21" x14ac:dyDescent="0.3">
      <c r="U598" s="157" t="str">
        <f t="shared" si="4"/>
        <v>Cita atbilde</v>
      </c>
    </row>
    <row r="599" spans="21:21" x14ac:dyDescent="0.3">
      <c r="U599" s="157" t="str">
        <f t="shared" si="4"/>
        <v>Cita atbilde</v>
      </c>
    </row>
    <row r="600" spans="21:21" x14ac:dyDescent="0.3">
      <c r="U600" s="157" t="str">
        <f t="shared" si="4"/>
        <v>Cita atbilde</v>
      </c>
    </row>
    <row r="601" spans="21:21" x14ac:dyDescent="0.3">
      <c r="U601" s="157" t="str">
        <f t="shared" ref="U601:U664" si="5">TRIM(CLEAN(U259))</f>
        <v>Cita atbilde</v>
      </c>
    </row>
    <row r="602" spans="21:21" x14ac:dyDescent="0.3">
      <c r="U602" s="157" t="str">
        <f t="shared" si="5"/>
        <v>Katoli(ieti)</v>
      </c>
    </row>
    <row r="603" spans="21:21" x14ac:dyDescent="0.3">
      <c r="U603" s="157" t="str">
        <f t="shared" si="5"/>
        <v>Vecticībnieku(ci)</v>
      </c>
    </row>
    <row r="604" spans="21:21" x14ac:dyDescent="0.3">
      <c r="U604" s="157" t="str">
        <f t="shared" si="5"/>
        <v>Cita atbilde</v>
      </c>
    </row>
    <row r="605" spans="21:21" x14ac:dyDescent="0.3">
      <c r="U605" s="157" t="str">
        <f t="shared" si="5"/>
        <v>Katoli(ieti)</v>
      </c>
    </row>
    <row r="606" spans="21:21" x14ac:dyDescent="0.3">
      <c r="U606" s="157" t="str">
        <f t="shared" si="5"/>
        <v>Protestantu(ti)</v>
      </c>
    </row>
    <row r="607" spans="21:21" x14ac:dyDescent="0.3">
      <c r="U607" s="157" t="str">
        <f t="shared" si="5"/>
        <v>Ateistu(ti), nereliģiozu</v>
      </c>
    </row>
    <row r="608" spans="21:21" x14ac:dyDescent="0.3">
      <c r="U608" s="157" t="str">
        <f t="shared" si="5"/>
        <v>Ateistu(ti), nereliģiozu</v>
      </c>
    </row>
    <row r="609" spans="21:21" x14ac:dyDescent="0.3">
      <c r="U609" s="157" t="str">
        <f t="shared" si="5"/>
        <v>Ateistu(ti), nereliģiozu</v>
      </c>
    </row>
    <row r="610" spans="21:21" x14ac:dyDescent="0.3">
      <c r="U610" s="157" t="str">
        <f t="shared" si="5"/>
        <v>Pareizticīgo</v>
      </c>
    </row>
    <row r="611" spans="21:21" x14ac:dyDescent="0.3">
      <c r="U611" s="157" t="str">
        <f t="shared" si="5"/>
        <v>Protestantu(ti)</v>
      </c>
    </row>
    <row r="612" spans="21:21" x14ac:dyDescent="0.3">
      <c r="U612" s="157" t="str">
        <f t="shared" si="5"/>
        <v>Cita atbilde</v>
      </c>
    </row>
    <row r="613" spans="21:21" x14ac:dyDescent="0.3">
      <c r="U613" s="157" t="str">
        <f t="shared" si="5"/>
        <v>Ateistu(ti), nereliģiozu</v>
      </c>
    </row>
    <row r="614" spans="21:21" x14ac:dyDescent="0.3">
      <c r="U614" s="157" t="str">
        <f t="shared" si="5"/>
        <v>Katoli(ieti)</v>
      </c>
    </row>
    <row r="615" spans="21:21" x14ac:dyDescent="0.3">
      <c r="U615" s="157" t="str">
        <f t="shared" si="5"/>
        <v>Pareizticīgo</v>
      </c>
    </row>
    <row r="616" spans="21:21" x14ac:dyDescent="0.3">
      <c r="U616" s="157" t="str">
        <f t="shared" si="5"/>
        <v>Pareizticīgo</v>
      </c>
    </row>
    <row r="617" spans="21:21" x14ac:dyDescent="0.3">
      <c r="U617" s="157" t="str">
        <f t="shared" si="5"/>
        <v>Ateistu(ti), nereliģiozu</v>
      </c>
    </row>
    <row r="618" spans="21:21" x14ac:dyDescent="0.3">
      <c r="U618" s="157" t="str">
        <f t="shared" si="5"/>
        <v>Pareizticīgo</v>
      </c>
    </row>
    <row r="619" spans="21:21" x14ac:dyDescent="0.3">
      <c r="U619" s="157" t="str">
        <f t="shared" si="5"/>
        <v>Ateistu(ti), nereliģiozu</v>
      </c>
    </row>
    <row r="620" spans="21:21" x14ac:dyDescent="0.3">
      <c r="U620" s="157" t="str">
        <f t="shared" si="5"/>
        <v>Pareizticīgo</v>
      </c>
    </row>
    <row r="621" spans="21:21" x14ac:dyDescent="0.3">
      <c r="U621" s="157" t="str">
        <f t="shared" si="5"/>
        <v>Ateistu(ti), nereliģiozu</v>
      </c>
    </row>
    <row r="622" spans="21:21" x14ac:dyDescent="0.3">
      <c r="U622" s="157" t="str">
        <f t="shared" si="5"/>
        <v>Protestantu(ti)</v>
      </c>
    </row>
    <row r="623" spans="21:21" x14ac:dyDescent="0.3">
      <c r="U623" s="157" t="str">
        <f t="shared" si="5"/>
        <v>Pareizticīgo</v>
      </c>
    </row>
    <row r="624" spans="21:21" x14ac:dyDescent="0.3">
      <c r="U624" s="157" t="str">
        <f t="shared" si="5"/>
        <v>Ateistu(ti), nereliģiozu</v>
      </c>
    </row>
    <row r="625" spans="21:21" x14ac:dyDescent="0.3">
      <c r="U625" s="157" t="str">
        <f t="shared" si="5"/>
        <v>Katoli(ieti)</v>
      </c>
    </row>
    <row r="626" spans="21:21" x14ac:dyDescent="0.3">
      <c r="U626" s="157" t="str">
        <f t="shared" si="5"/>
        <v>Pareizticīgo</v>
      </c>
    </row>
    <row r="627" spans="21:21" x14ac:dyDescent="0.3">
      <c r="U627" s="157" t="str">
        <f t="shared" si="5"/>
        <v>Katoli(ieti)</v>
      </c>
    </row>
    <row r="628" spans="21:21" x14ac:dyDescent="0.3">
      <c r="U628" s="157" t="str">
        <f t="shared" si="5"/>
        <v>Ateistu(ti), nereliģiozu</v>
      </c>
    </row>
    <row r="629" spans="21:21" x14ac:dyDescent="0.3">
      <c r="U629" s="157" t="str">
        <f t="shared" si="5"/>
        <v>Ateistu(ti), nereliģiozu</v>
      </c>
    </row>
    <row r="630" spans="21:21" x14ac:dyDescent="0.3">
      <c r="U630" s="157" t="str">
        <f t="shared" si="5"/>
        <v>Katoli(ieti)</v>
      </c>
    </row>
    <row r="631" spans="21:21" x14ac:dyDescent="0.3">
      <c r="U631" s="157" t="str">
        <f t="shared" si="5"/>
        <v>Ateistu(ti), nereliģiozu</v>
      </c>
    </row>
    <row r="632" spans="21:21" x14ac:dyDescent="0.3">
      <c r="U632" s="157" t="str">
        <f t="shared" si="5"/>
        <v>Ateistu(ti), nereliģiozu</v>
      </c>
    </row>
    <row r="633" spans="21:21" x14ac:dyDescent="0.3">
      <c r="U633" s="157" t="str">
        <f t="shared" si="5"/>
        <v>Ateistu(ti), nereliģiozu</v>
      </c>
    </row>
    <row r="634" spans="21:21" x14ac:dyDescent="0.3">
      <c r="U634" s="157" t="str">
        <f t="shared" si="5"/>
        <v>Pareizticīgo</v>
      </c>
    </row>
    <row r="635" spans="21:21" x14ac:dyDescent="0.3">
      <c r="U635" s="157" t="str">
        <f t="shared" si="5"/>
        <v>Ateistu(ti), nereliģiozu</v>
      </c>
    </row>
    <row r="636" spans="21:21" x14ac:dyDescent="0.3">
      <c r="U636" s="157" t="str">
        <f t="shared" si="5"/>
        <v>Katoli(ieti)</v>
      </c>
    </row>
    <row r="637" spans="21:21" x14ac:dyDescent="0.3">
      <c r="U637" s="157" t="str">
        <f t="shared" si="5"/>
        <v>Cita atbilde</v>
      </c>
    </row>
    <row r="638" spans="21:21" x14ac:dyDescent="0.3">
      <c r="U638" s="157" t="str">
        <f t="shared" si="5"/>
        <v>Katoli(ieti)</v>
      </c>
    </row>
    <row r="639" spans="21:21" x14ac:dyDescent="0.3">
      <c r="U639" s="157" t="str">
        <f t="shared" si="5"/>
        <v>Pareizticīgo</v>
      </c>
    </row>
    <row r="640" spans="21:21" x14ac:dyDescent="0.3">
      <c r="U640" s="157" t="str">
        <f t="shared" si="5"/>
        <v>Pareizticīgo</v>
      </c>
    </row>
    <row r="641" spans="21:21" x14ac:dyDescent="0.3">
      <c r="U641" s="157" t="str">
        <f t="shared" si="5"/>
        <v>Ateistu(ti), nereliģiozu</v>
      </c>
    </row>
    <row r="642" spans="21:21" x14ac:dyDescent="0.3">
      <c r="U642" s="157" t="str">
        <f t="shared" si="5"/>
        <v>Ateistu(ti), nereliģiozu</v>
      </c>
    </row>
    <row r="643" spans="21:21" x14ac:dyDescent="0.3">
      <c r="U643" s="157" t="str">
        <f t="shared" si="5"/>
        <v>Katoli(ieti)</v>
      </c>
    </row>
    <row r="644" spans="21:21" x14ac:dyDescent="0.3">
      <c r="U644" s="157" t="str">
        <f t="shared" si="5"/>
        <v>Vecticībnieku(ci)</v>
      </c>
    </row>
    <row r="645" spans="21:21" x14ac:dyDescent="0.3">
      <c r="U645" s="157" t="str">
        <f t="shared" si="5"/>
        <v>Ateistu(ti), nereliģiozu</v>
      </c>
    </row>
    <row r="646" spans="21:21" x14ac:dyDescent="0.3">
      <c r="U646" s="157" t="str">
        <f t="shared" si="5"/>
        <v>Katoli(ieti)</v>
      </c>
    </row>
    <row r="647" spans="21:21" x14ac:dyDescent="0.3">
      <c r="U647" s="157" t="str">
        <f t="shared" si="5"/>
        <v>Katoli(ieti)</v>
      </c>
    </row>
    <row r="648" spans="21:21" x14ac:dyDescent="0.3">
      <c r="U648" s="157" t="str">
        <f t="shared" si="5"/>
        <v>Ateistu(ti), nereliģiozu</v>
      </c>
    </row>
    <row r="649" spans="21:21" x14ac:dyDescent="0.3">
      <c r="U649" s="157" t="str">
        <f t="shared" si="5"/>
        <v>Vecticībnieku(ci)</v>
      </c>
    </row>
    <row r="650" spans="21:21" x14ac:dyDescent="0.3">
      <c r="U650" s="157" t="str">
        <f t="shared" si="5"/>
        <v>Katoli(ieti)</v>
      </c>
    </row>
    <row r="651" spans="21:21" x14ac:dyDescent="0.3">
      <c r="U651" s="157" t="str">
        <f t="shared" si="5"/>
        <v>Ateistu(ti), nereliģiozu</v>
      </c>
    </row>
    <row r="652" spans="21:21" x14ac:dyDescent="0.3">
      <c r="U652" s="157" t="str">
        <f t="shared" si="5"/>
        <v>Katoli(ieti)</v>
      </c>
    </row>
    <row r="653" spans="21:21" x14ac:dyDescent="0.3">
      <c r="U653" s="157" t="str">
        <f t="shared" si="5"/>
        <v>Ateistu(ti), nereliģiozu</v>
      </c>
    </row>
    <row r="654" spans="21:21" x14ac:dyDescent="0.3">
      <c r="U654" s="157" t="str">
        <f t="shared" si="5"/>
        <v>Ateistu(ti), nereliģiozu</v>
      </c>
    </row>
    <row r="655" spans="21:21" x14ac:dyDescent="0.3">
      <c r="U655" s="157" t="str">
        <f t="shared" si="5"/>
        <v>Pareizticīgo</v>
      </c>
    </row>
    <row r="656" spans="21:21" x14ac:dyDescent="0.3">
      <c r="U656" s="157" t="str">
        <f t="shared" si="5"/>
        <v>Pareizticīgo</v>
      </c>
    </row>
    <row r="657" spans="21:21" x14ac:dyDescent="0.3">
      <c r="U657" s="157" t="str">
        <f t="shared" si="5"/>
        <v>Katoli(ieti)</v>
      </c>
    </row>
    <row r="658" spans="21:21" x14ac:dyDescent="0.3">
      <c r="U658" s="157" t="str">
        <f t="shared" si="5"/>
        <v>Pareizticīgo</v>
      </c>
    </row>
    <row r="659" spans="21:21" x14ac:dyDescent="0.3">
      <c r="U659" s="157" t="str">
        <f t="shared" si="5"/>
        <v>Katoli(ieti)</v>
      </c>
    </row>
    <row r="660" spans="21:21" x14ac:dyDescent="0.3">
      <c r="U660" s="157" t="str">
        <f t="shared" si="5"/>
        <v>Pareizticīgo</v>
      </c>
    </row>
    <row r="661" spans="21:21" x14ac:dyDescent="0.3">
      <c r="U661" s="157" t="str">
        <f t="shared" si="5"/>
        <v>Katoli(ieti)</v>
      </c>
    </row>
    <row r="662" spans="21:21" x14ac:dyDescent="0.3">
      <c r="U662" s="157" t="str">
        <f t="shared" si="5"/>
        <v>Ateistu(ti), nereliģiozu</v>
      </c>
    </row>
    <row r="663" spans="21:21" x14ac:dyDescent="0.3">
      <c r="U663" s="157" t="str">
        <f t="shared" si="5"/>
        <v>Katoli(ieti)</v>
      </c>
    </row>
    <row r="664" spans="21:21" x14ac:dyDescent="0.3">
      <c r="U664" s="157" t="str">
        <f t="shared" si="5"/>
        <v>Ateistu(ti), nereliģiozu</v>
      </c>
    </row>
    <row r="665" spans="21:21" x14ac:dyDescent="0.3">
      <c r="U665" s="157" t="str">
        <f t="shared" ref="U665:U684" si="6">TRIM(CLEAN(U323))</f>
        <v>Ateistu(ti), nereliģiozu</v>
      </c>
    </row>
    <row r="666" spans="21:21" x14ac:dyDescent="0.3">
      <c r="U666" s="157" t="str">
        <f t="shared" si="6"/>
        <v>Katoli(ieti)</v>
      </c>
    </row>
    <row r="667" spans="21:21" x14ac:dyDescent="0.3">
      <c r="U667" s="157" t="str">
        <f t="shared" si="6"/>
        <v>Katoli(ieti)</v>
      </c>
    </row>
    <row r="668" spans="21:21" x14ac:dyDescent="0.3">
      <c r="U668" s="157" t="str">
        <f t="shared" si="6"/>
        <v>Ateistu(ti), nereliģiozu</v>
      </c>
    </row>
    <row r="669" spans="21:21" x14ac:dyDescent="0.3">
      <c r="U669" s="157" t="str">
        <f t="shared" si="6"/>
        <v>Ateistu(ti), nereliģiozu</v>
      </c>
    </row>
    <row r="670" spans="21:21" x14ac:dyDescent="0.3">
      <c r="U670" s="157" t="str">
        <f t="shared" si="6"/>
        <v>Vecticībnieku(ci)</v>
      </c>
    </row>
    <row r="671" spans="21:21" x14ac:dyDescent="0.3">
      <c r="U671" s="157" t="str">
        <f t="shared" si="6"/>
        <v>Ateistu(ti), nereliģiozu</v>
      </c>
    </row>
    <row r="672" spans="21:21" x14ac:dyDescent="0.3">
      <c r="U672" s="157" t="str">
        <f t="shared" si="6"/>
        <v>Katoli(ieti)</v>
      </c>
    </row>
    <row r="673" spans="21:21" x14ac:dyDescent="0.3">
      <c r="U673" s="157" t="str">
        <f t="shared" si="6"/>
        <v>Ateistu(ti), nereliģiozu</v>
      </c>
    </row>
    <row r="674" spans="21:21" x14ac:dyDescent="0.3">
      <c r="U674" s="157" t="str">
        <f t="shared" si="6"/>
        <v>Katoli(ieti)</v>
      </c>
    </row>
    <row r="675" spans="21:21" x14ac:dyDescent="0.3">
      <c r="U675" s="157" t="str">
        <f t="shared" si="6"/>
        <v>Pareizticīgo</v>
      </c>
    </row>
    <row r="676" spans="21:21" x14ac:dyDescent="0.3">
      <c r="U676" s="157" t="str">
        <f t="shared" si="6"/>
        <v>Katoli(ieti)</v>
      </c>
    </row>
    <row r="677" spans="21:21" x14ac:dyDescent="0.3">
      <c r="U677" s="157" t="str">
        <f t="shared" si="6"/>
        <v>Katoli(ieti)</v>
      </c>
    </row>
    <row r="678" spans="21:21" x14ac:dyDescent="0.3">
      <c r="U678" s="157" t="str">
        <f t="shared" si="6"/>
        <v>Ateistu(ti), nereliģiozu</v>
      </c>
    </row>
    <row r="679" spans="21:21" x14ac:dyDescent="0.3">
      <c r="U679" s="157" t="str">
        <f t="shared" si="6"/>
        <v>Katoli(ieti)</v>
      </c>
    </row>
    <row r="680" spans="21:21" x14ac:dyDescent="0.3">
      <c r="U680" s="157" t="str">
        <f t="shared" si="6"/>
        <v>Ateistu(ti), nereliģiozu</v>
      </c>
    </row>
    <row r="681" spans="21:21" x14ac:dyDescent="0.3">
      <c r="U681" s="157" t="str">
        <f t="shared" si="6"/>
        <v>Pareizticīgo</v>
      </c>
    </row>
    <row r="682" spans="21:21" x14ac:dyDescent="0.3">
      <c r="U682" s="157" t="str">
        <f t="shared" si="6"/>
        <v>Katoli(ieti)</v>
      </c>
    </row>
    <row r="683" spans="21:21" x14ac:dyDescent="0.3">
      <c r="U683" s="157" t="str">
        <f t="shared" si="6"/>
        <v/>
      </c>
    </row>
    <row r="684" spans="21:21" x14ac:dyDescent="0.3">
      <c r="U684" s="157" t="str">
        <f t="shared" si="6"/>
        <v/>
      </c>
    </row>
    <row r="685" spans="21:21" x14ac:dyDescent="0.3">
      <c r="U685" s="157"/>
    </row>
    <row r="686" spans="21:21" x14ac:dyDescent="0.3">
      <c r="U686" s="157"/>
    </row>
    <row r="687" spans="21:21" x14ac:dyDescent="0.3">
      <c r="U687" s="157"/>
    </row>
    <row r="688" spans="21:21" x14ac:dyDescent="0.3">
      <c r="U688" s="157"/>
    </row>
    <row r="689" spans="21:21" x14ac:dyDescent="0.3">
      <c r="U689" s="157"/>
    </row>
    <row r="690" spans="21:21" x14ac:dyDescent="0.3">
      <c r="U690" s="157"/>
    </row>
    <row r="691" spans="21:21" x14ac:dyDescent="0.3">
      <c r="U691" s="157"/>
    </row>
    <row r="692" spans="21:21" x14ac:dyDescent="0.3">
      <c r="U692" s="157"/>
    </row>
    <row r="693" spans="21:21" x14ac:dyDescent="0.3">
      <c r="U693" s="157"/>
    </row>
    <row r="694" spans="21:21" x14ac:dyDescent="0.3">
      <c r="U694" s="157"/>
    </row>
    <row r="695" spans="21:21" x14ac:dyDescent="0.3">
      <c r="U695" s="157"/>
    </row>
    <row r="696" spans="21:21" x14ac:dyDescent="0.3">
      <c r="U696" s="157"/>
    </row>
    <row r="697" spans="21:21" x14ac:dyDescent="0.3">
      <c r="U697" s="157"/>
    </row>
    <row r="698" spans="21:21" x14ac:dyDescent="0.3">
      <c r="U698" s="157"/>
    </row>
    <row r="699" spans="21:21" x14ac:dyDescent="0.3">
      <c r="U699" s="157"/>
    </row>
    <row r="700" spans="21:21" x14ac:dyDescent="0.3">
      <c r="U700" s="157"/>
    </row>
    <row r="701" spans="21:21" x14ac:dyDescent="0.3">
      <c r="U701" s="157"/>
    </row>
    <row r="702" spans="21:21" x14ac:dyDescent="0.3">
      <c r="U702" s="157"/>
    </row>
    <row r="703" spans="21:21" x14ac:dyDescent="0.3">
      <c r="U703" s="157"/>
    </row>
    <row r="704" spans="21:21" x14ac:dyDescent="0.3">
      <c r="U704" s="157"/>
    </row>
    <row r="705" spans="21:21" x14ac:dyDescent="0.3">
      <c r="U705" s="157"/>
    </row>
    <row r="706" spans="21:21" x14ac:dyDescent="0.3">
      <c r="U706" s="157"/>
    </row>
    <row r="707" spans="21:21" x14ac:dyDescent="0.3">
      <c r="U707" s="157"/>
    </row>
    <row r="708" spans="21:21" x14ac:dyDescent="0.3">
      <c r="U708" s="157"/>
    </row>
    <row r="709" spans="21:21" x14ac:dyDescent="0.3">
      <c r="U709" s="157"/>
    </row>
    <row r="710" spans="21:21" x14ac:dyDescent="0.3">
      <c r="U710" s="157"/>
    </row>
    <row r="711" spans="21:21" x14ac:dyDescent="0.3">
      <c r="U711" s="157"/>
    </row>
    <row r="712" spans="21:21" x14ac:dyDescent="0.3">
      <c r="U712" s="157"/>
    </row>
    <row r="713" spans="21:21" x14ac:dyDescent="0.3">
      <c r="U713" s="157"/>
    </row>
    <row r="714" spans="21:21" x14ac:dyDescent="0.3">
      <c r="U714" s="157"/>
    </row>
    <row r="715" spans="21:21" x14ac:dyDescent="0.3">
      <c r="U715" s="157"/>
    </row>
    <row r="716" spans="21:21" x14ac:dyDescent="0.3">
      <c r="U716" s="157"/>
    </row>
    <row r="717" spans="21:21" x14ac:dyDescent="0.3">
      <c r="U717" s="157"/>
    </row>
    <row r="718" spans="21:21" x14ac:dyDescent="0.3">
      <c r="U718" s="157"/>
    </row>
    <row r="719" spans="21:21" x14ac:dyDescent="0.3">
      <c r="U719" s="157"/>
    </row>
    <row r="720" spans="21:21" x14ac:dyDescent="0.3">
      <c r="U720" s="157"/>
    </row>
    <row r="721" spans="21:21" x14ac:dyDescent="0.3">
      <c r="U721" s="157"/>
    </row>
    <row r="722" spans="21:21" x14ac:dyDescent="0.3">
      <c r="U722" s="157"/>
    </row>
    <row r="723" spans="21:21" x14ac:dyDescent="0.3">
      <c r="U723" s="157"/>
    </row>
    <row r="724" spans="21:21" x14ac:dyDescent="0.3">
      <c r="U724" s="157"/>
    </row>
    <row r="725" spans="21:21" x14ac:dyDescent="0.3">
      <c r="U725" s="157"/>
    </row>
    <row r="726" spans="21:21" x14ac:dyDescent="0.3">
      <c r="U726" s="157"/>
    </row>
    <row r="727" spans="21:21" x14ac:dyDescent="0.3">
      <c r="U727" s="157"/>
    </row>
    <row r="728" spans="21:21" x14ac:dyDescent="0.3">
      <c r="U728" s="157"/>
    </row>
    <row r="729" spans="21:21" x14ac:dyDescent="0.3">
      <c r="U729" s="157"/>
    </row>
    <row r="730" spans="21:21" x14ac:dyDescent="0.3">
      <c r="U730" s="157"/>
    </row>
    <row r="731" spans="21:21" x14ac:dyDescent="0.3">
      <c r="U731" s="157"/>
    </row>
    <row r="732" spans="21:21" x14ac:dyDescent="0.3">
      <c r="U732" s="157"/>
    </row>
    <row r="733" spans="21:21" x14ac:dyDescent="0.3">
      <c r="U733" s="157"/>
    </row>
    <row r="734" spans="21:21" x14ac:dyDescent="0.3">
      <c r="U734" s="157"/>
    </row>
    <row r="735" spans="21:21" x14ac:dyDescent="0.3">
      <c r="U735" s="157"/>
    </row>
    <row r="736" spans="21:21" x14ac:dyDescent="0.3">
      <c r="U736" s="157"/>
    </row>
    <row r="737" spans="21:21" x14ac:dyDescent="0.3">
      <c r="U737" s="157"/>
    </row>
    <row r="738" spans="21:21" x14ac:dyDescent="0.3">
      <c r="U738" s="157"/>
    </row>
    <row r="739" spans="21:21" x14ac:dyDescent="0.3">
      <c r="U739" s="157"/>
    </row>
    <row r="740" spans="21:21" x14ac:dyDescent="0.3">
      <c r="U740" s="157"/>
    </row>
    <row r="741" spans="21:21" x14ac:dyDescent="0.3">
      <c r="U741" s="157"/>
    </row>
    <row r="742" spans="21:21" x14ac:dyDescent="0.3">
      <c r="U742" s="157"/>
    </row>
    <row r="743" spans="21:21" x14ac:dyDescent="0.3">
      <c r="U743" s="157"/>
    </row>
    <row r="744" spans="21:21" x14ac:dyDescent="0.3">
      <c r="U744" s="157"/>
    </row>
    <row r="745" spans="21:21" x14ac:dyDescent="0.3">
      <c r="U745" s="157"/>
    </row>
    <row r="746" spans="21:21" x14ac:dyDescent="0.3">
      <c r="U746" s="157"/>
    </row>
    <row r="747" spans="21:21" x14ac:dyDescent="0.3">
      <c r="U747" s="157"/>
    </row>
    <row r="748" spans="21:21" x14ac:dyDescent="0.3">
      <c r="U748" s="157"/>
    </row>
    <row r="749" spans="21:21" x14ac:dyDescent="0.3">
      <c r="U749" s="157"/>
    </row>
    <row r="750" spans="21:21" x14ac:dyDescent="0.3">
      <c r="U750" s="157"/>
    </row>
    <row r="751" spans="21:21" x14ac:dyDescent="0.3">
      <c r="U751" s="157"/>
    </row>
    <row r="752" spans="21:21" x14ac:dyDescent="0.3">
      <c r="U752" s="157"/>
    </row>
    <row r="753" spans="21:21" x14ac:dyDescent="0.3">
      <c r="U753" s="157"/>
    </row>
    <row r="754" spans="21:21" x14ac:dyDescent="0.3">
      <c r="U754" s="157"/>
    </row>
    <row r="755" spans="21:21" x14ac:dyDescent="0.3">
      <c r="U755" s="157"/>
    </row>
    <row r="756" spans="21:21" x14ac:dyDescent="0.3">
      <c r="U756" s="157"/>
    </row>
    <row r="757" spans="21:21" x14ac:dyDescent="0.3">
      <c r="U757" s="157"/>
    </row>
    <row r="758" spans="21:21" x14ac:dyDescent="0.3">
      <c r="U758" s="157"/>
    </row>
    <row r="759" spans="21:21" x14ac:dyDescent="0.3">
      <c r="U759" s="157"/>
    </row>
    <row r="760" spans="21:21" x14ac:dyDescent="0.3">
      <c r="U760" s="157"/>
    </row>
    <row r="761" spans="21:21" x14ac:dyDescent="0.3">
      <c r="U761" s="157"/>
    </row>
    <row r="762" spans="21:21" x14ac:dyDescent="0.3">
      <c r="U762" s="157"/>
    </row>
    <row r="763" spans="21:21" x14ac:dyDescent="0.3">
      <c r="U763" s="157"/>
    </row>
    <row r="764" spans="21:21" x14ac:dyDescent="0.3">
      <c r="U764" s="157"/>
    </row>
    <row r="765" spans="21:21" x14ac:dyDescent="0.3">
      <c r="U765" s="157"/>
    </row>
    <row r="766" spans="21:21" x14ac:dyDescent="0.3">
      <c r="U766" s="157"/>
    </row>
    <row r="767" spans="21:21" x14ac:dyDescent="0.3">
      <c r="U767" s="157"/>
    </row>
    <row r="768" spans="21:21" x14ac:dyDescent="0.3">
      <c r="U768" s="157"/>
    </row>
    <row r="769" spans="21:21" x14ac:dyDescent="0.3">
      <c r="U769" s="157"/>
    </row>
    <row r="770" spans="21:21" x14ac:dyDescent="0.3">
      <c r="U770" s="157"/>
    </row>
    <row r="771" spans="21:21" x14ac:dyDescent="0.3">
      <c r="U771" s="157"/>
    </row>
    <row r="772" spans="21:21" x14ac:dyDescent="0.3">
      <c r="U772" s="157"/>
    </row>
    <row r="773" spans="21:21" x14ac:dyDescent="0.3">
      <c r="U773" s="157"/>
    </row>
    <row r="774" spans="21:21" x14ac:dyDescent="0.3">
      <c r="U774" s="157"/>
    </row>
    <row r="775" spans="21:21" x14ac:dyDescent="0.3">
      <c r="U775" s="157"/>
    </row>
    <row r="776" spans="21:21" x14ac:dyDescent="0.3">
      <c r="U776" s="157"/>
    </row>
    <row r="777" spans="21:21" x14ac:dyDescent="0.3">
      <c r="U777" s="157"/>
    </row>
    <row r="778" spans="21:21" x14ac:dyDescent="0.3">
      <c r="U778" s="157"/>
    </row>
    <row r="779" spans="21:21" x14ac:dyDescent="0.3">
      <c r="U779" s="157"/>
    </row>
    <row r="780" spans="21:21" x14ac:dyDescent="0.3">
      <c r="U780" s="157"/>
    </row>
    <row r="781" spans="21:21" x14ac:dyDescent="0.3">
      <c r="U781" s="157"/>
    </row>
    <row r="782" spans="21:21" x14ac:dyDescent="0.3">
      <c r="U782" s="157"/>
    </row>
    <row r="783" spans="21:21" x14ac:dyDescent="0.3">
      <c r="U783" s="157"/>
    </row>
    <row r="784" spans="21:21" x14ac:dyDescent="0.3">
      <c r="U784" s="157"/>
    </row>
    <row r="785" spans="21:21" x14ac:dyDescent="0.3">
      <c r="U785" s="157"/>
    </row>
    <row r="786" spans="21:21" x14ac:dyDescent="0.3">
      <c r="U786" s="157"/>
    </row>
    <row r="787" spans="21:21" x14ac:dyDescent="0.3">
      <c r="U787" s="157"/>
    </row>
    <row r="788" spans="21:21" x14ac:dyDescent="0.3">
      <c r="U788" s="157"/>
    </row>
    <row r="789" spans="21:21" x14ac:dyDescent="0.3">
      <c r="U789" s="157"/>
    </row>
    <row r="790" spans="21:21" x14ac:dyDescent="0.3">
      <c r="U790" s="157"/>
    </row>
    <row r="791" spans="21:21" x14ac:dyDescent="0.3">
      <c r="U791" s="157"/>
    </row>
    <row r="792" spans="21:21" x14ac:dyDescent="0.3">
      <c r="U792" s="157"/>
    </row>
    <row r="793" spans="21:21" x14ac:dyDescent="0.3">
      <c r="U793" s="157"/>
    </row>
    <row r="794" spans="21:21" x14ac:dyDescent="0.3">
      <c r="U794" s="157"/>
    </row>
    <row r="795" spans="21:21" x14ac:dyDescent="0.3">
      <c r="U795" s="157"/>
    </row>
    <row r="796" spans="21:21" x14ac:dyDescent="0.3">
      <c r="U796" s="157"/>
    </row>
    <row r="797" spans="21:21" x14ac:dyDescent="0.3">
      <c r="U797" s="157"/>
    </row>
    <row r="798" spans="21:21" x14ac:dyDescent="0.3">
      <c r="U798" s="157"/>
    </row>
    <row r="799" spans="21:21" x14ac:dyDescent="0.3">
      <c r="U799" s="157"/>
    </row>
    <row r="800" spans="21:21" x14ac:dyDescent="0.3">
      <c r="U800" s="157"/>
    </row>
    <row r="801" spans="21:21" x14ac:dyDescent="0.3">
      <c r="U801" s="157"/>
    </row>
    <row r="802" spans="21:21" x14ac:dyDescent="0.3">
      <c r="U802" s="157"/>
    </row>
    <row r="803" spans="21:21" x14ac:dyDescent="0.3">
      <c r="U803" s="157"/>
    </row>
    <row r="804" spans="21:21" x14ac:dyDescent="0.3">
      <c r="U804" s="157"/>
    </row>
    <row r="805" spans="21:21" x14ac:dyDescent="0.3">
      <c r="U805" s="157"/>
    </row>
    <row r="806" spans="21:21" x14ac:dyDescent="0.3">
      <c r="U806" s="157"/>
    </row>
    <row r="807" spans="21:21" x14ac:dyDescent="0.3">
      <c r="U807" s="157"/>
    </row>
    <row r="808" spans="21:21" x14ac:dyDescent="0.3">
      <c r="U808" s="157"/>
    </row>
    <row r="809" spans="21:21" x14ac:dyDescent="0.3">
      <c r="U809" s="157"/>
    </row>
    <row r="810" spans="21:21" x14ac:dyDescent="0.3">
      <c r="U810" s="157"/>
    </row>
    <row r="811" spans="21:21" x14ac:dyDescent="0.3">
      <c r="U811" s="157"/>
    </row>
    <row r="812" spans="21:21" x14ac:dyDescent="0.3">
      <c r="U812" s="157"/>
    </row>
    <row r="813" spans="21:21" x14ac:dyDescent="0.3">
      <c r="U813" s="157"/>
    </row>
    <row r="814" spans="21:21" x14ac:dyDescent="0.3">
      <c r="U814" s="157"/>
    </row>
    <row r="815" spans="21:21" x14ac:dyDescent="0.3">
      <c r="U815" s="157"/>
    </row>
    <row r="816" spans="21:21" x14ac:dyDescent="0.3">
      <c r="U816" s="157"/>
    </row>
    <row r="817" spans="21:21" x14ac:dyDescent="0.3">
      <c r="U817" s="157"/>
    </row>
    <row r="818" spans="21:21" x14ac:dyDescent="0.3">
      <c r="U818" s="157"/>
    </row>
    <row r="819" spans="21:21" x14ac:dyDescent="0.3">
      <c r="U819" s="157"/>
    </row>
    <row r="820" spans="21:21" x14ac:dyDescent="0.3">
      <c r="U820" s="157"/>
    </row>
    <row r="821" spans="21:21" x14ac:dyDescent="0.3">
      <c r="U821" s="157"/>
    </row>
    <row r="822" spans="21:21" x14ac:dyDescent="0.3">
      <c r="U822" s="157"/>
    </row>
    <row r="823" spans="21:21" x14ac:dyDescent="0.3">
      <c r="U823" s="157"/>
    </row>
    <row r="824" spans="21:21" x14ac:dyDescent="0.3">
      <c r="U824" s="157"/>
    </row>
    <row r="825" spans="21:21" x14ac:dyDescent="0.3">
      <c r="U825" s="157"/>
    </row>
    <row r="826" spans="21:21" x14ac:dyDescent="0.3">
      <c r="U826" s="157"/>
    </row>
    <row r="827" spans="21:21" x14ac:dyDescent="0.3">
      <c r="U827" s="157"/>
    </row>
    <row r="828" spans="21:21" x14ac:dyDescent="0.3">
      <c r="U828" s="157"/>
    </row>
    <row r="829" spans="21:21" x14ac:dyDescent="0.3">
      <c r="U829" s="157"/>
    </row>
    <row r="830" spans="21:21" x14ac:dyDescent="0.3">
      <c r="U830" s="157"/>
    </row>
    <row r="831" spans="21:21" x14ac:dyDescent="0.3">
      <c r="U831" s="157"/>
    </row>
    <row r="832" spans="21:21" x14ac:dyDescent="0.3">
      <c r="U832" s="157"/>
    </row>
    <row r="833" spans="21:21" x14ac:dyDescent="0.3">
      <c r="U833" s="157"/>
    </row>
    <row r="834" spans="21:21" x14ac:dyDescent="0.3">
      <c r="U834" s="157"/>
    </row>
    <row r="835" spans="21:21" x14ac:dyDescent="0.3">
      <c r="U835" s="157"/>
    </row>
    <row r="836" spans="21:21" x14ac:dyDescent="0.3">
      <c r="U836" s="157"/>
    </row>
    <row r="837" spans="21:21" x14ac:dyDescent="0.3">
      <c r="U837" s="157"/>
    </row>
    <row r="838" spans="21:21" x14ac:dyDescent="0.3">
      <c r="U838" s="157"/>
    </row>
    <row r="839" spans="21:21" x14ac:dyDescent="0.3">
      <c r="U839" s="157"/>
    </row>
    <row r="840" spans="21:21" x14ac:dyDescent="0.3">
      <c r="U840" s="157"/>
    </row>
    <row r="841" spans="21:21" x14ac:dyDescent="0.3">
      <c r="U841" s="157"/>
    </row>
    <row r="842" spans="21:21" x14ac:dyDescent="0.3">
      <c r="U842" s="157"/>
    </row>
    <row r="843" spans="21:21" x14ac:dyDescent="0.3">
      <c r="U843" s="157"/>
    </row>
    <row r="844" spans="21:21" x14ac:dyDescent="0.3">
      <c r="U844" s="157"/>
    </row>
  </sheetData>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88FD6-881B-4FE4-B73C-83CD3E8D12CB}">
  <dimension ref="A1:I20"/>
  <sheetViews>
    <sheetView workbookViewId="0">
      <selection activeCell="K14" sqref="K14"/>
    </sheetView>
  </sheetViews>
  <sheetFormatPr defaultRowHeight="14.4" x14ac:dyDescent="0.3"/>
  <sheetData>
    <row r="1" spans="1:9" x14ac:dyDescent="0.3">
      <c r="A1" s="121"/>
      <c r="B1" t="s">
        <v>18037</v>
      </c>
      <c r="E1" t="s">
        <v>18039</v>
      </c>
      <c r="I1" t="s">
        <v>18262</v>
      </c>
    </row>
    <row r="2" spans="1:9" x14ac:dyDescent="0.3">
      <c r="A2" s="120" t="s">
        <v>18034</v>
      </c>
      <c r="B2">
        <v>63</v>
      </c>
      <c r="D2" s="120" t="s">
        <v>18034</v>
      </c>
      <c r="E2">
        <v>87</v>
      </c>
      <c r="I2" s="120" t="s">
        <v>18034</v>
      </c>
    </row>
    <row r="3" spans="1:9" x14ac:dyDescent="0.3">
      <c r="A3" s="120" t="s">
        <v>18035</v>
      </c>
      <c r="B3">
        <v>44</v>
      </c>
      <c r="D3" s="120" t="s">
        <v>18035</v>
      </c>
      <c r="E3">
        <v>49</v>
      </c>
      <c r="I3" s="120" t="s">
        <v>18035</v>
      </c>
    </row>
    <row r="4" spans="1:9" x14ac:dyDescent="0.3">
      <c r="A4" s="120" t="s">
        <v>18036</v>
      </c>
      <c r="B4">
        <v>54</v>
      </c>
      <c r="D4" s="120" t="s">
        <v>18036</v>
      </c>
      <c r="E4">
        <v>68</v>
      </c>
      <c r="I4" s="120" t="s">
        <v>18036</v>
      </c>
    </row>
    <row r="6" spans="1:9" x14ac:dyDescent="0.3">
      <c r="A6" s="120"/>
      <c r="B6" t="s">
        <v>18038</v>
      </c>
      <c r="D6" s="120"/>
      <c r="E6" t="s">
        <v>18041</v>
      </c>
      <c r="I6" t="s">
        <v>18040</v>
      </c>
    </row>
    <row r="7" spans="1:9" x14ac:dyDescent="0.3">
      <c r="A7" s="120" t="s">
        <v>18034</v>
      </c>
      <c r="B7">
        <v>38</v>
      </c>
      <c r="D7" s="120" t="s">
        <v>18034</v>
      </c>
      <c r="E7">
        <v>40</v>
      </c>
      <c r="I7" s="120" t="s">
        <v>18034</v>
      </c>
    </row>
    <row r="8" spans="1:9" x14ac:dyDescent="0.3">
      <c r="A8" s="120" t="s">
        <v>18035</v>
      </c>
      <c r="B8">
        <v>11</v>
      </c>
      <c r="D8" s="120" t="s">
        <v>18035</v>
      </c>
      <c r="E8">
        <v>33</v>
      </c>
      <c r="I8" s="120" t="s">
        <v>18035</v>
      </c>
    </row>
    <row r="9" spans="1:9" x14ac:dyDescent="0.3">
      <c r="A9" s="120" t="s">
        <v>18036</v>
      </c>
      <c r="B9">
        <v>32</v>
      </c>
      <c r="D9" s="120" t="s">
        <v>18036</v>
      </c>
      <c r="E9">
        <v>29</v>
      </c>
      <c r="I9" s="120" t="s">
        <v>18036</v>
      </c>
    </row>
    <row r="12" spans="1:9" x14ac:dyDescent="0.3">
      <c r="B12" t="s">
        <v>18037</v>
      </c>
      <c r="E12" t="s">
        <v>18039</v>
      </c>
    </row>
    <row r="13" spans="1:9" x14ac:dyDescent="0.3">
      <c r="A13" s="120" t="s">
        <v>18034</v>
      </c>
      <c r="B13" s="150">
        <v>0.37</v>
      </c>
      <c r="D13" s="120" t="s">
        <v>18034</v>
      </c>
      <c r="E13" s="150">
        <v>0.51</v>
      </c>
    </row>
    <row r="14" spans="1:9" x14ac:dyDescent="0.3">
      <c r="A14" s="120" t="s">
        <v>18035</v>
      </c>
      <c r="B14" s="150">
        <v>0.26</v>
      </c>
      <c r="D14" s="120" t="s">
        <v>18035</v>
      </c>
      <c r="E14" s="150">
        <v>0.28000000000000003</v>
      </c>
    </row>
    <row r="15" spans="1:9" x14ac:dyDescent="0.3">
      <c r="A15" s="120" t="s">
        <v>18036</v>
      </c>
      <c r="B15" s="150">
        <v>0.32</v>
      </c>
      <c r="D15" s="120" t="s">
        <v>18036</v>
      </c>
      <c r="E15" s="150">
        <v>0.4</v>
      </c>
    </row>
    <row r="17" spans="1:5" x14ac:dyDescent="0.3">
      <c r="A17" s="120"/>
      <c r="B17" t="s">
        <v>18038</v>
      </c>
      <c r="D17" s="120"/>
      <c r="E17" t="s">
        <v>18041</v>
      </c>
    </row>
    <row r="18" spans="1:5" x14ac:dyDescent="0.3">
      <c r="A18" s="120" t="s">
        <v>18034</v>
      </c>
      <c r="B18" s="150">
        <v>0.3</v>
      </c>
      <c r="D18" s="120" t="s">
        <v>18034</v>
      </c>
      <c r="E18" s="150">
        <v>0.32</v>
      </c>
    </row>
    <row r="19" spans="1:5" x14ac:dyDescent="0.3">
      <c r="A19" s="120" t="s">
        <v>18035</v>
      </c>
      <c r="B19" s="150">
        <v>0.09</v>
      </c>
      <c r="D19" s="120" t="s">
        <v>18035</v>
      </c>
      <c r="E19" s="150">
        <v>0.26</v>
      </c>
    </row>
    <row r="20" spans="1:5" x14ac:dyDescent="0.3">
      <c r="A20" s="120" t="s">
        <v>18036</v>
      </c>
      <c r="B20" s="150">
        <v>0.25</v>
      </c>
      <c r="D20" s="120" t="s">
        <v>18036</v>
      </c>
      <c r="E20" s="150">
        <v>0.23</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77CFB-CB66-42F5-80B1-F7DFE0FD84A7}">
  <dimension ref="A1:F5"/>
  <sheetViews>
    <sheetView workbookViewId="0">
      <selection activeCell="F5" sqref="F5"/>
    </sheetView>
  </sheetViews>
  <sheetFormatPr defaultRowHeight="14.4" x14ac:dyDescent="0.3"/>
  <cols>
    <col min="1" max="1" width="34.5546875" bestFit="1" customWidth="1"/>
    <col min="2" max="2" width="17.44140625" bestFit="1" customWidth="1"/>
    <col min="3" max="3" width="7.5546875" bestFit="1" customWidth="1"/>
    <col min="4" max="4" width="6.44140625" bestFit="1" customWidth="1"/>
    <col min="5" max="5" width="11.33203125" bestFit="1" customWidth="1"/>
    <col min="6" max="6" width="34.5546875" bestFit="1" customWidth="1"/>
    <col min="7" max="7" width="46.109375" bestFit="1" customWidth="1"/>
    <col min="8" max="8" width="34.5546875" bestFit="1" customWidth="1"/>
    <col min="9" max="9" width="46.109375" bestFit="1" customWidth="1"/>
    <col min="10" max="10" width="34.5546875" bestFit="1" customWidth="1"/>
    <col min="11" max="11" width="46.109375" bestFit="1" customWidth="1"/>
    <col min="12" max="12" width="44.6640625" bestFit="1" customWidth="1"/>
    <col min="13" max="13" width="56.21875" bestFit="1" customWidth="1"/>
    <col min="14" max="14" width="34.5546875" bestFit="1" customWidth="1"/>
    <col min="15" max="15" width="46.109375" bestFit="1" customWidth="1"/>
    <col min="16" max="16" width="41.6640625" bestFit="1" customWidth="1"/>
    <col min="17" max="17" width="53.21875" bestFit="1" customWidth="1"/>
    <col min="18" max="18" width="34.5546875" bestFit="1" customWidth="1"/>
    <col min="19" max="19" width="46.109375" bestFit="1" customWidth="1"/>
    <col min="20" max="20" width="40.5546875" bestFit="1" customWidth="1"/>
    <col min="21" max="21" width="52.109375" bestFit="1" customWidth="1"/>
    <col min="22" max="22" width="39.44140625" bestFit="1" customWidth="1"/>
    <col min="23" max="23" width="51" bestFit="1" customWidth="1"/>
  </cols>
  <sheetData>
    <row r="1" spans="1:6" x14ac:dyDescent="0.3">
      <c r="B1" s="121" t="s">
        <v>17985</v>
      </c>
      <c r="C1" s="121" t="s">
        <v>17986</v>
      </c>
      <c r="D1" s="121" t="s">
        <v>1822</v>
      </c>
    </row>
    <row r="2" spans="1:6" x14ac:dyDescent="0.3">
      <c r="A2" s="121" t="s">
        <v>338</v>
      </c>
      <c r="B2">
        <v>73</v>
      </c>
      <c r="C2">
        <v>40</v>
      </c>
      <c r="D2">
        <v>3</v>
      </c>
    </row>
    <row r="3" spans="1:6" x14ac:dyDescent="0.3">
      <c r="A3" s="121" t="s">
        <v>813</v>
      </c>
      <c r="B3">
        <f>COUNTIFS(Kopējie!A2:A340,"Daugavpils",Kopējie!K2:K340,"Vīriešu")</f>
        <v>59</v>
      </c>
      <c r="C3">
        <f>COUNTIFS(Kopējie!A2:A340,"Daugavpils",Kopējie!K2:K340,"Sieviešu")</f>
        <v>60</v>
      </c>
      <c r="D3">
        <f>COUNTIFS(Kopējie!A2:A340,"Daugavpils",Kopējie!K2:K340,"Cita atbilde")</f>
        <v>1</v>
      </c>
    </row>
    <row r="4" spans="1:6" x14ac:dyDescent="0.3">
      <c r="A4" s="121" t="s">
        <v>727</v>
      </c>
      <c r="B4">
        <f>COUNTIFS(Kopējie!A2:A340,"Liepāja",Kopējie!K2:K340,"vīriešu")</f>
        <v>60</v>
      </c>
      <c r="C4">
        <f>COUNTIFS(Kopējie!A2:A340,"Liepāja",Kopējie!K2:K340,"Sieviešu")</f>
        <v>42</v>
      </c>
      <c r="D4">
        <f>COUNTIFS(Kopējie!A2:A340,"Liepāja",Kopējie!K2:K340,"Cita atbilde")</f>
        <v>1</v>
      </c>
    </row>
    <row r="5" spans="1:6" x14ac:dyDescent="0.3">
      <c r="F5">
        <f>SUM(B2:D4)</f>
        <v>339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1FAC-3AA6-455C-9C89-ED85ED9C3BD4}">
  <dimension ref="A1:H8"/>
  <sheetViews>
    <sheetView workbookViewId="0">
      <selection activeCell="I28" sqref="I28"/>
    </sheetView>
  </sheetViews>
  <sheetFormatPr defaultRowHeight="14.4" x14ac:dyDescent="0.3"/>
  <cols>
    <col min="1" max="1" width="15.109375" bestFit="1" customWidth="1"/>
    <col min="2" max="2" width="12.77734375" customWidth="1"/>
    <col min="3" max="3" width="12.88671875" customWidth="1"/>
    <col min="4" max="4" width="13.77734375" customWidth="1"/>
    <col min="5" max="5" width="15" customWidth="1"/>
    <col min="6" max="6" width="15.77734375" customWidth="1"/>
    <col min="7" max="7" width="12.109375" customWidth="1"/>
    <col min="8" max="8" width="41.6640625" bestFit="1" customWidth="1"/>
    <col min="9" max="9" width="53.21875" bestFit="1" customWidth="1"/>
    <col min="10" max="10" width="41.6640625" bestFit="1" customWidth="1"/>
    <col min="11" max="11" width="53.21875" bestFit="1" customWidth="1"/>
    <col min="12" max="12" width="41.6640625" bestFit="1" customWidth="1"/>
    <col min="13" max="13" width="53.21875" bestFit="1" customWidth="1"/>
    <col min="14" max="14" width="41.6640625" bestFit="1" customWidth="1"/>
    <col min="15" max="15" width="53.21875" bestFit="1" customWidth="1"/>
    <col min="16" max="16" width="41.6640625" bestFit="1" customWidth="1"/>
    <col min="17" max="17" width="53.21875" bestFit="1" customWidth="1"/>
    <col min="18" max="18" width="41.6640625" bestFit="1" customWidth="1"/>
    <col min="19" max="19" width="53.21875" bestFit="1" customWidth="1"/>
    <col min="20" max="20" width="41.6640625" bestFit="1" customWidth="1"/>
    <col min="21" max="21" width="53.21875" bestFit="1" customWidth="1"/>
    <col min="22" max="22" width="41.6640625" bestFit="1" customWidth="1"/>
    <col min="23" max="23" width="53.21875" bestFit="1" customWidth="1"/>
    <col min="24" max="24" width="41.6640625" bestFit="1" customWidth="1"/>
    <col min="25" max="25" width="53.21875" bestFit="1" customWidth="1"/>
    <col min="26" max="26" width="41.6640625" bestFit="1" customWidth="1"/>
    <col min="27" max="27" width="53.21875" bestFit="1" customWidth="1"/>
    <col min="28" max="28" width="41.6640625" bestFit="1" customWidth="1"/>
    <col min="29" max="29" width="53.21875" bestFit="1" customWidth="1"/>
    <col min="30" max="30" width="41.6640625" bestFit="1" customWidth="1"/>
    <col min="31" max="31" width="53.21875" bestFit="1" customWidth="1"/>
    <col min="32" max="32" width="41.6640625" bestFit="1" customWidth="1"/>
    <col min="33" max="33" width="53.21875" bestFit="1" customWidth="1"/>
    <col min="34" max="34" width="41.6640625" bestFit="1" customWidth="1"/>
    <col min="35" max="35" width="53.21875" bestFit="1" customWidth="1"/>
    <col min="36" max="36" width="41.6640625" bestFit="1" customWidth="1"/>
    <col min="37" max="37" width="53.21875" bestFit="1" customWidth="1"/>
    <col min="38" max="38" width="41.6640625" bestFit="1" customWidth="1"/>
    <col min="39" max="39" width="53.21875" bestFit="1" customWidth="1"/>
    <col min="40" max="40" width="41.6640625" bestFit="1" customWidth="1"/>
    <col min="41" max="41" width="53.21875" bestFit="1" customWidth="1"/>
    <col min="42" max="42" width="41.6640625" bestFit="1" customWidth="1"/>
    <col min="43" max="43" width="53.21875" bestFit="1" customWidth="1"/>
    <col min="44" max="44" width="41.6640625" bestFit="1" customWidth="1"/>
    <col min="45" max="45" width="53.21875" bestFit="1" customWidth="1"/>
    <col min="46" max="46" width="41.6640625" bestFit="1" customWidth="1"/>
    <col min="47" max="47" width="53.21875" bestFit="1" customWidth="1"/>
    <col min="48" max="48" width="41.6640625" bestFit="1" customWidth="1"/>
    <col min="49" max="49" width="53.21875" bestFit="1" customWidth="1"/>
    <col min="50" max="50" width="41.6640625" bestFit="1" customWidth="1"/>
    <col min="51" max="51" width="53.21875" bestFit="1" customWidth="1"/>
    <col min="52" max="52" width="41.6640625" bestFit="1" customWidth="1"/>
    <col min="53" max="53" width="53.21875" bestFit="1" customWidth="1"/>
    <col min="54" max="54" width="51.88671875" bestFit="1" customWidth="1"/>
    <col min="55" max="55" width="63.44140625" bestFit="1" customWidth="1"/>
    <col min="56" max="56" width="41.6640625" bestFit="1" customWidth="1"/>
    <col min="57" max="57" width="53.21875" bestFit="1" customWidth="1"/>
    <col min="58" max="58" width="51" bestFit="1" customWidth="1"/>
    <col min="59" max="59" width="62.5546875" bestFit="1" customWidth="1"/>
    <col min="60" max="60" width="41.6640625" bestFit="1" customWidth="1"/>
    <col min="61" max="61" width="53.21875" bestFit="1" customWidth="1"/>
    <col min="62" max="62" width="52" bestFit="1" customWidth="1"/>
    <col min="63" max="63" width="63.5546875" bestFit="1" customWidth="1"/>
    <col min="64" max="64" width="41.6640625" bestFit="1" customWidth="1"/>
    <col min="65" max="65" width="53.21875" bestFit="1" customWidth="1"/>
    <col min="66" max="66" width="54.88671875" bestFit="1" customWidth="1"/>
    <col min="67" max="67" width="66.33203125" bestFit="1" customWidth="1"/>
    <col min="68" max="68" width="41.6640625" bestFit="1" customWidth="1"/>
    <col min="69" max="69" width="53.21875" bestFit="1" customWidth="1"/>
    <col min="70" max="70" width="56.33203125" bestFit="1" customWidth="1"/>
    <col min="71" max="71" width="67.88671875" bestFit="1" customWidth="1"/>
    <col min="72" max="72" width="46.6640625" bestFit="1" customWidth="1"/>
    <col min="73" max="73" width="58.109375" bestFit="1" customWidth="1"/>
  </cols>
  <sheetData>
    <row r="1" spans="1:8" x14ac:dyDescent="0.3">
      <c r="A1" s="121"/>
      <c r="B1" s="121" t="s">
        <v>1825</v>
      </c>
      <c r="C1" s="121" t="s">
        <v>1826</v>
      </c>
      <c r="D1" s="121" t="s">
        <v>1827</v>
      </c>
      <c r="E1" s="121" t="s">
        <v>1828</v>
      </c>
      <c r="F1" s="121" t="s">
        <v>17946</v>
      </c>
      <c r="G1" s="121" t="s">
        <v>1822</v>
      </c>
    </row>
    <row r="2" spans="1:8" x14ac:dyDescent="0.3">
      <c r="A2" s="121" t="s">
        <v>338</v>
      </c>
      <c r="B2" s="122">
        <v>54</v>
      </c>
      <c r="C2" s="122">
        <f>COUNTIFS(Kopējie!A2:A340,"Rīga",Kopējie!U2:U340,"pareizticīgo")</f>
        <v>37</v>
      </c>
      <c r="D2" s="122">
        <f>COUNTIFS(Kopējie!A2:A340,"Rīga",Kopējie!U2:U340,"Katoli(ieti)")</f>
        <v>14</v>
      </c>
      <c r="E2" s="122">
        <v>6</v>
      </c>
      <c r="F2" s="122">
        <f>COUNTIFS(Kopējie!A2:A340,"Rīga",Kopējie!U2:U340,"vecticībnieku(ci)")</f>
        <v>1</v>
      </c>
      <c r="G2" s="122">
        <v>4</v>
      </c>
    </row>
    <row r="3" spans="1:8" x14ac:dyDescent="0.3">
      <c r="A3" s="121" t="s">
        <v>813</v>
      </c>
      <c r="B3" s="122">
        <f>COUNTIFS(Kopējie!A2:A340,"Daugavpils",Kopējie!U2:U340,"Ateistu(ti), nereliģiozu")</f>
        <v>41</v>
      </c>
      <c r="C3" s="122">
        <f>COUNTIFS(Kopējie!A2:A340,"Daugavpils",Kopējie!U2:U340,"pareizticīgo")</f>
        <v>26</v>
      </c>
      <c r="D3" s="122">
        <f>COUNTIFS(Kopējie!A2:A340,"Daugavpils",Kopējie!U2:U340,"Katoli(ieti)")</f>
        <v>39</v>
      </c>
      <c r="E3" s="122">
        <f>COUNTIFS(Kopējie!A2:A340,"Daugavpils",Kopējie!U2:U340,"protestantu(ti)")</f>
        <v>0</v>
      </c>
      <c r="F3" s="122">
        <f>COUNTIFS(Kopējie!A2:A340,"Daugavpils",Kopējie!U2:U340,"vecticībnieku(ci)")</f>
        <v>12</v>
      </c>
      <c r="G3" s="122">
        <f>COUNTIFS(Kopējie!A2:A340,"Daugavpils",Kopējie!U2:U340,"Cita atbilde")</f>
        <v>2</v>
      </c>
    </row>
    <row r="4" spans="1:8" x14ac:dyDescent="0.3">
      <c r="A4" s="121" t="s">
        <v>727</v>
      </c>
      <c r="B4" s="122">
        <v>47</v>
      </c>
      <c r="C4" s="122">
        <f>COUNTIFS(Kopējie!A2:A340,"Liepāja",Kopējie!U2:U340,"Pareizticīgo")</f>
        <v>34</v>
      </c>
      <c r="D4" s="122">
        <f>COUNTIFS(Kopējie!A2:A340,"Liepāja",Kopējie!U2:U340,"katoli(ieti)")</f>
        <v>5</v>
      </c>
      <c r="E4" s="122">
        <v>5</v>
      </c>
      <c r="F4" s="122">
        <f>COUNTIFS(Kopējie!A2:A340,"Liepāja",Kopējie!U2:U340,"vecticībnieku(ci)")</f>
        <v>1</v>
      </c>
      <c r="G4" s="122">
        <v>11</v>
      </c>
    </row>
    <row r="8" spans="1:8" x14ac:dyDescent="0.3">
      <c r="H8">
        <f>SUM(B2:G4)</f>
        <v>339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A8B6A-90E3-4890-96D3-E09069348C07}">
  <dimension ref="A1:G27"/>
  <sheetViews>
    <sheetView workbookViewId="0">
      <selection activeCell="A9" sqref="A9"/>
    </sheetView>
  </sheetViews>
  <sheetFormatPr defaultRowHeight="14.4" x14ac:dyDescent="0.3"/>
  <cols>
    <col min="1" max="1" width="26.44140625" bestFit="1" customWidth="1"/>
    <col min="2" max="2" width="32.77734375" bestFit="1" customWidth="1"/>
    <col min="3" max="3" width="32.109375" bestFit="1" customWidth="1"/>
    <col min="4" max="4" width="33" bestFit="1" customWidth="1"/>
    <col min="5" max="5" width="30.77734375" bestFit="1" customWidth="1"/>
    <col min="6" max="6" width="29.6640625" bestFit="1" customWidth="1"/>
    <col min="7" max="7" width="35.44140625" bestFit="1" customWidth="1"/>
  </cols>
  <sheetData>
    <row r="1" spans="1:7" x14ac:dyDescent="0.3">
      <c r="A1" s="123" t="s">
        <v>12</v>
      </c>
      <c r="B1" t="s">
        <v>345</v>
      </c>
    </row>
    <row r="2" spans="1:7" x14ac:dyDescent="0.3">
      <c r="A2" s="123" t="s">
        <v>13</v>
      </c>
      <c r="B2" t="s">
        <v>345</v>
      </c>
    </row>
    <row r="3" spans="1:7" x14ac:dyDescent="0.3">
      <c r="A3" s="123" t="s">
        <v>14</v>
      </c>
      <c r="B3" t="s">
        <v>344</v>
      </c>
    </row>
    <row r="4" spans="1:7" x14ac:dyDescent="0.3">
      <c r="A4" s="123" t="s">
        <v>15</v>
      </c>
      <c r="B4" t="s">
        <v>344</v>
      </c>
    </row>
    <row r="5" spans="1:7" x14ac:dyDescent="0.3">
      <c r="A5" s="123" t="s">
        <v>16</v>
      </c>
      <c r="B5" t="s">
        <v>344</v>
      </c>
    </row>
    <row r="6" spans="1:7" x14ac:dyDescent="0.3">
      <c r="A6" s="123" t="s">
        <v>17</v>
      </c>
      <c r="B6" t="s">
        <v>18263</v>
      </c>
    </row>
    <row r="8" spans="1:7" x14ac:dyDescent="0.3">
      <c r="A8" s="123" t="s">
        <v>17947</v>
      </c>
      <c r="B8" t="s">
        <v>17949</v>
      </c>
      <c r="C8" t="s">
        <v>17950</v>
      </c>
      <c r="D8" t="s">
        <v>17951</v>
      </c>
      <c r="E8" t="s">
        <v>17952</v>
      </c>
      <c r="F8" t="s">
        <v>17953</v>
      </c>
      <c r="G8" t="s">
        <v>17954</v>
      </c>
    </row>
    <row r="9" spans="1:7" x14ac:dyDescent="0.3">
      <c r="A9" s="124" t="s">
        <v>813</v>
      </c>
      <c r="B9" s="125">
        <v>55</v>
      </c>
      <c r="C9" s="125">
        <v>55</v>
      </c>
      <c r="D9" s="125">
        <v>55</v>
      </c>
      <c r="E9" s="125">
        <v>55</v>
      </c>
      <c r="F9" s="125">
        <v>55</v>
      </c>
      <c r="G9" s="125"/>
    </row>
    <row r="10" spans="1:7" x14ac:dyDescent="0.3">
      <c r="A10" s="124" t="s">
        <v>727</v>
      </c>
      <c r="B10" s="125">
        <v>17</v>
      </c>
      <c r="C10" s="125">
        <v>17</v>
      </c>
      <c r="D10" s="125">
        <v>17</v>
      </c>
      <c r="E10" s="125">
        <v>17</v>
      </c>
      <c r="F10" s="125">
        <v>17</v>
      </c>
      <c r="G10" s="125"/>
    </row>
    <row r="11" spans="1:7" x14ac:dyDescent="0.3">
      <c r="A11" s="124" t="s">
        <v>338</v>
      </c>
      <c r="B11" s="125">
        <v>14</v>
      </c>
      <c r="C11" s="125">
        <v>14</v>
      </c>
      <c r="D11" s="125">
        <v>14</v>
      </c>
      <c r="E11" s="125">
        <v>14</v>
      </c>
      <c r="F11" s="125">
        <v>14</v>
      </c>
      <c r="G11" s="125"/>
    </row>
    <row r="12" spans="1:7" x14ac:dyDescent="0.3">
      <c r="A12" s="124" t="s">
        <v>17948</v>
      </c>
      <c r="B12" s="125">
        <v>86</v>
      </c>
      <c r="C12" s="125">
        <v>86</v>
      </c>
      <c r="D12" s="125">
        <v>86</v>
      </c>
      <c r="E12" s="125">
        <v>86</v>
      </c>
      <c r="F12" s="125">
        <v>86</v>
      </c>
      <c r="G12" s="125"/>
    </row>
    <row r="27" spans="2:2" x14ac:dyDescent="0.3">
      <c r="B27">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9FBCA-F466-45B1-975A-A52B7CE8DBA7}">
  <dimension ref="A1:J14"/>
  <sheetViews>
    <sheetView workbookViewId="0">
      <selection activeCell="B8" sqref="B8"/>
    </sheetView>
  </sheetViews>
  <sheetFormatPr defaultRowHeight="14.4" x14ac:dyDescent="0.3"/>
  <sheetData>
    <row r="1" spans="1:10" x14ac:dyDescent="0.3">
      <c r="B1" s="45" t="s">
        <v>1830</v>
      </c>
      <c r="C1" s="45" t="s">
        <v>1831</v>
      </c>
      <c r="D1" s="45" t="s">
        <v>1832</v>
      </c>
      <c r="E1" s="45" t="s">
        <v>1833</v>
      </c>
      <c r="F1" s="45" t="s">
        <v>17956</v>
      </c>
      <c r="G1" s="45" t="s">
        <v>17955</v>
      </c>
      <c r="H1" s="45" t="s">
        <v>1836</v>
      </c>
      <c r="I1" s="45" t="s">
        <v>1837</v>
      </c>
    </row>
    <row r="2" spans="1:10" x14ac:dyDescent="0.3">
      <c r="A2" s="121" t="s">
        <v>338</v>
      </c>
      <c r="B2">
        <v>3</v>
      </c>
      <c r="C2">
        <v>12</v>
      </c>
      <c r="D2">
        <v>0</v>
      </c>
      <c r="E2">
        <v>4</v>
      </c>
      <c r="F2">
        <v>0</v>
      </c>
      <c r="G2">
        <v>0</v>
      </c>
      <c r="H2">
        <f>COUNTIFS(Kopējie!A2:A340,"Rīga",Kopējie!EX2:EX340,"Jā",Kopējie!EY2:EY340,"Jā",Kopējie!EZ2:EZ340,"Jā")</f>
        <v>0</v>
      </c>
      <c r="I2">
        <v>97</v>
      </c>
    </row>
    <row r="3" spans="1:10" x14ac:dyDescent="0.3">
      <c r="A3" s="121" t="s">
        <v>813</v>
      </c>
      <c r="B3">
        <v>5</v>
      </c>
      <c r="C3">
        <v>16</v>
      </c>
      <c r="D3">
        <v>2</v>
      </c>
      <c r="E3">
        <v>4</v>
      </c>
      <c r="F3">
        <v>0</v>
      </c>
      <c r="G3">
        <v>1</v>
      </c>
      <c r="H3">
        <f>COUNTIFS(Kopējie!A2:A340,"Daugavpils",Kopējie!EX2:EX340,"Jā",Kopējie!EY2:EY340,"Jā",Kopējie!EZ2:EZ340,"Jā")</f>
        <v>0</v>
      </c>
      <c r="I3">
        <v>91</v>
      </c>
    </row>
    <row r="4" spans="1:10" x14ac:dyDescent="0.3">
      <c r="A4" s="121" t="s">
        <v>727</v>
      </c>
      <c r="B4">
        <v>4</v>
      </c>
      <c r="C4">
        <v>10</v>
      </c>
      <c r="D4">
        <v>3</v>
      </c>
      <c r="E4">
        <v>2</v>
      </c>
      <c r="F4">
        <v>0</v>
      </c>
      <c r="G4">
        <v>0</v>
      </c>
      <c r="H4">
        <f>COUNTIFS(Kopējie!A2:A340,"Liepāja",Kopējie!EX2:EX340,"Jā",Kopējie!EY2:EY340,"Jā",Kopējie!EZ2:EZ340,"Jā")</f>
        <v>0</v>
      </c>
      <c r="I4">
        <v>84</v>
      </c>
    </row>
    <row r="6" spans="1:10" x14ac:dyDescent="0.3">
      <c r="J6">
        <f>SUM(B2:I4)</f>
        <v>338</v>
      </c>
    </row>
    <row r="7" spans="1:10" x14ac:dyDescent="0.3">
      <c r="B7" s="45" t="s">
        <v>1830</v>
      </c>
      <c r="C7" s="45" t="s">
        <v>1831</v>
      </c>
      <c r="D7" s="45" t="s">
        <v>1832</v>
      </c>
      <c r="E7" s="45" t="s">
        <v>1833</v>
      </c>
      <c r="F7" s="45" t="s">
        <v>17956</v>
      </c>
      <c r="G7" s="45" t="s">
        <v>17955</v>
      </c>
      <c r="H7" s="45" t="s">
        <v>1836</v>
      </c>
      <c r="I7" s="45" t="s">
        <v>1837</v>
      </c>
    </row>
    <row r="8" spans="1:10" x14ac:dyDescent="0.3">
      <c r="A8" s="121" t="s">
        <v>338</v>
      </c>
      <c r="B8">
        <f>COUNTIFS(Kopējie!A2:A340,"Rīga",Kopējie!EX2:EX340,"Jā",Kopējie!EY2:EY340,"Nē",Kopējie!EZ2:EZ340,"Nē",Kopējie!FA2:FA340,"Nē")</f>
        <v>3</v>
      </c>
      <c r="C8">
        <f>COUNTIFS(Kopējie!A2:A340,"Rīga",Kopējie!EX2:EX340,"Nē",Kopējie!EY2:EY340,"Jā",Kopējie!EZ2:EZ340,"Nē",Kopējie!FA2:FA340,"Nē")</f>
        <v>12</v>
      </c>
      <c r="D8">
        <f>COUNTIFS(Kopējie!A2:A340,"Rīga",Kopējie!EX2:EX340,"Nē",Kopējie!EY2:EY340,"Nē",Kopējie!EZ2:EZ340,"Jā",Kopējie!FA2:FA340,"Nē")</f>
        <v>0</v>
      </c>
      <c r="E8">
        <f>COUNTIFS(Kopējie!A2:A340,"Rīga",Kopējie!EX2:EX340,"Jā",Kopējie!EY2:EY340,"Jā",Kopējie!EZ2:EZ340,"Nē",Kopējie!FA2:FA340,"Nē")</f>
        <v>4</v>
      </c>
      <c r="F8">
        <f>COUNTIFS(Kopējie!A2:A340,"Rīga",Kopējie!EX2:EX340,"Jā",Kopējie!EY2:EY340,"Nē",Kopējie!EZ2:EZ340,"Jā",Kopējie!FA2:FA340,"Nē")</f>
        <v>0</v>
      </c>
      <c r="G8">
        <f>COUNTIFS(Kopējie!A2:A340,"Rīga",Kopējie!EX2:EX340,"Nē",Kopējie!EY2:EY340,"Jā",Kopējie!EZ2:EZ340,"Jā",Kopējie!FA2:FA340,"Nē")</f>
        <v>0</v>
      </c>
      <c r="H8">
        <f>COUNTIFS(Kopējie!A2:A340,"Rīga",Kopējie!EX2:EX340,"Jā",Kopējie!EY2:EY340,"Jā",Kopējie!EZ2:EZ340,"Jā",Kopējie!FA2:FA340,"Nē")</f>
        <v>0</v>
      </c>
      <c r="I8">
        <f>COUNTIFS(Kopējie!A2:A340,"Rīga",Kopējie!EX2:EX340,"N/A",Kopējie!EY2:EY340,"N/A",Kopējie!EZ2:EZ340,"N/A",Kopējie!FA2:FA340,"Jā")</f>
        <v>97</v>
      </c>
    </row>
    <row r="9" spans="1:10" x14ac:dyDescent="0.3">
      <c r="A9" s="121" t="s">
        <v>813</v>
      </c>
      <c r="B9">
        <f>COUNTIFS(Kopējie!A2:A340,"Daugavpils",Kopējie!EX2:EX340,"Jā",Kopējie!EY2:EY340,"Nē",Kopējie!EZ2:EZ340,"Nē",Kopējie!FA2:FA340,"Nē")</f>
        <v>5</v>
      </c>
      <c r="C9">
        <f>COUNTIFS(Kopējie!A2:A340,"Daugavpils",Kopējie!EX2:EX340,"Nē",Kopējie!EY2:EY340,"Jā",Kopējie!EZ2:EZ340,"Nē",Kopējie!FA2:FA340,"Nē")</f>
        <v>16</v>
      </c>
      <c r="D9">
        <f>COUNTIFS(Kopējie!A2:A340,"Daugavpils",Kopējie!EX2:EX340,"Nē",Kopējie!EY2:EY340,"Nē",Kopējie!EZ2:EZ340,"Jā",Kopējie!FA2:FA340,"Nē")</f>
        <v>2</v>
      </c>
      <c r="E9">
        <f>COUNTIFS(Kopējie!A2:A340,"Daugavpils",Kopējie!EX2:EX340,"Jā",Kopējie!EY2:EY340,"Jā",Kopējie!EZ2:EZ340,"Nē",Kopējie!FA2:FA340,"Nē")</f>
        <v>4</v>
      </c>
      <c r="F9">
        <f>COUNTIFS(Kopējie!A2:A340,"Daugavpils",Kopējie!EX2:EX340,"Jā",Kopējie!EY2:EY340,"Nē",Kopējie!EZ2:EZ340,"Jā",Kopējie!FA2:FA340,"Nē")</f>
        <v>0</v>
      </c>
      <c r="G9">
        <f>COUNTIFS(Kopējie!A2:A340,"Daugavpils",Kopējie!EX2:EX340,"Nē",Kopējie!EY2:EY340,"Jā",Kopējie!EZ2:EZ340,"Jā",Kopējie!FA2:FA340,"Nē")</f>
        <v>0</v>
      </c>
      <c r="H9">
        <f>COUNTIFS(Kopējie!A2:A340,"Daugavpils",Kopējie!EX2:EX340,"Jā",Kopējie!EY2:EY340,"Jā",Kopējie!EZ2:EZ340,"Jā",Kopējie!FA2:FA340,"Nē")</f>
        <v>0</v>
      </c>
      <c r="I9">
        <f>COUNTIFS(Kopējie!A2:A340,"Daugavpils",Kopējie!EX2:EX340,"N/A",Kopējie!EY2:EY340,"N/A",Kopējie!EZ2:EZ340,"N/A",Kopējie!FA2:FA340,"Jā")</f>
        <v>93</v>
      </c>
    </row>
    <row r="10" spans="1:10" x14ac:dyDescent="0.3">
      <c r="A10" s="121" t="s">
        <v>727</v>
      </c>
      <c r="B10">
        <f>COUNTIFS(Kopējie!A2:A340,"Liepāja",Kopējie!EX2:EX340,"Jā",Kopējie!EY2:EY340,"Nē",Kopējie!EZ2:EZ340,"Nē",Kopējie!FA2:FA340,"Nē")</f>
        <v>4</v>
      </c>
      <c r="C10">
        <f>COUNTIFS(Kopējie!A2:A340,"Liepāja",Kopējie!EX2:EX340,"Nē",Kopējie!EY2:EY340,"Jā",Kopējie!EZ2:EZ340,"Nē",Kopējie!FA2:FA340,"Nē")</f>
        <v>10</v>
      </c>
      <c r="D10">
        <f>COUNTIFS(Kopējie!A2:A340,"Liepāja",Kopējie!EX2:EX340,"Nē",Kopējie!EY2:EY340,"Nē",Kopējie!EZ2:EZ340,"Jā",Kopējie!FA2:FA340,"Nē")</f>
        <v>2</v>
      </c>
      <c r="E10">
        <f>COUNTIFS(Kopējie!A2:A340,"Liepāja",Kopējie!EX2:EX340,"Jā",Kopējie!EY2:EY340,"Jā",Kopējie!EZ2:EZ340,"Nē",Kopējie!FA2:FA340,"Nē")</f>
        <v>2</v>
      </c>
      <c r="F10">
        <f>COUNTIFS(Kopējie!A2:A340,"Liepāja",Kopējie!EX2:EX340,"Jā",Kopējie!EY2:EY340,"Nē",Kopējie!EZ2:EZ340,"Jā",Kopējie!FA2:FA340,"Nē")</f>
        <v>0</v>
      </c>
      <c r="G10">
        <f>COUNTIFS(Kopējie!A2:A340,"Liepāja",Kopējie!EX2:EX340,"Nē",Kopējie!EY2:EY340,"Jā",Kopējie!EZ2:EZ340,"Jā",Kopējie!FA2:FA340,"Nē")</f>
        <v>0</v>
      </c>
      <c r="H10">
        <f>COUNTIFS(Kopējie!A2:A340,"Liepāja",Kopējie!EX2:EX340,"Jā",Kopējie!EY2:EY340,"Jā",Kopējie!EZ2:EZ340,"Jā",Kopējie!FA2:FA340,"Nē")</f>
        <v>0</v>
      </c>
      <c r="I10">
        <f>COUNTIFS(Kopējie!A2:A340,"Liepāja",Kopējie!EX2:EX340,"N/A",Kopējie!EY2:EY340,"N/A",Kopējie!EZ2:EZ340,"N/A",Kopējie!FA2:FA340,"Jā")</f>
        <v>85</v>
      </c>
    </row>
    <row r="12" spans="1:10" x14ac:dyDescent="0.3">
      <c r="B12">
        <v>12</v>
      </c>
      <c r="C12">
        <v>38</v>
      </c>
      <c r="D12">
        <v>4</v>
      </c>
      <c r="E12">
        <v>10</v>
      </c>
      <c r="F12">
        <v>0</v>
      </c>
      <c r="G12">
        <v>0</v>
      </c>
      <c r="H12">
        <v>0</v>
      </c>
      <c r="I12">
        <f>SUM(I8:I10)</f>
        <v>275</v>
      </c>
      <c r="J12">
        <f>SUM(B8:I10)</f>
        <v>339</v>
      </c>
    </row>
    <row r="14" spans="1:10" x14ac:dyDescent="0.3">
      <c r="I14">
        <f>COUNTIF(Kopējie!FA2:FA340,"Jā")</f>
        <v>275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023E-E768-47F5-A10B-2DF9438F2296}">
  <dimension ref="A1:XFD1"/>
  <sheetViews>
    <sheetView workbookViewId="0">
      <selection activeCell="S21" sqref="S21"/>
    </sheetView>
  </sheetViews>
  <sheetFormatPr defaultRowHeight="14.4" x14ac:dyDescent="0.3"/>
  <sheetData>
    <row r="1" spans="1:16384" x14ac:dyDescent="0.3">
      <c r="A1" s="174" t="s">
        <v>338</v>
      </c>
      <c r="B1" s="175">
        <v>106</v>
      </c>
      <c r="C1" s="175"/>
      <c r="D1" s="175">
        <v>7</v>
      </c>
      <c r="E1" s="175" t="s">
        <v>387</v>
      </c>
      <c r="F1" s="175">
        <v>1798840613</v>
      </c>
      <c r="G1" s="175" t="s">
        <v>620</v>
      </c>
      <c r="H1" s="175" t="s">
        <v>621</v>
      </c>
      <c r="I1" s="175" t="s">
        <v>609</v>
      </c>
      <c r="J1" s="175">
        <v>18</v>
      </c>
      <c r="K1" s="175" t="s">
        <v>406</v>
      </c>
      <c r="L1" s="175"/>
      <c r="M1" s="175" t="s">
        <v>345</v>
      </c>
      <c r="N1" s="175" t="s">
        <v>344</v>
      </c>
      <c r="O1" s="175" t="s">
        <v>344</v>
      </c>
      <c r="P1" s="175" t="s">
        <v>344</v>
      </c>
      <c r="Q1" s="175" t="s">
        <v>344</v>
      </c>
      <c r="R1" s="175"/>
      <c r="S1" s="175" t="s">
        <v>346</v>
      </c>
      <c r="T1" s="175"/>
      <c r="U1" s="175" t="s">
        <v>347</v>
      </c>
      <c r="V1" s="175"/>
      <c r="W1" s="175" t="s">
        <v>344</v>
      </c>
      <c r="X1" s="175" t="s">
        <v>345</v>
      </c>
      <c r="Y1" s="175" t="s">
        <v>344</v>
      </c>
      <c r="Z1" s="175" t="s">
        <v>344</v>
      </c>
      <c r="AA1" s="175" t="s">
        <v>344</v>
      </c>
      <c r="AB1" s="175" t="s">
        <v>344</v>
      </c>
      <c r="AC1" s="175" t="s">
        <v>344</v>
      </c>
      <c r="AD1" s="175" t="s">
        <v>344</v>
      </c>
      <c r="AE1" s="175" t="s">
        <v>344</v>
      </c>
      <c r="AF1" s="175" t="s">
        <v>344</v>
      </c>
      <c r="AG1" s="175" t="s">
        <v>344</v>
      </c>
      <c r="AH1" s="175" t="s">
        <v>344</v>
      </c>
      <c r="AI1" s="175" t="s">
        <v>345</v>
      </c>
      <c r="AJ1" s="175" t="s">
        <v>344</v>
      </c>
      <c r="AK1" s="175" t="s">
        <v>344</v>
      </c>
      <c r="AL1" s="175" t="s">
        <v>344</v>
      </c>
      <c r="AM1" s="175" t="s">
        <v>344</v>
      </c>
      <c r="AN1" s="175" t="s">
        <v>345</v>
      </c>
      <c r="AO1" s="175" t="s">
        <v>344</v>
      </c>
      <c r="AP1" s="175" t="s">
        <v>344</v>
      </c>
      <c r="AQ1" s="175" t="s">
        <v>344</v>
      </c>
      <c r="AR1" s="175" t="s">
        <v>344</v>
      </c>
      <c r="AS1" s="175" t="s">
        <v>345</v>
      </c>
      <c r="AT1" s="175" t="s">
        <v>344</v>
      </c>
      <c r="AU1" s="175" t="s">
        <v>344</v>
      </c>
      <c r="AV1" s="175" t="s">
        <v>344</v>
      </c>
      <c r="AW1" s="175" t="s">
        <v>344</v>
      </c>
      <c r="AX1" s="175" t="s">
        <v>344</v>
      </c>
      <c r="AY1" s="175"/>
      <c r="AZ1" s="175"/>
      <c r="BA1" s="175"/>
      <c r="BB1" s="175"/>
      <c r="BC1" s="175"/>
      <c r="BD1" s="175"/>
      <c r="BE1" s="175" t="s">
        <v>349</v>
      </c>
      <c r="BF1" s="175" t="s">
        <v>348</v>
      </c>
      <c r="BG1" s="175" t="s">
        <v>390</v>
      </c>
      <c r="BH1" s="175" t="s">
        <v>390</v>
      </c>
      <c r="BI1" s="175" t="s">
        <v>350</v>
      </c>
      <c r="BJ1" s="175" t="s">
        <v>391</v>
      </c>
      <c r="BK1" s="175" t="s">
        <v>391</v>
      </c>
      <c r="BL1" s="175" t="s">
        <v>391</v>
      </c>
      <c r="BM1" s="175" t="s">
        <v>391</v>
      </c>
      <c r="BN1" s="175" t="s">
        <v>391</v>
      </c>
      <c r="BO1" s="175" t="s">
        <v>391</v>
      </c>
      <c r="BP1" s="175" t="s">
        <v>391</v>
      </c>
      <c r="BQ1" s="175" t="s">
        <v>358</v>
      </c>
      <c r="BR1" s="175" t="s">
        <v>408</v>
      </c>
      <c r="BS1" s="175" t="s">
        <v>391</v>
      </c>
      <c r="BT1" s="175" t="s">
        <v>391</v>
      </c>
      <c r="BU1" s="175" t="s">
        <v>391</v>
      </c>
      <c r="BV1" s="175" t="s">
        <v>391</v>
      </c>
      <c r="BW1" s="175" t="s">
        <v>391</v>
      </c>
      <c r="BX1" s="175" t="s">
        <v>391</v>
      </c>
      <c r="BY1" s="175" t="s">
        <v>391</v>
      </c>
      <c r="BZ1" s="175" t="s">
        <v>391</v>
      </c>
      <c r="CA1" s="175" t="s">
        <v>391</v>
      </c>
      <c r="CB1" s="175" t="s">
        <v>391</v>
      </c>
      <c r="CC1" s="175" t="s">
        <v>391</v>
      </c>
      <c r="CD1" s="175" t="s">
        <v>391</v>
      </c>
      <c r="CE1" s="175" t="s">
        <v>391</v>
      </c>
      <c r="CF1" s="175" t="s">
        <v>391</v>
      </c>
      <c r="CG1" s="175" t="s">
        <v>421</v>
      </c>
      <c r="CH1" s="175" t="s">
        <v>420</v>
      </c>
      <c r="CI1" s="175" t="s">
        <v>421</v>
      </c>
      <c r="CJ1" s="175" t="s">
        <v>393</v>
      </c>
      <c r="CK1" s="175" t="s">
        <v>391</v>
      </c>
      <c r="CL1" s="175" t="s">
        <v>344</v>
      </c>
      <c r="CM1" s="175" t="s">
        <v>344</v>
      </c>
      <c r="CN1" s="175" t="s">
        <v>344</v>
      </c>
      <c r="CO1" s="175" t="s">
        <v>345</v>
      </c>
      <c r="CP1" s="175" t="s">
        <v>345</v>
      </c>
      <c r="CQ1" s="175" t="s">
        <v>344</v>
      </c>
      <c r="CR1" s="175" t="s">
        <v>394</v>
      </c>
      <c r="CS1" s="175">
        <v>82</v>
      </c>
      <c r="CT1" s="175">
        <v>100</v>
      </c>
      <c r="CU1" s="175"/>
      <c r="CV1" s="175"/>
      <c r="CW1" s="175" t="s">
        <v>395</v>
      </c>
      <c r="CX1" s="175" t="s">
        <v>395</v>
      </c>
      <c r="CY1" s="175" t="s">
        <v>363</v>
      </c>
      <c r="CZ1" s="175" t="s">
        <v>397</v>
      </c>
      <c r="DA1" s="175" t="s">
        <v>397</v>
      </c>
      <c r="DB1" s="175" t="s">
        <v>397</v>
      </c>
      <c r="DC1" s="175" t="s">
        <v>366</v>
      </c>
      <c r="DD1" s="175" t="s">
        <v>365</v>
      </c>
      <c r="DE1" s="175"/>
      <c r="DF1" s="175"/>
      <c r="DG1" s="175"/>
      <c r="DH1" s="175"/>
      <c r="DI1" s="175"/>
      <c r="DJ1" s="175" t="s">
        <v>622</v>
      </c>
      <c r="DK1" s="175" t="s">
        <v>367</v>
      </c>
      <c r="DL1" s="175" t="s">
        <v>368</v>
      </c>
      <c r="DM1" s="175" t="s">
        <v>368</v>
      </c>
      <c r="DN1" s="175" t="s">
        <v>368</v>
      </c>
      <c r="DO1" s="175" t="s">
        <v>368</v>
      </c>
      <c r="DP1" s="175" t="s">
        <v>344</v>
      </c>
      <c r="DQ1" s="175" t="s">
        <v>344</v>
      </c>
      <c r="DR1" s="175" t="s">
        <v>345</v>
      </c>
      <c r="DS1" s="175" t="s">
        <v>344</v>
      </c>
      <c r="DT1" s="175" t="s">
        <v>345</v>
      </c>
      <c r="DU1" s="175" t="s">
        <v>344</v>
      </c>
      <c r="DV1" s="175" t="s">
        <v>344</v>
      </c>
      <c r="DW1" s="175" t="s">
        <v>344</v>
      </c>
      <c r="DX1" s="175" t="s">
        <v>370</v>
      </c>
      <c r="DY1" s="175" t="s">
        <v>370</v>
      </c>
      <c r="DZ1" s="175" t="s">
        <v>370</v>
      </c>
      <c r="EA1" s="175" t="s">
        <v>370</v>
      </c>
      <c r="EB1" s="175" t="s">
        <v>370</v>
      </c>
      <c r="EC1" s="175" t="s">
        <v>370</v>
      </c>
      <c r="ED1" s="175" t="s">
        <v>371</v>
      </c>
      <c r="EE1" s="175" t="s">
        <v>369</v>
      </c>
      <c r="EF1" s="175" t="s">
        <v>399</v>
      </c>
      <c r="EG1" s="175" t="s">
        <v>369</v>
      </c>
      <c r="EH1" s="175" t="s">
        <v>399</v>
      </c>
      <c r="EI1" s="175" t="s">
        <v>369</v>
      </c>
      <c r="EJ1" s="175" t="s">
        <v>369</v>
      </c>
      <c r="EK1" s="175" t="s">
        <v>398</v>
      </c>
      <c r="EL1" s="175" t="s">
        <v>440</v>
      </c>
      <c r="EM1" s="175" t="s">
        <v>374</v>
      </c>
      <c r="EN1" s="175" t="s">
        <v>424</v>
      </c>
      <c r="EO1" s="175"/>
      <c r="EP1" s="175"/>
      <c r="EQ1" s="175" t="s">
        <v>391</v>
      </c>
      <c r="ER1" s="175" t="s">
        <v>391</v>
      </c>
      <c r="ES1" s="175" t="s">
        <v>391</v>
      </c>
      <c r="ET1" s="175" t="s">
        <v>391</v>
      </c>
      <c r="EU1" s="175" t="s">
        <v>391</v>
      </c>
      <c r="EV1" s="175"/>
      <c r="EW1" s="175"/>
      <c r="EX1" s="176" t="s">
        <v>344</v>
      </c>
      <c r="EY1" s="176" t="s">
        <v>344</v>
      </c>
      <c r="EZ1" s="176" t="s">
        <v>344</v>
      </c>
      <c r="FA1" s="176" t="s">
        <v>344</v>
      </c>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t="s">
        <v>368</v>
      </c>
      <c r="GB1" s="176" t="s">
        <v>368</v>
      </c>
      <c r="GC1" s="176" t="s">
        <v>368</v>
      </c>
      <c r="GD1" s="176" t="s">
        <v>368</v>
      </c>
      <c r="GE1" s="176" t="s">
        <v>368</v>
      </c>
      <c r="GF1" s="176" t="s">
        <v>368</v>
      </c>
      <c r="GG1" s="176"/>
      <c r="GH1" s="176"/>
      <c r="GI1" s="176"/>
      <c r="GJ1" s="176"/>
      <c r="GK1" s="176"/>
      <c r="GL1" s="176" t="s">
        <v>368</v>
      </c>
      <c r="GM1" s="176" t="s">
        <v>368</v>
      </c>
      <c r="GN1" s="176" t="s">
        <v>368</v>
      </c>
      <c r="GO1" s="176" t="s">
        <v>368</v>
      </c>
      <c r="GP1" s="176" t="s">
        <v>368</v>
      </c>
      <c r="GQ1" s="176" t="s">
        <v>368</v>
      </c>
      <c r="GR1" s="176" t="s">
        <v>368</v>
      </c>
      <c r="GS1" s="176" t="s">
        <v>368</v>
      </c>
      <c r="GT1" s="176" t="s">
        <v>368</v>
      </c>
      <c r="GU1" s="176" t="s">
        <v>368</v>
      </c>
      <c r="GV1" s="176" t="s">
        <v>368</v>
      </c>
      <c r="GW1" s="176" t="s">
        <v>368</v>
      </c>
      <c r="GX1" s="176" t="s">
        <v>368</v>
      </c>
      <c r="GY1" s="176" t="s">
        <v>368</v>
      </c>
      <c r="GZ1" s="176" t="s">
        <v>368</v>
      </c>
      <c r="HA1" s="176"/>
      <c r="HB1" s="176" t="s">
        <v>368</v>
      </c>
      <c r="HC1" s="176"/>
      <c r="HD1" s="176" t="s">
        <v>368</v>
      </c>
      <c r="HE1" s="176"/>
      <c r="HF1" s="176" t="s">
        <v>368</v>
      </c>
      <c r="HG1" s="176"/>
      <c r="HH1" s="176" t="s">
        <v>368</v>
      </c>
      <c r="HI1" s="176"/>
      <c r="HJ1" s="176" t="s">
        <v>368</v>
      </c>
      <c r="HK1" s="176" t="s">
        <v>368</v>
      </c>
      <c r="HL1" s="176" t="s">
        <v>368</v>
      </c>
      <c r="HM1" s="176" t="s">
        <v>368</v>
      </c>
      <c r="HN1" s="176" t="s">
        <v>368</v>
      </c>
      <c r="HO1" s="176" t="s">
        <v>368</v>
      </c>
      <c r="HP1" s="176" t="s">
        <v>368</v>
      </c>
      <c r="HQ1" s="176" t="s">
        <v>368</v>
      </c>
      <c r="HR1" s="176" t="s">
        <v>368</v>
      </c>
      <c r="HS1" s="176" t="s">
        <v>368</v>
      </c>
      <c r="HT1" s="176" t="s">
        <v>368</v>
      </c>
      <c r="HU1" s="176" t="s">
        <v>368</v>
      </c>
      <c r="HV1" s="176" t="s">
        <v>368</v>
      </c>
      <c r="HW1" s="176" t="s">
        <v>368</v>
      </c>
      <c r="HX1" s="176" t="s">
        <v>368</v>
      </c>
      <c r="HY1" s="176"/>
      <c r="HZ1" s="176" t="s">
        <v>368</v>
      </c>
      <c r="IA1" s="176"/>
      <c r="IB1" s="176" t="s">
        <v>368</v>
      </c>
      <c r="IC1" s="176"/>
      <c r="ID1" s="176" t="s">
        <v>368</v>
      </c>
      <c r="IE1" s="176"/>
      <c r="IF1" s="176" t="s">
        <v>368</v>
      </c>
      <c r="IG1" s="176"/>
      <c r="IH1" s="176" t="s">
        <v>368</v>
      </c>
      <c r="II1" s="176" t="s">
        <v>368</v>
      </c>
      <c r="IJ1" s="176" t="s">
        <v>368</v>
      </c>
      <c r="IK1" s="176" t="s">
        <v>368</v>
      </c>
      <c r="IL1" s="176" t="s">
        <v>368</v>
      </c>
      <c r="IM1" s="176" t="s">
        <v>368</v>
      </c>
      <c r="IN1" s="176" t="s">
        <v>368</v>
      </c>
      <c r="IO1" s="176" t="s">
        <v>368</v>
      </c>
      <c r="IP1" s="176" t="s">
        <v>368</v>
      </c>
      <c r="IQ1" s="176" t="s">
        <v>368</v>
      </c>
      <c r="IR1" s="176" t="s">
        <v>368</v>
      </c>
      <c r="IS1" s="176" t="s">
        <v>368</v>
      </c>
      <c r="IT1" s="176"/>
      <c r="IU1" s="176"/>
      <c r="IV1" s="176"/>
      <c r="IW1" s="176"/>
      <c r="IX1" s="175"/>
      <c r="IY1" s="175"/>
      <c r="IZ1" s="175"/>
      <c r="JA1" s="175"/>
      <c r="JB1" s="175"/>
      <c r="JC1" s="175"/>
      <c r="JD1" s="175"/>
      <c r="JE1" s="175"/>
      <c r="JF1" s="175"/>
      <c r="JG1" s="175"/>
      <c r="JH1" s="175"/>
      <c r="JI1" s="129"/>
      <c r="JJ1" s="129"/>
      <c r="JK1" s="129"/>
      <c r="JL1" s="129"/>
      <c r="JM1" s="129"/>
      <c r="JN1" s="129"/>
      <c r="JO1" s="129"/>
      <c r="JP1" s="129"/>
      <c r="JQ1" s="129"/>
      <c r="JR1" s="129"/>
      <c r="JS1" s="129"/>
      <c r="JT1" s="129"/>
      <c r="JU1" s="129"/>
      <c r="JV1" s="129"/>
      <c r="JW1" s="129"/>
      <c r="JX1" s="129"/>
      <c r="JY1" s="129"/>
      <c r="JZ1" s="129"/>
      <c r="KA1" s="129"/>
      <c r="KB1" s="129"/>
      <c r="KC1" s="129"/>
      <c r="KD1" s="129"/>
      <c r="KE1" s="129"/>
      <c r="KF1" s="129"/>
      <c r="KG1" s="129"/>
      <c r="KH1" s="129"/>
      <c r="KI1" s="129"/>
      <c r="KJ1" s="129"/>
      <c r="KK1" s="129"/>
      <c r="KL1" s="129"/>
      <c r="KM1" s="129"/>
      <c r="KN1" s="129"/>
      <c r="KO1" s="129"/>
      <c r="KP1" s="129"/>
      <c r="KQ1" s="129"/>
      <c r="KR1" s="129"/>
      <c r="KS1" s="129"/>
      <c r="KT1" s="129"/>
      <c r="KU1" s="129"/>
      <c r="KV1" s="129"/>
      <c r="KW1" s="129"/>
      <c r="KX1" s="129"/>
      <c r="KY1" s="129"/>
      <c r="KZ1" s="129"/>
      <c r="LA1" s="129"/>
      <c r="LB1" s="129"/>
      <c r="LC1" s="129"/>
      <c r="LD1" s="129"/>
      <c r="LE1" s="129"/>
      <c r="LF1" s="129"/>
      <c r="LG1" s="129"/>
      <c r="LH1" s="129"/>
      <c r="LI1" s="129"/>
      <c r="LJ1" s="129"/>
      <c r="LK1" s="129"/>
      <c r="LL1" s="129"/>
      <c r="LM1" s="129"/>
      <c r="LN1" s="129"/>
      <c r="LO1" s="129"/>
      <c r="LP1" s="129"/>
      <c r="LQ1" s="129"/>
      <c r="LR1" s="129"/>
      <c r="LS1" s="129"/>
      <c r="LT1" s="129"/>
      <c r="LU1" s="129"/>
      <c r="LV1" s="129"/>
      <c r="LW1" s="129"/>
      <c r="LX1" s="129"/>
      <c r="LY1" s="129"/>
      <c r="LZ1" s="129"/>
      <c r="MA1" s="129"/>
      <c r="MB1" s="129"/>
      <c r="MC1" s="129"/>
      <c r="MD1" s="129"/>
      <c r="ME1" s="129"/>
      <c r="MF1" s="129"/>
      <c r="MG1" s="129"/>
      <c r="MH1" s="129"/>
      <c r="MI1" s="129"/>
      <c r="MJ1" s="129"/>
      <c r="MK1" s="129"/>
      <c r="ML1" s="129"/>
      <c r="MM1" s="129"/>
      <c r="MN1" s="129"/>
      <c r="MO1" s="129"/>
      <c r="MP1" s="129"/>
      <c r="MQ1" s="129"/>
      <c r="MR1" s="129"/>
      <c r="MS1" s="129"/>
      <c r="MT1" s="129"/>
      <c r="MU1" s="129"/>
      <c r="MV1" s="129"/>
      <c r="MW1" s="129"/>
      <c r="MX1" s="129"/>
      <c r="MY1" s="129"/>
      <c r="MZ1" s="129"/>
      <c r="NA1" s="129"/>
      <c r="NB1" s="129"/>
      <c r="NC1" s="129"/>
      <c r="ND1" s="129"/>
      <c r="NE1" s="129"/>
      <c r="NF1" s="129"/>
      <c r="NG1" s="129"/>
      <c r="NH1" s="129"/>
      <c r="NI1" s="129"/>
      <c r="NJ1" s="129"/>
      <c r="NK1" s="129"/>
      <c r="NL1" s="129"/>
      <c r="NM1" s="129"/>
      <c r="NN1" s="129"/>
      <c r="NO1" s="129"/>
      <c r="NP1" s="129"/>
      <c r="NQ1" s="129"/>
      <c r="NR1" s="129"/>
      <c r="NS1" s="129"/>
      <c r="NT1" s="129"/>
      <c r="NU1" s="129"/>
      <c r="NV1" s="129"/>
      <c r="NW1" s="129"/>
      <c r="NX1" s="129"/>
      <c r="NY1" s="129"/>
      <c r="NZ1" s="129"/>
      <c r="OA1" s="129"/>
      <c r="OB1" s="129"/>
      <c r="OC1" s="129"/>
      <c r="OD1" s="129"/>
      <c r="OE1" s="129"/>
      <c r="OF1" s="129"/>
      <c r="OG1" s="129"/>
      <c r="OH1" s="129"/>
      <c r="OI1" s="129"/>
      <c r="OJ1" s="129"/>
      <c r="OK1" s="129"/>
      <c r="OL1" s="129"/>
      <c r="OM1" s="129"/>
      <c r="ON1" s="129"/>
      <c r="OO1" s="129"/>
      <c r="OP1" s="129"/>
      <c r="OQ1" s="129"/>
      <c r="OR1" s="129"/>
      <c r="OS1" s="129"/>
      <c r="OT1" s="129"/>
      <c r="OU1" s="129"/>
      <c r="OV1" s="129"/>
      <c r="OW1" s="129"/>
      <c r="OX1" s="129"/>
      <c r="OY1" s="129"/>
      <c r="OZ1" s="129"/>
      <c r="PA1" s="129"/>
      <c r="PB1" s="129"/>
      <c r="PC1" s="129"/>
      <c r="PD1" s="129"/>
      <c r="PE1" s="129"/>
      <c r="PF1" s="129"/>
      <c r="PG1" s="129"/>
      <c r="PH1" s="129"/>
      <c r="PI1" s="129"/>
      <c r="PJ1" s="129"/>
      <c r="PK1" s="129"/>
      <c r="PL1" s="129"/>
      <c r="PM1" s="129"/>
      <c r="PN1" s="129"/>
      <c r="PO1" s="129"/>
      <c r="PP1" s="129"/>
      <c r="PQ1" s="129"/>
      <c r="PR1" s="129"/>
      <c r="PS1" s="129"/>
      <c r="PT1" s="129"/>
      <c r="PU1" s="129"/>
      <c r="PV1" s="129"/>
      <c r="PW1" s="129"/>
      <c r="PX1" s="129"/>
      <c r="PY1" s="129"/>
      <c r="PZ1" s="129"/>
      <c r="QA1" s="129"/>
      <c r="QB1" s="129"/>
      <c r="QC1" s="129"/>
      <c r="QD1" s="129"/>
      <c r="QE1" s="129"/>
      <c r="QF1" s="129"/>
      <c r="QG1" s="129"/>
      <c r="QH1" s="129"/>
      <c r="QI1" s="129"/>
      <c r="QJ1" s="129"/>
      <c r="QK1" s="129"/>
      <c r="QL1" s="129"/>
      <c r="QM1" s="129"/>
      <c r="QN1" s="129"/>
      <c r="QO1" s="129"/>
      <c r="QP1" s="129"/>
      <c r="QQ1" s="129"/>
      <c r="QR1" s="129"/>
      <c r="QS1" s="129"/>
      <c r="QT1" s="129"/>
      <c r="QU1" s="129"/>
      <c r="QV1" s="129"/>
      <c r="QW1" s="129"/>
      <c r="QX1" s="129"/>
      <c r="QY1" s="129"/>
      <c r="QZ1" s="129"/>
      <c r="RA1" s="129"/>
      <c r="RB1" s="129"/>
      <c r="RC1" s="129"/>
      <c r="RD1" s="129"/>
      <c r="RE1" s="129"/>
      <c r="RF1" s="129"/>
      <c r="RG1" s="129"/>
      <c r="RH1" s="129"/>
      <c r="RI1" s="129"/>
      <c r="RJ1" s="129"/>
      <c r="RK1" s="129"/>
      <c r="RL1" s="129"/>
      <c r="RM1" s="129"/>
      <c r="RN1" s="129"/>
      <c r="RO1" s="129"/>
      <c r="RP1" s="129"/>
      <c r="RQ1" s="129"/>
      <c r="RR1" s="129"/>
      <c r="RS1" s="129"/>
      <c r="RT1" s="129"/>
      <c r="RU1" s="129"/>
      <c r="RV1" s="129"/>
      <c r="RW1" s="129"/>
      <c r="RX1" s="129"/>
      <c r="RY1" s="129"/>
      <c r="RZ1" s="129"/>
      <c r="SA1" s="129"/>
      <c r="SB1" s="129"/>
      <c r="SC1" s="129"/>
      <c r="SD1" s="129"/>
      <c r="SE1" s="129"/>
      <c r="SF1" s="129"/>
      <c r="SG1" s="129"/>
      <c r="SH1" s="129"/>
      <c r="SI1" s="129"/>
      <c r="SJ1" s="129"/>
      <c r="SK1" s="129"/>
      <c r="SL1" s="129"/>
      <c r="SM1" s="129"/>
      <c r="SN1" s="129"/>
      <c r="SO1" s="129"/>
      <c r="SP1" s="129"/>
      <c r="SQ1" s="129"/>
      <c r="SR1" s="129"/>
      <c r="SS1" s="129"/>
      <c r="ST1" s="129"/>
      <c r="SU1" s="129"/>
      <c r="SV1" s="129"/>
      <c r="SW1" s="129"/>
      <c r="SX1" s="129"/>
      <c r="SY1" s="129"/>
      <c r="SZ1" s="129"/>
      <c r="TA1" s="129"/>
      <c r="TB1" s="129"/>
      <c r="TC1" s="129"/>
      <c r="TD1" s="129"/>
      <c r="TE1" s="129"/>
      <c r="TF1" s="129"/>
      <c r="TG1" s="129"/>
      <c r="TH1" s="129"/>
      <c r="TI1" s="129"/>
      <c r="TJ1" s="129"/>
      <c r="TK1" s="129"/>
      <c r="TL1" s="129"/>
      <c r="TM1" s="129"/>
      <c r="TN1" s="129"/>
      <c r="TO1" s="129"/>
      <c r="TP1" s="129"/>
      <c r="TQ1" s="129"/>
      <c r="TR1" s="129"/>
      <c r="TS1" s="129"/>
      <c r="TT1" s="129"/>
      <c r="TU1" s="129"/>
      <c r="TV1" s="129"/>
      <c r="TW1" s="129"/>
      <c r="TX1" s="129"/>
      <c r="TY1" s="129"/>
      <c r="TZ1" s="129"/>
      <c r="UA1" s="129"/>
      <c r="UB1" s="129"/>
      <c r="UC1" s="129"/>
      <c r="UD1" s="129"/>
      <c r="UE1" s="129"/>
      <c r="UF1" s="129"/>
      <c r="UG1" s="129"/>
      <c r="UH1" s="129"/>
      <c r="UI1" s="129"/>
      <c r="UJ1" s="129"/>
      <c r="UK1" s="129"/>
      <c r="UL1" s="129"/>
      <c r="UM1" s="129"/>
      <c r="UN1" s="129"/>
      <c r="UO1" s="129"/>
      <c r="UP1" s="129"/>
      <c r="UQ1" s="129"/>
      <c r="UR1" s="129"/>
      <c r="US1" s="129"/>
      <c r="UT1" s="129"/>
      <c r="UU1" s="129"/>
      <c r="UV1" s="129"/>
      <c r="UW1" s="129"/>
      <c r="UX1" s="129"/>
      <c r="UY1" s="129"/>
      <c r="UZ1" s="129"/>
      <c r="VA1" s="129"/>
      <c r="VB1" s="129"/>
      <c r="VC1" s="129"/>
      <c r="VD1" s="129"/>
      <c r="VE1" s="129"/>
      <c r="VF1" s="129"/>
      <c r="VG1" s="129"/>
      <c r="VH1" s="129"/>
      <c r="VI1" s="129"/>
      <c r="VJ1" s="129"/>
      <c r="VK1" s="129"/>
      <c r="VL1" s="129"/>
      <c r="VM1" s="129"/>
      <c r="VN1" s="129"/>
      <c r="VO1" s="129"/>
      <c r="VP1" s="129"/>
      <c r="VQ1" s="129"/>
      <c r="VR1" s="129"/>
      <c r="VS1" s="129"/>
      <c r="VT1" s="129"/>
      <c r="VU1" s="129"/>
      <c r="VV1" s="129"/>
      <c r="VW1" s="129"/>
      <c r="VX1" s="129"/>
      <c r="VY1" s="129"/>
      <c r="VZ1" s="129"/>
      <c r="WA1" s="129"/>
      <c r="WB1" s="129"/>
      <c r="WC1" s="129"/>
      <c r="WD1" s="129"/>
      <c r="WE1" s="129"/>
      <c r="WF1" s="129"/>
      <c r="WG1" s="129"/>
      <c r="WH1" s="129"/>
      <c r="WI1" s="129"/>
      <c r="WJ1" s="129"/>
      <c r="WK1" s="129"/>
      <c r="WL1" s="129"/>
      <c r="WM1" s="129"/>
      <c r="WN1" s="129"/>
      <c r="WO1" s="129"/>
      <c r="WP1" s="129"/>
      <c r="WQ1" s="129"/>
      <c r="WR1" s="129"/>
      <c r="WS1" s="129"/>
      <c r="WT1" s="129"/>
      <c r="WU1" s="129"/>
      <c r="WV1" s="129"/>
      <c r="WW1" s="129"/>
      <c r="WX1" s="129"/>
      <c r="WY1" s="129"/>
      <c r="WZ1" s="129"/>
      <c r="XA1" s="129"/>
      <c r="XB1" s="129"/>
      <c r="XC1" s="129"/>
      <c r="XD1" s="129"/>
      <c r="XE1" s="129"/>
      <c r="XF1" s="129"/>
      <c r="XG1" s="129"/>
      <c r="XH1" s="129"/>
      <c r="XI1" s="129"/>
      <c r="XJ1" s="129"/>
      <c r="XK1" s="129"/>
      <c r="XL1" s="129"/>
      <c r="XM1" s="129"/>
      <c r="XN1" s="129"/>
      <c r="XO1" s="129"/>
      <c r="XP1" s="129"/>
      <c r="XQ1" s="129"/>
      <c r="XR1" s="129"/>
      <c r="XS1" s="129"/>
      <c r="XT1" s="129"/>
      <c r="XU1" s="129"/>
      <c r="XV1" s="129"/>
      <c r="XW1" s="129"/>
      <c r="XX1" s="129"/>
      <c r="XY1" s="129"/>
      <c r="XZ1" s="129"/>
      <c r="YA1" s="129"/>
      <c r="YB1" s="129"/>
      <c r="YC1" s="129"/>
      <c r="YD1" s="129"/>
      <c r="YE1" s="129"/>
      <c r="YF1" s="129"/>
      <c r="YG1" s="129"/>
      <c r="YH1" s="129"/>
      <c r="YI1" s="129"/>
      <c r="YJ1" s="129"/>
      <c r="YK1" s="129"/>
      <c r="YL1" s="129"/>
      <c r="YM1" s="129"/>
      <c r="YN1" s="129"/>
      <c r="YO1" s="129"/>
      <c r="YP1" s="129"/>
      <c r="YQ1" s="129"/>
      <c r="YR1" s="129"/>
      <c r="YS1" s="129"/>
      <c r="YT1" s="129"/>
      <c r="YU1" s="129"/>
      <c r="YV1" s="129"/>
      <c r="YW1" s="129"/>
      <c r="YX1" s="129"/>
      <c r="YY1" s="129"/>
      <c r="YZ1" s="129"/>
      <c r="ZA1" s="129"/>
      <c r="ZB1" s="129"/>
      <c r="ZC1" s="129"/>
      <c r="ZD1" s="129"/>
      <c r="ZE1" s="129"/>
      <c r="ZF1" s="129"/>
      <c r="ZG1" s="129"/>
      <c r="ZH1" s="129"/>
      <c r="ZI1" s="129"/>
      <c r="ZJ1" s="129"/>
      <c r="ZK1" s="129"/>
      <c r="ZL1" s="129"/>
      <c r="ZM1" s="129"/>
      <c r="ZN1" s="129"/>
      <c r="ZO1" s="129"/>
      <c r="ZP1" s="129"/>
      <c r="ZQ1" s="129"/>
      <c r="ZR1" s="129"/>
      <c r="ZS1" s="129"/>
      <c r="ZT1" s="129"/>
      <c r="ZU1" s="129"/>
      <c r="ZV1" s="129"/>
      <c r="ZW1" s="129"/>
      <c r="ZX1" s="129"/>
      <c r="ZY1" s="129"/>
      <c r="ZZ1" s="129"/>
      <c r="AAA1" s="129"/>
      <c r="AAB1" s="129"/>
      <c r="AAC1" s="129"/>
      <c r="AAD1" s="129"/>
      <c r="AAE1" s="129"/>
      <c r="AAF1" s="129"/>
      <c r="AAG1" s="129"/>
      <c r="AAH1" s="129"/>
      <c r="AAI1" s="129"/>
      <c r="AAJ1" s="129"/>
      <c r="AAK1" s="129"/>
      <c r="AAL1" s="129"/>
      <c r="AAM1" s="129"/>
      <c r="AAN1" s="129"/>
      <c r="AAO1" s="129"/>
      <c r="AAP1" s="129"/>
      <c r="AAQ1" s="129"/>
      <c r="AAR1" s="129"/>
      <c r="AAS1" s="129"/>
      <c r="AAT1" s="129"/>
      <c r="AAU1" s="129"/>
      <c r="AAV1" s="129"/>
      <c r="AAW1" s="129"/>
      <c r="AAX1" s="129"/>
      <c r="AAY1" s="129"/>
      <c r="AAZ1" s="129"/>
      <c r="ABA1" s="129"/>
      <c r="ABB1" s="129"/>
      <c r="ABC1" s="129"/>
      <c r="ABD1" s="129"/>
      <c r="ABE1" s="129"/>
      <c r="ABF1" s="129"/>
      <c r="ABG1" s="129"/>
      <c r="ABH1" s="129"/>
      <c r="ABI1" s="129"/>
      <c r="ABJ1" s="129"/>
      <c r="ABK1" s="129"/>
      <c r="ABL1" s="129"/>
      <c r="ABM1" s="129"/>
      <c r="ABN1" s="129"/>
      <c r="ABO1" s="129"/>
      <c r="ABP1" s="129"/>
      <c r="ABQ1" s="129"/>
      <c r="ABR1" s="129"/>
      <c r="ABS1" s="129"/>
      <c r="ABT1" s="129"/>
      <c r="ABU1" s="129"/>
      <c r="ABV1" s="129"/>
      <c r="ABW1" s="129"/>
      <c r="ABX1" s="129"/>
      <c r="ABY1" s="129"/>
      <c r="ABZ1" s="129"/>
      <c r="ACA1" s="129"/>
      <c r="ACB1" s="129"/>
      <c r="ACC1" s="129"/>
      <c r="ACD1" s="129"/>
      <c r="ACE1" s="129"/>
      <c r="ACF1" s="129"/>
      <c r="ACG1" s="129"/>
      <c r="ACH1" s="129"/>
      <c r="ACI1" s="129"/>
      <c r="ACJ1" s="129"/>
      <c r="ACK1" s="129"/>
      <c r="ACL1" s="129"/>
      <c r="ACM1" s="129"/>
      <c r="ACN1" s="129"/>
      <c r="ACO1" s="129"/>
      <c r="ACP1" s="129"/>
      <c r="ACQ1" s="129"/>
      <c r="ACR1" s="129"/>
      <c r="ACS1" s="129"/>
      <c r="ACT1" s="129"/>
      <c r="ACU1" s="129"/>
      <c r="ACV1" s="129"/>
      <c r="ACW1" s="129"/>
      <c r="ACX1" s="129"/>
      <c r="ACY1" s="129"/>
      <c r="ACZ1" s="129"/>
      <c r="ADA1" s="129"/>
      <c r="ADB1" s="129"/>
      <c r="ADC1" s="129"/>
      <c r="ADD1" s="129"/>
      <c r="ADE1" s="129"/>
      <c r="ADF1" s="129"/>
      <c r="ADG1" s="129"/>
      <c r="ADH1" s="129"/>
      <c r="ADI1" s="129"/>
      <c r="ADJ1" s="129"/>
      <c r="ADK1" s="129"/>
      <c r="ADL1" s="129"/>
      <c r="ADM1" s="129"/>
      <c r="ADN1" s="129"/>
      <c r="ADO1" s="129"/>
      <c r="ADP1" s="129"/>
      <c r="ADQ1" s="129"/>
      <c r="ADR1" s="129"/>
      <c r="ADS1" s="129"/>
      <c r="ADT1" s="129"/>
      <c r="ADU1" s="129"/>
      <c r="ADV1" s="129"/>
      <c r="ADW1" s="129"/>
      <c r="ADX1" s="129"/>
      <c r="ADY1" s="129"/>
      <c r="ADZ1" s="129"/>
      <c r="AEA1" s="129"/>
      <c r="AEB1" s="129"/>
      <c r="AEC1" s="129"/>
      <c r="AED1" s="129"/>
      <c r="AEE1" s="129"/>
      <c r="AEF1" s="129"/>
      <c r="AEG1" s="129"/>
      <c r="AEH1" s="129"/>
      <c r="AEI1" s="129"/>
      <c r="AEJ1" s="129"/>
      <c r="AEK1" s="129"/>
      <c r="AEL1" s="129"/>
      <c r="AEM1" s="129"/>
      <c r="AEN1" s="129"/>
      <c r="AEO1" s="129"/>
      <c r="AEP1" s="129"/>
      <c r="AEQ1" s="129"/>
      <c r="AER1" s="129"/>
      <c r="AES1" s="129"/>
      <c r="AET1" s="129"/>
      <c r="AEU1" s="129"/>
      <c r="AEV1" s="129"/>
      <c r="AEW1" s="129"/>
      <c r="AEX1" s="129"/>
      <c r="AEY1" s="129"/>
      <c r="AEZ1" s="129"/>
      <c r="AFA1" s="129"/>
      <c r="AFB1" s="129"/>
      <c r="AFC1" s="129"/>
      <c r="AFD1" s="129"/>
      <c r="AFE1" s="129"/>
      <c r="AFF1" s="129"/>
      <c r="AFG1" s="129"/>
      <c r="AFH1" s="129"/>
      <c r="AFI1" s="129"/>
      <c r="AFJ1" s="129"/>
      <c r="AFK1" s="129"/>
      <c r="AFL1" s="129"/>
      <c r="AFM1" s="129"/>
      <c r="AFN1" s="129"/>
      <c r="AFO1" s="129"/>
      <c r="AFP1" s="129"/>
      <c r="AFQ1" s="129"/>
      <c r="AFR1" s="129"/>
      <c r="AFS1" s="129"/>
      <c r="AFT1" s="129"/>
      <c r="AFU1" s="129"/>
      <c r="AFV1" s="129"/>
      <c r="AFW1" s="129"/>
      <c r="AFX1" s="129"/>
      <c r="AFY1" s="129"/>
      <c r="AFZ1" s="129"/>
      <c r="AGA1" s="129"/>
      <c r="AGB1" s="129"/>
      <c r="AGC1" s="129"/>
      <c r="AGD1" s="129"/>
      <c r="AGE1" s="129"/>
      <c r="AGF1" s="129"/>
      <c r="AGG1" s="129"/>
      <c r="AGH1" s="129"/>
      <c r="AGI1" s="129"/>
      <c r="AGJ1" s="129"/>
      <c r="AGK1" s="129"/>
      <c r="AGL1" s="129"/>
      <c r="AGM1" s="129"/>
      <c r="AGN1" s="129"/>
      <c r="AGO1" s="129"/>
      <c r="AGP1" s="129"/>
      <c r="AGQ1" s="129"/>
      <c r="AGR1" s="129"/>
      <c r="AGS1" s="129"/>
      <c r="AGT1" s="129"/>
      <c r="AGU1" s="129"/>
      <c r="AGV1" s="129"/>
      <c r="AGW1" s="129"/>
      <c r="AGX1" s="129"/>
      <c r="AGY1" s="129"/>
      <c r="AGZ1" s="129"/>
      <c r="AHA1" s="129"/>
      <c r="AHB1" s="129"/>
      <c r="AHC1" s="129"/>
      <c r="AHD1" s="129"/>
      <c r="AHE1" s="129"/>
      <c r="AHF1" s="129"/>
      <c r="AHG1" s="129"/>
      <c r="AHH1" s="129"/>
      <c r="AHI1" s="129"/>
      <c r="AHJ1" s="129"/>
      <c r="AHK1" s="129"/>
      <c r="AHL1" s="129"/>
      <c r="AHM1" s="129"/>
      <c r="AHN1" s="129"/>
      <c r="AHO1" s="129"/>
      <c r="AHP1" s="129"/>
      <c r="AHQ1" s="129"/>
      <c r="AHR1" s="129"/>
      <c r="AHS1" s="129"/>
      <c r="AHT1" s="129"/>
      <c r="AHU1" s="129"/>
      <c r="AHV1" s="129"/>
      <c r="AHW1" s="129"/>
      <c r="AHX1" s="129"/>
      <c r="AHY1" s="129"/>
      <c r="AHZ1" s="129"/>
      <c r="AIA1" s="129"/>
      <c r="AIB1" s="129"/>
      <c r="AIC1" s="129"/>
      <c r="AID1" s="129"/>
      <c r="AIE1" s="129"/>
      <c r="AIF1" s="129"/>
      <c r="AIG1" s="129"/>
      <c r="AIH1" s="129"/>
      <c r="AII1" s="129"/>
      <c r="AIJ1" s="129"/>
      <c r="AIK1" s="129"/>
      <c r="AIL1" s="129"/>
      <c r="AIM1" s="129"/>
      <c r="AIN1" s="129"/>
      <c r="AIO1" s="129"/>
      <c r="AIP1" s="129"/>
      <c r="AIQ1" s="129"/>
      <c r="AIR1" s="129"/>
      <c r="AIS1" s="129"/>
      <c r="AIT1" s="129"/>
      <c r="AIU1" s="129"/>
      <c r="AIV1" s="129"/>
      <c r="AIW1" s="129"/>
      <c r="AIX1" s="129"/>
      <c r="AIY1" s="129"/>
      <c r="AIZ1" s="129"/>
      <c r="AJA1" s="129"/>
      <c r="AJB1" s="129"/>
      <c r="AJC1" s="129"/>
      <c r="AJD1" s="129"/>
      <c r="AJE1" s="129"/>
      <c r="AJF1" s="129"/>
      <c r="AJG1" s="129"/>
      <c r="AJH1" s="129"/>
      <c r="AJI1" s="129"/>
      <c r="AJJ1" s="129"/>
      <c r="AJK1" s="129"/>
      <c r="AJL1" s="129"/>
      <c r="AJM1" s="129"/>
      <c r="AJN1" s="129"/>
      <c r="AJO1" s="129"/>
      <c r="AJP1" s="129"/>
      <c r="AJQ1" s="129"/>
      <c r="AJR1" s="129"/>
      <c r="AJS1" s="129"/>
      <c r="AJT1" s="129"/>
      <c r="AJU1" s="129"/>
      <c r="AJV1" s="129"/>
      <c r="AJW1" s="129"/>
      <c r="AJX1" s="129"/>
      <c r="AJY1" s="129"/>
      <c r="AJZ1" s="129"/>
      <c r="AKA1" s="129"/>
      <c r="AKB1" s="129"/>
      <c r="AKC1" s="129"/>
      <c r="AKD1" s="129"/>
      <c r="AKE1" s="129"/>
      <c r="AKF1" s="129"/>
      <c r="AKG1" s="129"/>
      <c r="AKH1" s="129"/>
      <c r="AKI1" s="129"/>
      <c r="AKJ1" s="129"/>
      <c r="AKK1" s="129"/>
      <c r="AKL1" s="129"/>
      <c r="AKM1" s="129"/>
      <c r="AKN1" s="129"/>
      <c r="AKO1" s="129"/>
      <c r="AKP1" s="129"/>
      <c r="AKQ1" s="129"/>
      <c r="AKR1" s="129"/>
      <c r="AKS1" s="129"/>
      <c r="AKT1" s="129"/>
      <c r="AKU1" s="129"/>
      <c r="AKV1" s="129"/>
      <c r="AKW1" s="129"/>
      <c r="AKX1" s="129"/>
      <c r="AKY1" s="129"/>
      <c r="AKZ1" s="129"/>
      <c r="ALA1" s="129"/>
      <c r="ALB1" s="129"/>
      <c r="ALC1" s="129"/>
      <c r="ALD1" s="129"/>
      <c r="ALE1" s="129"/>
      <c r="ALF1" s="129"/>
      <c r="ALG1" s="129"/>
      <c r="ALH1" s="129"/>
      <c r="ALI1" s="129"/>
      <c r="ALJ1" s="129"/>
      <c r="ALK1" s="129"/>
      <c r="ALL1" s="129"/>
      <c r="ALM1" s="129"/>
      <c r="ALN1" s="129"/>
      <c r="ALO1" s="129"/>
      <c r="ALP1" s="129"/>
      <c r="ALQ1" s="129"/>
      <c r="ALR1" s="129"/>
      <c r="ALS1" s="129"/>
      <c r="ALT1" s="129"/>
      <c r="ALU1" s="129"/>
      <c r="ALV1" s="129"/>
      <c r="ALW1" s="129"/>
      <c r="ALX1" s="129"/>
      <c r="ALY1" s="129"/>
      <c r="ALZ1" s="129"/>
      <c r="AMA1" s="129"/>
      <c r="AMB1" s="129"/>
      <c r="AMC1" s="129"/>
      <c r="AMD1" s="129"/>
      <c r="AME1" s="129"/>
      <c r="AMF1" s="129"/>
      <c r="AMG1" s="129"/>
      <c r="AMH1" s="129"/>
      <c r="AMI1" s="129"/>
      <c r="AMJ1" s="129"/>
      <c r="AMK1" s="129"/>
      <c r="AML1" s="129"/>
      <c r="AMM1" s="129"/>
      <c r="AMN1" s="129"/>
      <c r="AMO1" s="129"/>
      <c r="AMP1" s="129"/>
      <c r="AMQ1" s="129"/>
      <c r="AMR1" s="129"/>
      <c r="AMS1" s="129"/>
      <c r="AMT1" s="129"/>
      <c r="AMU1" s="129"/>
      <c r="AMV1" s="129"/>
      <c r="AMW1" s="129"/>
      <c r="AMX1" s="129"/>
      <c r="AMY1" s="129"/>
      <c r="AMZ1" s="129"/>
      <c r="ANA1" s="129"/>
      <c r="ANB1" s="129"/>
      <c r="ANC1" s="129"/>
      <c r="AND1" s="129"/>
      <c r="ANE1" s="129"/>
      <c r="ANF1" s="129"/>
      <c r="ANG1" s="129"/>
      <c r="ANH1" s="129"/>
      <c r="ANI1" s="129"/>
      <c r="ANJ1" s="129"/>
      <c r="ANK1" s="129"/>
      <c r="ANL1" s="129"/>
      <c r="ANM1" s="129"/>
      <c r="ANN1" s="129"/>
      <c r="ANO1" s="129"/>
      <c r="ANP1" s="129"/>
      <c r="ANQ1" s="129"/>
      <c r="ANR1" s="129"/>
      <c r="ANS1" s="129"/>
      <c r="ANT1" s="129"/>
      <c r="ANU1" s="129"/>
      <c r="ANV1" s="129"/>
      <c r="ANW1" s="129"/>
      <c r="ANX1" s="129"/>
      <c r="ANY1" s="129"/>
      <c r="ANZ1" s="129"/>
      <c r="AOA1" s="129"/>
      <c r="AOB1" s="129"/>
      <c r="AOC1" s="129"/>
      <c r="AOD1" s="129"/>
      <c r="AOE1" s="129"/>
      <c r="AOF1" s="129"/>
      <c r="AOG1" s="129"/>
      <c r="AOH1" s="129"/>
      <c r="AOI1" s="129"/>
      <c r="AOJ1" s="129"/>
      <c r="AOK1" s="129"/>
      <c r="AOL1" s="129"/>
      <c r="AOM1" s="129"/>
      <c r="AON1" s="129"/>
      <c r="AOO1" s="129"/>
      <c r="AOP1" s="129"/>
      <c r="AOQ1" s="129"/>
      <c r="AOR1" s="129"/>
      <c r="AOS1" s="129"/>
      <c r="AOT1" s="129"/>
      <c r="AOU1" s="129"/>
      <c r="AOV1" s="129"/>
      <c r="AOW1" s="129"/>
      <c r="AOX1" s="129"/>
      <c r="AOY1" s="129"/>
      <c r="AOZ1" s="129"/>
      <c r="APA1" s="129"/>
      <c r="APB1" s="129"/>
      <c r="APC1" s="129"/>
      <c r="APD1" s="129"/>
      <c r="APE1" s="129"/>
      <c r="APF1" s="129"/>
      <c r="APG1" s="129"/>
      <c r="APH1" s="129"/>
      <c r="API1" s="129"/>
      <c r="APJ1" s="129"/>
      <c r="APK1" s="129"/>
      <c r="APL1" s="129"/>
      <c r="APM1" s="129"/>
      <c r="APN1" s="129"/>
      <c r="APO1" s="129"/>
      <c r="APP1" s="129"/>
      <c r="APQ1" s="129"/>
      <c r="APR1" s="129"/>
      <c r="APS1" s="129"/>
      <c r="APT1" s="129"/>
      <c r="APU1" s="129"/>
      <c r="APV1" s="129"/>
      <c r="APW1" s="129"/>
      <c r="APX1" s="129"/>
      <c r="APY1" s="129"/>
      <c r="APZ1" s="129"/>
      <c r="AQA1" s="129"/>
      <c r="AQB1" s="129"/>
      <c r="AQC1" s="129"/>
      <c r="AQD1" s="129"/>
      <c r="AQE1" s="129"/>
      <c r="AQF1" s="129"/>
      <c r="AQG1" s="129"/>
      <c r="AQH1" s="129"/>
      <c r="AQI1" s="129"/>
      <c r="AQJ1" s="129"/>
      <c r="AQK1" s="129"/>
      <c r="AQL1" s="129"/>
      <c r="AQM1" s="129"/>
      <c r="AQN1" s="129"/>
      <c r="AQO1" s="129"/>
      <c r="AQP1" s="129"/>
      <c r="AQQ1" s="129"/>
      <c r="AQR1" s="129"/>
      <c r="AQS1" s="129"/>
      <c r="AQT1" s="129"/>
      <c r="AQU1" s="129"/>
      <c r="AQV1" s="129"/>
      <c r="AQW1" s="129"/>
      <c r="AQX1" s="129"/>
      <c r="AQY1" s="129"/>
      <c r="AQZ1" s="129"/>
      <c r="ARA1" s="129"/>
      <c r="ARB1" s="129"/>
      <c r="ARC1" s="129"/>
      <c r="ARD1" s="129"/>
      <c r="ARE1" s="129"/>
      <c r="ARF1" s="129"/>
      <c r="ARG1" s="129"/>
      <c r="ARH1" s="129"/>
      <c r="ARI1" s="129"/>
      <c r="ARJ1" s="129"/>
      <c r="ARK1" s="129"/>
      <c r="ARL1" s="129"/>
      <c r="ARM1" s="129"/>
      <c r="ARN1" s="129"/>
      <c r="ARO1" s="129"/>
      <c r="ARP1" s="129"/>
      <c r="ARQ1" s="129"/>
      <c r="ARR1" s="129"/>
      <c r="ARS1" s="129"/>
      <c r="ART1" s="129"/>
      <c r="ARU1" s="129"/>
      <c r="ARV1" s="129"/>
      <c r="ARW1" s="129"/>
      <c r="ARX1" s="129"/>
      <c r="ARY1" s="129"/>
      <c r="ARZ1" s="129"/>
      <c r="ASA1" s="129"/>
      <c r="ASB1" s="129"/>
      <c r="ASC1" s="129"/>
      <c r="ASD1" s="129"/>
      <c r="ASE1" s="129"/>
      <c r="ASF1" s="129"/>
      <c r="ASG1" s="129"/>
      <c r="ASH1" s="129"/>
      <c r="ASI1" s="129"/>
      <c r="ASJ1" s="129"/>
      <c r="ASK1" s="129"/>
      <c r="ASL1" s="129"/>
      <c r="ASM1" s="129"/>
      <c r="ASN1" s="129"/>
      <c r="ASO1" s="129"/>
      <c r="ASP1" s="129"/>
      <c r="ASQ1" s="129"/>
      <c r="ASR1" s="129"/>
      <c r="ASS1" s="129"/>
      <c r="AST1" s="129"/>
      <c r="ASU1" s="129"/>
      <c r="ASV1" s="129"/>
      <c r="ASW1" s="129"/>
      <c r="ASX1" s="129"/>
      <c r="ASY1" s="129"/>
      <c r="ASZ1" s="129"/>
      <c r="ATA1" s="129"/>
      <c r="ATB1" s="129"/>
      <c r="ATC1" s="129"/>
      <c r="ATD1" s="129"/>
      <c r="ATE1" s="129"/>
      <c r="ATF1" s="129"/>
      <c r="ATG1" s="129"/>
      <c r="ATH1" s="129"/>
      <c r="ATI1" s="129"/>
      <c r="ATJ1" s="129"/>
      <c r="ATK1" s="129"/>
      <c r="ATL1" s="129"/>
      <c r="ATM1" s="129"/>
      <c r="ATN1" s="129"/>
      <c r="ATO1" s="129"/>
      <c r="ATP1" s="129"/>
      <c r="ATQ1" s="129"/>
      <c r="ATR1" s="129"/>
      <c r="ATS1" s="129"/>
      <c r="ATT1" s="129"/>
      <c r="ATU1" s="129"/>
      <c r="ATV1" s="129"/>
      <c r="ATW1" s="129"/>
      <c r="ATX1" s="129"/>
      <c r="ATY1" s="129"/>
      <c r="ATZ1" s="129"/>
      <c r="AUA1" s="129"/>
      <c r="AUB1" s="129"/>
      <c r="AUC1" s="129"/>
      <c r="AUD1" s="129"/>
      <c r="AUE1" s="129"/>
      <c r="AUF1" s="129"/>
      <c r="AUG1" s="129"/>
      <c r="AUH1" s="129"/>
      <c r="AUI1" s="129"/>
      <c r="AUJ1" s="129"/>
      <c r="AUK1" s="129"/>
      <c r="AUL1" s="129"/>
      <c r="AUM1" s="129"/>
      <c r="AUN1" s="129"/>
      <c r="AUO1" s="129"/>
      <c r="AUP1" s="129"/>
      <c r="AUQ1" s="129"/>
      <c r="AUR1" s="129"/>
      <c r="AUS1" s="129"/>
      <c r="AUT1" s="129"/>
      <c r="AUU1" s="129"/>
      <c r="AUV1" s="129"/>
      <c r="AUW1" s="129"/>
      <c r="AUX1" s="129"/>
      <c r="AUY1" s="129"/>
      <c r="AUZ1" s="129"/>
      <c r="AVA1" s="129"/>
      <c r="AVB1" s="129"/>
      <c r="AVC1" s="129"/>
      <c r="AVD1" s="129"/>
      <c r="AVE1" s="129"/>
      <c r="AVF1" s="129"/>
      <c r="AVG1" s="129"/>
      <c r="AVH1" s="129"/>
      <c r="AVI1" s="129"/>
      <c r="AVJ1" s="129"/>
      <c r="AVK1" s="129"/>
      <c r="AVL1" s="129"/>
      <c r="AVM1" s="129"/>
      <c r="AVN1" s="129"/>
      <c r="AVO1" s="129"/>
      <c r="AVP1" s="129"/>
      <c r="AVQ1" s="129"/>
      <c r="AVR1" s="129"/>
      <c r="AVS1" s="129"/>
      <c r="AVT1" s="129"/>
      <c r="AVU1" s="129"/>
      <c r="AVV1" s="129"/>
      <c r="AVW1" s="129"/>
      <c r="AVX1" s="129"/>
      <c r="AVY1" s="129"/>
      <c r="AVZ1" s="129"/>
      <c r="AWA1" s="129"/>
      <c r="AWB1" s="129"/>
      <c r="AWC1" s="129"/>
      <c r="AWD1" s="129"/>
      <c r="AWE1" s="129"/>
      <c r="AWF1" s="129"/>
      <c r="AWG1" s="129"/>
      <c r="AWH1" s="129"/>
      <c r="AWI1" s="129"/>
      <c r="AWJ1" s="129"/>
      <c r="AWK1" s="129"/>
      <c r="AWL1" s="129"/>
      <c r="AWM1" s="129"/>
      <c r="AWN1" s="129"/>
      <c r="AWO1" s="129"/>
      <c r="AWP1" s="129"/>
      <c r="AWQ1" s="129"/>
      <c r="AWR1" s="129"/>
      <c r="AWS1" s="129"/>
      <c r="AWT1" s="129"/>
      <c r="AWU1" s="129"/>
      <c r="AWV1" s="129"/>
      <c r="AWW1" s="129"/>
      <c r="AWX1" s="129"/>
      <c r="AWY1" s="129"/>
      <c r="AWZ1" s="129"/>
      <c r="AXA1" s="129"/>
      <c r="AXB1" s="129"/>
      <c r="AXC1" s="129"/>
      <c r="AXD1" s="129"/>
      <c r="AXE1" s="129"/>
      <c r="AXF1" s="129"/>
      <c r="AXG1" s="129"/>
      <c r="AXH1" s="129"/>
      <c r="AXI1" s="129"/>
      <c r="AXJ1" s="129"/>
      <c r="AXK1" s="129"/>
      <c r="AXL1" s="129"/>
      <c r="AXM1" s="129"/>
      <c r="AXN1" s="129"/>
      <c r="AXO1" s="129"/>
      <c r="AXP1" s="129"/>
      <c r="AXQ1" s="129"/>
      <c r="AXR1" s="129"/>
      <c r="AXS1" s="129"/>
      <c r="AXT1" s="129"/>
      <c r="AXU1" s="129"/>
      <c r="AXV1" s="129"/>
      <c r="AXW1" s="129"/>
      <c r="AXX1" s="129"/>
      <c r="AXY1" s="129"/>
      <c r="AXZ1" s="129"/>
      <c r="AYA1" s="129"/>
      <c r="AYB1" s="129"/>
      <c r="AYC1" s="129"/>
      <c r="AYD1" s="129"/>
      <c r="AYE1" s="129"/>
      <c r="AYF1" s="129"/>
      <c r="AYG1" s="129"/>
      <c r="AYH1" s="129"/>
      <c r="AYI1" s="129"/>
      <c r="AYJ1" s="129"/>
      <c r="AYK1" s="129"/>
      <c r="AYL1" s="129"/>
      <c r="AYM1" s="129"/>
      <c r="AYN1" s="129"/>
      <c r="AYO1" s="129"/>
      <c r="AYP1" s="129"/>
      <c r="AYQ1" s="129"/>
      <c r="AYR1" s="129"/>
      <c r="AYS1" s="129"/>
      <c r="AYT1" s="129"/>
      <c r="AYU1" s="129"/>
      <c r="AYV1" s="129"/>
      <c r="AYW1" s="129"/>
      <c r="AYX1" s="129"/>
      <c r="AYY1" s="129"/>
      <c r="AYZ1" s="129"/>
      <c r="AZA1" s="129"/>
      <c r="AZB1" s="129"/>
      <c r="AZC1" s="129"/>
      <c r="AZD1" s="129"/>
      <c r="AZE1" s="129"/>
      <c r="AZF1" s="129"/>
      <c r="AZG1" s="129"/>
      <c r="AZH1" s="129"/>
      <c r="AZI1" s="129"/>
      <c r="AZJ1" s="129"/>
      <c r="AZK1" s="129"/>
      <c r="AZL1" s="129"/>
      <c r="AZM1" s="129"/>
      <c r="AZN1" s="129"/>
      <c r="AZO1" s="129"/>
      <c r="AZP1" s="129"/>
      <c r="AZQ1" s="129"/>
      <c r="AZR1" s="129"/>
      <c r="AZS1" s="129"/>
      <c r="AZT1" s="129"/>
      <c r="AZU1" s="129"/>
      <c r="AZV1" s="129"/>
      <c r="AZW1" s="129"/>
      <c r="AZX1" s="129"/>
      <c r="AZY1" s="129"/>
      <c r="AZZ1" s="129"/>
      <c r="BAA1" s="129"/>
      <c r="BAB1" s="129"/>
      <c r="BAC1" s="129"/>
      <c r="BAD1" s="129"/>
      <c r="BAE1" s="129"/>
      <c r="BAF1" s="129"/>
      <c r="BAG1" s="129"/>
      <c r="BAH1" s="129"/>
      <c r="BAI1" s="129"/>
      <c r="BAJ1" s="129"/>
      <c r="BAK1" s="129"/>
      <c r="BAL1" s="129"/>
      <c r="BAM1" s="129"/>
      <c r="BAN1" s="129"/>
      <c r="BAO1" s="129"/>
      <c r="BAP1" s="129"/>
      <c r="BAQ1" s="129"/>
      <c r="BAR1" s="129"/>
      <c r="BAS1" s="129"/>
      <c r="BAT1" s="129"/>
      <c r="BAU1" s="129"/>
      <c r="BAV1" s="129"/>
      <c r="BAW1" s="129"/>
      <c r="BAX1" s="129"/>
      <c r="BAY1" s="129"/>
      <c r="BAZ1" s="129"/>
      <c r="BBA1" s="129"/>
      <c r="BBB1" s="129"/>
      <c r="BBC1" s="129"/>
      <c r="BBD1" s="129"/>
      <c r="BBE1" s="129"/>
      <c r="BBF1" s="129"/>
      <c r="BBG1" s="129"/>
      <c r="BBH1" s="129"/>
      <c r="BBI1" s="129"/>
      <c r="BBJ1" s="129"/>
      <c r="BBK1" s="129"/>
      <c r="BBL1" s="129"/>
      <c r="BBM1" s="129"/>
      <c r="BBN1" s="129"/>
      <c r="BBO1" s="129"/>
      <c r="BBP1" s="129"/>
      <c r="BBQ1" s="129"/>
      <c r="BBR1" s="129"/>
      <c r="BBS1" s="129"/>
      <c r="BBT1" s="129"/>
      <c r="BBU1" s="129"/>
      <c r="BBV1" s="129"/>
      <c r="BBW1" s="129"/>
      <c r="BBX1" s="129"/>
      <c r="BBY1" s="129"/>
      <c r="BBZ1" s="129"/>
      <c r="BCA1" s="129"/>
      <c r="BCB1" s="129"/>
      <c r="BCC1" s="129"/>
      <c r="BCD1" s="129"/>
      <c r="BCE1" s="129"/>
      <c r="BCF1" s="129"/>
      <c r="BCG1" s="129"/>
      <c r="BCH1" s="129"/>
      <c r="BCI1" s="129"/>
      <c r="BCJ1" s="129"/>
      <c r="BCK1" s="129"/>
      <c r="BCL1" s="129"/>
      <c r="BCM1" s="129"/>
      <c r="BCN1" s="129"/>
      <c r="BCO1" s="129"/>
      <c r="BCP1" s="129"/>
      <c r="BCQ1" s="129"/>
      <c r="BCR1" s="129"/>
      <c r="BCS1" s="129"/>
      <c r="BCT1" s="129"/>
      <c r="BCU1" s="129"/>
      <c r="BCV1" s="129"/>
      <c r="BCW1" s="129"/>
      <c r="BCX1" s="129"/>
      <c r="BCY1" s="129"/>
      <c r="BCZ1" s="129"/>
      <c r="BDA1" s="129"/>
      <c r="BDB1" s="129"/>
      <c r="BDC1" s="129"/>
      <c r="BDD1" s="129"/>
      <c r="BDE1" s="129"/>
      <c r="BDF1" s="129"/>
      <c r="BDG1" s="129"/>
      <c r="BDH1" s="129"/>
      <c r="BDI1" s="129"/>
      <c r="BDJ1" s="129"/>
      <c r="BDK1" s="129"/>
      <c r="BDL1" s="129"/>
      <c r="BDM1" s="129"/>
      <c r="BDN1" s="129"/>
      <c r="BDO1" s="129"/>
      <c r="BDP1" s="129"/>
      <c r="BDQ1" s="129"/>
      <c r="BDR1" s="129"/>
      <c r="BDS1" s="129"/>
      <c r="BDT1" s="129"/>
      <c r="BDU1" s="129"/>
      <c r="BDV1" s="129"/>
      <c r="BDW1" s="129"/>
      <c r="BDX1" s="129"/>
      <c r="BDY1" s="129"/>
      <c r="BDZ1" s="129"/>
      <c r="BEA1" s="129"/>
      <c r="BEB1" s="129"/>
      <c r="BEC1" s="129"/>
      <c r="BED1" s="129"/>
      <c r="BEE1" s="129"/>
      <c r="BEF1" s="129"/>
      <c r="BEG1" s="129"/>
      <c r="BEH1" s="129"/>
      <c r="BEI1" s="129"/>
      <c r="BEJ1" s="129"/>
      <c r="BEK1" s="129"/>
      <c r="BEL1" s="129"/>
      <c r="BEM1" s="129"/>
      <c r="BEN1" s="129"/>
      <c r="BEO1" s="129"/>
      <c r="BEP1" s="129"/>
      <c r="BEQ1" s="129"/>
      <c r="BER1" s="129"/>
      <c r="BES1" s="129"/>
      <c r="BET1" s="129"/>
      <c r="BEU1" s="129"/>
      <c r="BEV1" s="129"/>
      <c r="BEW1" s="129"/>
      <c r="BEX1" s="129"/>
      <c r="BEY1" s="129"/>
      <c r="BEZ1" s="129"/>
      <c r="BFA1" s="129"/>
      <c r="BFB1" s="129"/>
      <c r="BFC1" s="129"/>
      <c r="BFD1" s="129"/>
      <c r="BFE1" s="129"/>
      <c r="BFF1" s="129"/>
      <c r="BFG1" s="129"/>
      <c r="BFH1" s="129"/>
      <c r="BFI1" s="129"/>
      <c r="BFJ1" s="129"/>
      <c r="BFK1" s="129"/>
      <c r="BFL1" s="129"/>
      <c r="BFM1" s="129"/>
      <c r="BFN1" s="129"/>
      <c r="BFO1" s="129"/>
      <c r="BFP1" s="129"/>
      <c r="BFQ1" s="129"/>
      <c r="BFR1" s="129"/>
      <c r="BFS1" s="129"/>
      <c r="BFT1" s="129"/>
      <c r="BFU1" s="129"/>
      <c r="BFV1" s="129"/>
      <c r="BFW1" s="129"/>
      <c r="BFX1" s="129"/>
      <c r="BFY1" s="129"/>
      <c r="BFZ1" s="129"/>
      <c r="BGA1" s="129"/>
      <c r="BGB1" s="129"/>
      <c r="BGC1" s="129"/>
      <c r="BGD1" s="129"/>
      <c r="BGE1" s="129"/>
      <c r="BGF1" s="129"/>
      <c r="BGG1" s="129"/>
      <c r="BGH1" s="129"/>
      <c r="BGI1" s="129"/>
      <c r="BGJ1" s="129"/>
      <c r="BGK1" s="129"/>
      <c r="BGL1" s="129"/>
      <c r="BGM1" s="129"/>
      <c r="BGN1" s="129"/>
      <c r="BGO1" s="129"/>
      <c r="BGP1" s="129"/>
      <c r="BGQ1" s="129"/>
      <c r="BGR1" s="129"/>
      <c r="BGS1" s="129"/>
      <c r="BGT1" s="129"/>
      <c r="BGU1" s="129"/>
      <c r="BGV1" s="129"/>
      <c r="BGW1" s="129"/>
      <c r="BGX1" s="129"/>
      <c r="BGY1" s="129"/>
      <c r="BGZ1" s="129"/>
      <c r="BHA1" s="129"/>
      <c r="BHB1" s="129"/>
      <c r="BHC1" s="129"/>
      <c r="BHD1" s="129"/>
      <c r="BHE1" s="129"/>
      <c r="BHF1" s="129"/>
      <c r="BHG1" s="129"/>
      <c r="BHH1" s="129"/>
      <c r="BHI1" s="129"/>
      <c r="BHJ1" s="129"/>
      <c r="BHK1" s="129"/>
      <c r="BHL1" s="129"/>
      <c r="BHM1" s="129"/>
      <c r="BHN1" s="129"/>
      <c r="BHO1" s="129"/>
      <c r="BHP1" s="129"/>
      <c r="BHQ1" s="129"/>
      <c r="BHR1" s="129"/>
      <c r="BHS1" s="129"/>
      <c r="BHT1" s="129"/>
      <c r="BHU1" s="129"/>
      <c r="BHV1" s="129"/>
      <c r="BHW1" s="129"/>
      <c r="BHX1" s="129"/>
      <c r="BHY1" s="129"/>
      <c r="BHZ1" s="129"/>
      <c r="BIA1" s="129"/>
      <c r="BIB1" s="129"/>
      <c r="BIC1" s="129"/>
      <c r="BID1" s="129"/>
      <c r="BIE1" s="129"/>
      <c r="BIF1" s="129"/>
      <c r="BIG1" s="129"/>
      <c r="BIH1" s="129"/>
      <c r="BII1" s="129"/>
      <c r="BIJ1" s="129"/>
      <c r="BIK1" s="129"/>
      <c r="BIL1" s="129"/>
      <c r="BIM1" s="129"/>
      <c r="BIN1" s="129"/>
      <c r="BIO1" s="129"/>
      <c r="BIP1" s="129"/>
      <c r="BIQ1" s="129"/>
      <c r="BIR1" s="129"/>
      <c r="BIS1" s="129"/>
      <c r="BIT1" s="129"/>
      <c r="BIU1" s="129"/>
      <c r="BIV1" s="129"/>
      <c r="BIW1" s="129"/>
      <c r="BIX1" s="129"/>
      <c r="BIY1" s="129"/>
      <c r="BIZ1" s="129"/>
      <c r="BJA1" s="129"/>
      <c r="BJB1" s="129"/>
      <c r="BJC1" s="129"/>
      <c r="BJD1" s="129"/>
      <c r="BJE1" s="129"/>
      <c r="BJF1" s="129"/>
      <c r="BJG1" s="129"/>
      <c r="BJH1" s="129"/>
      <c r="BJI1" s="129"/>
      <c r="BJJ1" s="129"/>
      <c r="BJK1" s="129"/>
      <c r="BJL1" s="129"/>
      <c r="BJM1" s="129"/>
      <c r="BJN1" s="129"/>
      <c r="BJO1" s="129"/>
      <c r="BJP1" s="129"/>
      <c r="BJQ1" s="129"/>
      <c r="BJR1" s="129"/>
      <c r="BJS1" s="129"/>
      <c r="BJT1" s="129"/>
      <c r="BJU1" s="129"/>
      <c r="BJV1" s="129"/>
      <c r="BJW1" s="129"/>
      <c r="BJX1" s="129"/>
      <c r="BJY1" s="129"/>
      <c r="BJZ1" s="129"/>
      <c r="BKA1" s="129"/>
      <c r="BKB1" s="129"/>
      <c r="BKC1" s="129"/>
      <c r="BKD1" s="129"/>
      <c r="BKE1" s="129"/>
      <c r="BKF1" s="129"/>
      <c r="BKG1" s="129"/>
      <c r="BKH1" s="129"/>
      <c r="BKI1" s="129"/>
      <c r="BKJ1" s="129"/>
      <c r="BKK1" s="129"/>
      <c r="BKL1" s="129"/>
      <c r="BKM1" s="129"/>
      <c r="BKN1" s="129"/>
      <c r="BKO1" s="129"/>
      <c r="BKP1" s="129"/>
      <c r="BKQ1" s="129"/>
      <c r="BKR1" s="129"/>
      <c r="BKS1" s="129"/>
      <c r="BKT1" s="129"/>
      <c r="BKU1" s="129"/>
      <c r="BKV1" s="129"/>
      <c r="BKW1" s="129"/>
      <c r="BKX1" s="129"/>
      <c r="BKY1" s="129"/>
      <c r="BKZ1" s="129"/>
      <c r="BLA1" s="129"/>
      <c r="BLB1" s="129"/>
      <c r="BLC1" s="129"/>
      <c r="BLD1" s="129"/>
      <c r="BLE1" s="129"/>
      <c r="BLF1" s="129"/>
      <c r="BLG1" s="129"/>
      <c r="BLH1" s="129"/>
      <c r="BLI1" s="129"/>
      <c r="BLJ1" s="129"/>
      <c r="BLK1" s="129"/>
      <c r="BLL1" s="129"/>
      <c r="BLM1" s="129"/>
      <c r="BLN1" s="129"/>
      <c r="BLO1" s="129"/>
      <c r="BLP1" s="129"/>
      <c r="BLQ1" s="129"/>
      <c r="BLR1" s="129"/>
      <c r="BLS1" s="129"/>
      <c r="BLT1" s="129"/>
      <c r="BLU1" s="129"/>
      <c r="BLV1" s="129"/>
      <c r="BLW1" s="129"/>
      <c r="BLX1" s="129"/>
      <c r="BLY1" s="129"/>
      <c r="BLZ1" s="129"/>
      <c r="BMA1" s="129"/>
      <c r="BMB1" s="129"/>
      <c r="BMC1" s="129"/>
      <c r="BMD1" s="129"/>
      <c r="BME1" s="129"/>
      <c r="BMF1" s="129"/>
      <c r="BMG1" s="129"/>
      <c r="BMH1" s="129"/>
      <c r="BMI1" s="129"/>
      <c r="BMJ1" s="129"/>
      <c r="BMK1" s="129"/>
      <c r="BML1" s="129"/>
      <c r="BMM1" s="129"/>
      <c r="BMN1" s="129"/>
      <c r="BMO1" s="129"/>
      <c r="BMP1" s="129"/>
      <c r="BMQ1" s="129"/>
      <c r="BMR1" s="129"/>
      <c r="BMS1" s="129"/>
      <c r="BMT1" s="129"/>
      <c r="BMU1" s="129"/>
      <c r="BMV1" s="129"/>
      <c r="BMW1" s="129"/>
      <c r="BMX1" s="129"/>
      <c r="BMY1" s="129"/>
      <c r="BMZ1" s="129"/>
      <c r="BNA1" s="129"/>
      <c r="BNB1" s="129"/>
      <c r="BNC1" s="129"/>
      <c r="BND1" s="129"/>
      <c r="BNE1" s="129"/>
      <c r="BNF1" s="129"/>
      <c r="BNG1" s="129"/>
      <c r="BNH1" s="129"/>
      <c r="BNI1" s="129"/>
      <c r="BNJ1" s="129"/>
      <c r="BNK1" s="129"/>
      <c r="BNL1" s="129"/>
      <c r="BNM1" s="129"/>
      <c r="BNN1" s="129"/>
      <c r="BNO1" s="129"/>
      <c r="BNP1" s="129"/>
      <c r="BNQ1" s="129"/>
      <c r="BNR1" s="129"/>
      <c r="BNS1" s="129"/>
      <c r="BNT1" s="129"/>
      <c r="BNU1" s="129"/>
      <c r="BNV1" s="129"/>
      <c r="BNW1" s="129"/>
      <c r="BNX1" s="129"/>
      <c r="BNY1" s="129"/>
      <c r="BNZ1" s="129"/>
      <c r="BOA1" s="129"/>
      <c r="BOB1" s="129"/>
      <c r="BOC1" s="129"/>
      <c r="BOD1" s="129"/>
      <c r="BOE1" s="129"/>
      <c r="BOF1" s="129"/>
      <c r="BOG1" s="129"/>
      <c r="BOH1" s="129"/>
      <c r="BOI1" s="129"/>
      <c r="BOJ1" s="129"/>
      <c r="BOK1" s="129"/>
      <c r="BOL1" s="129"/>
      <c r="BOM1" s="129"/>
      <c r="BON1" s="129"/>
      <c r="BOO1" s="129"/>
      <c r="BOP1" s="129"/>
      <c r="BOQ1" s="129"/>
      <c r="BOR1" s="129"/>
      <c r="BOS1" s="129"/>
      <c r="BOT1" s="129"/>
      <c r="BOU1" s="129"/>
      <c r="BOV1" s="129"/>
      <c r="BOW1" s="129"/>
      <c r="BOX1" s="129"/>
      <c r="BOY1" s="129"/>
      <c r="BOZ1" s="129"/>
      <c r="BPA1" s="129"/>
      <c r="BPB1" s="129"/>
      <c r="BPC1" s="129"/>
      <c r="BPD1" s="129"/>
      <c r="BPE1" s="129"/>
      <c r="BPF1" s="129"/>
      <c r="BPG1" s="129"/>
      <c r="BPH1" s="129"/>
      <c r="BPI1" s="129"/>
      <c r="BPJ1" s="129"/>
      <c r="BPK1" s="129"/>
      <c r="BPL1" s="129"/>
      <c r="BPM1" s="129"/>
      <c r="BPN1" s="129"/>
      <c r="BPO1" s="129"/>
      <c r="BPP1" s="129"/>
      <c r="BPQ1" s="129"/>
      <c r="BPR1" s="129"/>
      <c r="BPS1" s="129"/>
      <c r="BPT1" s="129"/>
      <c r="BPU1" s="129"/>
      <c r="BPV1" s="129"/>
      <c r="BPW1" s="129"/>
      <c r="BPX1" s="129"/>
      <c r="BPY1" s="129"/>
      <c r="BPZ1" s="129"/>
      <c r="BQA1" s="129"/>
      <c r="BQB1" s="129"/>
      <c r="BQC1" s="129"/>
      <c r="BQD1" s="129"/>
      <c r="BQE1" s="129"/>
      <c r="BQF1" s="129"/>
      <c r="BQG1" s="129"/>
      <c r="BQH1" s="129"/>
      <c r="BQI1" s="129"/>
      <c r="BQJ1" s="129"/>
      <c r="BQK1" s="129"/>
      <c r="BQL1" s="129"/>
      <c r="BQM1" s="129"/>
      <c r="BQN1" s="129"/>
      <c r="BQO1" s="129"/>
      <c r="BQP1" s="129"/>
      <c r="BQQ1" s="129"/>
      <c r="BQR1" s="129"/>
      <c r="BQS1" s="129"/>
      <c r="BQT1" s="129"/>
      <c r="BQU1" s="129"/>
      <c r="BQV1" s="129"/>
      <c r="BQW1" s="129"/>
      <c r="BQX1" s="129"/>
      <c r="BQY1" s="129"/>
      <c r="BQZ1" s="129"/>
      <c r="BRA1" s="129"/>
      <c r="BRB1" s="129"/>
      <c r="BRC1" s="129"/>
      <c r="BRD1" s="129"/>
      <c r="BRE1" s="129"/>
      <c r="BRF1" s="129"/>
      <c r="BRG1" s="129"/>
      <c r="BRH1" s="129"/>
      <c r="BRI1" s="129"/>
      <c r="BRJ1" s="129"/>
      <c r="BRK1" s="129"/>
      <c r="BRL1" s="129"/>
      <c r="BRM1" s="129"/>
      <c r="BRN1" s="129"/>
      <c r="BRO1" s="129"/>
      <c r="BRP1" s="129"/>
      <c r="BRQ1" s="129"/>
      <c r="BRR1" s="129"/>
      <c r="BRS1" s="129"/>
      <c r="BRT1" s="129"/>
      <c r="BRU1" s="129"/>
      <c r="BRV1" s="129"/>
      <c r="BRW1" s="129"/>
      <c r="BRX1" s="129"/>
      <c r="BRY1" s="129"/>
      <c r="BRZ1" s="129"/>
      <c r="BSA1" s="129"/>
      <c r="BSB1" s="129"/>
      <c r="BSC1" s="129"/>
      <c r="BSD1" s="129"/>
      <c r="BSE1" s="129"/>
      <c r="BSF1" s="129"/>
      <c r="BSG1" s="129"/>
      <c r="BSH1" s="129"/>
      <c r="BSI1" s="129"/>
      <c r="BSJ1" s="129"/>
      <c r="BSK1" s="129"/>
      <c r="BSL1" s="129"/>
      <c r="BSM1" s="129"/>
      <c r="BSN1" s="129"/>
      <c r="BSO1" s="129"/>
      <c r="BSP1" s="129"/>
      <c r="BSQ1" s="129"/>
      <c r="BSR1" s="129"/>
      <c r="BSS1" s="129"/>
      <c r="BST1" s="129"/>
      <c r="BSU1" s="129"/>
      <c r="BSV1" s="129"/>
      <c r="BSW1" s="129"/>
      <c r="BSX1" s="129"/>
      <c r="BSY1" s="129"/>
      <c r="BSZ1" s="129"/>
      <c r="BTA1" s="129"/>
      <c r="BTB1" s="129"/>
      <c r="BTC1" s="129"/>
      <c r="BTD1" s="129"/>
      <c r="BTE1" s="129"/>
      <c r="BTF1" s="129"/>
      <c r="BTG1" s="129"/>
      <c r="BTH1" s="129"/>
      <c r="BTI1" s="129"/>
      <c r="BTJ1" s="129"/>
      <c r="BTK1" s="129"/>
      <c r="BTL1" s="129"/>
      <c r="BTM1" s="129"/>
      <c r="BTN1" s="129"/>
      <c r="BTO1" s="129"/>
      <c r="BTP1" s="129"/>
      <c r="BTQ1" s="129"/>
      <c r="BTR1" s="129"/>
      <c r="BTS1" s="129"/>
      <c r="BTT1" s="129"/>
      <c r="BTU1" s="129"/>
      <c r="BTV1" s="129"/>
      <c r="BTW1" s="129"/>
      <c r="BTX1" s="129"/>
      <c r="BTY1" s="129"/>
      <c r="BTZ1" s="129"/>
      <c r="BUA1" s="129"/>
      <c r="BUB1" s="129"/>
      <c r="BUC1" s="129"/>
      <c r="BUD1" s="129"/>
      <c r="BUE1" s="129"/>
      <c r="BUF1" s="129"/>
      <c r="BUG1" s="129"/>
      <c r="BUH1" s="129"/>
      <c r="BUI1" s="129"/>
      <c r="BUJ1" s="129"/>
      <c r="BUK1" s="129"/>
      <c r="BUL1" s="129"/>
      <c r="BUM1" s="129"/>
      <c r="BUN1" s="129"/>
      <c r="BUO1" s="129"/>
      <c r="BUP1" s="129"/>
      <c r="BUQ1" s="129"/>
      <c r="BUR1" s="129"/>
      <c r="BUS1" s="129"/>
      <c r="BUT1" s="129"/>
      <c r="BUU1" s="129"/>
      <c r="BUV1" s="129"/>
      <c r="BUW1" s="129"/>
      <c r="BUX1" s="129"/>
      <c r="BUY1" s="129"/>
      <c r="BUZ1" s="129"/>
      <c r="BVA1" s="129"/>
      <c r="BVB1" s="129"/>
      <c r="BVC1" s="129"/>
      <c r="BVD1" s="129"/>
      <c r="BVE1" s="129"/>
      <c r="BVF1" s="129"/>
      <c r="BVG1" s="129"/>
      <c r="BVH1" s="129"/>
      <c r="BVI1" s="129"/>
      <c r="BVJ1" s="129"/>
      <c r="BVK1" s="129"/>
      <c r="BVL1" s="129"/>
      <c r="BVM1" s="129"/>
      <c r="BVN1" s="129"/>
      <c r="BVO1" s="129"/>
      <c r="BVP1" s="129"/>
      <c r="BVQ1" s="129"/>
      <c r="BVR1" s="129"/>
      <c r="BVS1" s="129"/>
      <c r="BVT1" s="129"/>
      <c r="BVU1" s="129"/>
      <c r="BVV1" s="129"/>
      <c r="BVW1" s="129"/>
      <c r="BVX1" s="129"/>
      <c r="BVY1" s="129"/>
      <c r="BVZ1" s="129"/>
      <c r="BWA1" s="129"/>
      <c r="BWB1" s="129"/>
      <c r="BWC1" s="129"/>
      <c r="BWD1" s="129"/>
      <c r="BWE1" s="129"/>
      <c r="BWF1" s="129"/>
      <c r="BWG1" s="129"/>
      <c r="BWH1" s="129"/>
      <c r="BWI1" s="129"/>
      <c r="BWJ1" s="129"/>
      <c r="BWK1" s="129"/>
      <c r="BWL1" s="129"/>
      <c r="BWM1" s="129"/>
      <c r="BWN1" s="129"/>
      <c r="BWO1" s="129"/>
      <c r="BWP1" s="129"/>
      <c r="BWQ1" s="129"/>
      <c r="BWR1" s="129"/>
      <c r="BWS1" s="129"/>
      <c r="BWT1" s="129"/>
      <c r="BWU1" s="129"/>
      <c r="BWV1" s="129"/>
      <c r="BWW1" s="129"/>
      <c r="BWX1" s="129"/>
      <c r="BWY1" s="129"/>
      <c r="BWZ1" s="129"/>
      <c r="BXA1" s="129"/>
      <c r="BXB1" s="129"/>
      <c r="BXC1" s="129"/>
      <c r="BXD1" s="129"/>
      <c r="BXE1" s="129"/>
      <c r="BXF1" s="129"/>
      <c r="BXG1" s="129"/>
      <c r="BXH1" s="129"/>
      <c r="BXI1" s="129"/>
      <c r="BXJ1" s="129"/>
      <c r="BXK1" s="129"/>
      <c r="BXL1" s="129"/>
      <c r="BXM1" s="129"/>
      <c r="BXN1" s="129"/>
      <c r="BXO1" s="129"/>
      <c r="BXP1" s="129"/>
      <c r="BXQ1" s="129"/>
      <c r="BXR1" s="129"/>
      <c r="BXS1" s="129"/>
      <c r="BXT1" s="129"/>
      <c r="BXU1" s="129"/>
      <c r="BXV1" s="129"/>
      <c r="BXW1" s="129"/>
      <c r="BXX1" s="129"/>
      <c r="BXY1" s="129"/>
      <c r="BXZ1" s="129"/>
      <c r="BYA1" s="129"/>
      <c r="BYB1" s="129"/>
      <c r="BYC1" s="129"/>
      <c r="BYD1" s="129"/>
      <c r="BYE1" s="129"/>
      <c r="BYF1" s="129"/>
      <c r="BYG1" s="129"/>
      <c r="BYH1" s="129"/>
      <c r="BYI1" s="129"/>
      <c r="BYJ1" s="129"/>
      <c r="BYK1" s="129"/>
      <c r="BYL1" s="129"/>
      <c r="BYM1" s="129"/>
      <c r="BYN1" s="129"/>
      <c r="BYO1" s="129"/>
      <c r="BYP1" s="129"/>
      <c r="BYQ1" s="129"/>
      <c r="BYR1" s="129"/>
      <c r="BYS1" s="129"/>
      <c r="BYT1" s="129"/>
      <c r="BYU1" s="129"/>
      <c r="BYV1" s="129"/>
      <c r="BYW1" s="129"/>
      <c r="BYX1" s="129"/>
      <c r="BYY1" s="129"/>
      <c r="BYZ1" s="129"/>
      <c r="BZA1" s="129"/>
      <c r="BZB1" s="129"/>
      <c r="BZC1" s="129"/>
      <c r="BZD1" s="129"/>
      <c r="BZE1" s="129"/>
      <c r="BZF1" s="129"/>
      <c r="BZG1" s="129"/>
      <c r="BZH1" s="129"/>
      <c r="BZI1" s="129"/>
      <c r="BZJ1" s="129"/>
      <c r="BZK1" s="129"/>
      <c r="BZL1" s="129"/>
      <c r="BZM1" s="129"/>
      <c r="BZN1" s="129"/>
      <c r="BZO1" s="129"/>
      <c r="BZP1" s="129"/>
      <c r="BZQ1" s="129"/>
      <c r="BZR1" s="129"/>
      <c r="BZS1" s="129"/>
      <c r="BZT1" s="129"/>
      <c r="BZU1" s="129"/>
      <c r="BZV1" s="129"/>
      <c r="BZW1" s="129"/>
      <c r="BZX1" s="129"/>
      <c r="BZY1" s="129"/>
      <c r="BZZ1" s="129"/>
      <c r="CAA1" s="129"/>
      <c r="CAB1" s="129"/>
      <c r="CAC1" s="129"/>
      <c r="CAD1" s="129"/>
      <c r="CAE1" s="129"/>
      <c r="CAF1" s="129"/>
      <c r="CAG1" s="129"/>
      <c r="CAH1" s="129"/>
      <c r="CAI1" s="129"/>
      <c r="CAJ1" s="129"/>
      <c r="CAK1" s="129"/>
      <c r="CAL1" s="129"/>
      <c r="CAM1" s="129"/>
      <c r="CAN1" s="129"/>
      <c r="CAO1" s="129"/>
      <c r="CAP1" s="129"/>
      <c r="CAQ1" s="129"/>
      <c r="CAR1" s="129"/>
      <c r="CAS1" s="129"/>
      <c r="CAT1" s="129"/>
      <c r="CAU1" s="129"/>
      <c r="CAV1" s="129"/>
      <c r="CAW1" s="129"/>
      <c r="CAX1" s="129"/>
      <c r="CAY1" s="129"/>
      <c r="CAZ1" s="129"/>
      <c r="CBA1" s="129"/>
      <c r="CBB1" s="129"/>
      <c r="CBC1" s="129"/>
      <c r="CBD1" s="129"/>
      <c r="CBE1" s="129"/>
      <c r="CBF1" s="129"/>
      <c r="CBG1" s="129"/>
      <c r="CBH1" s="129"/>
      <c r="CBI1" s="129"/>
      <c r="CBJ1" s="129"/>
      <c r="CBK1" s="129"/>
      <c r="CBL1" s="129"/>
      <c r="CBM1" s="129"/>
      <c r="CBN1" s="129"/>
      <c r="CBO1" s="129"/>
      <c r="CBP1" s="129"/>
      <c r="CBQ1" s="129"/>
      <c r="CBR1" s="129"/>
      <c r="CBS1" s="129"/>
      <c r="CBT1" s="129"/>
      <c r="CBU1" s="129"/>
      <c r="CBV1" s="129"/>
      <c r="CBW1" s="129"/>
      <c r="CBX1" s="129"/>
      <c r="CBY1" s="129"/>
      <c r="CBZ1" s="129"/>
      <c r="CCA1" s="129"/>
      <c r="CCB1" s="129"/>
      <c r="CCC1" s="129"/>
      <c r="CCD1" s="129"/>
      <c r="CCE1" s="129"/>
      <c r="CCF1" s="129"/>
      <c r="CCG1" s="129"/>
      <c r="CCH1" s="129"/>
      <c r="CCI1" s="129"/>
      <c r="CCJ1" s="129"/>
      <c r="CCK1" s="129"/>
      <c r="CCL1" s="129"/>
      <c r="CCM1" s="129"/>
      <c r="CCN1" s="129"/>
      <c r="CCO1" s="129"/>
      <c r="CCP1" s="129"/>
      <c r="CCQ1" s="129"/>
      <c r="CCR1" s="129"/>
      <c r="CCS1" s="129"/>
      <c r="CCT1" s="129"/>
      <c r="CCU1" s="129"/>
      <c r="CCV1" s="129"/>
      <c r="CCW1" s="129"/>
      <c r="CCX1" s="129"/>
      <c r="CCY1" s="129"/>
      <c r="CCZ1" s="129"/>
      <c r="CDA1" s="129"/>
      <c r="CDB1" s="129"/>
      <c r="CDC1" s="129"/>
      <c r="CDD1" s="129"/>
      <c r="CDE1" s="129"/>
      <c r="CDF1" s="129"/>
      <c r="CDG1" s="129"/>
      <c r="CDH1" s="129"/>
      <c r="CDI1" s="129"/>
      <c r="CDJ1" s="129"/>
      <c r="CDK1" s="129"/>
      <c r="CDL1" s="129"/>
      <c r="CDM1" s="129"/>
      <c r="CDN1" s="129"/>
      <c r="CDO1" s="129"/>
      <c r="CDP1" s="129"/>
      <c r="CDQ1" s="129"/>
      <c r="CDR1" s="129"/>
      <c r="CDS1" s="129"/>
      <c r="CDT1" s="129"/>
      <c r="CDU1" s="129"/>
      <c r="CDV1" s="129"/>
      <c r="CDW1" s="129"/>
      <c r="CDX1" s="129"/>
      <c r="CDY1" s="129"/>
      <c r="CDZ1" s="129"/>
      <c r="CEA1" s="129"/>
      <c r="CEB1" s="129"/>
      <c r="CEC1" s="129"/>
      <c r="CED1" s="129"/>
      <c r="CEE1" s="129"/>
      <c r="CEF1" s="129"/>
      <c r="CEG1" s="129"/>
      <c r="CEH1" s="129"/>
      <c r="CEI1" s="129"/>
      <c r="CEJ1" s="129"/>
      <c r="CEK1" s="129"/>
      <c r="CEL1" s="129"/>
      <c r="CEM1" s="129"/>
      <c r="CEN1" s="129"/>
      <c r="CEO1" s="129"/>
      <c r="CEP1" s="129"/>
      <c r="CEQ1" s="129"/>
      <c r="CER1" s="129"/>
      <c r="CES1" s="129"/>
      <c r="CET1" s="129"/>
      <c r="CEU1" s="129"/>
      <c r="CEV1" s="129"/>
      <c r="CEW1" s="129"/>
      <c r="CEX1" s="129"/>
      <c r="CEY1" s="129"/>
      <c r="CEZ1" s="129"/>
      <c r="CFA1" s="129"/>
      <c r="CFB1" s="129"/>
      <c r="CFC1" s="129"/>
      <c r="CFD1" s="129"/>
      <c r="CFE1" s="129"/>
      <c r="CFF1" s="129"/>
      <c r="CFG1" s="129"/>
      <c r="CFH1" s="129"/>
      <c r="CFI1" s="129"/>
      <c r="CFJ1" s="129"/>
      <c r="CFK1" s="129"/>
      <c r="CFL1" s="129"/>
      <c r="CFM1" s="129"/>
      <c r="CFN1" s="129"/>
      <c r="CFO1" s="129"/>
      <c r="CFP1" s="129"/>
      <c r="CFQ1" s="129"/>
      <c r="CFR1" s="129"/>
      <c r="CFS1" s="129"/>
      <c r="CFT1" s="129"/>
      <c r="CFU1" s="129"/>
      <c r="CFV1" s="129"/>
      <c r="CFW1" s="129"/>
      <c r="CFX1" s="129"/>
      <c r="CFY1" s="129"/>
      <c r="CFZ1" s="129"/>
      <c r="CGA1" s="129"/>
      <c r="CGB1" s="129"/>
      <c r="CGC1" s="129"/>
      <c r="CGD1" s="129"/>
      <c r="CGE1" s="129"/>
      <c r="CGF1" s="129"/>
      <c r="CGG1" s="129"/>
      <c r="CGH1" s="129"/>
      <c r="CGI1" s="129"/>
      <c r="CGJ1" s="129"/>
      <c r="CGK1" s="129"/>
      <c r="CGL1" s="129"/>
      <c r="CGM1" s="129"/>
      <c r="CGN1" s="129"/>
      <c r="CGO1" s="129"/>
      <c r="CGP1" s="129"/>
      <c r="CGQ1" s="129"/>
      <c r="CGR1" s="129"/>
      <c r="CGS1" s="129"/>
      <c r="CGT1" s="129"/>
      <c r="CGU1" s="129"/>
      <c r="CGV1" s="129"/>
      <c r="CGW1" s="129"/>
      <c r="CGX1" s="129"/>
      <c r="CGY1" s="129"/>
      <c r="CGZ1" s="129"/>
      <c r="CHA1" s="129"/>
      <c r="CHB1" s="129"/>
      <c r="CHC1" s="129"/>
      <c r="CHD1" s="129"/>
      <c r="CHE1" s="129"/>
      <c r="CHF1" s="129"/>
      <c r="CHG1" s="129"/>
      <c r="CHH1" s="129"/>
      <c r="CHI1" s="129"/>
      <c r="CHJ1" s="129"/>
      <c r="CHK1" s="129"/>
      <c r="CHL1" s="129"/>
      <c r="CHM1" s="129"/>
      <c r="CHN1" s="129"/>
      <c r="CHO1" s="129"/>
      <c r="CHP1" s="129"/>
      <c r="CHQ1" s="129"/>
      <c r="CHR1" s="129"/>
      <c r="CHS1" s="129"/>
      <c r="CHT1" s="129"/>
      <c r="CHU1" s="129"/>
      <c r="CHV1" s="129"/>
      <c r="CHW1" s="129"/>
      <c r="CHX1" s="129"/>
      <c r="CHY1" s="129"/>
      <c r="CHZ1" s="129"/>
      <c r="CIA1" s="129"/>
      <c r="CIB1" s="129"/>
      <c r="CIC1" s="129"/>
      <c r="CID1" s="129"/>
      <c r="CIE1" s="129"/>
      <c r="CIF1" s="129"/>
      <c r="CIG1" s="129"/>
      <c r="CIH1" s="129"/>
      <c r="CII1" s="129"/>
      <c r="CIJ1" s="129"/>
      <c r="CIK1" s="129"/>
      <c r="CIL1" s="129"/>
      <c r="CIM1" s="129"/>
      <c r="CIN1" s="129"/>
      <c r="CIO1" s="129"/>
      <c r="CIP1" s="129"/>
      <c r="CIQ1" s="129"/>
      <c r="CIR1" s="129"/>
      <c r="CIS1" s="129"/>
      <c r="CIT1" s="129"/>
      <c r="CIU1" s="129"/>
      <c r="CIV1" s="129"/>
      <c r="CIW1" s="129"/>
      <c r="CIX1" s="129"/>
      <c r="CIY1" s="129"/>
      <c r="CIZ1" s="129"/>
      <c r="CJA1" s="129"/>
      <c r="CJB1" s="129"/>
      <c r="CJC1" s="129"/>
      <c r="CJD1" s="129"/>
      <c r="CJE1" s="129"/>
      <c r="CJF1" s="129"/>
      <c r="CJG1" s="129"/>
      <c r="CJH1" s="129"/>
      <c r="CJI1" s="129"/>
      <c r="CJJ1" s="129"/>
      <c r="CJK1" s="129"/>
      <c r="CJL1" s="129"/>
      <c r="CJM1" s="129"/>
      <c r="CJN1" s="129"/>
      <c r="CJO1" s="129"/>
      <c r="CJP1" s="129"/>
      <c r="CJQ1" s="129"/>
      <c r="CJR1" s="129"/>
      <c r="CJS1" s="129"/>
      <c r="CJT1" s="129"/>
      <c r="CJU1" s="129"/>
      <c r="CJV1" s="129"/>
      <c r="CJW1" s="129"/>
      <c r="CJX1" s="129"/>
      <c r="CJY1" s="129"/>
      <c r="CJZ1" s="129"/>
      <c r="CKA1" s="129"/>
      <c r="CKB1" s="129"/>
      <c r="CKC1" s="129"/>
      <c r="CKD1" s="129"/>
      <c r="CKE1" s="129"/>
      <c r="CKF1" s="129"/>
      <c r="CKG1" s="129"/>
      <c r="CKH1" s="129"/>
      <c r="CKI1" s="129"/>
      <c r="CKJ1" s="129"/>
      <c r="CKK1" s="129"/>
      <c r="CKL1" s="129"/>
      <c r="CKM1" s="129"/>
      <c r="CKN1" s="129"/>
      <c r="CKO1" s="129"/>
      <c r="CKP1" s="129"/>
      <c r="CKQ1" s="129"/>
      <c r="CKR1" s="129"/>
      <c r="CKS1" s="129"/>
      <c r="CKT1" s="129"/>
      <c r="CKU1" s="129"/>
      <c r="CKV1" s="129"/>
      <c r="CKW1" s="129"/>
      <c r="CKX1" s="129"/>
      <c r="CKY1" s="129"/>
      <c r="CKZ1" s="129"/>
      <c r="CLA1" s="129"/>
      <c r="CLB1" s="129"/>
      <c r="CLC1" s="129"/>
      <c r="CLD1" s="129"/>
      <c r="CLE1" s="129"/>
      <c r="CLF1" s="129"/>
      <c r="CLG1" s="129"/>
      <c r="CLH1" s="129"/>
      <c r="CLI1" s="129"/>
      <c r="CLJ1" s="129"/>
      <c r="CLK1" s="129"/>
      <c r="CLL1" s="129"/>
      <c r="CLM1" s="129"/>
      <c r="CLN1" s="129"/>
      <c r="CLO1" s="129"/>
      <c r="CLP1" s="129"/>
      <c r="CLQ1" s="129"/>
      <c r="CLR1" s="129"/>
      <c r="CLS1" s="129"/>
      <c r="CLT1" s="129"/>
      <c r="CLU1" s="129"/>
      <c r="CLV1" s="129"/>
      <c r="CLW1" s="129"/>
      <c r="CLX1" s="129"/>
      <c r="CLY1" s="129"/>
      <c r="CLZ1" s="129"/>
      <c r="CMA1" s="129"/>
      <c r="CMB1" s="129"/>
      <c r="CMC1" s="129"/>
      <c r="CMD1" s="129"/>
      <c r="CME1" s="129"/>
      <c r="CMF1" s="129"/>
      <c r="CMG1" s="129"/>
      <c r="CMH1" s="129"/>
      <c r="CMI1" s="129"/>
      <c r="CMJ1" s="129"/>
      <c r="CMK1" s="129"/>
      <c r="CML1" s="129"/>
      <c r="CMM1" s="129"/>
      <c r="CMN1" s="129"/>
      <c r="CMO1" s="129"/>
      <c r="CMP1" s="129"/>
      <c r="CMQ1" s="129"/>
      <c r="CMR1" s="129"/>
      <c r="CMS1" s="129"/>
      <c r="CMT1" s="129"/>
      <c r="CMU1" s="129"/>
      <c r="CMV1" s="129"/>
      <c r="CMW1" s="129"/>
      <c r="CMX1" s="129"/>
      <c r="CMY1" s="129"/>
      <c r="CMZ1" s="129"/>
      <c r="CNA1" s="129"/>
      <c r="CNB1" s="129"/>
      <c r="CNC1" s="129"/>
      <c r="CND1" s="129"/>
      <c r="CNE1" s="129"/>
      <c r="CNF1" s="129"/>
      <c r="CNG1" s="129"/>
      <c r="CNH1" s="129"/>
      <c r="CNI1" s="129"/>
      <c r="CNJ1" s="129"/>
      <c r="CNK1" s="129"/>
      <c r="CNL1" s="129"/>
      <c r="CNM1" s="129"/>
      <c r="CNN1" s="129"/>
      <c r="CNO1" s="129"/>
      <c r="CNP1" s="129"/>
      <c r="CNQ1" s="129"/>
      <c r="CNR1" s="129"/>
      <c r="CNS1" s="129"/>
      <c r="CNT1" s="129"/>
      <c r="CNU1" s="129"/>
      <c r="CNV1" s="129"/>
      <c r="CNW1" s="129"/>
      <c r="CNX1" s="129"/>
      <c r="CNY1" s="129"/>
      <c r="CNZ1" s="129"/>
      <c r="COA1" s="129"/>
      <c r="COB1" s="129"/>
      <c r="COC1" s="129"/>
      <c r="COD1" s="129"/>
      <c r="COE1" s="129"/>
      <c r="COF1" s="129"/>
      <c r="COG1" s="129"/>
      <c r="COH1" s="129"/>
      <c r="COI1" s="129"/>
      <c r="COJ1" s="129"/>
      <c r="COK1" s="129"/>
      <c r="COL1" s="129"/>
      <c r="COM1" s="129"/>
      <c r="CON1" s="129"/>
      <c r="COO1" s="129"/>
      <c r="COP1" s="129"/>
      <c r="COQ1" s="129"/>
      <c r="COR1" s="129"/>
      <c r="COS1" s="129"/>
      <c r="COT1" s="129"/>
      <c r="COU1" s="129"/>
      <c r="COV1" s="129"/>
      <c r="COW1" s="129"/>
      <c r="COX1" s="129"/>
      <c r="COY1" s="129"/>
      <c r="COZ1" s="129"/>
      <c r="CPA1" s="129"/>
      <c r="CPB1" s="129"/>
      <c r="CPC1" s="129"/>
      <c r="CPD1" s="129"/>
      <c r="CPE1" s="129"/>
      <c r="CPF1" s="129"/>
      <c r="CPG1" s="129"/>
      <c r="CPH1" s="129"/>
      <c r="CPI1" s="129"/>
      <c r="CPJ1" s="129"/>
      <c r="CPK1" s="129"/>
      <c r="CPL1" s="129"/>
      <c r="CPM1" s="129"/>
      <c r="CPN1" s="129"/>
      <c r="CPO1" s="129"/>
      <c r="CPP1" s="129"/>
      <c r="CPQ1" s="129"/>
      <c r="CPR1" s="129"/>
      <c r="CPS1" s="129"/>
      <c r="CPT1" s="129"/>
      <c r="CPU1" s="129"/>
      <c r="CPV1" s="129"/>
      <c r="CPW1" s="129"/>
      <c r="CPX1" s="129"/>
      <c r="CPY1" s="129"/>
      <c r="CPZ1" s="129"/>
      <c r="CQA1" s="129"/>
      <c r="CQB1" s="129"/>
      <c r="CQC1" s="129"/>
      <c r="CQD1" s="129"/>
      <c r="CQE1" s="129"/>
      <c r="CQF1" s="129"/>
      <c r="CQG1" s="129"/>
      <c r="CQH1" s="129"/>
      <c r="CQI1" s="129"/>
      <c r="CQJ1" s="129"/>
      <c r="CQK1" s="129"/>
      <c r="CQL1" s="129"/>
      <c r="CQM1" s="129"/>
      <c r="CQN1" s="129"/>
      <c r="CQO1" s="129"/>
      <c r="CQP1" s="129"/>
      <c r="CQQ1" s="129"/>
      <c r="CQR1" s="129"/>
      <c r="CQS1" s="129"/>
      <c r="CQT1" s="129"/>
      <c r="CQU1" s="129"/>
      <c r="CQV1" s="129"/>
      <c r="CQW1" s="129"/>
      <c r="CQX1" s="129"/>
      <c r="CQY1" s="129"/>
      <c r="CQZ1" s="129"/>
      <c r="CRA1" s="129"/>
      <c r="CRB1" s="129"/>
      <c r="CRC1" s="129"/>
      <c r="CRD1" s="129"/>
      <c r="CRE1" s="129"/>
      <c r="CRF1" s="129"/>
      <c r="CRG1" s="129"/>
      <c r="CRH1" s="129"/>
      <c r="CRI1" s="129"/>
      <c r="CRJ1" s="129"/>
      <c r="CRK1" s="129"/>
      <c r="CRL1" s="129"/>
      <c r="CRM1" s="129"/>
      <c r="CRN1" s="129"/>
      <c r="CRO1" s="129"/>
      <c r="CRP1" s="129"/>
      <c r="CRQ1" s="129"/>
      <c r="CRR1" s="129"/>
      <c r="CRS1" s="129"/>
      <c r="CRT1" s="129"/>
      <c r="CRU1" s="129"/>
      <c r="CRV1" s="129"/>
      <c r="CRW1" s="129"/>
      <c r="CRX1" s="129"/>
      <c r="CRY1" s="129"/>
      <c r="CRZ1" s="129"/>
      <c r="CSA1" s="129"/>
      <c r="CSB1" s="129"/>
      <c r="CSC1" s="129"/>
      <c r="CSD1" s="129"/>
      <c r="CSE1" s="129"/>
      <c r="CSF1" s="129"/>
      <c r="CSG1" s="129"/>
      <c r="CSH1" s="129"/>
      <c r="CSI1" s="129"/>
      <c r="CSJ1" s="129"/>
      <c r="CSK1" s="129"/>
      <c r="CSL1" s="129"/>
      <c r="CSM1" s="129"/>
      <c r="CSN1" s="129"/>
      <c r="CSO1" s="129"/>
      <c r="CSP1" s="129"/>
      <c r="CSQ1" s="129"/>
      <c r="CSR1" s="129"/>
      <c r="CSS1" s="129"/>
      <c r="CST1" s="129"/>
      <c r="CSU1" s="129"/>
      <c r="CSV1" s="129"/>
      <c r="CSW1" s="129"/>
      <c r="CSX1" s="129"/>
      <c r="CSY1" s="129"/>
      <c r="CSZ1" s="129"/>
      <c r="CTA1" s="129"/>
      <c r="CTB1" s="129"/>
      <c r="CTC1" s="129"/>
      <c r="CTD1" s="129"/>
      <c r="CTE1" s="129"/>
      <c r="CTF1" s="129"/>
      <c r="CTG1" s="129"/>
      <c r="CTH1" s="129"/>
      <c r="CTI1" s="129"/>
      <c r="CTJ1" s="129"/>
      <c r="CTK1" s="129"/>
      <c r="CTL1" s="129"/>
      <c r="CTM1" s="129"/>
      <c r="CTN1" s="129"/>
      <c r="CTO1" s="129"/>
      <c r="CTP1" s="129"/>
      <c r="CTQ1" s="129"/>
      <c r="CTR1" s="129"/>
      <c r="CTS1" s="129"/>
      <c r="CTT1" s="129"/>
      <c r="CTU1" s="129"/>
      <c r="CTV1" s="129"/>
      <c r="CTW1" s="129"/>
      <c r="CTX1" s="129"/>
      <c r="CTY1" s="129"/>
      <c r="CTZ1" s="129"/>
      <c r="CUA1" s="129"/>
      <c r="CUB1" s="129"/>
      <c r="CUC1" s="129"/>
      <c r="CUD1" s="129"/>
      <c r="CUE1" s="129"/>
      <c r="CUF1" s="129"/>
      <c r="CUG1" s="129"/>
      <c r="CUH1" s="129"/>
      <c r="CUI1" s="129"/>
      <c r="CUJ1" s="129"/>
      <c r="CUK1" s="129"/>
      <c r="CUL1" s="129"/>
      <c r="CUM1" s="129"/>
      <c r="CUN1" s="129"/>
      <c r="CUO1" s="129"/>
      <c r="CUP1" s="129"/>
      <c r="CUQ1" s="129"/>
      <c r="CUR1" s="129"/>
      <c r="CUS1" s="129"/>
      <c r="CUT1" s="129"/>
      <c r="CUU1" s="129"/>
      <c r="CUV1" s="129"/>
      <c r="CUW1" s="129"/>
      <c r="CUX1" s="129"/>
      <c r="CUY1" s="129"/>
      <c r="CUZ1" s="129"/>
      <c r="CVA1" s="129"/>
      <c r="CVB1" s="129"/>
      <c r="CVC1" s="129"/>
      <c r="CVD1" s="129"/>
      <c r="CVE1" s="129"/>
      <c r="CVF1" s="129"/>
      <c r="CVG1" s="129"/>
      <c r="CVH1" s="129"/>
      <c r="CVI1" s="129"/>
      <c r="CVJ1" s="129"/>
      <c r="CVK1" s="129"/>
      <c r="CVL1" s="129"/>
      <c r="CVM1" s="129"/>
      <c r="CVN1" s="129"/>
      <c r="CVO1" s="129"/>
      <c r="CVP1" s="129"/>
      <c r="CVQ1" s="129"/>
      <c r="CVR1" s="129"/>
      <c r="CVS1" s="129"/>
      <c r="CVT1" s="129"/>
      <c r="CVU1" s="129"/>
      <c r="CVV1" s="129"/>
      <c r="CVW1" s="129"/>
      <c r="CVX1" s="129"/>
      <c r="CVY1" s="129"/>
      <c r="CVZ1" s="129"/>
      <c r="CWA1" s="129"/>
      <c r="CWB1" s="129"/>
      <c r="CWC1" s="129"/>
      <c r="CWD1" s="129"/>
      <c r="CWE1" s="129"/>
      <c r="CWF1" s="129"/>
      <c r="CWG1" s="129"/>
      <c r="CWH1" s="129"/>
      <c r="CWI1" s="129"/>
      <c r="CWJ1" s="129"/>
      <c r="CWK1" s="129"/>
      <c r="CWL1" s="129"/>
      <c r="CWM1" s="129"/>
      <c r="CWN1" s="129"/>
      <c r="CWO1" s="129"/>
      <c r="CWP1" s="129"/>
      <c r="CWQ1" s="129"/>
      <c r="CWR1" s="129"/>
      <c r="CWS1" s="129"/>
      <c r="CWT1" s="129"/>
      <c r="CWU1" s="129"/>
      <c r="CWV1" s="129"/>
      <c r="CWW1" s="129"/>
      <c r="CWX1" s="129"/>
      <c r="CWY1" s="129"/>
      <c r="CWZ1" s="129"/>
      <c r="CXA1" s="129"/>
      <c r="CXB1" s="129"/>
      <c r="CXC1" s="129"/>
      <c r="CXD1" s="129"/>
      <c r="CXE1" s="129"/>
      <c r="CXF1" s="129"/>
      <c r="CXG1" s="129"/>
      <c r="CXH1" s="129"/>
      <c r="CXI1" s="129"/>
      <c r="CXJ1" s="129"/>
      <c r="CXK1" s="129"/>
      <c r="CXL1" s="129"/>
      <c r="CXM1" s="129"/>
      <c r="CXN1" s="129"/>
      <c r="CXO1" s="129"/>
      <c r="CXP1" s="129"/>
      <c r="CXQ1" s="129"/>
      <c r="CXR1" s="129"/>
      <c r="CXS1" s="129"/>
      <c r="CXT1" s="129"/>
      <c r="CXU1" s="129"/>
      <c r="CXV1" s="129"/>
      <c r="CXW1" s="129"/>
      <c r="CXX1" s="129"/>
      <c r="CXY1" s="129"/>
      <c r="CXZ1" s="129"/>
      <c r="CYA1" s="129"/>
      <c r="CYB1" s="129"/>
      <c r="CYC1" s="129"/>
      <c r="CYD1" s="129"/>
      <c r="CYE1" s="129"/>
      <c r="CYF1" s="129"/>
      <c r="CYG1" s="129"/>
      <c r="CYH1" s="129"/>
      <c r="CYI1" s="129"/>
      <c r="CYJ1" s="129"/>
      <c r="CYK1" s="129"/>
      <c r="CYL1" s="129"/>
      <c r="CYM1" s="129"/>
      <c r="CYN1" s="129"/>
      <c r="CYO1" s="129"/>
      <c r="CYP1" s="129"/>
      <c r="CYQ1" s="129"/>
      <c r="CYR1" s="129"/>
      <c r="CYS1" s="129"/>
      <c r="CYT1" s="129"/>
      <c r="CYU1" s="129"/>
      <c r="CYV1" s="129"/>
      <c r="CYW1" s="129"/>
      <c r="CYX1" s="129"/>
      <c r="CYY1" s="129"/>
      <c r="CYZ1" s="129"/>
      <c r="CZA1" s="129"/>
      <c r="CZB1" s="129"/>
      <c r="CZC1" s="129"/>
      <c r="CZD1" s="129"/>
      <c r="CZE1" s="129"/>
      <c r="CZF1" s="129"/>
      <c r="CZG1" s="129"/>
      <c r="CZH1" s="129"/>
      <c r="CZI1" s="129"/>
      <c r="CZJ1" s="129"/>
      <c r="CZK1" s="129"/>
      <c r="CZL1" s="129"/>
      <c r="CZM1" s="129"/>
      <c r="CZN1" s="129"/>
      <c r="CZO1" s="129"/>
      <c r="CZP1" s="129"/>
      <c r="CZQ1" s="129"/>
      <c r="CZR1" s="129"/>
      <c r="CZS1" s="129"/>
      <c r="CZT1" s="129"/>
      <c r="CZU1" s="129"/>
      <c r="CZV1" s="129"/>
      <c r="CZW1" s="129"/>
      <c r="CZX1" s="129"/>
      <c r="CZY1" s="129"/>
      <c r="CZZ1" s="129"/>
      <c r="DAA1" s="129"/>
      <c r="DAB1" s="129"/>
      <c r="DAC1" s="129"/>
      <c r="DAD1" s="129"/>
      <c r="DAE1" s="129"/>
      <c r="DAF1" s="129"/>
      <c r="DAG1" s="129"/>
      <c r="DAH1" s="129"/>
      <c r="DAI1" s="129"/>
      <c r="DAJ1" s="129"/>
      <c r="DAK1" s="129"/>
      <c r="DAL1" s="129"/>
      <c r="DAM1" s="129"/>
      <c r="DAN1" s="129"/>
      <c r="DAO1" s="129"/>
      <c r="DAP1" s="129"/>
      <c r="DAQ1" s="129"/>
      <c r="DAR1" s="129"/>
      <c r="DAS1" s="129"/>
      <c r="DAT1" s="129"/>
      <c r="DAU1" s="129"/>
      <c r="DAV1" s="129"/>
      <c r="DAW1" s="129"/>
      <c r="DAX1" s="129"/>
      <c r="DAY1" s="129"/>
      <c r="DAZ1" s="129"/>
      <c r="DBA1" s="129"/>
      <c r="DBB1" s="129"/>
      <c r="DBC1" s="129"/>
      <c r="DBD1" s="129"/>
      <c r="DBE1" s="129"/>
      <c r="DBF1" s="129"/>
      <c r="DBG1" s="129"/>
      <c r="DBH1" s="129"/>
      <c r="DBI1" s="129"/>
      <c r="DBJ1" s="129"/>
      <c r="DBK1" s="129"/>
      <c r="DBL1" s="129"/>
      <c r="DBM1" s="129"/>
      <c r="DBN1" s="129"/>
      <c r="DBO1" s="129"/>
      <c r="DBP1" s="129"/>
      <c r="DBQ1" s="129"/>
      <c r="DBR1" s="129"/>
      <c r="DBS1" s="129"/>
      <c r="DBT1" s="129"/>
      <c r="DBU1" s="129"/>
      <c r="DBV1" s="129"/>
      <c r="DBW1" s="129"/>
      <c r="DBX1" s="129"/>
      <c r="DBY1" s="129"/>
      <c r="DBZ1" s="129"/>
      <c r="DCA1" s="129"/>
      <c r="DCB1" s="129"/>
      <c r="DCC1" s="129"/>
      <c r="DCD1" s="129"/>
      <c r="DCE1" s="129"/>
      <c r="DCF1" s="129"/>
      <c r="DCG1" s="129"/>
      <c r="DCH1" s="129"/>
      <c r="DCI1" s="129"/>
      <c r="DCJ1" s="129"/>
      <c r="DCK1" s="129"/>
      <c r="DCL1" s="129"/>
      <c r="DCM1" s="129"/>
      <c r="DCN1" s="129"/>
      <c r="DCO1" s="129"/>
      <c r="DCP1" s="129"/>
      <c r="DCQ1" s="129"/>
      <c r="DCR1" s="129"/>
      <c r="DCS1" s="129"/>
      <c r="DCT1" s="129"/>
      <c r="DCU1" s="129"/>
      <c r="DCV1" s="129"/>
      <c r="DCW1" s="129"/>
      <c r="DCX1" s="129"/>
      <c r="DCY1" s="129"/>
      <c r="DCZ1" s="129"/>
      <c r="DDA1" s="129"/>
      <c r="DDB1" s="129"/>
      <c r="DDC1" s="129"/>
      <c r="DDD1" s="129"/>
      <c r="DDE1" s="129"/>
      <c r="DDF1" s="129"/>
      <c r="DDG1" s="129"/>
      <c r="DDH1" s="129"/>
      <c r="DDI1" s="129"/>
      <c r="DDJ1" s="129"/>
      <c r="DDK1" s="129"/>
      <c r="DDL1" s="129"/>
      <c r="DDM1" s="129"/>
      <c r="DDN1" s="129"/>
      <c r="DDO1" s="129"/>
      <c r="DDP1" s="129"/>
      <c r="DDQ1" s="129"/>
      <c r="DDR1" s="129"/>
      <c r="DDS1" s="129"/>
      <c r="DDT1" s="129"/>
      <c r="DDU1" s="129"/>
      <c r="DDV1" s="129"/>
      <c r="DDW1" s="129"/>
      <c r="DDX1" s="129"/>
      <c r="DDY1" s="129"/>
      <c r="DDZ1" s="129"/>
      <c r="DEA1" s="129"/>
      <c r="DEB1" s="129"/>
      <c r="DEC1" s="129"/>
      <c r="DED1" s="129"/>
      <c r="DEE1" s="129"/>
      <c r="DEF1" s="129"/>
      <c r="DEG1" s="129"/>
      <c r="DEH1" s="129"/>
      <c r="DEI1" s="129"/>
      <c r="DEJ1" s="129"/>
      <c r="DEK1" s="129"/>
      <c r="DEL1" s="129"/>
      <c r="DEM1" s="129"/>
      <c r="DEN1" s="129"/>
      <c r="DEO1" s="129"/>
      <c r="DEP1" s="129"/>
      <c r="DEQ1" s="129"/>
      <c r="DER1" s="129"/>
      <c r="DES1" s="129"/>
      <c r="DET1" s="129"/>
      <c r="DEU1" s="129"/>
      <c r="DEV1" s="129"/>
      <c r="DEW1" s="129"/>
      <c r="DEX1" s="129"/>
      <c r="DEY1" s="129"/>
      <c r="DEZ1" s="129"/>
      <c r="DFA1" s="129"/>
      <c r="DFB1" s="129"/>
      <c r="DFC1" s="129"/>
      <c r="DFD1" s="129"/>
      <c r="DFE1" s="129"/>
      <c r="DFF1" s="129"/>
      <c r="DFG1" s="129"/>
      <c r="DFH1" s="129"/>
      <c r="DFI1" s="129"/>
      <c r="DFJ1" s="129"/>
      <c r="DFK1" s="129"/>
      <c r="DFL1" s="129"/>
      <c r="DFM1" s="129"/>
      <c r="DFN1" s="129"/>
      <c r="DFO1" s="129"/>
      <c r="DFP1" s="129"/>
      <c r="DFQ1" s="129"/>
      <c r="DFR1" s="129"/>
      <c r="DFS1" s="129"/>
      <c r="DFT1" s="129"/>
      <c r="DFU1" s="129"/>
      <c r="DFV1" s="129"/>
      <c r="DFW1" s="129"/>
      <c r="DFX1" s="129"/>
      <c r="DFY1" s="129"/>
      <c r="DFZ1" s="129"/>
      <c r="DGA1" s="129"/>
      <c r="DGB1" s="129"/>
      <c r="DGC1" s="129"/>
      <c r="DGD1" s="129"/>
      <c r="DGE1" s="129"/>
      <c r="DGF1" s="129"/>
      <c r="DGG1" s="129"/>
      <c r="DGH1" s="129"/>
      <c r="DGI1" s="129"/>
      <c r="DGJ1" s="129"/>
      <c r="DGK1" s="129"/>
      <c r="DGL1" s="129"/>
      <c r="DGM1" s="129"/>
      <c r="DGN1" s="129"/>
      <c r="DGO1" s="129"/>
      <c r="DGP1" s="129"/>
      <c r="DGQ1" s="129"/>
      <c r="DGR1" s="129"/>
      <c r="DGS1" s="129"/>
      <c r="DGT1" s="129"/>
      <c r="DGU1" s="129"/>
      <c r="DGV1" s="129"/>
      <c r="DGW1" s="129"/>
      <c r="DGX1" s="129"/>
      <c r="DGY1" s="129"/>
      <c r="DGZ1" s="129"/>
      <c r="DHA1" s="129"/>
      <c r="DHB1" s="129"/>
      <c r="DHC1" s="129"/>
      <c r="DHD1" s="129"/>
      <c r="DHE1" s="129"/>
      <c r="DHF1" s="129"/>
      <c r="DHG1" s="129"/>
      <c r="DHH1" s="129"/>
      <c r="DHI1" s="129"/>
      <c r="DHJ1" s="129"/>
      <c r="DHK1" s="129"/>
      <c r="DHL1" s="129"/>
      <c r="DHM1" s="129"/>
      <c r="DHN1" s="129"/>
      <c r="DHO1" s="129"/>
      <c r="DHP1" s="129"/>
      <c r="DHQ1" s="129"/>
      <c r="DHR1" s="129"/>
      <c r="DHS1" s="129"/>
      <c r="DHT1" s="129"/>
      <c r="DHU1" s="129"/>
      <c r="DHV1" s="129"/>
      <c r="DHW1" s="129"/>
      <c r="DHX1" s="129"/>
      <c r="DHY1" s="129"/>
      <c r="DHZ1" s="129"/>
      <c r="DIA1" s="129"/>
      <c r="DIB1" s="129"/>
      <c r="DIC1" s="129"/>
      <c r="DID1" s="129"/>
      <c r="DIE1" s="129"/>
      <c r="DIF1" s="129"/>
      <c r="DIG1" s="129"/>
      <c r="DIH1" s="129"/>
      <c r="DII1" s="129"/>
      <c r="DIJ1" s="129"/>
      <c r="DIK1" s="129"/>
      <c r="DIL1" s="129"/>
      <c r="DIM1" s="129"/>
      <c r="DIN1" s="129"/>
      <c r="DIO1" s="129"/>
      <c r="DIP1" s="129"/>
      <c r="DIQ1" s="129"/>
      <c r="DIR1" s="129"/>
      <c r="DIS1" s="129"/>
      <c r="DIT1" s="129"/>
      <c r="DIU1" s="129"/>
      <c r="DIV1" s="129"/>
      <c r="DIW1" s="129"/>
      <c r="DIX1" s="129"/>
      <c r="DIY1" s="129"/>
      <c r="DIZ1" s="129"/>
      <c r="DJA1" s="129"/>
      <c r="DJB1" s="129"/>
      <c r="DJC1" s="129"/>
      <c r="DJD1" s="129"/>
      <c r="DJE1" s="129"/>
      <c r="DJF1" s="129"/>
      <c r="DJG1" s="129"/>
      <c r="DJH1" s="129"/>
      <c r="DJI1" s="129"/>
      <c r="DJJ1" s="129"/>
      <c r="DJK1" s="129"/>
      <c r="DJL1" s="129"/>
      <c r="DJM1" s="129"/>
      <c r="DJN1" s="129"/>
      <c r="DJO1" s="129"/>
      <c r="DJP1" s="129"/>
      <c r="DJQ1" s="129"/>
      <c r="DJR1" s="129"/>
      <c r="DJS1" s="129"/>
      <c r="DJT1" s="129"/>
      <c r="DJU1" s="129"/>
      <c r="DJV1" s="129"/>
      <c r="DJW1" s="129"/>
      <c r="DJX1" s="129"/>
      <c r="DJY1" s="129"/>
      <c r="DJZ1" s="129"/>
      <c r="DKA1" s="129"/>
      <c r="DKB1" s="129"/>
      <c r="DKC1" s="129"/>
      <c r="DKD1" s="129"/>
      <c r="DKE1" s="129"/>
      <c r="DKF1" s="129"/>
      <c r="DKG1" s="129"/>
      <c r="DKH1" s="129"/>
      <c r="DKI1" s="129"/>
      <c r="DKJ1" s="129"/>
      <c r="DKK1" s="129"/>
      <c r="DKL1" s="129"/>
      <c r="DKM1" s="129"/>
      <c r="DKN1" s="129"/>
      <c r="DKO1" s="129"/>
      <c r="DKP1" s="129"/>
      <c r="DKQ1" s="129"/>
      <c r="DKR1" s="129"/>
      <c r="DKS1" s="129"/>
      <c r="DKT1" s="129"/>
      <c r="DKU1" s="129"/>
      <c r="DKV1" s="129"/>
      <c r="DKW1" s="129"/>
      <c r="DKX1" s="129"/>
      <c r="DKY1" s="129"/>
      <c r="DKZ1" s="129"/>
      <c r="DLA1" s="129"/>
      <c r="DLB1" s="129"/>
      <c r="DLC1" s="129"/>
      <c r="DLD1" s="129"/>
      <c r="DLE1" s="129"/>
      <c r="DLF1" s="129"/>
      <c r="DLG1" s="129"/>
      <c r="DLH1" s="129"/>
      <c r="DLI1" s="129"/>
      <c r="DLJ1" s="129"/>
      <c r="DLK1" s="129"/>
      <c r="DLL1" s="129"/>
      <c r="DLM1" s="129"/>
      <c r="DLN1" s="129"/>
      <c r="DLO1" s="129"/>
      <c r="DLP1" s="129"/>
      <c r="DLQ1" s="129"/>
      <c r="DLR1" s="129"/>
      <c r="DLS1" s="129"/>
      <c r="DLT1" s="129"/>
      <c r="DLU1" s="129"/>
      <c r="DLV1" s="129"/>
      <c r="DLW1" s="129"/>
      <c r="DLX1" s="129"/>
      <c r="DLY1" s="129"/>
      <c r="DLZ1" s="129"/>
      <c r="DMA1" s="129"/>
      <c r="DMB1" s="129"/>
      <c r="DMC1" s="129"/>
      <c r="DMD1" s="129"/>
      <c r="DME1" s="129"/>
      <c r="DMF1" s="129"/>
      <c r="DMG1" s="129"/>
      <c r="DMH1" s="129"/>
      <c r="DMI1" s="129"/>
      <c r="DMJ1" s="129"/>
      <c r="DMK1" s="129"/>
      <c r="DML1" s="129"/>
      <c r="DMM1" s="129"/>
      <c r="DMN1" s="129"/>
      <c r="DMO1" s="129"/>
      <c r="DMP1" s="129"/>
      <c r="DMQ1" s="129"/>
      <c r="DMR1" s="129"/>
      <c r="DMS1" s="129"/>
      <c r="DMT1" s="129"/>
      <c r="DMU1" s="129"/>
      <c r="DMV1" s="129"/>
      <c r="DMW1" s="129"/>
      <c r="DMX1" s="129"/>
      <c r="DMY1" s="129"/>
      <c r="DMZ1" s="129"/>
      <c r="DNA1" s="129"/>
      <c r="DNB1" s="129"/>
      <c r="DNC1" s="129"/>
      <c r="DND1" s="129"/>
      <c r="DNE1" s="129"/>
      <c r="DNF1" s="129"/>
      <c r="DNG1" s="129"/>
      <c r="DNH1" s="129"/>
      <c r="DNI1" s="129"/>
      <c r="DNJ1" s="129"/>
      <c r="DNK1" s="129"/>
      <c r="DNL1" s="129"/>
      <c r="DNM1" s="129"/>
      <c r="DNN1" s="129"/>
      <c r="DNO1" s="129"/>
      <c r="DNP1" s="129"/>
      <c r="DNQ1" s="129"/>
      <c r="DNR1" s="129"/>
      <c r="DNS1" s="129"/>
      <c r="DNT1" s="129"/>
      <c r="DNU1" s="129"/>
      <c r="DNV1" s="129"/>
      <c r="DNW1" s="129"/>
      <c r="DNX1" s="129"/>
      <c r="DNY1" s="129"/>
      <c r="DNZ1" s="129"/>
      <c r="DOA1" s="129"/>
      <c r="DOB1" s="129"/>
      <c r="DOC1" s="129"/>
      <c r="DOD1" s="129"/>
      <c r="DOE1" s="129"/>
      <c r="DOF1" s="129"/>
      <c r="DOG1" s="129"/>
      <c r="DOH1" s="129"/>
      <c r="DOI1" s="129"/>
      <c r="DOJ1" s="129"/>
      <c r="DOK1" s="129"/>
      <c r="DOL1" s="129"/>
      <c r="DOM1" s="129"/>
      <c r="DON1" s="129"/>
      <c r="DOO1" s="129"/>
      <c r="DOP1" s="129"/>
      <c r="DOQ1" s="129"/>
      <c r="DOR1" s="129"/>
      <c r="DOS1" s="129"/>
      <c r="DOT1" s="129"/>
      <c r="DOU1" s="129"/>
      <c r="DOV1" s="129"/>
      <c r="DOW1" s="129"/>
      <c r="DOX1" s="129"/>
      <c r="DOY1" s="129"/>
      <c r="DOZ1" s="129"/>
      <c r="DPA1" s="129"/>
      <c r="DPB1" s="129"/>
      <c r="DPC1" s="129"/>
      <c r="DPD1" s="129"/>
      <c r="DPE1" s="129"/>
      <c r="DPF1" s="129"/>
      <c r="DPG1" s="129"/>
      <c r="DPH1" s="129"/>
      <c r="DPI1" s="129"/>
      <c r="DPJ1" s="129"/>
      <c r="DPK1" s="129"/>
      <c r="DPL1" s="129"/>
      <c r="DPM1" s="129"/>
      <c r="DPN1" s="129"/>
      <c r="DPO1" s="129"/>
      <c r="DPP1" s="129"/>
      <c r="DPQ1" s="129"/>
      <c r="DPR1" s="129"/>
      <c r="DPS1" s="129"/>
      <c r="DPT1" s="129"/>
      <c r="DPU1" s="129"/>
      <c r="DPV1" s="129"/>
      <c r="DPW1" s="129"/>
      <c r="DPX1" s="129"/>
      <c r="DPY1" s="129"/>
      <c r="DPZ1" s="129"/>
      <c r="DQA1" s="129"/>
      <c r="DQB1" s="129"/>
      <c r="DQC1" s="129"/>
      <c r="DQD1" s="129"/>
      <c r="DQE1" s="129"/>
      <c r="DQF1" s="129"/>
      <c r="DQG1" s="129"/>
      <c r="DQH1" s="129"/>
      <c r="DQI1" s="129"/>
      <c r="DQJ1" s="129"/>
      <c r="DQK1" s="129"/>
      <c r="DQL1" s="129"/>
      <c r="DQM1" s="129"/>
      <c r="DQN1" s="129"/>
      <c r="DQO1" s="129"/>
      <c r="DQP1" s="129"/>
      <c r="DQQ1" s="129"/>
      <c r="DQR1" s="129"/>
      <c r="DQS1" s="129"/>
      <c r="DQT1" s="129"/>
      <c r="DQU1" s="129"/>
      <c r="DQV1" s="129"/>
      <c r="DQW1" s="129"/>
      <c r="DQX1" s="129"/>
      <c r="DQY1" s="129"/>
      <c r="DQZ1" s="129"/>
      <c r="DRA1" s="129"/>
      <c r="DRB1" s="129"/>
      <c r="DRC1" s="129"/>
      <c r="DRD1" s="129"/>
      <c r="DRE1" s="129"/>
      <c r="DRF1" s="129"/>
      <c r="DRG1" s="129"/>
      <c r="DRH1" s="129"/>
      <c r="DRI1" s="129"/>
      <c r="DRJ1" s="129"/>
      <c r="DRK1" s="129"/>
      <c r="DRL1" s="129"/>
      <c r="DRM1" s="129"/>
      <c r="DRN1" s="129"/>
      <c r="DRO1" s="129"/>
      <c r="DRP1" s="129"/>
      <c r="DRQ1" s="129"/>
      <c r="DRR1" s="129"/>
      <c r="DRS1" s="129"/>
      <c r="DRT1" s="129"/>
      <c r="DRU1" s="129"/>
      <c r="DRV1" s="129"/>
      <c r="DRW1" s="129"/>
      <c r="DRX1" s="129"/>
      <c r="DRY1" s="129"/>
      <c r="DRZ1" s="129"/>
      <c r="DSA1" s="129"/>
      <c r="DSB1" s="129"/>
      <c r="DSC1" s="129"/>
      <c r="DSD1" s="129"/>
      <c r="DSE1" s="129"/>
      <c r="DSF1" s="129"/>
      <c r="DSG1" s="129"/>
      <c r="DSH1" s="129"/>
      <c r="DSI1" s="129"/>
      <c r="DSJ1" s="129"/>
      <c r="DSK1" s="129"/>
      <c r="DSL1" s="129"/>
      <c r="DSM1" s="129"/>
      <c r="DSN1" s="129"/>
      <c r="DSO1" s="129"/>
      <c r="DSP1" s="129"/>
      <c r="DSQ1" s="129"/>
      <c r="DSR1" s="129"/>
      <c r="DSS1" s="129"/>
      <c r="DST1" s="129"/>
      <c r="DSU1" s="129"/>
      <c r="DSV1" s="129"/>
      <c r="DSW1" s="129"/>
      <c r="DSX1" s="129"/>
      <c r="DSY1" s="129"/>
      <c r="DSZ1" s="129"/>
      <c r="DTA1" s="129"/>
      <c r="DTB1" s="129"/>
      <c r="DTC1" s="129"/>
      <c r="DTD1" s="129"/>
      <c r="DTE1" s="129"/>
      <c r="DTF1" s="129"/>
      <c r="DTG1" s="129"/>
      <c r="DTH1" s="129"/>
      <c r="DTI1" s="129"/>
      <c r="DTJ1" s="129"/>
      <c r="DTK1" s="129"/>
      <c r="DTL1" s="129"/>
      <c r="DTM1" s="129"/>
      <c r="DTN1" s="129"/>
      <c r="DTO1" s="129"/>
      <c r="DTP1" s="129"/>
      <c r="DTQ1" s="129"/>
      <c r="DTR1" s="129"/>
      <c r="DTS1" s="129"/>
      <c r="DTT1" s="129"/>
      <c r="DTU1" s="129"/>
      <c r="DTV1" s="129"/>
      <c r="DTW1" s="129"/>
      <c r="DTX1" s="129"/>
      <c r="DTY1" s="129"/>
      <c r="DTZ1" s="129"/>
      <c r="DUA1" s="129"/>
      <c r="DUB1" s="129"/>
      <c r="DUC1" s="129"/>
      <c r="DUD1" s="129"/>
      <c r="DUE1" s="129"/>
      <c r="DUF1" s="129"/>
      <c r="DUG1" s="129"/>
      <c r="DUH1" s="129"/>
      <c r="DUI1" s="129"/>
      <c r="DUJ1" s="129"/>
      <c r="DUK1" s="129"/>
      <c r="DUL1" s="129"/>
      <c r="DUM1" s="129"/>
      <c r="DUN1" s="129"/>
      <c r="DUO1" s="129"/>
      <c r="DUP1" s="129"/>
      <c r="DUQ1" s="129"/>
      <c r="DUR1" s="129"/>
      <c r="DUS1" s="129"/>
      <c r="DUT1" s="129"/>
      <c r="DUU1" s="129"/>
      <c r="DUV1" s="129"/>
      <c r="DUW1" s="129"/>
      <c r="DUX1" s="129"/>
      <c r="DUY1" s="129"/>
      <c r="DUZ1" s="129"/>
      <c r="DVA1" s="129"/>
      <c r="DVB1" s="129"/>
      <c r="DVC1" s="129"/>
      <c r="DVD1" s="129"/>
      <c r="DVE1" s="129"/>
      <c r="DVF1" s="129"/>
      <c r="DVG1" s="129"/>
      <c r="DVH1" s="129"/>
      <c r="DVI1" s="129"/>
      <c r="DVJ1" s="129"/>
      <c r="DVK1" s="129"/>
      <c r="DVL1" s="129"/>
      <c r="DVM1" s="129"/>
      <c r="DVN1" s="129"/>
      <c r="DVO1" s="129"/>
      <c r="DVP1" s="129"/>
      <c r="DVQ1" s="129"/>
      <c r="DVR1" s="129"/>
      <c r="DVS1" s="129"/>
      <c r="DVT1" s="129"/>
      <c r="DVU1" s="129"/>
      <c r="DVV1" s="129"/>
      <c r="DVW1" s="129"/>
      <c r="DVX1" s="129"/>
      <c r="DVY1" s="129"/>
      <c r="DVZ1" s="129"/>
      <c r="DWA1" s="129"/>
      <c r="DWB1" s="129"/>
      <c r="DWC1" s="129"/>
      <c r="DWD1" s="129"/>
      <c r="DWE1" s="129"/>
      <c r="DWF1" s="129"/>
      <c r="DWG1" s="129"/>
      <c r="DWH1" s="129"/>
      <c r="DWI1" s="129"/>
      <c r="DWJ1" s="129"/>
      <c r="DWK1" s="129"/>
      <c r="DWL1" s="129"/>
      <c r="DWM1" s="129"/>
      <c r="DWN1" s="129"/>
      <c r="DWO1" s="129"/>
      <c r="DWP1" s="129"/>
      <c r="DWQ1" s="129"/>
      <c r="DWR1" s="129"/>
      <c r="DWS1" s="129"/>
      <c r="DWT1" s="129"/>
      <c r="DWU1" s="129"/>
      <c r="DWV1" s="129"/>
      <c r="DWW1" s="129"/>
      <c r="DWX1" s="129"/>
      <c r="DWY1" s="129"/>
      <c r="DWZ1" s="129"/>
      <c r="DXA1" s="129"/>
      <c r="DXB1" s="129"/>
      <c r="DXC1" s="129"/>
      <c r="DXD1" s="129"/>
      <c r="DXE1" s="129"/>
      <c r="DXF1" s="129"/>
      <c r="DXG1" s="129"/>
      <c r="DXH1" s="129"/>
      <c r="DXI1" s="129"/>
      <c r="DXJ1" s="129"/>
      <c r="DXK1" s="129"/>
      <c r="DXL1" s="129"/>
      <c r="DXM1" s="129"/>
      <c r="DXN1" s="129"/>
      <c r="DXO1" s="129"/>
      <c r="DXP1" s="129"/>
      <c r="DXQ1" s="129"/>
      <c r="DXR1" s="129"/>
      <c r="DXS1" s="129"/>
      <c r="DXT1" s="129"/>
      <c r="DXU1" s="129"/>
      <c r="DXV1" s="129"/>
      <c r="DXW1" s="129"/>
      <c r="DXX1" s="129"/>
      <c r="DXY1" s="129"/>
      <c r="DXZ1" s="129"/>
      <c r="DYA1" s="129"/>
      <c r="DYB1" s="129"/>
      <c r="DYC1" s="129"/>
      <c r="DYD1" s="129"/>
      <c r="DYE1" s="129"/>
      <c r="DYF1" s="129"/>
      <c r="DYG1" s="129"/>
      <c r="DYH1" s="129"/>
      <c r="DYI1" s="129"/>
      <c r="DYJ1" s="129"/>
      <c r="DYK1" s="129"/>
      <c r="DYL1" s="129"/>
      <c r="DYM1" s="129"/>
      <c r="DYN1" s="129"/>
      <c r="DYO1" s="129"/>
      <c r="DYP1" s="129"/>
      <c r="DYQ1" s="129"/>
      <c r="DYR1" s="129"/>
      <c r="DYS1" s="129"/>
      <c r="DYT1" s="129"/>
      <c r="DYU1" s="129"/>
      <c r="DYV1" s="129"/>
      <c r="DYW1" s="129"/>
      <c r="DYX1" s="129"/>
      <c r="DYY1" s="129"/>
      <c r="DYZ1" s="129"/>
      <c r="DZA1" s="129"/>
      <c r="DZB1" s="129"/>
      <c r="DZC1" s="129"/>
      <c r="DZD1" s="129"/>
      <c r="DZE1" s="129"/>
      <c r="DZF1" s="129"/>
      <c r="DZG1" s="129"/>
      <c r="DZH1" s="129"/>
      <c r="DZI1" s="129"/>
      <c r="DZJ1" s="129"/>
      <c r="DZK1" s="129"/>
      <c r="DZL1" s="129"/>
      <c r="DZM1" s="129"/>
      <c r="DZN1" s="129"/>
      <c r="DZO1" s="129"/>
      <c r="DZP1" s="129"/>
      <c r="DZQ1" s="129"/>
      <c r="DZR1" s="129"/>
      <c r="DZS1" s="129"/>
      <c r="DZT1" s="129"/>
      <c r="DZU1" s="129"/>
      <c r="DZV1" s="129"/>
      <c r="DZW1" s="129"/>
      <c r="DZX1" s="129"/>
      <c r="DZY1" s="129"/>
      <c r="DZZ1" s="129"/>
      <c r="EAA1" s="129"/>
      <c r="EAB1" s="129"/>
      <c r="EAC1" s="129"/>
      <c r="EAD1" s="129"/>
      <c r="EAE1" s="129"/>
      <c r="EAF1" s="129"/>
      <c r="EAG1" s="129"/>
      <c r="EAH1" s="129"/>
      <c r="EAI1" s="129"/>
      <c r="EAJ1" s="129"/>
      <c r="EAK1" s="129"/>
      <c r="EAL1" s="129"/>
      <c r="EAM1" s="129"/>
      <c r="EAN1" s="129"/>
      <c r="EAO1" s="129"/>
      <c r="EAP1" s="129"/>
      <c r="EAQ1" s="129"/>
      <c r="EAR1" s="129"/>
      <c r="EAS1" s="129"/>
      <c r="EAT1" s="129"/>
      <c r="EAU1" s="129"/>
      <c r="EAV1" s="129"/>
      <c r="EAW1" s="129"/>
      <c r="EAX1" s="129"/>
      <c r="EAY1" s="129"/>
      <c r="EAZ1" s="129"/>
      <c r="EBA1" s="129"/>
      <c r="EBB1" s="129"/>
      <c r="EBC1" s="129"/>
      <c r="EBD1" s="129"/>
      <c r="EBE1" s="129"/>
      <c r="EBF1" s="129"/>
      <c r="EBG1" s="129"/>
      <c r="EBH1" s="129"/>
      <c r="EBI1" s="129"/>
      <c r="EBJ1" s="129"/>
      <c r="EBK1" s="129"/>
      <c r="EBL1" s="129"/>
      <c r="EBM1" s="129"/>
      <c r="EBN1" s="129"/>
      <c r="EBO1" s="129"/>
      <c r="EBP1" s="129"/>
      <c r="EBQ1" s="129"/>
      <c r="EBR1" s="129"/>
      <c r="EBS1" s="129"/>
      <c r="EBT1" s="129"/>
      <c r="EBU1" s="129"/>
      <c r="EBV1" s="129"/>
      <c r="EBW1" s="129"/>
      <c r="EBX1" s="129"/>
      <c r="EBY1" s="129"/>
      <c r="EBZ1" s="129"/>
      <c r="ECA1" s="129"/>
      <c r="ECB1" s="129"/>
      <c r="ECC1" s="129"/>
      <c r="ECD1" s="129"/>
      <c r="ECE1" s="129"/>
      <c r="ECF1" s="129"/>
      <c r="ECG1" s="129"/>
      <c r="ECH1" s="129"/>
      <c r="ECI1" s="129"/>
      <c r="ECJ1" s="129"/>
      <c r="ECK1" s="129"/>
      <c r="ECL1" s="129"/>
      <c r="ECM1" s="129"/>
      <c r="ECN1" s="129"/>
      <c r="ECO1" s="129"/>
      <c r="ECP1" s="129"/>
      <c r="ECQ1" s="129"/>
      <c r="ECR1" s="129"/>
      <c r="ECS1" s="129"/>
      <c r="ECT1" s="129"/>
      <c r="ECU1" s="129"/>
      <c r="ECV1" s="129"/>
      <c r="ECW1" s="129"/>
      <c r="ECX1" s="129"/>
      <c r="ECY1" s="129"/>
      <c r="ECZ1" s="129"/>
      <c r="EDA1" s="129"/>
      <c r="EDB1" s="129"/>
      <c r="EDC1" s="129"/>
      <c r="EDD1" s="129"/>
      <c r="EDE1" s="129"/>
      <c r="EDF1" s="129"/>
      <c r="EDG1" s="129"/>
      <c r="EDH1" s="129"/>
      <c r="EDI1" s="129"/>
      <c r="EDJ1" s="129"/>
      <c r="EDK1" s="129"/>
      <c r="EDL1" s="129"/>
      <c r="EDM1" s="129"/>
      <c r="EDN1" s="129"/>
      <c r="EDO1" s="129"/>
      <c r="EDP1" s="129"/>
      <c r="EDQ1" s="129"/>
      <c r="EDR1" s="129"/>
      <c r="EDS1" s="129"/>
      <c r="EDT1" s="129"/>
      <c r="EDU1" s="129"/>
      <c r="EDV1" s="129"/>
      <c r="EDW1" s="129"/>
      <c r="EDX1" s="129"/>
      <c r="EDY1" s="129"/>
      <c r="EDZ1" s="129"/>
      <c r="EEA1" s="129"/>
      <c r="EEB1" s="129"/>
      <c r="EEC1" s="129"/>
      <c r="EED1" s="129"/>
      <c r="EEE1" s="129"/>
      <c r="EEF1" s="129"/>
      <c r="EEG1" s="129"/>
      <c r="EEH1" s="129"/>
      <c r="EEI1" s="129"/>
      <c r="EEJ1" s="129"/>
      <c r="EEK1" s="129"/>
      <c r="EEL1" s="129"/>
      <c r="EEM1" s="129"/>
      <c r="EEN1" s="129"/>
      <c r="EEO1" s="129"/>
      <c r="EEP1" s="129"/>
      <c r="EEQ1" s="129"/>
      <c r="EER1" s="129"/>
      <c r="EES1" s="129"/>
      <c r="EET1" s="129"/>
      <c r="EEU1" s="129"/>
      <c r="EEV1" s="129"/>
      <c r="EEW1" s="129"/>
      <c r="EEX1" s="129"/>
      <c r="EEY1" s="129"/>
      <c r="EEZ1" s="129"/>
      <c r="EFA1" s="129"/>
      <c r="EFB1" s="129"/>
      <c r="EFC1" s="129"/>
      <c r="EFD1" s="129"/>
      <c r="EFE1" s="129"/>
      <c r="EFF1" s="129"/>
      <c r="EFG1" s="129"/>
      <c r="EFH1" s="129"/>
      <c r="EFI1" s="129"/>
      <c r="EFJ1" s="129"/>
      <c r="EFK1" s="129"/>
      <c r="EFL1" s="129"/>
      <c r="EFM1" s="129"/>
      <c r="EFN1" s="129"/>
      <c r="EFO1" s="129"/>
      <c r="EFP1" s="129"/>
      <c r="EFQ1" s="129"/>
      <c r="EFR1" s="129"/>
      <c r="EFS1" s="129"/>
      <c r="EFT1" s="129"/>
      <c r="EFU1" s="129"/>
      <c r="EFV1" s="129"/>
      <c r="EFW1" s="129"/>
      <c r="EFX1" s="129"/>
      <c r="EFY1" s="129"/>
      <c r="EFZ1" s="129"/>
      <c r="EGA1" s="129"/>
      <c r="EGB1" s="129"/>
      <c r="EGC1" s="129"/>
      <c r="EGD1" s="129"/>
      <c r="EGE1" s="129"/>
      <c r="EGF1" s="129"/>
      <c r="EGG1" s="129"/>
      <c r="EGH1" s="129"/>
      <c r="EGI1" s="129"/>
      <c r="EGJ1" s="129"/>
      <c r="EGK1" s="129"/>
      <c r="EGL1" s="129"/>
      <c r="EGM1" s="129"/>
      <c r="EGN1" s="129"/>
      <c r="EGO1" s="129"/>
      <c r="EGP1" s="129"/>
      <c r="EGQ1" s="129"/>
      <c r="EGR1" s="129"/>
      <c r="EGS1" s="129"/>
      <c r="EGT1" s="129"/>
      <c r="EGU1" s="129"/>
      <c r="EGV1" s="129"/>
      <c r="EGW1" s="129"/>
      <c r="EGX1" s="129"/>
      <c r="EGY1" s="129"/>
      <c r="EGZ1" s="129"/>
      <c r="EHA1" s="129"/>
      <c r="EHB1" s="129"/>
      <c r="EHC1" s="129"/>
      <c r="EHD1" s="129"/>
      <c r="EHE1" s="129"/>
      <c r="EHF1" s="129"/>
      <c r="EHG1" s="129"/>
      <c r="EHH1" s="129"/>
      <c r="EHI1" s="129"/>
      <c r="EHJ1" s="129"/>
      <c r="EHK1" s="129"/>
      <c r="EHL1" s="129"/>
      <c r="EHM1" s="129"/>
      <c r="EHN1" s="129"/>
      <c r="EHO1" s="129"/>
      <c r="EHP1" s="129"/>
      <c r="EHQ1" s="129"/>
      <c r="EHR1" s="129"/>
      <c r="EHS1" s="129"/>
      <c r="EHT1" s="129"/>
      <c r="EHU1" s="129"/>
      <c r="EHV1" s="129"/>
      <c r="EHW1" s="129"/>
      <c r="EHX1" s="129"/>
      <c r="EHY1" s="129"/>
      <c r="EHZ1" s="129"/>
      <c r="EIA1" s="129"/>
      <c r="EIB1" s="129"/>
      <c r="EIC1" s="129"/>
      <c r="EID1" s="129"/>
      <c r="EIE1" s="129"/>
      <c r="EIF1" s="129"/>
      <c r="EIG1" s="129"/>
      <c r="EIH1" s="129"/>
      <c r="EII1" s="129"/>
      <c r="EIJ1" s="129"/>
      <c r="EIK1" s="129"/>
      <c r="EIL1" s="129"/>
      <c r="EIM1" s="129"/>
      <c r="EIN1" s="129"/>
      <c r="EIO1" s="129"/>
      <c r="EIP1" s="129"/>
      <c r="EIQ1" s="129"/>
      <c r="EIR1" s="129"/>
      <c r="EIS1" s="129"/>
      <c r="EIT1" s="129"/>
      <c r="EIU1" s="129"/>
      <c r="EIV1" s="129"/>
      <c r="EIW1" s="129"/>
      <c r="EIX1" s="129"/>
      <c r="EIY1" s="129"/>
      <c r="EIZ1" s="129"/>
      <c r="EJA1" s="129"/>
      <c r="EJB1" s="129"/>
      <c r="EJC1" s="129"/>
      <c r="EJD1" s="129"/>
      <c r="EJE1" s="129"/>
      <c r="EJF1" s="129"/>
      <c r="EJG1" s="129"/>
      <c r="EJH1" s="129"/>
      <c r="EJI1" s="129"/>
      <c r="EJJ1" s="129"/>
      <c r="EJK1" s="129"/>
      <c r="EJL1" s="129"/>
      <c r="EJM1" s="129"/>
      <c r="EJN1" s="129"/>
      <c r="EJO1" s="129"/>
      <c r="EJP1" s="129"/>
      <c r="EJQ1" s="129"/>
      <c r="EJR1" s="129"/>
      <c r="EJS1" s="129"/>
      <c r="EJT1" s="129"/>
      <c r="EJU1" s="129"/>
      <c r="EJV1" s="129"/>
      <c r="EJW1" s="129"/>
      <c r="EJX1" s="129"/>
      <c r="EJY1" s="129"/>
      <c r="EJZ1" s="129"/>
      <c r="EKA1" s="129"/>
      <c r="EKB1" s="129"/>
      <c r="EKC1" s="129"/>
      <c r="EKD1" s="129"/>
      <c r="EKE1" s="129"/>
      <c r="EKF1" s="129"/>
      <c r="EKG1" s="129"/>
      <c r="EKH1" s="129"/>
      <c r="EKI1" s="129"/>
      <c r="EKJ1" s="129"/>
      <c r="EKK1" s="129"/>
      <c r="EKL1" s="129"/>
      <c r="EKM1" s="129"/>
      <c r="EKN1" s="129"/>
      <c r="EKO1" s="129"/>
      <c r="EKP1" s="129"/>
      <c r="EKQ1" s="129"/>
      <c r="EKR1" s="129"/>
      <c r="EKS1" s="129"/>
      <c r="EKT1" s="129"/>
      <c r="EKU1" s="129"/>
      <c r="EKV1" s="129"/>
      <c r="EKW1" s="129"/>
      <c r="EKX1" s="129"/>
      <c r="EKY1" s="129"/>
      <c r="EKZ1" s="129"/>
      <c r="ELA1" s="129"/>
      <c r="ELB1" s="129"/>
      <c r="ELC1" s="129"/>
      <c r="ELD1" s="129"/>
      <c r="ELE1" s="129"/>
      <c r="ELF1" s="129"/>
      <c r="ELG1" s="129"/>
      <c r="ELH1" s="129"/>
      <c r="ELI1" s="129"/>
      <c r="ELJ1" s="129"/>
      <c r="ELK1" s="129"/>
      <c r="ELL1" s="129"/>
      <c r="ELM1" s="129"/>
      <c r="ELN1" s="129"/>
      <c r="ELO1" s="129"/>
      <c r="ELP1" s="129"/>
      <c r="ELQ1" s="129"/>
      <c r="ELR1" s="129"/>
      <c r="ELS1" s="129"/>
      <c r="ELT1" s="129"/>
      <c r="ELU1" s="129"/>
      <c r="ELV1" s="129"/>
      <c r="ELW1" s="129"/>
      <c r="ELX1" s="129"/>
      <c r="ELY1" s="129"/>
      <c r="ELZ1" s="129"/>
      <c r="EMA1" s="129"/>
      <c r="EMB1" s="129"/>
      <c r="EMC1" s="129"/>
      <c r="EMD1" s="129"/>
      <c r="EME1" s="129"/>
      <c r="EMF1" s="129"/>
      <c r="EMG1" s="129"/>
      <c r="EMH1" s="129"/>
      <c r="EMI1" s="129"/>
      <c r="EMJ1" s="129"/>
      <c r="EMK1" s="129"/>
      <c r="EML1" s="129"/>
      <c r="EMM1" s="129"/>
      <c r="EMN1" s="129"/>
      <c r="EMO1" s="129"/>
      <c r="EMP1" s="129"/>
      <c r="EMQ1" s="129"/>
      <c r="EMR1" s="129"/>
      <c r="EMS1" s="129"/>
      <c r="EMT1" s="129"/>
      <c r="EMU1" s="129"/>
      <c r="EMV1" s="129"/>
      <c r="EMW1" s="129"/>
      <c r="EMX1" s="129"/>
      <c r="EMY1" s="129"/>
      <c r="EMZ1" s="129"/>
      <c r="ENA1" s="129"/>
      <c r="ENB1" s="129"/>
      <c r="ENC1" s="129"/>
      <c r="END1" s="129"/>
      <c r="ENE1" s="129"/>
      <c r="ENF1" s="129"/>
      <c r="ENG1" s="129"/>
      <c r="ENH1" s="129"/>
      <c r="ENI1" s="129"/>
      <c r="ENJ1" s="129"/>
      <c r="ENK1" s="129"/>
      <c r="ENL1" s="129"/>
      <c r="ENM1" s="129"/>
      <c r="ENN1" s="129"/>
      <c r="ENO1" s="129"/>
      <c r="ENP1" s="129"/>
      <c r="ENQ1" s="129"/>
      <c r="ENR1" s="129"/>
      <c r="ENS1" s="129"/>
      <c r="ENT1" s="129"/>
      <c r="ENU1" s="129"/>
      <c r="ENV1" s="129"/>
      <c r="ENW1" s="129"/>
      <c r="ENX1" s="129"/>
      <c r="ENY1" s="129"/>
      <c r="ENZ1" s="129"/>
      <c r="EOA1" s="129"/>
      <c r="EOB1" s="129"/>
      <c r="EOC1" s="129"/>
      <c r="EOD1" s="129"/>
      <c r="EOE1" s="129"/>
      <c r="EOF1" s="129"/>
      <c r="EOG1" s="129"/>
      <c r="EOH1" s="129"/>
      <c r="EOI1" s="129"/>
      <c r="EOJ1" s="129"/>
      <c r="EOK1" s="129"/>
      <c r="EOL1" s="129"/>
      <c r="EOM1" s="129"/>
      <c r="EON1" s="129"/>
      <c r="EOO1" s="129"/>
      <c r="EOP1" s="129"/>
      <c r="EOQ1" s="129"/>
      <c r="EOR1" s="129"/>
      <c r="EOS1" s="129"/>
      <c r="EOT1" s="129"/>
      <c r="EOU1" s="129"/>
      <c r="EOV1" s="129"/>
      <c r="EOW1" s="129"/>
      <c r="EOX1" s="129"/>
      <c r="EOY1" s="129"/>
      <c r="EOZ1" s="129"/>
      <c r="EPA1" s="129"/>
      <c r="EPB1" s="129"/>
      <c r="EPC1" s="129"/>
      <c r="EPD1" s="129"/>
      <c r="EPE1" s="129"/>
      <c r="EPF1" s="129"/>
      <c r="EPG1" s="129"/>
      <c r="EPH1" s="129"/>
      <c r="EPI1" s="129"/>
      <c r="EPJ1" s="129"/>
      <c r="EPK1" s="129"/>
      <c r="EPL1" s="129"/>
      <c r="EPM1" s="129"/>
      <c r="EPN1" s="129"/>
      <c r="EPO1" s="129"/>
      <c r="EPP1" s="129"/>
      <c r="EPQ1" s="129"/>
      <c r="EPR1" s="129"/>
      <c r="EPS1" s="129"/>
      <c r="EPT1" s="129"/>
      <c r="EPU1" s="129"/>
      <c r="EPV1" s="129"/>
      <c r="EPW1" s="129"/>
      <c r="EPX1" s="129"/>
      <c r="EPY1" s="129"/>
      <c r="EPZ1" s="129"/>
      <c r="EQA1" s="129"/>
      <c r="EQB1" s="129"/>
      <c r="EQC1" s="129"/>
      <c r="EQD1" s="129"/>
      <c r="EQE1" s="129"/>
      <c r="EQF1" s="129"/>
      <c r="EQG1" s="129"/>
      <c r="EQH1" s="129"/>
      <c r="EQI1" s="129"/>
      <c r="EQJ1" s="129"/>
      <c r="EQK1" s="129"/>
      <c r="EQL1" s="129"/>
      <c r="EQM1" s="129"/>
      <c r="EQN1" s="129"/>
      <c r="EQO1" s="129"/>
      <c r="EQP1" s="129"/>
      <c r="EQQ1" s="129"/>
      <c r="EQR1" s="129"/>
      <c r="EQS1" s="129"/>
      <c r="EQT1" s="129"/>
      <c r="EQU1" s="129"/>
      <c r="EQV1" s="129"/>
      <c r="EQW1" s="129"/>
      <c r="EQX1" s="129"/>
      <c r="EQY1" s="129"/>
      <c r="EQZ1" s="129"/>
      <c r="ERA1" s="129"/>
      <c r="ERB1" s="129"/>
      <c r="ERC1" s="129"/>
      <c r="ERD1" s="129"/>
      <c r="ERE1" s="129"/>
      <c r="ERF1" s="129"/>
      <c r="ERG1" s="129"/>
      <c r="ERH1" s="129"/>
      <c r="ERI1" s="129"/>
      <c r="ERJ1" s="129"/>
      <c r="ERK1" s="129"/>
      <c r="ERL1" s="129"/>
      <c r="ERM1" s="129"/>
      <c r="ERN1" s="129"/>
      <c r="ERO1" s="129"/>
      <c r="ERP1" s="129"/>
      <c r="ERQ1" s="129"/>
      <c r="ERR1" s="129"/>
      <c r="ERS1" s="129"/>
      <c r="ERT1" s="129"/>
      <c r="ERU1" s="129"/>
      <c r="ERV1" s="129"/>
      <c r="ERW1" s="129"/>
      <c r="ERX1" s="129"/>
      <c r="ERY1" s="129"/>
      <c r="ERZ1" s="129"/>
      <c r="ESA1" s="129"/>
      <c r="ESB1" s="129"/>
      <c r="ESC1" s="129"/>
      <c r="ESD1" s="129"/>
      <c r="ESE1" s="129"/>
      <c r="ESF1" s="129"/>
      <c r="ESG1" s="129"/>
      <c r="ESH1" s="129"/>
      <c r="ESI1" s="129"/>
      <c r="ESJ1" s="129"/>
      <c r="ESK1" s="129"/>
      <c r="ESL1" s="129"/>
      <c r="ESM1" s="129"/>
      <c r="ESN1" s="129"/>
      <c r="ESO1" s="129"/>
      <c r="ESP1" s="129"/>
      <c r="ESQ1" s="129"/>
      <c r="ESR1" s="129"/>
      <c r="ESS1" s="129"/>
      <c r="EST1" s="129"/>
      <c r="ESU1" s="129"/>
      <c r="ESV1" s="129"/>
      <c r="ESW1" s="129"/>
      <c r="ESX1" s="129"/>
      <c r="ESY1" s="129"/>
      <c r="ESZ1" s="129"/>
      <c r="ETA1" s="129"/>
      <c r="ETB1" s="129"/>
      <c r="ETC1" s="129"/>
      <c r="ETD1" s="129"/>
      <c r="ETE1" s="129"/>
      <c r="ETF1" s="129"/>
      <c r="ETG1" s="129"/>
      <c r="ETH1" s="129"/>
      <c r="ETI1" s="129"/>
      <c r="ETJ1" s="129"/>
      <c r="ETK1" s="129"/>
      <c r="ETL1" s="129"/>
      <c r="ETM1" s="129"/>
      <c r="ETN1" s="129"/>
      <c r="ETO1" s="129"/>
      <c r="ETP1" s="129"/>
      <c r="ETQ1" s="129"/>
      <c r="ETR1" s="129"/>
      <c r="ETS1" s="129"/>
      <c r="ETT1" s="129"/>
      <c r="ETU1" s="129"/>
      <c r="ETV1" s="129"/>
      <c r="ETW1" s="129"/>
      <c r="ETX1" s="129"/>
      <c r="ETY1" s="129"/>
      <c r="ETZ1" s="129"/>
      <c r="EUA1" s="129"/>
      <c r="EUB1" s="129"/>
      <c r="EUC1" s="129"/>
      <c r="EUD1" s="129"/>
      <c r="EUE1" s="129"/>
      <c r="EUF1" s="129"/>
      <c r="EUG1" s="129"/>
      <c r="EUH1" s="129"/>
      <c r="EUI1" s="129"/>
      <c r="EUJ1" s="129"/>
      <c r="EUK1" s="129"/>
      <c r="EUL1" s="129"/>
      <c r="EUM1" s="129"/>
      <c r="EUN1" s="129"/>
      <c r="EUO1" s="129"/>
      <c r="EUP1" s="129"/>
      <c r="EUQ1" s="129"/>
      <c r="EUR1" s="129"/>
      <c r="EUS1" s="129"/>
      <c r="EUT1" s="129"/>
      <c r="EUU1" s="129"/>
      <c r="EUV1" s="129"/>
      <c r="EUW1" s="129"/>
      <c r="EUX1" s="129"/>
      <c r="EUY1" s="129"/>
      <c r="EUZ1" s="129"/>
      <c r="EVA1" s="129"/>
      <c r="EVB1" s="129"/>
      <c r="EVC1" s="129"/>
      <c r="EVD1" s="129"/>
      <c r="EVE1" s="129"/>
      <c r="EVF1" s="129"/>
      <c r="EVG1" s="129"/>
      <c r="EVH1" s="129"/>
      <c r="EVI1" s="129"/>
      <c r="EVJ1" s="129"/>
      <c r="EVK1" s="129"/>
      <c r="EVL1" s="129"/>
      <c r="EVM1" s="129"/>
      <c r="EVN1" s="129"/>
      <c r="EVO1" s="129"/>
      <c r="EVP1" s="129"/>
      <c r="EVQ1" s="129"/>
      <c r="EVR1" s="129"/>
      <c r="EVS1" s="129"/>
      <c r="EVT1" s="129"/>
      <c r="EVU1" s="129"/>
      <c r="EVV1" s="129"/>
      <c r="EVW1" s="129"/>
      <c r="EVX1" s="129"/>
      <c r="EVY1" s="129"/>
      <c r="EVZ1" s="129"/>
      <c r="EWA1" s="129"/>
      <c r="EWB1" s="129"/>
      <c r="EWC1" s="129"/>
      <c r="EWD1" s="129"/>
      <c r="EWE1" s="129"/>
      <c r="EWF1" s="129"/>
      <c r="EWG1" s="129"/>
      <c r="EWH1" s="129"/>
      <c r="EWI1" s="129"/>
      <c r="EWJ1" s="129"/>
      <c r="EWK1" s="129"/>
      <c r="EWL1" s="129"/>
      <c r="EWM1" s="129"/>
      <c r="EWN1" s="129"/>
      <c r="EWO1" s="129"/>
      <c r="EWP1" s="129"/>
      <c r="EWQ1" s="129"/>
      <c r="EWR1" s="129"/>
      <c r="EWS1" s="129"/>
      <c r="EWT1" s="129"/>
      <c r="EWU1" s="129"/>
      <c r="EWV1" s="129"/>
      <c r="EWW1" s="129"/>
      <c r="EWX1" s="129"/>
      <c r="EWY1" s="129"/>
      <c r="EWZ1" s="129"/>
      <c r="EXA1" s="129"/>
      <c r="EXB1" s="129"/>
      <c r="EXC1" s="129"/>
      <c r="EXD1" s="129"/>
      <c r="EXE1" s="129"/>
      <c r="EXF1" s="129"/>
      <c r="EXG1" s="129"/>
      <c r="EXH1" s="129"/>
      <c r="EXI1" s="129"/>
      <c r="EXJ1" s="129"/>
      <c r="EXK1" s="129"/>
      <c r="EXL1" s="129"/>
      <c r="EXM1" s="129"/>
      <c r="EXN1" s="129"/>
      <c r="EXO1" s="129"/>
      <c r="EXP1" s="129"/>
      <c r="EXQ1" s="129"/>
      <c r="EXR1" s="129"/>
      <c r="EXS1" s="129"/>
      <c r="EXT1" s="129"/>
      <c r="EXU1" s="129"/>
      <c r="EXV1" s="129"/>
      <c r="EXW1" s="129"/>
      <c r="EXX1" s="129"/>
      <c r="EXY1" s="129"/>
      <c r="EXZ1" s="129"/>
      <c r="EYA1" s="129"/>
      <c r="EYB1" s="129"/>
      <c r="EYC1" s="129"/>
      <c r="EYD1" s="129"/>
      <c r="EYE1" s="129"/>
      <c r="EYF1" s="129"/>
      <c r="EYG1" s="129"/>
      <c r="EYH1" s="129"/>
      <c r="EYI1" s="129"/>
      <c r="EYJ1" s="129"/>
      <c r="EYK1" s="129"/>
      <c r="EYL1" s="129"/>
      <c r="EYM1" s="129"/>
      <c r="EYN1" s="129"/>
      <c r="EYO1" s="129"/>
      <c r="EYP1" s="129"/>
      <c r="EYQ1" s="129"/>
      <c r="EYR1" s="129"/>
      <c r="EYS1" s="129"/>
      <c r="EYT1" s="129"/>
      <c r="EYU1" s="129"/>
      <c r="EYV1" s="129"/>
      <c r="EYW1" s="129"/>
      <c r="EYX1" s="129"/>
      <c r="EYY1" s="129"/>
      <c r="EYZ1" s="129"/>
      <c r="EZA1" s="129"/>
      <c r="EZB1" s="129"/>
      <c r="EZC1" s="129"/>
      <c r="EZD1" s="129"/>
      <c r="EZE1" s="129"/>
      <c r="EZF1" s="129"/>
      <c r="EZG1" s="129"/>
      <c r="EZH1" s="129"/>
      <c r="EZI1" s="129"/>
      <c r="EZJ1" s="129"/>
      <c r="EZK1" s="129"/>
      <c r="EZL1" s="129"/>
      <c r="EZM1" s="129"/>
      <c r="EZN1" s="129"/>
      <c r="EZO1" s="129"/>
      <c r="EZP1" s="129"/>
      <c r="EZQ1" s="129"/>
      <c r="EZR1" s="129"/>
      <c r="EZS1" s="129"/>
      <c r="EZT1" s="129"/>
      <c r="EZU1" s="129"/>
      <c r="EZV1" s="129"/>
      <c r="EZW1" s="129"/>
      <c r="EZX1" s="129"/>
      <c r="EZY1" s="129"/>
      <c r="EZZ1" s="129"/>
      <c r="FAA1" s="129"/>
      <c r="FAB1" s="129"/>
      <c r="FAC1" s="129"/>
      <c r="FAD1" s="129"/>
      <c r="FAE1" s="129"/>
      <c r="FAF1" s="129"/>
      <c r="FAG1" s="129"/>
      <c r="FAH1" s="129"/>
      <c r="FAI1" s="129"/>
      <c r="FAJ1" s="129"/>
      <c r="FAK1" s="129"/>
      <c r="FAL1" s="129"/>
      <c r="FAM1" s="129"/>
      <c r="FAN1" s="129"/>
      <c r="FAO1" s="129"/>
      <c r="FAP1" s="129"/>
      <c r="FAQ1" s="129"/>
      <c r="FAR1" s="129"/>
      <c r="FAS1" s="129"/>
      <c r="FAT1" s="129"/>
      <c r="FAU1" s="129"/>
      <c r="FAV1" s="129"/>
      <c r="FAW1" s="129"/>
      <c r="FAX1" s="129"/>
      <c r="FAY1" s="129"/>
      <c r="FAZ1" s="129"/>
      <c r="FBA1" s="129"/>
      <c r="FBB1" s="129"/>
      <c r="FBC1" s="129"/>
      <c r="FBD1" s="129"/>
      <c r="FBE1" s="129"/>
      <c r="FBF1" s="129"/>
      <c r="FBG1" s="129"/>
      <c r="FBH1" s="129"/>
      <c r="FBI1" s="129"/>
      <c r="FBJ1" s="129"/>
      <c r="FBK1" s="129"/>
      <c r="FBL1" s="129"/>
      <c r="FBM1" s="129"/>
      <c r="FBN1" s="129"/>
      <c r="FBO1" s="129"/>
      <c r="FBP1" s="129"/>
      <c r="FBQ1" s="129"/>
      <c r="FBR1" s="129"/>
      <c r="FBS1" s="129"/>
      <c r="FBT1" s="129"/>
      <c r="FBU1" s="129"/>
      <c r="FBV1" s="129"/>
      <c r="FBW1" s="129"/>
      <c r="FBX1" s="129"/>
      <c r="FBY1" s="129"/>
      <c r="FBZ1" s="129"/>
      <c r="FCA1" s="129"/>
      <c r="FCB1" s="129"/>
      <c r="FCC1" s="129"/>
      <c r="FCD1" s="129"/>
      <c r="FCE1" s="129"/>
      <c r="FCF1" s="129"/>
      <c r="FCG1" s="129"/>
      <c r="FCH1" s="129"/>
      <c r="FCI1" s="129"/>
      <c r="FCJ1" s="129"/>
      <c r="FCK1" s="129"/>
      <c r="FCL1" s="129"/>
      <c r="FCM1" s="129"/>
      <c r="FCN1" s="129"/>
      <c r="FCO1" s="129"/>
      <c r="FCP1" s="129"/>
      <c r="FCQ1" s="129"/>
      <c r="FCR1" s="129"/>
      <c r="FCS1" s="129"/>
      <c r="FCT1" s="129"/>
      <c r="FCU1" s="129"/>
      <c r="FCV1" s="129"/>
      <c r="FCW1" s="129"/>
      <c r="FCX1" s="129"/>
      <c r="FCY1" s="129"/>
      <c r="FCZ1" s="129"/>
      <c r="FDA1" s="129"/>
      <c r="FDB1" s="129"/>
      <c r="FDC1" s="129"/>
      <c r="FDD1" s="129"/>
      <c r="FDE1" s="129"/>
      <c r="FDF1" s="129"/>
      <c r="FDG1" s="129"/>
      <c r="FDH1" s="129"/>
      <c r="FDI1" s="129"/>
      <c r="FDJ1" s="129"/>
      <c r="FDK1" s="129"/>
      <c r="FDL1" s="129"/>
      <c r="FDM1" s="129"/>
      <c r="FDN1" s="129"/>
      <c r="FDO1" s="129"/>
      <c r="FDP1" s="129"/>
      <c r="FDQ1" s="129"/>
      <c r="FDR1" s="129"/>
      <c r="FDS1" s="129"/>
      <c r="FDT1" s="129"/>
      <c r="FDU1" s="129"/>
      <c r="FDV1" s="129"/>
      <c r="FDW1" s="129"/>
      <c r="FDX1" s="129"/>
      <c r="FDY1" s="129"/>
      <c r="FDZ1" s="129"/>
      <c r="FEA1" s="129"/>
      <c r="FEB1" s="129"/>
      <c r="FEC1" s="129"/>
      <c r="FED1" s="129"/>
      <c r="FEE1" s="129"/>
      <c r="FEF1" s="129"/>
      <c r="FEG1" s="129"/>
      <c r="FEH1" s="129"/>
      <c r="FEI1" s="129"/>
      <c r="FEJ1" s="129"/>
      <c r="FEK1" s="129"/>
      <c r="FEL1" s="129"/>
      <c r="FEM1" s="129"/>
      <c r="FEN1" s="129"/>
      <c r="FEO1" s="129"/>
      <c r="FEP1" s="129"/>
      <c r="FEQ1" s="129"/>
      <c r="FER1" s="129"/>
      <c r="FES1" s="129"/>
      <c r="FET1" s="129"/>
      <c r="FEU1" s="129"/>
      <c r="FEV1" s="129"/>
      <c r="FEW1" s="129"/>
      <c r="FEX1" s="129"/>
      <c r="FEY1" s="129"/>
      <c r="FEZ1" s="129"/>
      <c r="FFA1" s="129"/>
      <c r="FFB1" s="129"/>
      <c r="FFC1" s="129"/>
      <c r="FFD1" s="129"/>
      <c r="FFE1" s="129"/>
      <c r="FFF1" s="129"/>
      <c r="FFG1" s="129"/>
      <c r="FFH1" s="129"/>
      <c r="FFI1" s="129"/>
      <c r="FFJ1" s="129"/>
      <c r="FFK1" s="129"/>
      <c r="FFL1" s="129"/>
      <c r="FFM1" s="129"/>
      <c r="FFN1" s="129"/>
      <c r="FFO1" s="129"/>
      <c r="FFP1" s="129"/>
      <c r="FFQ1" s="129"/>
      <c r="FFR1" s="129"/>
      <c r="FFS1" s="129"/>
      <c r="FFT1" s="129"/>
      <c r="FFU1" s="129"/>
      <c r="FFV1" s="129"/>
      <c r="FFW1" s="129"/>
      <c r="FFX1" s="129"/>
      <c r="FFY1" s="129"/>
      <c r="FFZ1" s="129"/>
      <c r="FGA1" s="129"/>
      <c r="FGB1" s="129"/>
      <c r="FGC1" s="129"/>
      <c r="FGD1" s="129"/>
      <c r="FGE1" s="129"/>
      <c r="FGF1" s="129"/>
      <c r="FGG1" s="129"/>
      <c r="FGH1" s="129"/>
      <c r="FGI1" s="129"/>
      <c r="FGJ1" s="129"/>
      <c r="FGK1" s="129"/>
      <c r="FGL1" s="129"/>
      <c r="FGM1" s="129"/>
      <c r="FGN1" s="129"/>
      <c r="FGO1" s="129"/>
      <c r="FGP1" s="129"/>
      <c r="FGQ1" s="129"/>
      <c r="FGR1" s="129"/>
      <c r="FGS1" s="129"/>
      <c r="FGT1" s="129"/>
      <c r="FGU1" s="129"/>
      <c r="FGV1" s="129"/>
      <c r="FGW1" s="129"/>
      <c r="FGX1" s="129"/>
      <c r="FGY1" s="129"/>
      <c r="FGZ1" s="129"/>
      <c r="FHA1" s="129"/>
      <c r="FHB1" s="129"/>
      <c r="FHC1" s="129"/>
      <c r="FHD1" s="129"/>
      <c r="FHE1" s="129"/>
      <c r="FHF1" s="129"/>
      <c r="FHG1" s="129"/>
      <c r="FHH1" s="129"/>
      <c r="FHI1" s="129"/>
      <c r="FHJ1" s="129"/>
      <c r="FHK1" s="129"/>
      <c r="FHL1" s="129"/>
      <c r="FHM1" s="129"/>
      <c r="FHN1" s="129"/>
      <c r="FHO1" s="129"/>
      <c r="FHP1" s="129"/>
      <c r="FHQ1" s="129"/>
      <c r="FHR1" s="129"/>
      <c r="FHS1" s="129"/>
      <c r="FHT1" s="129"/>
      <c r="FHU1" s="129"/>
      <c r="FHV1" s="129"/>
      <c r="FHW1" s="129"/>
      <c r="FHX1" s="129"/>
      <c r="FHY1" s="129"/>
      <c r="FHZ1" s="129"/>
      <c r="FIA1" s="129"/>
      <c r="FIB1" s="129"/>
      <c r="FIC1" s="129"/>
      <c r="FID1" s="129"/>
      <c r="FIE1" s="129"/>
      <c r="FIF1" s="129"/>
      <c r="FIG1" s="129"/>
      <c r="FIH1" s="129"/>
      <c r="FII1" s="129"/>
      <c r="FIJ1" s="129"/>
      <c r="FIK1" s="129"/>
      <c r="FIL1" s="129"/>
      <c r="FIM1" s="129"/>
      <c r="FIN1" s="129"/>
      <c r="FIO1" s="129"/>
      <c r="FIP1" s="129"/>
      <c r="FIQ1" s="129"/>
      <c r="FIR1" s="129"/>
      <c r="FIS1" s="129"/>
      <c r="FIT1" s="129"/>
      <c r="FIU1" s="129"/>
      <c r="FIV1" s="129"/>
      <c r="FIW1" s="129"/>
      <c r="FIX1" s="129"/>
      <c r="FIY1" s="129"/>
      <c r="FIZ1" s="129"/>
      <c r="FJA1" s="129"/>
      <c r="FJB1" s="129"/>
      <c r="FJC1" s="129"/>
      <c r="FJD1" s="129"/>
      <c r="FJE1" s="129"/>
      <c r="FJF1" s="129"/>
      <c r="FJG1" s="129"/>
      <c r="FJH1" s="129"/>
      <c r="FJI1" s="129"/>
      <c r="FJJ1" s="129"/>
      <c r="FJK1" s="129"/>
      <c r="FJL1" s="129"/>
      <c r="FJM1" s="129"/>
      <c r="FJN1" s="129"/>
      <c r="FJO1" s="129"/>
      <c r="FJP1" s="129"/>
      <c r="FJQ1" s="129"/>
      <c r="FJR1" s="129"/>
      <c r="FJS1" s="129"/>
      <c r="FJT1" s="129"/>
      <c r="FJU1" s="129"/>
      <c r="FJV1" s="129"/>
      <c r="FJW1" s="129"/>
      <c r="FJX1" s="129"/>
      <c r="FJY1" s="129"/>
      <c r="FJZ1" s="129"/>
      <c r="FKA1" s="129"/>
      <c r="FKB1" s="129"/>
      <c r="FKC1" s="129"/>
      <c r="FKD1" s="129"/>
      <c r="FKE1" s="129"/>
      <c r="FKF1" s="129"/>
      <c r="FKG1" s="129"/>
      <c r="FKH1" s="129"/>
      <c r="FKI1" s="129"/>
      <c r="FKJ1" s="129"/>
      <c r="FKK1" s="129"/>
      <c r="FKL1" s="129"/>
      <c r="FKM1" s="129"/>
      <c r="FKN1" s="129"/>
      <c r="FKO1" s="129"/>
      <c r="FKP1" s="129"/>
      <c r="FKQ1" s="129"/>
      <c r="FKR1" s="129"/>
      <c r="FKS1" s="129"/>
      <c r="FKT1" s="129"/>
      <c r="FKU1" s="129"/>
      <c r="FKV1" s="129"/>
      <c r="FKW1" s="129"/>
      <c r="FKX1" s="129"/>
      <c r="FKY1" s="129"/>
      <c r="FKZ1" s="129"/>
      <c r="FLA1" s="129"/>
      <c r="FLB1" s="129"/>
      <c r="FLC1" s="129"/>
      <c r="FLD1" s="129"/>
      <c r="FLE1" s="129"/>
      <c r="FLF1" s="129"/>
      <c r="FLG1" s="129"/>
      <c r="FLH1" s="129"/>
      <c r="FLI1" s="129"/>
      <c r="FLJ1" s="129"/>
      <c r="FLK1" s="129"/>
      <c r="FLL1" s="129"/>
      <c r="FLM1" s="129"/>
      <c r="FLN1" s="129"/>
      <c r="FLO1" s="129"/>
      <c r="FLP1" s="129"/>
      <c r="FLQ1" s="129"/>
      <c r="FLR1" s="129"/>
      <c r="FLS1" s="129"/>
      <c r="FLT1" s="129"/>
      <c r="FLU1" s="129"/>
      <c r="FLV1" s="129"/>
      <c r="FLW1" s="129"/>
      <c r="FLX1" s="129"/>
      <c r="FLY1" s="129"/>
      <c r="FLZ1" s="129"/>
      <c r="FMA1" s="129"/>
      <c r="FMB1" s="129"/>
      <c r="FMC1" s="129"/>
      <c r="FMD1" s="129"/>
      <c r="FME1" s="129"/>
      <c r="FMF1" s="129"/>
      <c r="FMG1" s="129"/>
      <c r="FMH1" s="129"/>
      <c r="FMI1" s="129"/>
      <c r="FMJ1" s="129"/>
      <c r="FMK1" s="129"/>
      <c r="FML1" s="129"/>
      <c r="FMM1" s="129"/>
      <c r="FMN1" s="129"/>
      <c r="FMO1" s="129"/>
      <c r="FMP1" s="129"/>
      <c r="FMQ1" s="129"/>
      <c r="FMR1" s="129"/>
      <c r="FMS1" s="129"/>
      <c r="FMT1" s="129"/>
      <c r="FMU1" s="129"/>
      <c r="FMV1" s="129"/>
      <c r="FMW1" s="129"/>
      <c r="FMX1" s="129"/>
      <c r="FMY1" s="129"/>
      <c r="FMZ1" s="129"/>
      <c r="FNA1" s="129"/>
      <c r="FNB1" s="129"/>
      <c r="FNC1" s="129"/>
      <c r="FND1" s="129"/>
      <c r="FNE1" s="129"/>
      <c r="FNF1" s="129"/>
      <c r="FNG1" s="129"/>
      <c r="FNH1" s="129"/>
      <c r="FNI1" s="129"/>
      <c r="FNJ1" s="129"/>
      <c r="FNK1" s="129"/>
      <c r="FNL1" s="129"/>
      <c r="FNM1" s="129"/>
      <c r="FNN1" s="129"/>
      <c r="FNO1" s="129"/>
      <c r="FNP1" s="129"/>
      <c r="FNQ1" s="129"/>
      <c r="FNR1" s="129"/>
      <c r="FNS1" s="129"/>
      <c r="FNT1" s="129"/>
      <c r="FNU1" s="129"/>
      <c r="FNV1" s="129"/>
      <c r="FNW1" s="129"/>
      <c r="FNX1" s="129"/>
      <c r="FNY1" s="129"/>
      <c r="FNZ1" s="129"/>
      <c r="FOA1" s="129"/>
      <c r="FOB1" s="129"/>
      <c r="FOC1" s="129"/>
      <c r="FOD1" s="129"/>
      <c r="FOE1" s="129"/>
      <c r="FOF1" s="129"/>
      <c r="FOG1" s="129"/>
      <c r="FOH1" s="129"/>
      <c r="FOI1" s="129"/>
      <c r="FOJ1" s="129"/>
      <c r="FOK1" s="129"/>
      <c r="FOL1" s="129"/>
      <c r="FOM1" s="129"/>
      <c r="FON1" s="129"/>
      <c r="FOO1" s="129"/>
      <c r="FOP1" s="129"/>
      <c r="FOQ1" s="129"/>
      <c r="FOR1" s="129"/>
      <c r="FOS1" s="129"/>
      <c r="FOT1" s="129"/>
      <c r="FOU1" s="129"/>
      <c r="FOV1" s="129"/>
      <c r="FOW1" s="129"/>
      <c r="FOX1" s="129"/>
      <c r="FOY1" s="129"/>
      <c r="FOZ1" s="129"/>
      <c r="FPA1" s="129"/>
      <c r="FPB1" s="129"/>
      <c r="FPC1" s="129"/>
      <c r="FPD1" s="129"/>
      <c r="FPE1" s="129"/>
      <c r="FPF1" s="129"/>
      <c r="FPG1" s="129"/>
      <c r="FPH1" s="129"/>
      <c r="FPI1" s="129"/>
      <c r="FPJ1" s="129"/>
      <c r="FPK1" s="129"/>
      <c r="FPL1" s="129"/>
      <c r="FPM1" s="129"/>
      <c r="FPN1" s="129"/>
      <c r="FPO1" s="129"/>
      <c r="FPP1" s="129"/>
      <c r="FPQ1" s="129"/>
      <c r="FPR1" s="129"/>
      <c r="FPS1" s="129"/>
      <c r="FPT1" s="129"/>
      <c r="FPU1" s="129"/>
      <c r="FPV1" s="129"/>
      <c r="FPW1" s="129"/>
      <c r="FPX1" s="129"/>
      <c r="FPY1" s="129"/>
      <c r="FPZ1" s="129"/>
      <c r="FQA1" s="129"/>
      <c r="FQB1" s="129"/>
      <c r="FQC1" s="129"/>
      <c r="FQD1" s="129"/>
      <c r="FQE1" s="129"/>
      <c r="FQF1" s="129"/>
      <c r="FQG1" s="129"/>
      <c r="FQH1" s="129"/>
      <c r="FQI1" s="129"/>
      <c r="FQJ1" s="129"/>
      <c r="FQK1" s="129"/>
      <c r="FQL1" s="129"/>
      <c r="FQM1" s="129"/>
      <c r="FQN1" s="129"/>
      <c r="FQO1" s="129"/>
      <c r="FQP1" s="129"/>
      <c r="FQQ1" s="129"/>
      <c r="FQR1" s="129"/>
      <c r="FQS1" s="129"/>
      <c r="FQT1" s="129"/>
      <c r="FQU1" s="129"/>
      <c r="FQV1" s="129"/>
      <c r="FQW1" s="129"/>
      <c r="FQX1" s="129"/>
      <c r="FQY1" s="129"/>
      <c r="FQZ1" s="129"/>
      <c r="FRA1" s="129"/>
      <c r="FRB1" s="129"/>
      <c r="FRC1" s="129"/>
      <c r="FRD1" s="129"/>
      <c r="FRE1" s="129"/>
      <c r="FRF1" s="129"/>
      <c r="FRG1" s="129"/>
      <c r="FRH1" s="129"/>
      <c r="FRI1" s="129"/>
      <c r="FRJ1" s="129"/>
      <c r="FRK1" s="129"/>
      <c r="FRL1" s="129"/>
      <c r="FRM1" s="129"/>
      <c r="FRN1" s="129"/>
      <c r="FRO1" s="129"/>
      <c r="FRP1" s="129"/>
      <c r="FRQ1" s="129"/>
      <c r="FRR1" s="129"/>
      <c r="FRS1" s="129"/>
      <c r="FRT1" s="129"/>
      <c r="FRU1" s="129"/>
      <c r="FRV1" s="129"/>
      <c r="FRW1" s="129"/>
      <c r="FRX1" s="129"/>
      <c r="FRY1" s="129"/>
      <c r="FRZ1" s="129"/>
      <c r="FSA1" s="129"/>
      <c r="FSB1" s="129"/>
      <c r="FSC1" s="129"/>
      <c r="FSD1" s="129"/>
      <c r="FSE1" s="129"/>
      <c r="FSF1" s="129"/>
      <c r="FSG1" s="129"/>
      <c r="FSH1" s="129"/>
      <c r="FSI1" s="129"/>
      <c r="FSJ1" s="129"/>
      <c r="FSK1" s="129"/>
      <c r="FSL1" s="129"/>
      <c r="FSM1" s="129"/>
      <c r="FSN1" s="129"/>
      <c r="FSO1" s="129"/>
      <c r="FSP1" s="129"/>
      <c r="FSQ1" s="129"/>
      <c r="FSR1" s="129"/>
      <c r="FSS1" s="129"/>
      <c r="FST1" s="129"/>
      <c r="FSU1" s="129"/>
      <c r="FSV1" s="129"/>
      <c r="FSW1" s="129"/>
      <c r="FSX1" s="129"/>
      <c r="FSY1" s="129"/>
      <c r="FSZ1" s="129"/>
      <c r="FTA1" s="129"/>
      <c r="FTB1" s="129"/>
      <c r="FTC1" s="129"/>
      <c r="FTD1" s="129"/>
      <c r="FTE1" s="129"/>
      <c r="FTF1" s="129"/>
      <c r="FTG1" s="129"/>
      <c r="FTH1" s="129"/>
      <c r="FTI1" s="129"/>
      <c r="FTJ1" s="129"/>
      <c r="FTK1" s="129"/>
      <c r="FTL1" s="129"/>
      <c r="FTM1" s="129"/>
      <c r="FTN1" s="129"/>
      <c r="FTO1" s="129"/>
      <c r="FTP1" s="129"/>
      <c r="FTQ1" s="129"/>
      <c r="FTR1" s="129"/>
      <c r="FTS1" s="129"/>
      <c r="FTT1" s="129"/>
      <c r="FTU1" s="129"/>
      <c r="FTV1" s="129"/>
      <c r="FTW1" s="129"/>
      <c r="FTX1" s="129"/>
      <c r="FTY1" s="129"/>
      <c r="FTZ1" s="129"/>
      <c r="FUA1" s="129"/>
      <c r="FUB1" s="129"/>
      <c r="FUC1" s="129"/>
      <c r="FUD1" s="129"/>
      <c r="FUE1" s="129"/>
      <c r="FUF1" s="129"/>
      <c r="FUG1" s="129"/>
      <c r="FUH1" s="129"/>
      <c r="FUI1" s="129"/>
      <c r="FUJ1" s="129"/>
      <c r="FUK1" s="129"/>
      <c r="FUL1" s="129"/>
      <c r="FUM1" s="129"/>
      <c r="FUN1" s="129"/>
      <c r="FUO1" s="129"/>
      <c r="FUP1" s="129"/>
      <c r="FUQ1" s="129"/>
      <c r="FUR1" s="129"/>
      <c r="FUS1" s="129"/>
      <c r="FUT1" s="129"/>
      <c r="FUU1" s="129"/>
      <c r="FUV1" s="129"/>
      <c r="FUW1" s="129"/>
      <c r="FUX1" s="129"/>
      <c r="FUY1" s="129"/>
      <c r="FUZ1" s="129"/>
      <c r="FVA1" s="129"/>
      <c r="FVB1" s="129"/>
      <c r="FVC1" s="129"/>
      <c r="FVD1" s="129"/>
      <c r="FVE1" s="129"/>
      <c r="FVF1" s="129"/>
      <c r="FVG1" s="129"/>
      <c r="FVH1" s="129"/>
      <c r="FVI1" s="129"/>
      <c r="FVJ1" s="129"/>
      <c r="FVK1" s="129"/>
      <c r="FVL1" s="129"/>
      <c r="FVM1" s="129"/>
      <c r="FVN1" s="129"/>
      <c r="FVO1" s="129"/>
      <c r="FVP1" s="129"/>
      <c r="FVQ1" s="129"/>
      <c r="FVR1" s="129"/>
      <c r="FVS1" s="129"/>
      <c r="FVT1" s="129"/>
      <c r="FVU1" s="129"/>
      <c r="FVV1" s="129"/>
      <c r="FVW1" s="129"/>
      <c r="FVX1" s="129"/>
      <c r="FVY1" s="129"/>
      <c r="FVZ1" s="129"/>
      <c r="FWA1" s="129"/>
      <c r="FWB1" s="129"/>
      <c r="FWC1" s="129"/>
      <c r="FWD1" s="129"/>
      <c r="FWE1" s="129"/>
      <c r="FWF1" s="129"/>
      <c r="FWG1" s="129"/>
      <c r="FWH1" s="129"/>
      <c r="FWI1" s="129"/>
      <c r="FWJ1" s="129"/>
      <c r="FWK1" s="129"/>
      <c r="FWL1" s="129"/>
      <c r="FWM1" s="129"/>
      <c r="FWN1" s="129"/>
      <c r="FWO1" s="129"/>
      <c r="FWP1" s="129"/>
      <c r="FWQ1" s="129"/>
      <c r="FWR1" s="129"/>
      <c r="FWS1" s="129"/>
      <c r="FWT1" s="129"/>
      <c r="FWU1" s="129"/>
      <c r="FWV1" s="129"/>
      <c r="FWW1" s="129"/>
      <c r="FWX1" s="129"/>
      <c r="FWY1" s="129"/>
      <c r="FWZ1" s="129"/>
      <c r="FXA1" s="129"/>
      <c r="FXB1" s="129"/>
      <c r="FXC1" s="129"/>
      <c r="FXD1" s="129"/>
      <c r="FXE1" s="129"/>
      <c r="FXF1" s="129"/>
      <c r="FXG1" s="129"/>
      <c r="FXH1" s="129"/>
      <c r="FXI1" s="129"/>
      <c r="FXJ1" s="129"/>
      <c r="FXK1" s="129"/>
      <c r="FXL1" s="129"/>
      <c r="FXM1" s="129"/>
      <c r="FXN1" s="129"/>
      <c r="FXO1" s="129"/>
      <c r="FXP1" s="129"/>
      <c r="FXQ1" s="129"/>
      <c r="FXR1" s="129"/>
      <c r="FXS1" s="129"/>
      <c r="FXT1" s="129"/>
      <c r="FXU1" s="129"/>
      <c r="FXV1" s="129"/>
      <c r="FXW1" s="129"/>
      <c r="FXX1" s="129"/>
      <c r="FXY1" s="129"/>
      <c r="FXZ1" s="129"/>
      <c r="FYA1" s="129"/>
      <c r="FYB1" s="129"/>
      <c r="FYC1" s="129"/>
      <c r="FYD1" s="129"/>
      <c r="FYE1" s="129"/>
      <c r="FYF1" s="129"/>
      <c r="FYG1" s="129"/>
      <c r="FYH1" s="129"/>
      <c r="FYI1" s="129"/>
      <c r="FYJ1" s="129"/>
      <c r="FYK1" s="129"/>
      <c r="FYL1" s="129"/>
      <c r="FYM1" s="129"/>
      <c r="FYN1" s="129"/>
      <c r="FYO1" s="129"/>
      <c r="FYP1" s="129"/>
      <c r="FYQ1" s="129"/>
      <c r="FYR1" s="129"/>
      <c r="FYS1" s="129"/>
      <c r="FYT1" s="129"/>
      <c r="FYU1" s="129"/>
      <c r="FYV1" s="129"/>
      <c r="FYW1" s="129"/>
      <c r="FYX1" s="129"/>
      <c r="FYY1" s="129"/>
      <c r="FYZ1" s="129"/>
      <c r="FZA1" s="129"/>
      <c r="FZB1" s="129"/>
      <c r="FZC1" s="129"/>
      <c r="FZD1" s="129"/>
      <c r="FZE1" s="129"/>
      <c r="FZF1" s="129"/>
      <c r="FZG1" s="129"/>
      <c r="FZH1" s="129"/>
      <c r="FZI1" s="129"/>
      <c r="FZJ1" s="129"/>
      <c r="FZK1" s="129"/>
      <c r="FZL1" s="129"/>
      <c r="FZM1" s="129"/>
      <c r="FZN1" s="129"/>
      <c r="FZO1" s="129"/>
      <c r="FZP1" s="129"/>
      <c r="FZQ1" s="129"/>
      <c r="FZR1" s="129"/>
      <c r="FZS1" s="129"/>
      <c r="FZT1" s="129"/>
      <c r="FZU1" s="129"/>
      <c r="FZV1" s="129"/>
      <c r="FZW1" s="129"/>
      <c r="FZX1" s="129"/>
      <c r="FZY1" s="129"/>
      <c r="FZZ1" s="129"/>
      <c r="GAA1" s="129"/>
      <c r="GAB1" s="129"/>
      <c r="GAC1" s="129"/>
      <c r="GAD1" s="129"/>
      <c r="GAE1" s="129"/>
      <c r="GAF1" s="129"/>
      <c r="GAG1" s="129"/>
      <c r="GAH1" s="129"/>
      <c r="GAI1" s="129"/>
      <c r="GAJ1" s="129"/>
      <c r="GAK1" s="129"/>
      <c r="GAL1" s="129"/>
      <c r="GAM1" s="129"/>
      <c r="GAN1" s="129"/>
      <c r="GAO1" s="129"/>
      <c r="GAP1" s="129"/>
      <c r="GAQ1" s="129"/>
      <c r="GAR1" s="129"/>
      <c r="GAS1" s="129"/>
      <c r="GAT1" s="129"/>
      <c r="GAU1" s="129"/>
      <c r="GAV1" s="129"/>
      <c r="GAW1" s="129"/>
      <c r="GAX1" s="129"/>
      <c r="GAY1" s="129"/>
      <c r="GAZ1" s="129"/>
      <c r="GBA1" s="129"/>
      <c r="GBB1" s="129"/>
      <c r="GBC1" s="129"/>
      <c r="GBD1" s="129"/>
      <c r="GBE1" s="129"/>
      <c r="GBF1" s="129"/>
      <c r="GBG1" s="129"/>
      <c r="GBH1" s="129"/>
      <c r="GBI1" s="129"/>
      <c r="GBJ1" s="129"/>
      <c r="GBK1" s="129"/>
      <c r="GBL1" s="129"/>
      <c r="GBM1" s="129"/>
      <c r="GBN1" s="129"/>
      <c r="GBO1" s="129"/>
      <c r="GBP1" s="129"/>
      <c r="GBQ1" s="129"/>
      <c r="GBR1" s="129"/>
      <c r="GBS1" s="129"/>
      <c r="GBT1" s="129"/>
      <c r="GBU1" s="129"/>
      <c r="GBV1" s="129"/>
      <c r="GBW1" s="129"/>
      <c r="GBX1" s="129"/>
      <c r="GBY1" s="129"/>
      <c r="GBZ1" s="129"/>
      <c r="GCA1" s="129"/>
      <c r="GCB1" s="129"/>
      <c r="GCC1" s="129"/>
      <c r="GCD1" s="129"/>
      <c r="GCE1" s="129"/>
      <c r="GCF1" s="129"/>
      <c r="GCG1" s="129"/>
      <c r="GCH1" s="129"/>
      <c r="GCI1" s="129"/>
      <c r="GCJ1" s="129"/>
      <c r="GCK1" s="129"/>
      <c r="GCL1" s="129"/>
      <c r="GCM1" s="129"/>
      <c r="GCN1" s="129"/>
      <c r="GCO1" s="129"/>
      <c r="GCP1" s="129"/>
      <c r="GCQ1" s="129"/>
      <c r="GCR1" s="129"/>
      <c r="GCS1" s="129"/>
      <c r="GCT1" s="129"/>
      <c r="GCU1" s="129"/>
      <c r="GCV1" s="129"/>
      <c r="GCW1" s="129"/>
      <c r="GCX1" s="129"/>
      <c r="GCY1" s="129"/>
      <c r="GCZ1" s="129"/>
      <c r="GDA1" s="129"/>
      <c r="GDB1" s="129"/>
      <c r="GDC1" s="129"/>
      <c r="GDD1" s="129"/>
      <c r="GDE1" s="129"/>
      <c r="GDF1" s="129"/>
      <c r="GDG1" s="129"/>
      <c r="GDH1" s="129"/>
      <c r="GDI1" s="129"/>
      <c r="GDJ1" s="129"/>
      <c r="GDK1" s="129"/>
      <c r="GDL1" s="129"/>
      <c r="GDM1" s="129"/>
      <c r="GDN1" s="129"/>
      <c r="GDO1" s="129"/>
      <c r="GDP1" s="129"/>
      <c r="GDQ1" s="129"/>
      <c r="GDR1" s="129"/>
      <c r="GDS1" s="129"/>
      <c r="GDT1" s="129"/>
      <c r="GDU1" s="129"/>
      <c r="GDV1" s="129"/>
      <c r="GDW1" s="129"/>
      <c r="GDX1" s="129"/>
      <c r="GDY1" s="129"/>
      <c r="GDZ1" s="129"/>
      <c r="GEA1" s="129"/>
      <c r="GEB1" s="129"/>
      <c r="GEC1" s="129"/>
      <c r="GED1" s="129"/>
      <c r="GEE1" s="129"/>
      <c r="GEF1" s="129"/>
      <c r="GEG1" s="129"/>
      <c r="GEH1" s="129"/>
      <c r="GEI1" s="129"/>
      <c r="GEJ1" s="129"/>
      <c r="GEK1" s="129"/>
      <c r="GEL1" s="129"/>
      <c r="GEM1" s="129"/>
      <c r="GEN1" s="129"/>
      <c r="GEO1" s="129"/>
      <c r="GEP1" s="129"/>
      <c r="GEQ1" s="129"/>
      <c r="GER1" s="129"/>
      <c r="GES1" s="129"/>
      <c r="GET1" s="129"/>
      <c r="GEU1" s="129"/>
      <c r="GEV1" s="129"/>
      <c r="GEW1" s="129"/>
      <c r="GEX1" s="129"/>
      <c r="GEY1" s="129"/>
      <c r="GEZ1" s="129"/>
      <c r="GFA1" s="129"/>
      <c r="GFB1" s="129"/>
      <c r="GFC1" s="129"/>
      <c r="GFD1" s="129"/>
      <c r="GFE1" s="129"/>
      <c r="GFF1" s="129"/>
      <c r="GFG1" s="129"/>
      <c r="GFH1" s="129"/>
      <c r="GFI1" s="129"/>
      <c r="GFJ1" s="129"/>
      <c r="GFK1" s="129"/>
      <c r="GFL1" s="129"/>
      <c r="GFM1" s="129"/>
      <c r="GFN1" s="129"/>
      <c r="GFO1" s="129"/>
      <c r="GFP1" s="129"/>
      <c r="GFQ1" s="129"/>
      <c r="GFR1" s="129"/>
      <c r="GFS1" s="129"/>
      <c r="GFT1" s="129"/>
      <c r="GFU1" s="129"/>
      <c r="GFV1" s="129"/>
      <c r="GFW1" s="129"/>
      <c r="GFX1" s="129"/>
      <c r="GFY1" s="129"/>
      <c r="GFZ1" s="129"/>
      <c r="GGA1" s="129"/>
      <c r="GGB1" s="129"/>
      <c r="GGC1" s="129"/>
      <c r="GGD1" s="129"/>
      <c r="GGE1" s="129"/>
      <c r="GGF1" s="129"/>
      <c r="GGG1" s="129"/>
      <c r="GGH1" s="129"/>
      <c r="GGI1" s="129"/>
      <c r="GGJ1" s="129"/>
      <c r="GGK1" s="129"/>
      <c r="GGL1" s="129"/>
      <c r="GGM1" s="129"/>
      <c r="GGN1" s="129"/>
      <c r="GGO1" s="129"/>
      <c r="GGP1" s="129"/>
      <c r="GGQ1" s="129"/>
      <c r="GGR1" s="129"/>
      <c r="GGS1" s="129"/>
      <c r="GGT1" s="129"/>
      <c r="GGU1" s="129"/>
      <c r="GGV1" s="129"/>
      <c r="GGW1" s="129"/>
      <c r="GGX1" s="129"/>
      <c r="GGY1" s="129"/>
      <c r="GGZ1" s="129"/>
      <c r="GHA1" s="129"/>
      <c r="GHB1" s="129"/>
      <c r="GHC1" s="129"/>
      <c r="GHD1" s="129"/>
      <c r="GHE1" s="129"/>
      <c r="GHF1" s="129"/>
      <c r="GHG1" s="129"/>
      <c r="GHH1" s="129"/>
      <c r="GHI1" s="129"/>
      <c r="GHJ1" s="129"/>
      <c r="GHK1" s="129"/>
      <c r="GHL1" s="129"/>
      <c r="GHM1" s="129"/>
      <c r="GHN1" s="129"/>
      <c r="GHO1" s="129"/>
      <c r="GHP1" s="129"/>
      <c r="GHQ1" s="129"/>
      <c r="GHR1" s="129"/>
      <c r="GHS1" s="129"/>
      <c r="GHT1" s="129"/>
      <c r="GHU1" s="129"/>
      <c r="GHV1" s="129"/>
      <c r="GHW1" s="129"/>
      <c r="GHX1" s="129"/>
      <c r="GHY1" s="129"/>
      <c r="GHZ1" s="129"/>
      <c r="GIA1" s="129"/>
      <c r="GIB1" s="129"/>
      <c r="GIC1" s="129"/>
      <c r="GID1" s="129"/>
      <c r="GIE1" s="129"/>
      <c r="GIF1" s="129"/>
      <c r="GIG1" s="129"/>
      <c r="GIH1" s="129"/>
      <c r="GII1" s="129"/>
      <c r="GIJ1" s="129"/>
      <c r="GIK1" s="129"/>
      <c r="GIL1" s="129"/>
      <c r="GIM1" s="129"/>
      <c r="GIN1" s="129"/>
      <c r="GIO1" s="129"/>
      <c r="GIP1" s="129"/>
      <c r="GIQ1" s="129"/>
      <c r="GIR1" s="129"/>
      <c r="GIS1" s="129"/>
      <c r="GIT1" s="129"/>
      <c r="GIU1" s="129"/>
      <c r="GIV1" s="129"/>
      <c r="GIW1" s="129"/>
      <c r="GIX1" s="129"/>
      <c r="GIY1" s="129"/>
      <c r="GIZ1" s="129"/>
      <c r="GJA1" s="129"/>
      <c r="GJB1" s="129"/>
      <c r="GJC1" s="129"/>
      <c r="GJD1" s="129"/>
      <c r="GJE1" s="129"/>
      <c r="GJF1" s="129"/>
      <c r="GJG1" s="129"/>
      <c r="GJH1" s="129"/>
      <c r="GJI1" s="129"/>
      <c r="GJJ1" s="129"/>
      <c r="GJK1" s="129"/>
      <c r="GJL1" s="129"/>
      <c r="GJM1" s="129"/>
      <c r="GJN1" s="129"/>
      <c r="GJO1" s="129"/>
      <c r="GJP1" s="129"/>
      <c r="GJQ1" s="129"/>
      <c r="GJR1" s="129"/>
      <c r="GJS1" s="129"/>
      <c r="GJT1" s="129"/>
      <c r="GJU1" s="129"/>
      <c r="GJV1" s="129"/>
      <c r="GJW1" s="129"/>
      <c r="GJX1" s="129"/>
      <c r="GJY1" s="129"/>
      <c r="GJZ1" s="129"/>
      <c r="GKA1" s="129"/>
      <c r="GKB1" s="129"/>
      <c r="GKC1" s="129"/>
      <c r="GKD1" s="129"/>
      <c r="GKE1" s="129"/>
      <c r="GKF1" s="129"/>
      <c r="GKG1" s="129"/>
      <c r="GKH1" s="129"/>
      <c r="GKI1" s="129"/>
      <c r="GKJ1" s="129"/>
      <c r="GKK1" s="129"/>
      <c r="GKL1" s="129"/>
      <c r="GKM1" s="129"/>
      <c r="GKN1" s="129"/>
      <c r="GKO1" s="129"/>
      <c r="GKP1" s="129"/>
      <c r="GKQ1" s="129"/>
      <c r="GKR1" s="129"/>
      <c r="GKS1" s="129"/>
      <c r="GKT1" s="129"/>
      <c r="GKU1" s="129"/>
      <c r="GKV1" s="129"/>
      <c r="GKW1" s="129"/>
      <c r="GKX1" s="129"/>
      <c r="GKY1" s="129"/>
      <c r="GKZ1" s="129"/>
      <c r="GLA1" s="129"/>
      <c r="GLB1" s="129"/>
      <c r="GLC1" s="129"/>
      <c r="GLD1" s="129"/>
      <c r="GLE1" s="129"/>
      <c r="GLF1" s="129"/>
      <c r="GLG1" s="129"/>
      <c r="GLH1" s="129"/>
      <c r="GLI1" s="129"/>
      <c r="GLJ1" s="129"/>
      <c r="GLK1" s="129"/>
      <c r="GLL1" s="129"/>
      <c r="GLM1" s="129"/>
      <c r="GLN1" s="129"/>
      <c r="GLO1" s="129"/>
      <c r="GLP1" s="129"/>
      <c r="GLQ1" s="129"/>
      <c r="GLR1" s="129"/>
      <c r="GLS1" s="129"/>
      <c r="GLT1" s="129"/>
      <c r="GLU1" s="129"/>
      <c r="GLV1" s="129"/>
      <c r="GLW1" s="129"/>
      <c r="GLX1" s="129"/>
      <c r="GLY1" s="129"/>
      <c r="GLZ1" s="129"/>
      <c r="GMA1" s="129"/>
      <c r="GMB1" s="129"/>
      <c r="GMC1" s="129"/>
      <c r="GMD1" s="129"/>
      <c r="GME1" s="129"/>
      <c r="GMF1" s="129"/>
      <c r="GMG1" s="129"/>
      <c r="GMH1" s="129"/>
      <c r="GMI1" s="129"/>
      <c r="GMJ1" s="129"/>
      <c r="GMK1" s="129"/>
      <c r="GML1" s="129"/>
      <c r="GMM1" s="129"/>
      <c r="GMN1" s="129"/>
      <c r="GMO1" s="129"/>
      <c r="GMP1" s="129"/>
      <c r="GMQ1" s="129"/>
      <c r="GMR1" s="129"/>
      <c r="GMS1" s="129"/>
      <c r="GMT1" s="129"/>
      <c r="GMU1" s="129"/>
      <c r="GMV1" s="129"/>
      <c r="GMW1" s="129"/>
      <c r="GMX1" s="129"/>
      <c r="GMY1" s="129"/>
      <c r="GMZ1" s="129"/>
      <c r="GNA1" s="129"/>
      <c r="GNB1" s="129"/>
      <c r="GNC1" s="129"/>
      <c r="GND1" s="129"/>
      <c r="GNE1" s="129"/>
      <c r="GNF1" s="129"/>
      <c r="GNG1" s="129"/>
      <c r="GNH1" s="129"/>
      <c r="GNI1" s="129"/>
      <c r="GNJ1" s="129"/>
      <c r="GNK1" s="129"/>
      <c r="GNL1" s="129"/>
      <c r="GNM1" s="129"/>
      <c r="GNN1" s="129"/>
      <c r="GNO1" s="129"/>
      <c r="GNP1" s="129"/>
      <c r="GNQ1" s="129"/>
      <c r="GNR1" s="129"/>
      <c r="GNS1" s="129"/>
      <c r="GNT1" s="129"/>
      <c r="GNU1" s="129"/>
      <c r="GNV1" s="129"/>
      <c r="GNW1" s="129"/>
      <c r="GNX1" s="129"/>
      <c r="GNY1" s="129"/>
      <c r="GNZ1" s="129"/>
      <c r="GOA1" s="129"/>
      <c r="GOB1" s="129"/>
      <c r="GOC1" s="129"/>
      <c r="GOD1" s="129"/>
      <c r="GOE1" s="129"/>
      <c r="GOF1" s="129"/>
      <c r="GOG1" s="129"/>
      <c r="GOH1" s="129"/>
      <c r="GOI1" s="129"/>
      <c r="GOJ1" s="129"/>
      <c r="GOK1" s="129"/>
      <c r="GOL1" s="129"/>
      <c r="GOM1" s="129"/>
      <c r="GON1" s="129"/>
      <c r="GOO1" s="129"/>
      <c r="GOP1" s="129"/>
      <c r="GOQ1" s="129"/>
      <c r="GOR1" s="129"/>
      <c r="GOS1" s="129"/>
      <c r="GOT1" s="129"/>
      <c r="GOU1" s="129"/>
      <c r="GOV1" s="129"/>
      <c r="GOW1" s="129"/>
      <c r="GOX1" s="129"/>
      <c r="GOY1" s="129"/>
      <c r="GOZ1" s="129"/>
      <c r="GPA1" s="129"/>
      <c r="GPB1" s="129"/>
      <c r="GPC1" s="129"/>
      <c r="GPD1" s="129"/>
      <c r="GPE1" s="129"/>
      <c r="GPF1" s="129"/>
      <c r="GPG1" s="129"/>
      <c r="GPH1" s="129"/>
      <c r="GPI1" s="129"/>
      <c r="GPJ1" s="129"/>
      <c r="GPK1" s="129"/>
      <c r="GPL1" s="129"/>
      <c r="GPM1" s="129"/>
      <c r="GPN1" s="129"/>
      <c r="GPO1" s="129"/>
      <c r="GPP1" s="129"/>
      <c r="GPQ1" s="129"/>
      <c r="GPR1" s="129"/>
      <c r="GPS1" s="129"/>
      <c r="GPT1" s="129"/>
      <c r="GPU1" s="129"/>
      <c r="GPV1" s="129"/>
      <c r="GPW1" s="129"/>
      <c r="GPX1" s="129"/>
      <c r="GPY1" s="129"/>
      <c r="GPZ1" s="129"/>
      <c r="GQA1" s="129"/>
      <c r="GQB1" s="129"/>
      <c r="GQC1" s="129"/>
      <c r="GQD1" s="129"/>
      <c r="GQE1" s="129"/>
      <c r="GQF1" s="129"/>
      <c r="GQG1" s="129"/>
      <c r="GQH1" s="129"/>
      <c r="GQI1" s="129"/>
      <c r="GQJ1" s="129"/>
      <c r="GQK1" s="129"/>
      <c r="GQL1" s="129"/>
      <c r="GQM1" s="129"/>
      <c r="GQN1" s="129"/>
      <c r="GQO1" s="129"/>
      <c r="GQP1" s="129"/>
      <c r="GQQ1" s="129"/>
      <c r="GQR1" s="129"/>
      <c r="GQS1" s="129"/>
      <c r="GQT1" s="129"/>
      <c r="GQU1" s="129"/>
      <c r="GQV1" s="129"/>
      <c r="GQW1" s="129"/>
      <c r="GQX1" s="129"/>
      <c r="GQY1" s="129"/>
      <c r="GQZ1" s="129"/>
      <c r="GRA1" s="129"/>
      <c r="GRB1" s="129"/>
      <c r="GRC1" s="129"/>
      <c r="GRD1" s="129"/>
      <c r="GRE1" s="129"/>
      <c r="GRF1" s="129"/>
      <c r="GRG1" s="129"/>
      <c r="GRH1" s="129"/>
      <c r="GRI1" s="129"/>
      <c r="GRJ1" s="129"/>
      <c r="GRK1" s="129"/>
      <c r="GRL1" s="129"/>
      <c r="GRM1" s="129"/>
      <c r="GRN1" s="129"/>
      <c r="GRO1" s="129"/>
      <c r="GRP1" s="129"/>
      <c r="GRQ1" s="129"/>
      <c r="GRR1" s="129"/>
      <c r="GRS1" s="129"/>
      <c r="GRT1" s="129"/>
      <c r="GRU1" s="129"/>
      <c r="GRV1" s="129"/>
      <c r="GRW1" s="129"/>
      <c r="GRX1" s="129"/>
      <c r="GRY1" s="129"/>
      <c r="GRZ1" s="129"/>
      <c r="GSA1" s="129"/>
      <c r="GSB1" s="129"/>
      <c r="GSC1" s="129"/>
      <c r="GSD1" s="129"/>
      <c r="GSE1" s="129"/>
      <c r="GSF1" s="129"/>
      <c r="GSG1" s="129"/>
      <c r="GSH1" s="129"/>
      <c r="GSI1" s="129"/>
      <c r="GSJ1" s="129"/>
      <c r="GSK1" s="129"/>
      <c r="GSL1" s="129"/>
      <c r="GSM1" s="129"/>
      <c r="GSN1" s="129"/>
      <c r="GSO1" s="129"/>
      <c r="GSP1" s="129"/>
      <c r="GSQ1" s="129"/>
      <c r="GSR1" s="129"/>
      <c r="GSS1" s="129"/>
      <c r="GST1" s="129"/>
      <c r="GSU1" s="129"/>
      <c r="GSV1" s="129"/>
      <c r="GSW1" s="129"/>
      <c r="GSX1" s="129"/>
      <c r="GSY1" s="129"/>
      <c r="GSZ1" s="129"/>
      <c r="GTA1" s="129"/>
      <c r="GTB1" s="129"/>
      <c r="GTC1" s="129"/>
      <c r="GTD1" s="129"/>
      <c r="GTE1" s="129"/>
      <c r="GTF1" s="129"/>
      <c r="GTG1" s="129"/>
      <c r="GTH1" s="129"/>
      <c r="GTI1" s="129"/>
      <c r="GTJ1" s="129"/>
      <c r="GTK1" s="129"/>
      <c r="GTL1" s="129"/>
      <c r="GTM1" s="129"/>
      <c r="GTN1" s="129"/>
      <c r="GTO1" s="129"/>
      <c r="GTP1" s="129"/>
      <c r="GTQ1" s="129"/>
      <c r="GTR1" s="129"/>
      <c r="GTS1" s="129"/>
      <c r="GTT1" s="129"/>
      <c r="GTU1" s="129"/>
      <c r="GTV1" s="129"/>
      <c r="GTW1" s="129"/>
      <c r="GTX1" s="129"/>
      <c r="GTY1" s="129"/>
      <c r="GTZ1" s="129"/>
      <c r="GUA1" s="129"/>
      <c r="GUB1" s="129"/>
      <c r="GUC1" s="129"/>
      <c r="GUD1" s="129"/>
      <c r="GUE1" s="129"/>
      <c r="GUF1" s="129"/>
      <c r="GUG1" s="129"/>
      <c r="GUH1" s="129"/>
      <c r="GUI1" s="129"/>
      <c r="GUJ1" s="129"/>
      <c r="GUK1" s="129"/>
      <c r="GUL1" s="129"/>
      <c r="GUM1" s="129"/>
      <c r="GUN1" s="129"/>
      <c r="GUO1" s="129"/>
      <c r="GUP1" s="129"/>
      <c r="GUQ1" s="129"/>
      <c r="GUR1" s="129"/>
      <c r="GUS1" s="129"/>
      <c r="GUT1" s="129"/>
      <c r="GUU1" s="129"/>
      <c r="GUV1" s="129"/>
      <c r="GUW1" s="129"/>
      <c r="GUX1" s="129"/>
      <c r="GUY1" s="129"/>
      <c r="GUZ1" s="129"/>
      <c r="GVA1" s="129"/>
      <c r="GVB1" s="129"/>
      <c r="GVC1" s="129"/>
      <c r="GVD1" s="129"/>
      <c r="GVE1" s="129"/>
      <c r="GVF1" s="129"/>
      <c r="GVG1" s="129"/>
      <c r="GVH1" s="129"/>
      <c r="GVI1" s="129"/>
      <c r="GVJ1" s="129"/>
      <c r="GVK1" s="129"/>
      <c r="GVL1" s="129"/>
      <c r="GVM1" s="129"/>
      <c r="GVN1" s="129"/>
      <c r="GVO1" s="129"/>
      <c r="GVP1" s="129"/>
      <c r="GVQ1" s="129"/>
      <c r="GVR1" s="129"/>
      <c r="GVS1" s="129"/>
      <c r="GVT1" s="129"/>
      <c r="GVU1" s="129"/>
      <c r="GVV1" s="129"/>
      <c r="GVW1" s="129"/>
      <c r="GVX1" s="129"/>
      <c r="GVY1" s="129"/>
      <c r="GVZ1" s="129"/>
      <c r="GWA1" s="129"/>
      <c r="GWB1" s="129"/>
      <c r="GWC1" s="129"/>
      <c r="GWD1" s="129"/>
      <c r="GWE1" s="129"/>
      <c r="GWF1" s="129"/>
      <c r="GWG1" s="129"/>
      <c r="GWH1" s="129"/>
      <c r="GWI1" s="129"/>
      <c r="GWJ1" s="129"/>
      <c r="GWK1" s="129"/>
      <c r="GWL1" s="129"/>
      <c r="GWM1" s="129"/>
      <c r="GWN1" s="129"/>
      <c r="GWO1" s="129"/>
      <c r="GWP1" s="129"/>
      <c r="GWQ1" s="129"/>
      <c r="GWR1" s="129"/>
      <c r="GWS1" s="129"/>
      <c r="GWT1" s="129"/>
      <c r="GWU1" s="129"/>
      <c r="GWV1" s="129"/>
      <c r="GWW1" s="129"/>
      <c r="GWX1" s="129"/>
      <c r="GWY1" s="129"/>
      <c r="GWZ1" s="129"/>
      <c r="GXA1" s="129"/>
      <c r="GXB1" s="129"/>
      <c r="GXC1" s="129"/>
      <c r="GXD1" s="129"/>
      <c r="GXE1" s="129"/>
      <c r="GXF1" s="129"/>
      <c r="GXG1" s="129"/>
      <c r="GXH1" s="129"/>
      <c r="GXI1" s="129"/>
      <c r="GXJ1" s="129"/>
      <c r="GXK1" s="129"/>
      <c r="GXL1" s="129"/>
      <c r="GXM1" s="129"/>
      <c r="GXN1" s="129"/>
      <c r="GXO1" s="129"/>
      <c r="GXP1" s="129"/>
      <c r="GXQ1" s="129"/>
      <c r="GXR1" s="129"/>
      <c r="GXS1" s="129"/>
      <c r="GXT1" s="129"/>
      <c r="GXU1" s="129"/>
      <c r="GXV1" s="129"/>
      <c r="GXW1" s="129"/>
      <c r="GXX1" s="129"/>
      <c r="GXY1" s="129"/>
      <c r="GXZ1" s="129"/>
      <c r="GYA1" s="129"/>
      <c r="GYB1" s="129"/>
      <c r="GYC1" s="129"/>
      <c r="GYD1" s="129"/>
      <c r="GYE1" s="129"/>
      <c r="GYF1" s="129"/>
      <c r="GYG1" s="129"/>
      <c r="GYH1" s="129"/>
      <c r="GYI1" s="129"/>
      <c r="GYJ1" s="129"/>
      <c r="GYK1" s="129"/>
      <c r="GYL1" s="129"/>
      <c r="GYM1" s="129"/>
      <c r="GYN1" s="129"/>
      <c r="GYO1" s="129"/>
      <c r="GYP1" s="129"/>
      <c r="GYQ1" s="129"/>
      <c r="GYR1" s="129"/>
      <c r="GYS1" s="129"/>
      <c r="GYT1" s="129"/>
      <c r="GYU1" s="129"/>
      <c r="GYV1" s="129"/>
      <c r="GYW1" s="129"/>
      <c r="GYX1" s="129"/>
      <c r="GYY1" s="129"/>
      <c r="GYZ1" s="129"/>
      <c r="GZA1" s="129"/>
      <c r="GZB1" s="129"/>
      <c r="GZC1" s="129"/>
      <c r="GZD1" s="129"/>
      <c r="GZE1" s="129"/>
      <c r="GZF1" s="129"/>
      <c r="GZG1" s="129"/>
      <c r="GZH1" s="129"/>
      <c r="GZI1" s="129"/>
      <c r="GZJ1" s="129"/>
      <c r="GZK1" s="129"/>
      <c r="GZL1" s="129"/>
      <c r="GZM1" s="129"/>
      <c r="GZN1" s="129"/>
      <c r="GZO1" s="129"/>
      <c r="GZP1" s="129"/>
      <c r="GZQ1" s="129"/>
      <c r="GZR1" s="129"/>
      <c r="GZS1" s="129"/>
      <c r="GZT1" s="129"/>
      <c r="GZU1" s="129"/>
      <c r="GZV1" s="129"/>
      <c r="GZW1" s="129"/>
      <c r="GZX1" s="129"/>
      <c r="GZY1" s="129"/>
      <c r="GZZ1" s="129"/>
      <c r="HAA1" s="129"/>
      <c r="HAB1" s="129"/>
      <c r="HAC1" s="129"/>
      <c r="HAD1" s="129"/>
      <c r="HAE1" s="129"/>
      <c r="HAF1" s="129"/>
      <c r="HAG1" s="129"/>
      <c r="HAH1" s="129"/>
      <c r="HAI1" s="129"/>
      <c r="HAJ1" s="129"/>
      <c r="HAK1" s="129"/>
      <c r="HAL1" s="129"/>
      <c r="HAM1" s="129"/>
      <c r="HAN1" s="129"/>
      <c r="HAO1" s="129"/>
      <c r="HAP1" s="129"/>
      <c r="HAQ1" s="129"/>
      <c r="HAR1" s="129"/>
      <c r="HAS1" s="129"/>
      <c r="HAT1" s="129"/>
      <c r="HAU1" s="129"/>
      <c r="HAV1" s="129"/>
      <c r="HAW1" s="129"/>
      <c r="HAX1" s="129"/>
      <c r="HAY1" s="129"/>
      <c r="HAZ1" s="129"/>
      <c r="HBA1" s="129"/>
      <c r="HBB1" s="129"/>
      <c r="HBC1" s="129"/>
      <c r="HBD1" s="129"/>
      <c r="HBE1" s="129"/>
      <c r="HBF1" s="129"/>
      <c r="HBG1" s="129"/>
      <c r="HBH1" s="129"/>
      <c r="HBI1" s="129"/>
      <c r="HBJ1" s="129"/>
      <c r="HBK1" s="129"/>
      <c r="HBL1" s="129"/>
      <c r="HBM1" s="129"/>
      <c r="HBN1" s="129"/>
      <c r="HBO1" s="129"/>
      <c r="HBP1" s="129"/>
      <c r="HBQ1" s="129"/>
      <c r="HBR1" s="129"/>
      <c r="HBS1" s="129"/>
      <c r="HBT1" s="129"/>
      <c r="HBU1" s="129"/>
      <c r="HBV1" s="129"/>
      <c r="HBW1" s="129"/>
      <c r="HBX1" s="129"/>
      <c r="HBY1" s="129"/>
      <c r="HBZ1" s="129"/>
      <c r="HCA1" s="129"/>
      <c r="HCB1" s="129"/>
      <c r="HCC1" s="129"/>
      <c r="HCD1" s="129"/>
      <c r="HCE1" s="129"/>
      <c r="HCF1" s="129"/>
      <c r="HCG1" s="129"/>
      <c r="HCH1" s="129"/>
      <c r="HCI1" s="129"/>
      <c r="HCJ1" s="129"/>
      <c r="HCK1" s="129"/>
      <c r="HCL1" s="129"/>
      <c r="HCM1" s="129"/>
      <c r="HCN1" s="129"/>
      <c r="HCO1" s="129"/>
      <c r="HCP1" s="129"/>
      <c r="HCQ1" s="129"/>
      <c r="HCR1" s="129"/>
      <c r="HCS1" s="129"/>
      <c r="HCT1" s="129"/>
      <c r="HCU1" s="129"/>
      <c r="HCV1" s="129"/>
      <c r="HCW1" s="129"/>
      <c r="HCX1" s="129"/>
      <c r="HCY1" s="129"/>
      <c r="HCZ1" s="129"/>
      <c r="HDA1" s="129"/>
      <c r="HDB1" s="129"/>
      <c r="HDC1" s="129"/>
      <c r="HDD1" s="129"/>
      <c r="HDE1" s="129"/>
      <c r="HDF1" s="129"/>
      <c r="HDG1" s="129"/>
      <c r="HDH1" s="129"/>
      <c r="HDI1" s="129"/>
      <c r="HDJ1" s="129"/>
      <c r="HDK1" s="129"/>
      <c r="HDL1" s="129"/>
      <c r="HDM1" s="129"/>
      <c r="HDN1" s="129"/>
      <c r="HDO1" s="129"/>
      <c r="HDP1" s="129"/>
      <c r="HDQ1" s="129"/>
      <c r="HDR1" s="129"/>
      <c r="HDS1" s="129"/>
      <c r="HDT1" s="129"/>
      <c r="HDU1" s="129"/>
      <c r="HDV1" s="129"/>
      <c r="HDW1" s="129"/>
      <c r="HDX1" s="129"/>
      <c r="HDY1" s="129"/>
      <c r="HDZ1" s="129"/>
      <c r="HEA1" s="129"/>
      <c r="HEB1" s="129"/>
      <c r="HEC1" s="129"/>
      <c r="HED1" s="129"/>
      <c r="HEE1" s="129"/>
      <c r="HEF1" s="129"/>
      <c r="HEG1" s="129"/>
      <c r="HEH1" s="129"/>
      <c r="HEI1" s="129"/>
      <c r="HEJ1" s="129"/>
      <c r="HEK1" s="129"/>
      <c r="HEL1" s="129"/>
      <c r="HEM1" s="129"/>
      <c r="HEN1" s="129"/>
      <c r="HEO1" s="129"/>
      <c r="HEP1" s="129"/>
      <c r="HEQ1" s="129"/>
      <c r="HER1" s="129"/>
      <c r="HES1" s="129"/>
      <c r="HET1" s="129"/>
      <c r="HEU1" s="129"/>
      <c r="HEV1" s="129"/>
      <c r="HEW1" s="129"/>
      <c r="HEX1" s="129"/>
      <c r="HEY1" s="129"/>
      <c r="HEZ1" s="129"/>
      <c r="HFA1" s="129"/>
      <c r="HFB1" s="129"/>
      <c r="HFC1" s="129"/>
      <c r="HFD1" s="129"/>
      <c r="HFE1" s="129"/>
      <c r="HFF1" s="129"/>
      <c r="HFG1" s="129"/>
      <c r="HFH1" s="129"/>
      <c r="HFI1" s="129"/>
      <c r="HFJ1" s="129"/>
      <c r="HFK1" s="129"/>
      <c r="HFL1" s="129"/>
      <c r="HFM1" s="129"/>
      <c r="HFN1" s="129"/>
      <c r="HFO1" s="129"/>
      <c r="HFP1" s="129"/>
      <c r="HFQ1" s="129"/>
      <c r="HFR1" s="129"/>
      <c r="HFS1" s="129"/>
      <c r="HFT1" s="129"/>
      <c r="HFU1" s="129"/>
      <c r="HFV1" s="129"/>
      <c r="HFW1" s="129"/>
      <c r="HFX1" s="129"/>
      <c r="HFY1" s="129"/>
      <c r="HFZ1" s="129"/>
      <c r="HGA1" s="129"/>
      <c r="HGB1" s="129"/>
      <c r="HGC1" s="129"/>
      <c r="HGD1" s="129"/>
      <c r="HGE1" s="129"/>
      <c r="HGF1" s="129"/>
      <c r="HGG1" s="129"/>
      <c r="HGH1" s="129"/>
      <c r="HGI1" s="129"/>
      <c r="HGJ1" s="129"/>
      <c r="HGK1" s="129"/>
      <c r="HGL1" s="129"/>
      <c r="HGM1" s="129"/>
      <c r="HGN1" s="129"/>
      <c r="HGO1" s="129"/>
      <c r="HGP1" s="129"/>
      <c r="HGQ1" s="129"/>
      <c r="HGR1" s="129"/>
      <c r="HGS1" s="129"/>
      <c r="HGT1" s="129"/>
      <c r="HGU1" s="129"/>
      <c r="HGV1" s="129"/>
      <c r="HGW1" s="129"/>
      <c r="HGX1" s="129"/>
      <c r="HGY1" s="129"/>
      <c r="HGZ1" s="129"/>
      <c r="HHA1" s="129"/>
      <c r="HHB1" s="129"/>
      <c r="HHC1" s="129"/>
      <c r="HHD1" s="129"/>
      <c r="HHE1" s="129"/>
      <c r="HHF1" s="129"/>
      <c r="HHG1" s="129"/>
      <c r="HHH1" s="129"/>
      <c r="HHI1" s="129"/>
      <c r="HHJ1" s="129"/>
      <c r="HHK1" s="129"/>
      <c r="HHL1" s="129"/>
      <c r="HHM1" s="129"/>
      <c r="HHN1" s="129"/>
      <c r="HHO1" s="129"/>
      <c r="HHP1" s="129"/>
      <c r="HHQ1" s="129"/>
      <c r="HHR1" s="129"/>
      <c r="HHS1" s="129"/>
      <c r="HHT1" s="129"/>
      <c r="HHU1" s="129"/>
      <c r="HHV1" s="129"/>
      <c r="HHW1" s="129"/>
      <c r="HHX1" s="129"/>
      <c r="HHY1" s="129"/>
      <c r="HHZ1" s="129"/>
      <c r="HIA1" s="129"/>
      <c r="HIB1" s="129"/>
      <c r="HIC1" s="129"/>
      <c r="HID1" s="129"/>
      <c r="HIE1" s="129"/>
      <c r="HIF1" s="129"/>
      <c r="HIG1" s="129"/>
      <c r="HIH1" s="129"/>
      <c r="HII1" s="129"/>
      <c r="HIJ1" s="129"/>
      <c r="HIK1" s="129"/>
      <c r="HIL1" s="129"/>
      <c r="HIM1" s="129"/>
      <c r="HIN1" s="129"/>
      <c r="HIO1" s="129"/>
      <c r="HIP1" s="129"/>
      <c r="HIQ1" s="129"/>
      <c r="HIR1" s="129"/>
      <c r="HIS1" s="129"/>
      <c r="HIT1" s="129"/>
      <c r="HIU1" s="129"/>
      <c r="HIV1" s="129"/>
      <c r="HIW1" s="129"/>
      <c r="HIX1" s="129"/>
      <c r="HIY1" s="129"/>
      <c r="HIZ1" s="129"/>
      <c r="HJA1" s="129"/>
      <c r="HJB1" s="129"/>
      <c r="HJC1" s="129"/>
      <c r="HJD1" s="129"/>
      <c r="HJE1" s="129"/>
      <c r="HJF1" s="129"/>
      <c r="HJG1" s="129"/>
      <c r="HJH1" s="129"/>
      <c r="HJI1" s="129"/>
      <c r="HJJ1" s="129"/>
      <c r="HJK1" s="129"/>
      <c r="HJL1" s="129"/>
      <c r="HJM1" s="129"/>
      <c r="HJN1" s="129"/>
      <c r="HJO1" s="129"/>
      <c r="HJP1" s="129"/>
      <c r="HJQ1" s="129"/>
      <c r="HJR1" s="129"/>
      <c r="HJS1" s="129"/>
      <c r="HJT1" s="129"/>
      <c r="HJU1" s="129"/>
      <c r="HJV1" s="129"/>
      <c r="HJW1" s="129"/>
      <c r="HJX1" s="129"/>
      <c r="HJY1" s="129"/>
      <c r="HJZ1" s="129"/>
      <c r="HKA1" s="129"/>
      <c r="HKB1" s="129"/>
      <c r="HKC1" s="129"/>
      <c r="HKD1" s="129"/>
      <c r="HKE1" s="129"/>
      <c r="HKF1" s="129"/>
      <c r="HKG1" s="129"/>
      <c r="HKH1" s="129"/>
      <c r="HKI1" s="129"/>
      <c r="HKJ1" s="129"/>
      <c r="HKK1" s="129"/>
      <c r="HKL1" s="129"/>
      <c r="HKM1" s="129"/>
      <c r="HKN1" s="129"/>
      <c r="HKO1" s="129"/>
      <c r="HKP1" s="129"/>
      <c r="HKQ1" s="129"/>
      <c r="HKR1" s="129"/>
      <c r="HKS1" s="129"/>
      <c r="HKT1" s="129"/>
      <c r="HKU1" s="129"/>
      <c r="HKV1" s="129"/>
      <c r="HKW1" s="129"/>
      <c r="HKX1" s="129"/>
      <c r="HKY1" s="129"/>
      <c r="HKZ1" s="129"/>
      <c r="HLA1" s="129"/>
      <c r="HLB1" s="129"/>
      <c r="HLC1" s="129"/>
      <c r="HLD1" s="129"/>
      <c r="HLE1" s="129"/>
      <c r="HLF1" s="129"/>
      <c r="HLG1" s="129"/>
      <c r="HLH1" s="129"/>
      <c r="HLI1" s="129"/>
      <c r="HLJ1" s="129"/>
      <c r="HLK1" s="129"/>
      <c r="HLL1" s="129"/>
      <c r="HLM1" s="129"/>
      <c r="HLN1" s="129"/>
      <c r="HLO1" s="129"/>
      <c r="HLP1" s="129"/>
      <c r="HLQ1" s="129"/>
      <c r="HLR1" s="129"/>
      <c r="HLS1" s="129"/>
      <c r="HLT1" s="129"/>
      <c r="HLU1" s="129"/>
      <c r="HLV1" s="129"/>
      <c r="HLW1" s="129"/>
      <c r="HLX1" s="129"/>
      <c r="HLY1" s="129"/>
      <c r="HLZ1" s="129"/>
      <c r="HMA1" s="129"/>
      <c r="HMB1" s="129"/>
      <c r="HMC1" s="129"/>
      <c r="HMD1" s="129"/>
      <c r="HME1" s="129"/>
      <c r="HMF1" s="129"/>
      <c r="HMG1" s="129"/>
      <c r="HMH1" s="129"/>
      <c r="HMI1" s="129"/>
      <c r="HMJ1" s="129"/>
      <c r="HMK1" s="129"/>
      <c r="HML1" s="129"/>
      <c r="HMM1" s="129"/>
      <c r="HMN1" s="129"/>
      <c r="HMO1" s="129"/>
      <c r="HMP1" s="129"/>
      <c r="HMQ1" s="129"/>
      <c r="HMR1" s="129"/>
      <c r="HMS1" s="129"/>
      <c r="HMT1" s="129"/>
      <c r="HMU1" s="129"/>
      <c r="HMV1" s="129"/>
      <c r="HMW1" s="129"/>
      <c r="HMX1" s="129"/>
      <c r="HMY1" s="129"/>
      <c r="HMZ1" s="129"/>
      <c r="HNA1" s="129"/>
      <c r="HNB1" s="129"/>
      <c r="HNC1" s="129"/>
      <c r="HND1" s="129"/>
      <c r="HNE1" s="129"/>
      <c r="HNF1" s="129"/>
      <c r="HNG1" s="129"/>
      <c r="HNH1" s="129"/>
      <c r="HNI1" s="129"/>
      <c r="HNJ1" s="129"/>
      <c r="HNK1" s="129"/>
      <c r="HNL1" s="129"/>
      <c r="HNM1" s="129"/>
      <c r="HNN1" s="129"/>
      <c r="HNO1" s="129"/>
      <c r="HNP1" s="129"/>
      <c r="HNQ1" s="129"/>
      <c r="HNR1" s="129"/>
      <c r="HNS1" s="129"/>
      <c r="HNT1" s="129"/>
      <c r="HNU1" s="129"/>
      <c r="HNV1" s="129"/>
      <c r="HNW1" s="129"/>
      <c r="HNX1" s="129"/>
      <c r="HNY1" s="129"/>
      <c r="HNZ1" s="129"/>
      <c r="HOA1" s="129"/>
      <c r="HOB1" s="129"/>
      <c r="HOC1" s="129"/>
      <c r="HOD1" s="129"/>
      <c r="HOE1" s="129"/>
      <c r="HOF1" s="129"/>
      <c r="HOG1" s="129"/>
      <c r="HOH1" s="129"/>
      <c r="HOI1" s="129"/>
      <c r="HOJ1" s="129"/>
      <c r="HOK1" s="129"/>
      <c r="HOL1" s="129"/>
      <c r="HOM1" s="129"/>
      <c r="HON1" s="129"/>
      <c r="HOO1" s="129"/>
      <c r="HOP1" s="129"/>
      <c r="HOQ1" s="129"/>
      <c r="HOR1" s="129"/>
      <c r="HOS1" s="129"/>
      <c r="HOT1" s="129"/>
      <c r="HOU1" s="129"/>
      <c r="HOV1" s="129"/>
      <c r="HOW1" s="129"/>
      <c r="HOX1" s="129"/>
      <c r="HOY1" s="129"/>
      <c r="HOZ1" s="129"/>
      <c r="HPA1" s="129"/>
      <c r="HPB1" s="129"/>
      <c r="HPC1" s="129"/>
      <c r="HPD1" s="129"/>
      <c r="HPE1" s="129"/>
      <c r="HPF1" s="129"/>
      <c r="HPG1" s="129"/>
      <c r="HPH1" s="129"/>
      <c r="HPI1" s="129"/>
      <c r="HPJ1" s="129"/>
      <c r="HPK1" s="129"/>
      <c r="HPL1" s="129"/>
      <c r="HPM1" s="129"/>
      <c r="HPN1" s="129"/>
      <c r="HPO1" s="129"/>
      <c r="HPP1" s="129"/>
      <c r="HPQ1" s="129"/>
      <c r="HPR1" s="129"/>
      <c r="HPS1" s="129"/>
      <c r="HPT1" s="129"/>
      <c r="HPU1" s="129"/>
      <c r="HPV1" s="129"/>
      <c r="HPW1" s="129"/>
      <c r="HPX1" s="129"/>
      <c r="HPY1" s="129"/>
      <c r="HPZ1" s="129"/>
      <c r="HQA1" s="129"/>
      <c r="HQB1" s="129"/>
      <c r="HQC1" s="129"/>
      <c r="HQD1" s="129"/>
      <c r="HQE1" s="129"/>
      <c r="HQF1" s="129"/>
      <c r="HQG1" s="129"/>
      <c r="HQH1" s="129"/>
      <c r="HQI1" s="129"/>
      <c r="HQJ1" s="129"/>
      <c r="HQK1" s="129"/>
      <c r="HQL1" s="129"/>
      <c r="HQM1" s="129"/>
      <c r="HQN1" s="129"/>
      <c r="HQO1" s="129"/>
      <c r="HQP1" s="129"/>
      <c r="HQQ1" s="129"/>
      <c r="HQR1" s="129"/>
      <c r="HQS1" s="129"/>
      <c r="HQT1" s="129"/>
      <c r="HQU1" s="129"/>
      <c r="HQV1" s="129"/>
      <c r="HQW1" s="129"/>
      <c r="HQX1" s="129"/>
      <c r="HQY1" s="129"/>
      <c r="HQZ1" s="129"/>
      <c r="HRA1" s="129"/>
      <c r="HRB1" s="129"/>
      <c r="HRC1" s="129"/>
      <c r="HRD1" s="129"/>
      <c r="HRE1" s="129"/>
      <c r="HRF1" s="129"/>
      <c r="HRG1" s="129"/>
      <c r="HRH1" s="129"/>
      <c r="HRI1" s="129"/>
      <c r="HRJ1" s="129"/>
      <c r="HRK1" s="129"/>
      <c r="HRL1" s="129"/>
      <c r="HRM1" s="129"/>
      <c r="HRN1" s="129"/>
      <c r="HRO1" s="129"/>
      <c r="HRP1" s="129"/>
      <c r="HRQ1" s="129"/>
      <c r="HRR1" s="129"/>
      <c r="HRS1" s="129"/>
      <c r="HRT1" s="129"/>
      <c r="HRU1" s="129"/>
      <c r="HRV1" s="129"/>
      <c r="HRW1" s="129"/>
      <c r="HRX1" s="129"/>
      <c r="HRY1" s="129"/>
      <c r="HRZ1" s="129"/>
      <c r="HSA1" s="129"/>
      <c r="HSB1" s="129"/>
      <c r="HSC1" s="129"/>
      <c r="HSD1" s="129"/>
      <c r="HSE1" s="129"/>
      <c r="HSF1" s="129"/>
      <c r="HSG1" s="129"/>
      <c r="HSH1" s="129"/>
      <c r="HSI1" s="129"/>
      <c r="HSJ1" s="129"/>
      <c r="HSK1" s="129"/>
      <c r="HSL1" s="129"/>
      <c r="HSM1" s="129"/>
      <c r="HSN1" s="129"/>
      <c r="HSO1" s="129"/>
      <c r="HSP1" s="129"/>
      <c r="HSQ1" s="129"/>
      <c r="HSR1" s="129"/>
      <c r="HSS1" s="129"/>
      <c r="HST1" s="129"/>
      <c r="HSU1" s="129"/>
      <c r="HSV1" s="129"/>
      <c r="HSW1" s="129"/>
      <c r="HSX1" s="129"/>
      <c r="HSY1" s="129"/>
      <c r="HSZ1" s="129"/>
      <c r="HTA1" s="129"/>
      <c r="HTB1" s="129"/>
      <c r="HTC1" s="129"/>
      <c r="HTD1" s="129"/>
      <c r="HTE1" s="129"/>
      <c r="HTF1" s="129"/>
      <c r="HTG1" s="129"/>
      <c r="HTH1" s="129"/>
      <c r="HTI1" s="129"/>
      <c r="HTJ1" s="129"/>
      <c r="HTK1" s="129"/>
      <c r="HTL1" s="129"/>
      <c r="HTM1" s="129"/>
      <c r="HTN1" s="129"/>
      <c r="HTO1" s="129"/>
      <c r="HTP1" s="129"/>
      <c r="HTQ1" s="129"/>
      <c r="HTR1" s="129"/>
      <c r="HTS1" s="129"/>
      <c r="HTT1" s="129"/>
      <c r="HTU1" s="129"/>
      <c r="HTV1" s="129"/>
      <c r="HTW1" s="129"/>
      <c r="HTX1" s="129"/>
      <c r="HTY1" s="129"/>
      <c r="HTZ1" s="129"/>
      <c r="HUA1" s="129"/>
      <c r="HUB1" s="129"/>
      <c r="HUC1" s="129"/>
      <c r="HUD1" s="129"/>
      <c r="HUE1" s="129"/>
      <c r="HUF1" s="129"/>
      <c r="HUG1" s="129"/>
      <c r="HUH1" s="129"/>
      <c r="HUI1" s="129"/>
      <c r="HUJ1" s="129"/>
      <c r="HUK1" s="129"/>
      <c r="HUL1" s="129"/>
      <c r="HUM1" s="129"/>
      <c r="HUN1" s="129"/>
      <c r="HUO1" s="129"/>
      <c r="HUP1" s="129"/>
      <c r="HUQ1" s="129"/>
      <c r="HUR1" s="129"/>
      <c r="HUS1" s="129"/>
      <c r="HUT1" s="129"/>
      <c r="HUU1" s="129"/>
      <c r="HUV1" s="129"/>
      <c r="HUW1" s="129"/>
      <c r="HUX1" s="129"/>
      <c r="HUY1" s="129"/>
      <c r="HUZ1" s="129"/>
      <c r="HVA1" s="129"/>
      <c r="HVB1" s="129"/>
      <c r="HVC1" s="129"/>
      <c r="HVD1" s="129"/>
      <c r="HVE1" s="129"/>
      <c r="HVF1" s="129"/>
      <c r="HVG1" s="129"/>
      <c r="HVH1" s="129"/>
      <c r="HVI1" s="129"/>
      <c r="HVJ1" s="129"/>
      <c r="HVK1" s="129"/>
      <c r="HVL1" s="129"/>
      <c r="HVM1" s="129"/>
      <c r="HVN1" s="129"/>
      <c r="HVO1" s="129"/>
      <c r="HVP1" s="129"/>
      <c r="HVQ1" s="129"/>
      <c r="HVR1" s="129"/>
      <c r="HVS1" s="129"/>
      <c r="HVT1" s="129"/>
      <c r="HVU1" s="129"/>
      <c r="HVV1" s="129"/>
      <c r="HVW1" s="129"/>
      <c r="HVX1" s="129"/>
      <c r="HVY1" s="129"/>
      <c r="HVZ1" s="129"/>
      <c r="HWA1" s="129"/>
      <c r="HWB1" s="129"/>
      <c r="HWC1" s="129"/>
      <c r="HWD1" s="129"/>
      <c r="HWE1" s="129"/>
      <c r="HWF1" s="129"/>
      <c r="HWG1" s="129"/>
      <c r="HWH1" s="129"/>
      <c r="HWI1" s="129"/>
      <c r="HWJ1" s="129"/>
      <c r="HWK1" s="129"/>
      <c r="HWL1" s="129"/>
      <c r="HWM1" s="129"/>
      <c r="HWN1" s="129"/>
      <c r="HWO1" s="129"/>
      <c r="HWP1" s="129"/>
      <c r="HWQ1" s="129"/>
      <c r="HWR1" s="129"/>
      <c r="HWS1" s="129"/>
      <c r="HWT1" s="129"/>
      <c r="HWU1" s="129"/>
      <c r="HWV1" s="129"/>
      <c r="HWW1" s="129"/>
      <c r="HWX1" s="129"/>
      <c r="HWY1" s="129"/>
      <c r="HWZ1" s="129"/>
      <c r="HXA1" s="129"/>
      <c r="HXB1" s="129"/>
      <c r="HXC1" s="129"/>
      <c r="HXD1" s="129"/>
      <c r="HXE1" s="129"/>
      <c r="HXF1" s="129"/>
      <c r="HXG1" s="129"/>
      <c r="HXH1" s="129"/>
      <c r="HXI1" s="129"/>
      <c r="HXJ1" s="129"/>
      <c r="HXK1" s="129"/>
      <c r="HXL1" s="129"/>
      <c r="HXM1" s="129"/>
      <c r="HXN1" s="129"/>
      <c r="HXO1" s="129"/>
      <c r="HXP1" s="129"/>
      <c r="HXQ1" s="129"/>
      <c r="HXR1" s="129"/>
      <c r="HXS1" s="129"/>
      <c r="HXT1" s="129"/>
      <c r="HXU1" s="129"/>
      <c r="HXV1" s="129"/>
      <c r="HXW1" s="129"/>
      <c r="HXX1" s="129"/>
      <c r="HXY1" s="129"/>
      <c r="HXZ1" s="129"/>
      <c r="HYA1" s="129"/>
      <c r="HYB1" s="129"/>
      <c r="HYC1" s="129"/>
      <c r="HYD1" s="129"/>
      <c r="HYE1" s="129"/>
      <c r="HYF1" s="129"/>
      <c r="HYG1" s="129"/>
      <c r="HYH1" s="129"/>
      <c r="HYI1" s="129"/>
      <c r="HYJ1" s="129"/>
      <c r="HYK1" s="129"/>
      <c r="HYL1" s="129"/>
      <c r="HYM1" s="129"/>
      <c r="HYN1" s="129"/>
      <c r="HYO1" s="129"/>
      <c r="HYP1" s="129"/>
      <c r="HYQ1" s="129"/>
      <c r="HYR1" s="129"/>
      <c r="HYS1" s="129"/>
      <c r="HYT1" s="129"/>
      <c r="HYU1" s="129"/>
      <c r="HYV1" s="129"/>
      <c r="HYW1" s="129"/>
      <c r="HYX1" s="129"/>
      <c r="HYY1" s="129"/>
      <c r="HYZ1" s="129"/>
      <c r="HZA1" s="129"/>
      <c r="HZB1" s="129"/>
      <c r="HZC1" s="129"/>
      <c r="HZD1" s="129"/>
      <c r="HZE1" s="129"/>
      <c r="HZF1" s="129"/>
      <c r="HZG1" s="129"/>
      <c r="HZH1" s="129"/>
      <c r="HZI1" s="129"/>
      <c r="HZJ1" s="129"/>
      <c r="HZK1" s="129"/>
      <c r="HZL1" s="129"/>
      <c r="HZM1" s="129"/>
      <c r="HZN1" s="129"/>
      <c r="HZO1" s="129"/>
      <c r="HZP1" s="129"/>
      <c r="HZQ1" s="129"/>
      <c r="HZR1" s="129"/>
      <c r="HZS1" s="129"/>
      <c r="HZT1" s="129"/>
      <c r="HZU1" s="129"/>
      <c r="HZV1" s="129"/>
      <c r="HZW1" s="129"/>
      <c r="HZX1" s="129"/>
      <c r="HZY1" s="129"/>
      <c r="HZZ1" s="129"/>
      <c r="IAA1" s="129"/>
      <c r="IAB1" s="129"/>
      <c r="IAC1" s="129"/>
      <c r="IAD1" s="129"/>
      <c r="IAE1" s="129"/>
      <c r="IAF1" s="129"/>
      <c r="IAG1" s="129"/>
      <c r="IAH1" s="129"/>
      <c r="IAI1" s="129"/>
      <c r="IAJ1" s="129"/>
      <c r="IAK1" s="129"/>
      <c r="IAL1" s="129"/>
      <c r="IAM1" s="129"/>
      <c r="IAN1" s="129"/>
      <c r="IAO1" s="129"/>
      <c r="IAP1" s="129"/>
      <c r="IAQ1" s="129"/>
      <c r="IAR1" s="129"/>
      <c r="IAS1" s="129"/>
      <c r="IAT1" s="129"/>
      <c r="IAU1" s="129"/>
      <c r="IAV1" s="129"/>
      <c r="IAW1" s="129"/>
      <c r="IAX1" s="129"/>
      <c r="IAY1" s="129"/>
      <c r="IAZ1" s="129"/>
      <c r="IBA1" s="129"/>
      <c r="IBB1" s="129"/>
      <c r="IBC1" s="129"/>
      <c r="IBD1" s="129"/>
      <c r="IBE1" s="129"/>
      <c r="IBF1" s="129"/>
      <c r="IBG1" s="129"/>
      <c r="IBH1" s="129"/>
      <c r="IBI1" s="129"/>
      <c r="IBJ1" s="129"/>
      <c r="IBK1" s="129"/>
      <c r="IBL1" s="129"/>
      <c r="IBM1" s="129"/>
      <c r="IBN1" s="129"/>
      <c r="IBO1" s="129"/>
      <c r="IBP1" s="129"/>
      <c r="IBQ1" s="129"/>
      <c r="IBR1" s="129"/>
      <c r="IBS1" s="129"/>
      <c r="IBT1" s="129"/>
      <c r="IBU1" s="129"/>
      <c r="IBV1" s="129"/>
      <c r="IBW1" s="129"/>
      <c r="IBX1" s="129"/>
      <c r="IBY1" s="129"/>
      <c r="IBZ1" s="129"/>
      <c r="ICA1" s="129"/>
      <c r="ICB1" s="129"/>
      <c r="ICC1" s="129"/>
      <c r="ICD1" s="129"/>
      <c r="ICE1" s="129"/>
      <c r="ICF1" s="129"/>
      <c r="ICG1" s="129"/>
      <c r="ICH1" s="129"/>
      <c r="ICI1" s="129"/>
      <c r="ICJ1" s="129"/>
      <c r="ICK1" s="129"/>
      <c r="ICL1" s="129"/>
      <c r="ICM1" s="129"/>
      <c r="ICN1" s="129"/>
      <c r="ICO1" s="129"/>
      <c r="ICP1" s="129"/>
      <c r="ICQ1" s="129"/>
      <c r="ICR1" s="129"/>
      <c r="ICS1" s="129"/>
      <c r="ICT1" s="129"/>
      <c r="ICU1" s="129"/>
      <c r="ICV1" s="129"/>
      <c r="ICW1" s="129"/>
      <c r="ICX1" s="129"/>
      <c r="ICY1" s="129"/>
      <c r="ICZ1" s="129"/>
      <c r="IDA1" s="129"/>
      <c r="IDB1" s="129"/>
      <c r="IDC1" s="129"/>
      <c r="IDD1" s="129"/>
      <c r="IDE1" s="129"/>
      <c r="IDF1" s="129"/>
      <c r="IDG1" s="129"/>
      <c r="IDH1" s="129"/>
      <c r="IDI1" s="129"/>
      <c r="IDJ1" s="129"/>
      <c r="IDK1" s="129"/>
      <c r="IDL1" s="129"/>
      <c r="IDM1" s="129"/>
      <c r="IDN1" s="129"/>
      <c r="IDO1" s="129"/>
      <c r="IDP1" s="129"/>
      <c r="IDQ1" s="129"/>
      <c r="IDR1" s="129"/>
      <c r="IDS1" s="129"/>
      <c r="IDT1" s="129"/>
      <c r="IDU1" s="129"/>
      <c r="IDV1" s="129"/>
      <c r="IDW1" s="129"/>
      <c r="IDX1" s="129"/>
      <c r="IDY1" s="129"/>
      <c r="IDZ1" s="129"/>
      <c r="IEA1" s="129"/>
      <c r="IEB1" s="129"/>
      <c r="IEC1" s="129"/>
      <c r="IED1" s="129"/>
      <c r="IEE1" s="129"/>
      <c r="IEF1" s="129"/>
      <c r="IEG1" s="129"/>
      <c r="IEH1" s="129"/>
      <c r="IEI1" s="129"/>
      <c r="IEJ1" s="129"/>
      <c r="IEK1" s="129"/>
      <c r="IEL1" s="129"/>
      <c r="IEM1" s="129"/>
      <c r="IEN1" s="129"/>
      <c r="IEO1" s="129"/>
      <c r="IEP1" s="129"/>
      <c r="IEQ1" s="129"/>
      <c r="IER1" s="129"/>
      <c r="IES1" s="129"/>
      <c r="IET1" s="129"/>
      <c r="IEU1" s="129"/>
      <c r="IEV1" s="129"/>
      <c r="IEW1" s="129"/>
      <c r="IEX1" s="129"/>
      <c r="IEY1" s="129"/>
      <c r="IEZ1" s="129"/>
      <c r="IFA1" s="129"/>
      <c r="IFB1" s="129"/>
      <c r="IFC1" s="129"/>
      <c r="IFD1" s="129"/>
      <c r="IFE1" s="129"/>
      <c r="IFF1" s="129"/>
      <c r="IFG1" s="129"/>
      <c r="IFH1" s="129"/>
      <c r="IFI1" s="129"/>
      <c r="IFJ1" s="129"/>
      <c r="IFK1" s="129"/>
      <c r="IFL1" s="129"/>
      <c r="IFM1" s="129"/>
      <c r="IFN1" s="129"/>
      <c r="IFO1" s="129"/>
      <c r="IFP1" s="129"/>
      <c r="IFQ1" s="129"/>
      <c r="IFR1" s="129"/>
      <c r="IFS1" s="129"/>
      <c r="IFT1" s="129"/>
      <c r="IFU1" s="129"/>
      <c r="IFV1" s="129"/>
      <c r="IFW1" s="129"/>
      <c r="IFX1" s="129"/>
      <c r="IFY1" s="129"/>
      <c r="IFZ1" s="129"/>
      <c r="IGA1" s="129"/>
      <c r="IGB1" s="129"/>
      <c r="IGC1" s="129"/>
      <c r="IGD1" s="129"/>
      <c r="IGE1" s="129"/>
      <c r="IGF1" s="129"/>
      <c r="IGG1" s="129"/>
      <c r="IGH1" s="129"/>
      <c r="IGI1" s="129"/>
      <c r="IGJ1" s="129"/>
      <c r="IGK1" s="129"/>
      <c r="IGL1" s="129"/>
      <c r="IGM1" s="129"/>
      <c r="IGN1" s="129"/>
      <c r="IGO1" s="129"/>
      <c r="IGP1" s="129"/>
      <c r="IGQ1" s="129"/>
      <c r="IGR1" s="129"/>
      <c r="IGS1" s="129"/>
      <c r="IGT1" s="129"/>
      <c r="IGU1" s="129"/>
      <c r="IGV1" s="129"/>
      <c r="IGW1" s="129"/>
      <c r="IGX1" s="129"/>
      <c r="IGY1" s="129"/>
      <c r="IGZ1" s="129"/>
      <c r="IHA1" s="129"/>
      <c r="IHB1" s="129"/>
      <c r="IHC1" s="129"/>
      <c r="IHD1" s="129"/>
      <c r="IHE1" s="129"/>
      <c r="IHF1" s="129"/>
      <c r="IHG1" s="129"/>
      <c r="IHH1" s="129"/>
      <c r="IHI1" s="129"/>
      <c r="IHJ1" s="129"/>
      <c r="IHK1" s="129"/>
      <c r="IHL1" s="129"/>
      <c r="IHM1" s="129"/>
      <c r="IHN1" s="129"/>
      <c r="IHO1" s="129"/>
      <c r="IHP1" s="129"/>
      <c r="IHQ1" s="129"/>
      <c r="IHR1" s="129"/>
      <c r="IHS1" s="129"/>
      <c r="IHT1" s="129"/>
      <c r="IHU1" s="129"/>
      <c r="IHV1" s="129"/>
      <c r="IHW1" s="129"/>
      <c r="IHX1" s="129"/>
      <c r="IHY1" s="129"/>
      <c r="IHZ1" s="129"/>
      <c r="IIA1" s="129"/>
      <c r="IIB1" s="129"/>
      <c r="IIC1" s="129"/>
      <c r="IID1" s="129"/>
      <c r="IIE1" s="129"/>
      <c r="IIF1" s="129"/>
      <c r="IIG1" s="129"/>
      <c r="IIH1" s="129"/>
      <c r="III1" s="129"/>
      <c r="IIJ1" s="129"/>
      <c r="IIK1" s="129"/>
      <c r="IIL1" s="129"/>
      <c r="IIM1" s="129"/>
      <c r="IIN1" s="129"/>
      <c r="IIO1" s="129"/>
      <c r="IIP1" s="129"/>
      <c r="IIQ1" s="129"/>
      <c r="IIR1" s="129"/>
      <c r="IIS1" s="129"/>
      <c r="IIT1" s="129"/>
      <c r="IIU1" s="129"/>
      <c r="IIV1" s="129"/>
      <c r="IIW1" s="129"/>
      <c r="IIX1" s="129"/>
      <c r="IIY1" s="129"/>
      <c r="IIZ1" s="129"/>
      <c r="IJA1" s="129"/>
      <c r="IJB1" s="129"/>
      <c r="IJC1" s="129"/>
      <c r="IJD1" s="129"/>
      <c r="IJE1" s="129"/>
      <c r="IJF1" s="129"/>
      <c r="IJG1" s="129"/>
      <c r="IJH1" s="129"/>
      <c r="IJI1" s="129"/>
      <c r="IJJ1" s="129"/>
      <c r="IJK1" s="129"/>
      <c r="IJL1" s="129"/>
      <c r="IJM1" s="129"/>
      <c r="IJN1" s="129"/>
      <c r="IJO1" s="129"/>
      <c r="IJP1" s="129"/>
      <c r="IJQ1" s="129"/>
      <c r="IJR1" s="129"/>
      <c r="IJS1" s="129"/>
      <c r="IJT1" s="129"/>
      <c r="IJU1" s="129"/>
      <c r="IJV1" s="129"/>
      <c r="IJW1" s="129"/>
      <c r="IJX1" s="129"/>
      <c r="IJY1" s="129"/>
      <c r="IJZ1" s="129"/>
      <c r="IKA1" s="129"/>
      <c r="IKB1" s="129"/>
      <c r="IKC1" s="129"/>
      <c r="IKD1" s="129"/>
      <c r="IKE1" s="129"/>
      <c r="IKF1" s="129"/>
      <c r="IKG1" s="129"/>
      <c r="IKH1" s="129"/>
      <c r="IKI1" s="129"/>
      <c r="IKJ1" s="129"/>
      <c r="IKK1" s="129"/>
      <c r="IKL1" s="129"/>
      <c r="IKM1" s="129"/>
      <c r="IKN1" s="129"/>
      <c r="IKO1" s="129"/>
      <c r="IKP1" s="129"/>
      <c r="IKQ1" s="129"/>
      <c r="IKR1" s="129"/>
      <c r="IKS1" s="129"/>
      <c r="IKT1" s="129"/>
      <c r="IKU1" s="129"/>
      <c r="IKV1" s="129"/>
      <c r="IKW1" s="129"/>
      <c r="IKX1" s="129"/>
      <c r="IKY1" s="129"/>
      <c r="IKZ1" s="129"/>
      <c r="ILA1" s="129"/>
      <c r="ILB1" s="129"/>
      <c r="ILC1" s="129"/>
      <c r="ILD1" s="129"/>
      <c r="ILE1" s="129"/>
      <c r="ILF1" s="129"/>
      <c r="ILG1" s="129"/>
      <c r="ILH1" s="129"/>
      <c r="ILI1" s="129"/>
      <c r="ILJ1" s="129"/>
      <c r="ILK1" s="129"/>
      <c r="ILL1" s="129"/>
      <c r="ILM1" s="129"/>
      <c r="ILN1" s="129"/>
      <c r="ILO1" s="129"/>
      <c r="ILP1" s="129"/>
      <c r="ILQ1" s="129"/>
      <c r="ILR1" s="129"/>
      <c r="ILS1" s="129"/>
      <c r="ILT1" s="129"/>
      <c r="ILU1" s="129"/>
      <c r="ILV1" s="129"/>
      <c r="ILW1" s="129"/>
      <c r="ILX1" s="129"/>
      <c r="ILY1" s="129"/>
      <c r="ILZ1" s="129"/>
      <c r="IMA1" s="129"/>
      <c r="IMB1" s="129"/>
      <c r="IMC1" s="129"/>
      <c r="IMD1" s="129"/>
      <c r="IME1" s="129"/>
      <c r="IMF1" s="129"/>
      <c r="IMG1" s="129"/>
      <c r="IMH1" s="129"/>
      <c r="IMI1" s="129"/>
      <c r="IMJ1" s="129"/>
      <c r="IMK1" s="129"/>
      <c r="IML1" s="129"/>
      <c r="IMM1" s="129"/>
      <c r="IMN1" s="129"/>
      <c r="IMO1" s="129"/>
      <c r="IMP1" s="129"/>
      <c r="IMQ1" s="129"/>
      <c r="IMR1" s="129"/>
      <c r="IMS1" s="129"/>
      <c r="IMT1" s="129"/>
      <c r="IMU1" s="129"/>
      <c r="IMV1" s="129"/>
      <c r="IMW1" s="129"/>
      <c r="IMX1" s="129"/>
      <c r="IMY1" s="129"/>
      <c r="IMZ1" s="129"/>
      <c r="INA1" s="129"/>
      <c r="INB1" s="129"/>
      <c r="INC1" s="129"/>
      <c r="IND1" s="129"/>
      <c r="INE1" s="129"/>
      <c r="INF1" s="129"/>
      <c r="ING1" s="129"/>
      <c r="INH1" s="129"/>
      <c r="INI1" s="129"/>
      <c r="INJ1" s="129"/>
      <c r="INK1" s="129"/>
      <c r="INL1" s="129"/>
      <c r="INM1" s="129"/>
      <c r="INN1" s="129"/>
      <c r="INO1" s="129"/>
      <c r="INP1" s="129"/>
      <c r="INQ1" s="129"/>
      <c r="INR1" s="129"/>
      <c r="INS1" s="129"/>
      <c r="INT1" s="129"/>
      <c r="INU1" s="129"/>
      <c r="INV1" s="129"/>
      <c r="INW1" s="129"/>
      <c r="INX1" s="129"/>
      <c r="INY1" s="129"/>
      <c r="INZ1" s="129"/>
      <c r="IOA1" s="129"/>
      <c r="IOB1" s="129"/>
      <c r="IOC1" s="129"/>
      <c r="IOD1" s="129"/>
      <c r="IOE1" s="129"/>
      <c r="IOF1" s="129"/>
      <c r="IOG1" s="129"/>
      <c r="IOH1" s="129"/>
      <c r="IOI1" s="129"/>
      <c r="IOJ1" s="129"/>
      <c r="IOK1" s="129"/>
      <c r="IOL1" s="129"/>
      <c r="IOM1" s="129"/>
      <c r="ION1" s="129"/>
      <c r="IOO1" s="129"/>
      <c r="IOP1" s="129"/>
      <c r="IOQ1" s="129"/>
      <c r="IOR1" s="129"/>
      <c r="IOS1" s="129"/>
      <c r="IOT1" s="129"/>
      <c r="IOU1" s="129"/>
      <c r="IOV1" s="129"/>
      <c r="IOW1" s="129"/>
      <c r="IOX1" s="129"/>
      <c r="IOY1" s="129"/>
      <c r="IOZ1" s="129"/>
      <c r="IPA1" s="129"/>
      <c r="IPB1" s="129"/>
      <c r="IPC1" s="129"/>
      <c r="IPD1" s="129"/>
      <c r="IPE1" s="129"/>
      <c r="IPF1" s="129"/>
      <c r="IPG1" s="129"/>
      <c r="IPH1" s="129"/>
      <c r="IPI1" s="129"/>
      <c r="IPJ1" s="129"/>
      <c r="IPK1" s="129"/>
      <c r="IPL1" s="129"/>
      <c r="IPM1" s="129"/>
      <c r="IPN1" s="129"/>
      <c r="IPO1" s="129"/>
      <c r="IPP1" s="129"/>
      <c r="IPQ1" s="129"/>
      <c r="IPR1" s="129"/>
      <c r="IPS1" s="129"/>
      <c r="IPT1" s="129"/>
      <c r="IPU1" s="129"/>
      <c r="IPV1" s="129"/>
      <c r="IPW1" s="129"/>
      <c r="IPX1" s="129"/>
      <c r="IPY1" s="129"/>
      <c r="IPZ1" s="129"/>
      <c r="IQA1" s="129"/>
      <c r="IQB1" s="129"/>
      <c r="IQC1" s="129"/>
      <c r="IQD1" s="129"/>
      <c r="IQE1" s="129"/>
      <c r="IQF1" s="129"/>
      <c r="IQG1" s="129"/>
      <c r="IQH1" s="129"/>
      <c r="IQI1" s="129"/>
      <c r="IQJ1" s="129"/>
      <c r="IQK1" s="129"/>
      <c r="IQL1" s="129"/>
      <c r="IQM1" s="129"/>
      <c r="IQN1" s="129"/>
      <c r="IQO1" s="129"/>
      <c r="IQP1" s="129"/>
      <c r="IQQ1" s="129"/>
      <c r="IQR1" s="129"/>
      <c r="IQS1" s="129"/>
      <c r="IQT1" s="129"/>
      <c r="IQU1" s="129"/>
      <c r="IQV1" s="129"/>
      <c r="IQW1" s="129"/>
      <c r="IQX1" s="129"/>
      <c r="IQY1" s="129"/>
      <c r="IQZ1" s="129"/>
      <c r="IRA1" s="129"/>
      <c r="IRB1" s="129"/>
      <c r="IRC1" s="129"/>
      <c r="IRD1" s="129"/>
      <c r="IRE1" s="129"/>
      <c r="IRF1" s="129"/>
      <c r="IRG1" s="129"/>
      <c r="IRH1" s="129"/>
      <c r="IRI1" s="129"/>
      <c r="IRJ1" s="129"/>
      <c r="IRK1" s="129"/>
      <c r="IRL1" s="129"/>
      <c r="IRM1" s="129"/>
      <c r="IRN1" s="129"/>
      <c r="IRO1" s="129"/>
      <c r="IRP1" s="129"/>
      <c r="IRQ1" s="129"/>
      <c r="IRR1" s="129"/>
      <c r="IRS1" s="129"/>
      <c r="IRT1" s="129"/>
      <c r="IRU1" s="129"/>
      <c r="IRV1" s="129"/>
      <c r="IRW1" s="129"/>
      <c r="IRX1" s="129"/>
      <c r="IRY1" s="129"/>
      <c r="IRZ1" s="129"/>
      <c r="ISA1" s="129"/>
      <c r="ISB1" s="129"/>
      <c r="ISC1" s="129"/>
      <c r="ISD1" s="129"/>
      <c r="ISE1" s="129"/>
      <c r="ISF1" s="129"/>
      <c r="ISG1" s="129"/>
      <c r="ISH1" s="129"/>
      <c r="ISI1" s="129"/>
      <c r="ISJ1" s="129"/>
      <c r="ISK1" s="129"/>
      <c r="ISL1" s="129"/>
      <c r="ISM1" s="129"/>
      <c r="ISN1" s="129"/>
      <c r="ISO1" s="129"/>
      <c r="ISP1" s="129"/>
      <c r="ISQ1" s="129"/>
      <c r="ISR1" s="129"/>
      <c r="ISS1" s="129"/>
      <c r="IST1" s="129"/>
      <c r="ISU1" s="129"/>
      <c r="ISV1" s="129"/>
      <c r="ISW1" s="129"/>
      <c r="ISX1" s="129"/>
      <c r="ISY1" s="129"/>
      <c r="ISZ1" s="129"/>
      <c r="ITA1" s="129"/>
      <c r="ITB1" s="129"/>
      <c r="ITC1" s="129"/>
      <c r="ITD1" s="129"/>
      <c r="ITE1" s="129"/>
      <c r="ITF1" s="129"/>
      <c r="ITG1" s="129"/>
      <c r="ITH1" s="129"/>
      <c r="ITI1" s="129"/>
      <c r="ITJ1" s="129"/>
      <c r="ITK1" s="129"/>
      <c r="ITL1" s="129"/>
      <c r="ITM1" s="129"/>
      <c r="ITN1" s="129"/>
      <c r="ITO1" s="129"/>
      <c r="ITP1" s="129"/>
      <c r="ITQ1" s="129"/>
      <c r="ITR1" s="129"/>
      <c r="ITS1" s="129"/>
      <c r="ITT1" s="129"/>
      <c r="ITU1" s="129"/>
      <c r="ITV1" s="129"/>
      <c r="ITW1" s="129"/>
      <c r="ITX1" s="129"/>
      <c r="ITY1" s="129"/>
      <c r="ITZ1" s="129"/>
      <c r="IUA1" s="129"/>
      <c r="IUB1" s="129"/>
      <c r="IUC1" s="129"/>
      <c r="IUD1" s="129"/>
      <c r="IUE1" s="129"/>
      <c r="IUF1" s="129"/>
      <c r="IUG1" s="129"/>
      <c r="IUH1" s="129"/>
      <c r="IUI1" s="129"/>
      <c r="IUJ1" s="129"/>
      <c r="IUK1" s="129"/>
      <c r="IUL1" s="129"/>
      <c r="IUM1" s="129"/>
      <c r="IUN1" s="129"/>
      <c r="IUO1" s="129"/>
      <c r="IUP1" s="129"/>
      <c r="IUQ1" s="129"/>
      <c r="IUR1" s="129"/>
      <c r="IUS1" s="129"/>
      <c r="IUT1" s="129"/>
      <c r="IUU1" s="129"/>
      <c r="IUV1" s="129"/>
      <c r="IUW1" s="129"/>
      <c r="IUX1" s="129"/>
      <c r="IUY1" s="129"/>
      <c r="IUZ1" s="129"/>
      <c r="IVA1" s="129"/>
      <c r="IVB1" s="129"/>
      <c r="IVC1" s="129"/>
      <c r="IVD1" s="129"/>
      <c r="IVE1" s="129"/>
      <c r="IVF1" s="129"/>
      <c r="IVG1" s="129"/>
      <c r="IVH1" s="129"/>
      <c r="IVI1" s="129"/>
      <c r="IVJ1" s="129"/>
      <c r="IVK1" s="129"/>
      <c r="IVL1" s="129"/>
      <c r="IVM1" s="129"/>
      <c r="IVN1" s="129"/>
      <c r="IVO1" s="129"/>
      <c r="IVP1" s="129"/>
      <c r="IVQ1" s="129"/>
      <c r="IVR1" s="129"/>
      <c r="IVS1" s="129"/>
      <c r="IVT1" s="129"/>
      <c r="IVU1" s="129"/>
      <c r="IVV1" s="129"/>
      <c r="IVW1" s="129"/>
      <c r="IVX1" s="129"/>
      <c r="IVY1" s="129"/>
      <c r="IVZ1" s="129"/>
      <c r="IWA1" s="129"/>
      <c r="IWB1" s="129"/>
      <c r="IWC1" s="129"/>
      <c r="IWD1" s="129"/>
      <c r="IWE1" s="129"/>
      <c r="IWF1" s="129"/>
      <c r="IWG1" s="129"/>
      <c r="IWH1" s="129"/>
      <c r="IWI1" s="129"/>
      <c r="IWJ1" s="129"/>
      <c r="IWK1" s="129"/>
      <c r="IWL1" s="129"/>
      <c r="IWM1" s="129"/>
      <c r="IWN1" s="129"/>
      <c r="IWO1" s="129"/>
      <c r="IWP1" s="129"/>
      <c r="IWQ1" s="129"/>
      <c r="IWR1" s="129"/>
      <c r="IWS1" s="129"/>
      <c r="IWT1" s="129"/>
      <c r="IWU1" s="129"/>
      <c r="IWV1" s="129"/>
      <c r="IWW1" s="129"/>
      <c r="IWX1" s="129"/>
      <c r="IWY1" s="129"/>
      <c r="IWZ1" s="129"/>
      <c r="IXA1" s="129"/>
      <c r="IXB1" s="129"/>
      <c r="IXC1" s="129"/>
      <c r="IXD1" s="129"/>
      <c r="IXE1" s="129"/>
      <c r="IXF1" s="129"/>
      <c r="IXG1" s="129"/>
      <c r="IXH1" s="129"/>
      <c r="IXI1" s="129"/>
      <c r="IXJ1" s="129"/>
      <c r="IXK1" s="129"/>
      <c r="IXL1" s="129"/>
      <c r="IXM1" s="129"/>
      <c r="IXN1" s="129"/>
      <c r="IXO1" s="129"/>
      <c r="IXP1" s="129"/>
      <c r="IXQ1" s="129"/>
      <c r="IXR1" s="129"/>
      <c r="IXS1" s="129"/>
      <c r="IXT1" s="129"/>
      <c r="IXU1" s="129"/>
      <c r="IXV1" s="129"/>
      <c r="IXW1" s="129"/>
      <c r="IXX1" s="129"/>
      <c r="IXY1" s="129"/>
      <c r="IXZ1" s="129"/>
      <c r="IYA1" s="129"/>
      <c r="IYB1" s="129"/>
      <c r="IYC1" s="129"/>
      <c r="IYD1" s="129"/>
      <c r="IYE1" s="129"/>
      <c r="IYF1" s="129"/>
      <c r="IYG1" s="129"/>
      <c r="IYH1" s="129"/>
      <c r="IYI1" s="129"/>
      <c r="IYJ1" s="129"/>
      <c r="IYK1" s="129"/>
      <c r="IYL1" s="129"/>
      <c r="IYM1" s="129"/>
      <c r="IYN1" s="129"/>
      <c r="IYO1" s="129"/>
      <c r="IYP1" s="129"/>
      <c r="IYQ1" s="129"/>
      <c r="IYR1" s="129"/>
      <c r="IYS1" s="129"/>
      <c r="IYT1" s="129"/>
      <c r="IYU1" s="129"/>
      <c r="IYV1" s="129"/>
      <c r="IYW1" s="129"/>
      <c r="IYX1" s="129"/>
      <c r="IYY1" s="129"/>
      <c r="IYZ1" s="129"/>
      <c r="IZA1" s="129"/>
      <c r="IZB1" s="129"/>
      <c r="IZC1" s="129"/>
      <c r="IZD1" s="129"/>
      <c r="IZE1" s="129"/>
      <c r="IZF1" s="129"/>
      <c r="IZG1" s="129"/>
      <c r="IZH1" s="129"/>
      <c r="IZI1" s="129"/>
      <c r="IZJ1" s="129"/>
      <c r="IZK1" s="129"/>
      <c r="IZL1" s="129"/>
      <c r="IZM1" s="129"/>
      <c r="IZN1" s="129"/>
      <c r="IZO1" s="129"/>
      <c r="IZP1" s="129"/>
      <c r="IZQ1" s="129"/>
      <c r="IZR1" s="129"/>
      <c r="IZS1" s="129"/>
      <c r="IZT1" s="129"/>
      <c r="IZU1" s="129"/>
      <c r="IZV1" s="129"/>
      <c r="IZW1" s="129"/>
      <c r="IZX1" s="129"/>
      <c r="IZY1" s="129"/>
      <c r="IZZ1" s="129"/>
      <c r="JAA1" s="129"/>
      <c r="JAB1" s="129"/>
      <c r="JAC1" s="129"/>
      <c r="JAD1" s="129"/>
      <c r="JAE1" s="129"/>
      <c r="JAF1" s="129"/>
      <c r="JAG1" s="129"/>
      <c r="JAH1" s="129"/>
      <c r="JAI1" s="129"/>
      <c r="JAJ1" s="129"/>
      <c r="JAK1" s="129"/>
      <c r="JAL1" s="129"/>
      <c r="JAM1" s="129"/>
      <c r="JAN1" s="129"/>
      <c r="JAO1" s="129"/>
      <c r="JAP1" s="129"/>
      <c r="JAQ1" s="129"/>
      <c r="JAR1" s="129"/>
      <c r="JAS1" s="129"/>
      <c r="JAT1" s="129"/>
      <c r="JAU1" s="129"/>
      <c r="JAV1" s="129"/>
      <c r="JAW1" s="129"/>
      <c r="JAX1" s="129"/>
      <c r="JAY1" s="129"/>
      <c r="JAZ1" s="129"/>
      <c r="JBA1" s="129"/>
      <c r="JBB1" s="129"/>
      <c r="JBC1" s="129"/>
      <c r="JBD1" s="129"/>
      <c r="JBE1" s="129"/>
      <c r="JBF1" s="129"/>
      <c r="JBG1" s="129"/>
      <c r="JBH1" s="129"/>
      <c r="JBI1" s="129"/>
      <c r="JBJ1" s="129"/>
      <c r="JBK1" s="129"/>
      <c r="JBL1" s="129"/>
      <c r="JBM1" s="129"/>
      <c r="JBN1" s="129"/>
      <c r="JBO1" s="129"/>
      <c r="JBP1" s="129"/>
      <c r="JBQ1" s="129"/>
      <c r="JBR1" s="129"/>
      <c r="JBS1" s="129"/>
      <c r="JBT1" s="129"/>
      <c r="JBU1" s="129"/>
      <c r="JBV1" s="129"/>
      <c r="JBW1" s="129"/>
      <c r="JBX1" s="129"/>
      <c r="JBY1" s="129"/>
      <c r="JBZ1" s="129"/>
      <c r="JCA1" s="129"/>
      <c r="JCB1" s="129"/>
      <c r="JCC1" s="129"/>
      <c r="JCD1" s="129"/>
      <c r="JCE1" s="129"/>
      <c r="JCF1" s="129"/>
      <c r="JCG1" s="129"/>
      <c r="JCH1" s="129"/>
      <c r="JCI1" s="129"/>
      <c r="JCJ1" s="129"/>
      <c r="JCK1" s="129"/>
      <c r="JCL1" s="129"/>
      <c r="JCM1" s="129"/>
      <c r="JCN1" s="129"/>
      <c r="JCO1" s="129"/>
      <c r="JCP1" s="129"/>
      <c r="JCQ1" s="129"/>
      <c r="JCR1" s="129"/>
      <c r="JCS1" s="129"/>
      <c r="JCT1" s="129"/>
      <c r="JCU1" s="129"/>
      <c r="JCV1" s="129"/>
      <c r="JCW1" s="129"/>
      <c r="JCX1" s="129"/>
      <c r="JCY1" s="129"/>
      <c r="JCZ1" s="129"/>
      <c r="JDA1" s="129"/>
      <c r="JDB1" s="129"/>
      <c r="JDC1" s="129"/>
      <c r="JDD1" s="129"/>
      <c r="JDE1" s="129"/>
      <c r="JDF1" s="129"/>
      <c r="JDG1" s="129"/>
      <c r="JDH1" s="129"/>
      <c r="JDI1" s="129"/>
      <c r="JDJ1" s="129"/>
      <c r="JDK1" s="129"/>
      <c r="JDL1" s="129"/>
      <c r="JDM1" s="129"/>
      <c r="JDN1" s="129"/>
      <c r="JDO1" s="129"/>
      <c r="JDP1" s="129"/>
      <c r="JDQ1" s="129"/>
      <c r="JDR1" s="129"/>
      <c r="JDS1" s="129"/>
      <c r="JDT1" s="129"/>
      <c r="JDU1" s="129"/>
      <c r="JDV1" s="129"/>
      <c r="JDW1" s="129"/>
      <c r="JDX1" s="129"/>
      <c r="JDY1" s="129"/>
      <c r="JDZ1" s="129"/>
      <c r="JEA1" s="129"/>
      <c r="JEB1" s="129"/>
      <c r="JEC1" s="129"/>
      <c r="JED1" s="129"/>
      <c r="JEE1" s="129"/>
      <c r="JEF1" s="129"/>
      <c r="JEG1" s="129"/>
      <c r="JEH1" s="129"/>
      <c r="JEI1" s="129"/>
      <c r="JEJ1" s="129"/>
      <c r="JEK1" s="129"/>
      <c r="JEL1" s="129"/>
      <c r="JEM1" s="129"/>
      <c r="JEN1" s="129"/>
      <c r="JEO1" s="129"/>
      <c r="JEP1" s="129"/>
      <c r="JEQ1" s="129"/>
      <c r="JER1" s="129"/>
      <c r="JES1" s="129"/>
      <c r="JET1" s="129"/>
      <c r="JEU1" s="129"/>
      <c r="JEV1" s="129"/>
      <c r="JEW1" s="129"/>
      <c r="JEX1" s="129"/>
      <c r="JEY1" s="129"/>
      <c r="JEZ1" s="129"/>
      <c r="JFA1" s="129"/>
      <c r="JFB1" s="129"/>
      <c r="JFC1" s="129"/>
      <c r="JFD1" s="129"/>
      <c r="JFE1" s="129"/>
      <c r="JFF1" s="129"/>
      <c r="JFG1" s="129"/>
      <c r="JFH1" s="129"/>
      <c r="JFI1" s="129"/>
      <c r="JFJ1" s="129"/>
      <c r="JFK1" s="129"/>
      <c r="JFL1" s="129"/>
      <c r="JFM1" s="129"/>
      <c r="JFN1" s="129"/>
      <c r="JFO1" s="129"/>
      <c r="JFP1" s="129"/>
      <c r="JFQ1" s="129"/>
      <c r="JFR1" s="129"/>
      <c r="JFS1" s="129"/>
      <c r="JFT1" s="129"/>
      <c r="JFU1" s="129"/>
      <c r="JFV1" s="129"/>
      <c r="JFW1" s="129"/>
      <c r="JFX1" s="129"/>
      <c r="JFY1" s="129"/>
      <c r="JFZ1" s="129"/>
      <c r="JGA1" s="129"/>
      <c r="JGB1" s="129"/>
      <c r="JGC1" s="129"/>
      <c r="JGD1" s="129"/>
      <c r="JGE1" s="129"/>
      <c r="JGF1" s="129"/>
      <c r="JGG1" s="129"/>
      <c r="JGH1" s="129"/>
      <c r="JGI1" s="129"/>
      <c r="JGJ1" s="129"/>
      <c r="JGK1" s="129"/>
      <c r="JGL1" s="129"/>
      <c r="JGM1" s="129"/>
      <c r="JGN1" s="129"/>
      <c r="JGO1" s="129"/>
      <c r="JGP1" s="129"/>
      <c r="JGQ1" s="129"/>
      <c r="JGR1" s="129"/>
      <c r="JGS1" s="129"/>
      <c r="JGT1" s="129"/>
      <c r="JGU1" s="129"/>
      <c r="JGV1" s="129"/>
      <c r="JGW1" s="129"/>
      <c r="JGX1" s="129"/>
      <c r="JGY1" s="129"/>
      <c r="JGZ1" s="129"/>
      <c r="JHA1" s="129"/>
      <c r="JHB1" s="129"/>
      <c r="JHC1" s="129"/>
      <c r="JHD1" s="129"/>
      <c r="JHE1" s="129"/>
      <c r="JHF1" s="129"/>
      <c r="JHG1" s="129"/>
      <c r="JHH1" s="129"/>
      <c r="JHI1" s="129"/>
      <c r="JHJ1" s="129"/>
      <c r="JHK1" s="129"/>
      <c r="JHL1" s="129"/>
      <c r="JHM1" s="129"/>
      <c r="JHN1" s="129"/>
      <c r="JHO1" s="129"/>
      <c r="JHP1" s="129"/>
      <c r="JHQ1" s="129"/>
      <c r="JHR1" s="129"/>
      <c r="JHS1" s="129"/>
      <c r="JHT1" s="129"/>
      <c r="JHU1" s="129"/>
      <c r="JHV1" s="129"/>
      <c r="JHW1" s="129"/>
      <c r="JHX1" s="129"/>
      <c r="JHY1" s="129"/>
      <c r="JHZ1" s="129"/>
      <c r="JIA1" s="129"/>
      <c r="JIB1" s="129"/>
      <c r="JIC1" s="129"/>
      <c r="JID1" s="129"/>
      <c r="JIE1" s="129"/>
      <c r="JIF1" s="129"/>
      <c r="JIG1" s="129"/>
      <c r="JIH1" s="129"/>
      <c r="JII1" s="129"/>
      <c r="JIJ1" s="129"/>
      <c r="JIK1" s="129"/>
      <c r="JIL1" s="129"/>
      <c r="JIM1" s="129"/>
      <c r="JIN1" s="129"/>
      <c r="JIO1" s="129"/>
      <c r="JIP1" s="129"/>
      <c r="JIQ1" s="129"/>
      <c r="JIR1" s="129"/>
      <c r="JIS1" s="129"/>
      <c r="JIT1" s="129"/>
      <c r="JIU1" s="129"/>
      <c r="JIV1" s="129"/>
      <c r="JIW1" s="129"/>
      <c r="JIX1" s="129"/>
      <c r="JIY1" s="129"/>
      <c r="JIZ1" s="129"/>
      <c r="JJA1" s="129"/>
      <c r="JJB1" s="129"/>
      <c r="JJC1" s="129"/>
      <c r="JJD1" s="129"/>
      <c r="JJE1" s="129"/>
      <c r="JJF1" s="129"/>
      <c r="JJG1" s="129"/>
      <c r="JJH1" s="129"/>
      <c r="JJI1" s="129"/>
      <c r="JJJ1" s="129"/>
      <c r="JJK1" s="129"/>
      <c r="JJL1" s="129"/>
      <c r="JJM1" s="129"/>
      <c r="JJN1" s="129"/>
      <c r="JJO1" s="129"/>
      <c r="JJP1" s="129"/>
      <c r="JJQ1" s="129"/>
      <c r="JJR1" s="129"/>
      <c r="JJS1" s="129"/>
      <c r="JJT1" s="129"/>
      <c r="JJU1" s="129"/>
      <c r="JJV1" s="129"/>
      <c r="JJW1" s="129"/>
      <c r="JJX1" s="129"/>
      <c r="JJY1" s="129"/>
      <c r="JJZ1" s="129"/>
      <c r="JKA1" s="129"/>
      <c r="JKB1" s="129"/>
      <c r="JKC1" s="129"/>
      <c r="JKD1" s="129"/>
      <c r="JKE1" s="129"/>
      <c r="JKF1" s="129"/>
      <c r="JKG1" s="129"/>
      <c r="JKH1" s="129"/>
      <c r="JKI1" s="129"/>
      <c r="JKJ1" s="129"/>
      <c r="JKK1" s="129"/>
      <c r="JKL1" s="129"/>
      <c r="JKM1" s="129"/>
      <c r="JKN1" s="129"/>
      <c r="JKO1" s="129"/>
      <c r="JKP1" s="129"/>
      <c r="JKQ1" s="129"/>
      <c r="JKR1" s="129"/>
      <c r="JKS1" s="129"/>
      <c r="JKT1" s="129"/>
      <c r="JKU1" s="129"/>
      <c r="JKV1" s="129"/>
      <c r="JKW1" s="129"/>
      <c r="JKX1" s="129"/>
      <c r="JKY1" s="129"/>
      <c r="JKZ1" s="129"/>
      <c r="JLA1" s="129"/>
      <c r="JLB1" s="129"/>
      <c r="JLC1" s="129"/>
      <c r="JLD1" s="129"/>
      <c r="JLE1" s="129"/>
      <c r="JLF1" s="129"/>
      <c r="JLG1" s="129"/>
      <c r="JLH1" s="129"/>
      <c r="JLI1" s="129"/>
      <c r="JLJ1" s="129"/>
      <c r="JLK1" s="129"/>
      <c r="JLL1" s="129"/>
      <c r="JLM1" s="129"/>
      <c r="JLN1" s="129"/>
      <c r="JLO1" s="129"/>
      <c r="JLP1" s="129"/>
      <c r="JLQ1" s="129"/>
      <c r="JLR1" s="129"/>
      <c r="JLS1" s="129"/>
      <c r="JLT1" s="129"/>
      <c r="JLU1" s="129"/>
      <c r="JLV1" s="129"/>
      <c r="JLW1" s="129"/>
      <c r="JLX1" s="129"/>
      <c r="JLY1" s="129"/>
      <c r="JLZ1" s="129"/>
      <c r="JMA1" s="129"/>
      <c r="JMB1" s="129"/>
      <c r="JMC1" s="129"/>
      <c r="JMD1" s="129"/>
      <c r="JME1" s="129"/>
      <c r="JMF1" s="129"/>
      <c r="JMG1" s="129"/>
      <c r="JMH1" s="129"/>
      <c r="JMI1" s="129"/>
      <c r="JMJ1" s="129"/>
      <c r="JMK1" s="129"/>
      <c r="JML1" s="129"/>
      <c r="JMM1" s="129"/>
      <c r="JMN1" s="129"/>
      <c r="JMO1" s="129"/>
      <c r="JMP1" s="129"/>
      <c r="JMQ1" s="129"/>
      <c r="JMR1" s="129"/>
      <c r="JMS1" s="129"/>
      <c r="JMT1" s="129"/>
      <c r="JMU1" s="129"/>
      <c r="JMV1" s="129"/>
      <c r="JMW1" s="129"/>
      <c r="JMX1" s="129"/>
      <c r="JMY1" s="129"/>
      <c r="JMZ1" s="129"/>
      <c r="JNA1" s="129"/>
      <c r="JNB1" s="129"/>
      <c r="JNC1" s="129"/>
      <c r="JND1" s="129"/>
      <c r="JNE1" s="129"/>
      <c r="JNF1" s="129"/>
      <c r="JNG1" s="129"/>
      <c r="JNH1" s="129"/>
      <c r="JNI1" s="129"/>
      <c r="JNJ1" s="129"/>
      <c r="JNK1" s="129"/>
      <c r="JNL1" s="129"/>
      <c r="JNM1" s="129"/>
      <c r="JNN1" s="129"/>
      <c r="JNO1" s="129"/>
      <c r="JNP1" s="129"/>
      <c r="JNQ1" s="129"/>
      <c r="JNR1" s="129"/>
      <c r="JNS1" s="129"/>
      <c r="JNT1" s="129"/>
      <c r="JNU1" s="129"/>
      <c r="JNV1" s="129"/>
      <c r="JNW1" s="129"/>
      <c r="JNX1" s="129"/>
      <c r="JNY1" s="129"/>
      <c r="JNZ1" s="129"/>
      <c r="JOA1" s="129"/>
      <c r="JOB1" s="129"/>
      <c r="JOC1" s="129"/>
      <c r="JOD1" s="129"/>
      <c r="JOE1" s="129"/>
      <c r="JOF1" s="129"/>
      <c r="JOG1" s="129"/>
      <c r="JOH1" s="129"/>
      <c r="JOI1" s="129"/>
      <c r="JOJ1" s="129"/>
      <c r="JOK1" s="129"/>
      <c r="JOL1" s="129"/>
      <c r="JOM1" s="129"/>
      <c r="JON1" s="129"/>
      <c r="JOO1" s="129"/>
      <c r="JOP1" s="129"/>
      <c r="JOQ1" s="129"/>
      <c r="JOR1" s="129"/>
      <c r="JOS1" s="129"/>
      <c r="JOT1" s="129"/>
      <c r="JOU1" s="129"/>
      <c r="JOV1" s="129"/>
      <c r="JOW1" s="129"/>
      <c r="JOX1" s="129"/>
      <c r="JOY1" s="129"/>
      <c r="JOZ1" s="129"/>
      <c r="JPA1" s="129"/>
      <c r="JPB1" s="129"/>
      <c r="JPC1" s="129"/>
      <c r="JPD1" s="129"/>
      <c r="JPE1" s="129"/>
      <c r="JPF1" s="129"/>
      <c r="JPG1" s="129"/>
      <c r="JPH1" s="129"/>
      <c r="JPI1" s="129"/>
      <c r="JPJ1" s="129"/>
      <c r="JPK1" s="129"/>
      <c r="JPL1" s="129"/>
      <c r="JPM1" s="129"/>
      <c r="JPN1" s="129"/>
      <c r="JPO1" s="129"/>
      <c r="JPP1" s="129"/>
      <c r="JPQ1" s="129"/>
      <c r="JPR1" s="129"/>
      <c r="JPS1" s="129"/>
      <c r="JPT1" s="129"/>
      <c r="JPU1" s="129"/>
      <c r="JPV1" s="129"/>
      <c r="JPW1" s="129"/>
      <c r="JPX1" s="129"/>
      <c r="JPY1" s="129"/>
      <c r="JPZ1" s="129"/>
      <c r="JQA1" s="129"/>
      <c r="JQB1" s="129"/>
      <c r="JQC1" s="129"/>
      <c r="JQD1" s="129"/>
      <c r="JQE1" s="129"/>
      <c r="JQF1" s="129"/>
      <c r="JQG1" s="129"/>
      <c r="JQH1" s="129"/>
      <c r="JQI1" s="129"/>
      <c r="JQJ1" s="129"/>
      <c r="JQK1" s="129"/>
      <c r="JQL1" s="129"/>
      <c r="JQM1" s="129"/>
      <c r="JQN1" s="129"/>
      <c r="JQO1" s="129"/>
      <c r="JQP1" s="129"/>
      <c r="JQQ1" s="129"/>
      <c r="JQR1" s="129"/>
      <c r="JQS1" s="129"/>
      <c r="JQT1" s="129"/>
      <c r="JQU1" s="129"/>
      <c r="JQV1" s="129"/>
      <c r="JQW1" s="129"/>
      <c r="JQX1" s="129"/>
      <c r="JQY1" s="129"/>
      <c r="JQZ1" s="129"/>
      <c r="JRA1" s="129"/>
      <c r="JRB1" s="129"/>
      <c r="JRC1" s="129"/>
      <c r="JRD1" s="129"/>
      <c r="JRE1" s="129"/>
      <c r="JRF1" s="129"/>
      <c r="JRG1" s="129"/>
      <c r="JRH1" s="129"/>
      <c r="JRI1" s="129"/>
      <c r="JRJ1" s="129"/>
      <c r="JRK1" s="129"/>
      <c r="JRL1" s="129"/>
      <c r="JRM1" s="129"/>
      <c r="JRN1" s="129"/>
      <c r="JRO1" s="129"/>
      <c r="JRP1" s="129"/>
      <c r="JRQ1" s="129"/>
      <c r="JRR1" s="129"/>
      <c r="JRS1" s="129"/>
      <c r="JRT1" s="129"/>
      <c r="JRU1" s="129"/>
      <c r="JRV1" s="129"/>
      <c r="JRW1" s="129"/>
      <c r="JRX1" s="129"/>
      <c r="JRY1" s="129"/>
      <c r="JRZ1" s="129"/>
      <c r="JSA1" s="129"/>
      <c r="JSB1" s="129"/>
      <c r="JSC1" s="129"/>
      <c r="JSD1" s="129"/>
      <c r="JSE1" s="129"/>
      <c r="JSF1" s="129"/>
      <c r="JSG1" s="129"/>
      <c r="JSH1" s="129"/>
      <c r="JSI1" s="129"/>
      <c r="JSJ1" s="129"/>
      <c r="JSK1" s="129"/>
      <c r="JSL1" s="129"/>
      <c r="JSM1" s="129"/>
      <c r="JSN1" s="129"/>
      <c r="JSO1" s="129"/>
      <c r="JSP1" s="129"/>
      <c r="JSQ1" s="129"/>
      <c r="JSR1" s="129"/>
      <c r="JSS1" s="129"/>
      <c r="JST1" s="129"/>
      <c r="JSU1" s="129"/>
      <c r="JSV1" s="129"/>
      <c r="JSW1" s="129"/>
      <c r="JSX1" s="129"/>
      <c r="JSY1" s="129"/>
      <c r="JSZ1" s="129"/>
      <c r="JTA1" s="129"/>
      <c r="JTB1" s="129"/>
      <c r="JTC1" s="129"/>
      <c r="JTD1" s="129"/>
      <c r="JTE1" s="129"/>
      <c r="JTF1" s="129"/>
      <c r="JTG1" s="129"/>
      <c r="JTH1" s="129"/>
      <c r="JTI1" s="129"/>
      <c r="JTJ1" s="129"/>
      <c r="JTK1" s="129"/>
      <c r="JTL1" s="129"/>
      <c r="JTM1" s="129"/>
      <c r="JTN1" s="129"/>
      <c r="JTO1" s="129"/>
      <c r="JTP1" s="129"/>
      <c r="JTQ1" s="129"/>
      <c r="JTR1" s="129"/>
      <c r="JTS1" s="129"/>
      <c r="JTT1" s="129"/>
      <c r="JTU1" s="129"/>
      <c r="JTV1" s="129"/>
      <c r="JTW1" s="129"/>
      <c r="JTX1" s="129"/>
      <c r="JTY1" s="129"/>
      <c r="JTZ1" s="129"/>
      <c r="JUA1" s="129"/>
      <c r="JUB1" s="129"/>
      <c r="JUC1" s="129"/>
      <c r="JUD1" s="129"/>
      <c r="JUE1" s="129"/>
      <c r="JUF1" s="129"/>
      <c r="JUG1" s="129"/>
      <c r="JUH1" s="129"/>
      <c r="JUI1" s="129"/>
      <c r="JUJ1" s="129"/>
      <c r="JUK1" s="129"/>
      <c r="JUL1" s="129"/>
      <c r="JUM1" s="129"/>
      <c r="JUN1" s="129"/>
      <c r="JUO1" s="129"/>
      <c r="JUP1" s="129"/>
      <c r="JUQ1" s="129"/>
      <c r="JUR1" s="129"/>
      <c r="JUS1" s="129"/>
      <c r="JUT1" s="129"/>
      <c r="JUU1" s="129"/>
      <c r="JUV1" s="129"/>
      <c r="JUW1" s="129"/>
      <c r="JUX1" s="129"/>
      <c r="JUY1" s="129"/>
      <c r="JUZ1" s="129"/>
      <c r="JVA1" s="129"/>
      <c r="JVB1" s="129"/>
      <c r="JVC1" s="129"/>
      <c r="JVD1" s="129"/>
      <c r="JVE1" s="129"/>
      <c r="JVF1" s="129"/>
      <c r="JVG1" s="129"/>
      <c r="JVH1" s="129"/>
      <c r="JVI1" s="129"/>
      <c r="JVJ1" s="129"/>
      <c r="JVK1" s="129"/>
      <c r="JVL1" s="129"/>
      <c r="JVM1" s="129"/>
      <c r="JVN1" s="129"/>
      <c r="JVO1" s="129"/>
      <c r="JVP1" s="129"/>
      <c r="JVQ1" s="129"/>
      <c r="JVR1" s="129"/>
      <c r="JVS1" s="129"/>
      <c r="JVT1" s="129"/>
      <c r="JVU1" s="129"/>
      <c r="JVV1" s="129"/>
      <c r="JVW1" s="129"/>
      <c r="JVX1" s="129"/>
      <c r="JVY1" s="129"/>
      <c r="JVZ1" s="129"/>
      <c r="JWA1" s="129"/>
      <c r="JWB1" s="129"/>
      <c r="JWC1" s="129"/>
      <c r="JWD1" s="129"/>
      <c r="JWE1" s="129"/>
      <c r="JWF1" s="129"/>
      <c r="JWG1" s="129"/>
      <c r="JWH1" s="129"/>
      <c r="JWI1" s="129"/>
      <c r="JWJ1" s="129"/>
      <c r="JWK1" s="129"/>
      <c r="JWL1" s="129"/>
      <c r="JWM1" s="129"/>
      <c r="JWN1" s="129"/>
      <c r="JWO1" s="129"/>
      <c r="JWP1" s="129"/>
      <c r="JWQ1" s="129"/>
      <c r="JWR1" s="129"/>
      <c r="JWS1" s="129"/>
      <c r="JWT1" s="129"/>
      <c r="JWU1" s="129"/>
      <c r="JWV1" s="129"/>
      <c r="JWW1" s="129"/>
      <c r="JWX1" s="129"/>
      <c r="JWY1" s="129"/>
      <c r="JWZ1" s="129"/>
      <c r="JXA1" s="129"/>
      <c r="JXB1" s="129"/>
      <c r="JXC1" s="129"/>
      <c r="JXD1" s="129"/>
      <c r="JXE1" s="129"/>
      <c r="JXF1" s="129"/>
      <c r="JXG1" s="129"/>
      <c r="JXH1" s="129"/>
      <c r="JXI1" s="129"/>
      <c r="JXJ1" s="129"/>
      <c r="JXK1" s="129"/>
      <c r="JXL1" s="129"/>
      <c r="JXM1" s="129"/>
      <c r="JXN1" s="129"/>
      <c r="JXO1" s="129"/>
      <c r="JXP1" s="129"/>
      <c r="JXQ1" s="129"/>
      <c r="JXR1" s="129"/>
      <c r="JXS1" s="129"/>
      <c r="JXT1" s="129"/>
      <c r="JXU1" s="129"/>
      <c r="JXV1" s="129"/>
      <c r="JXW1" s="129"/>
      <c r="JXX1" s="129"/>
      <c r="JXY1" s="129"/>
      <c r="JXZ1" s="129"/>
      <c r="JYA1" s="129"/>
      <c r="JYB1" s="129"/>
      <c r="JYC1" s="129"/>
      <c r="JYD1" s="129"/>
      <c r="JYE1" s="129"/>
      <c r="JYF1" s="129"/>
      <c r="JYG1" s="129"/>
      <c r="JYH1" s="129"/>
      <c r="JYI1" s="129"/>
      <c r="JYJ1" s="129"/>
      <c r="JYK1" s="129"/>
      <c r="JYL1" s="129"/>
      <c r="JYM1" s="129"/>
      <c r="JYN1" s="129"/>
      <c r="JYO1" s="129"/>
      <c r="JYP1" s="129"/>
      <c r="JYQ1" s="129"/>
      <c r="JYR1" s="129"/>
      <c r="JYS1" s="129"/>
      <c r="JYT1" s="129"/>
      <c r="JYU1" s="129"/>
      <c r="JYV1" s="129"/>
      <c r="JYW1" s="129"/>
      <c r="JYX1" s="129"/>
      <c r="JYY1" s="129"/>
      <c r="JYZ1" s="129"/>
      <c r="JZA1" s="129"/>
      <c r="JZB1" s="129"/>
      <c r="JZC1" s="129"/>
      <c r="JZD1" s="129"/>
      <c r="JZE1" s="129"/>
      <c r="JZF1" s="129"/>
      <c r="JZG1" s="129"/>
      <c r="JZH1" s="129"/>
      <c r="JZI1" s="129"/>
      <c r="JZJ1" s="129"/>
      <c r="JZK1" s="129"/>
      <c r="JZL1" s="129"/>
      <c r="JZM1" s="129"/>
      <c r="JZN1" s="129"/>
      <c r="JZO1" s="129"/>
      <c r="JZP1" s="129"/>
      <c r="JZQ1" s="129"/>
      <c r="JZR1" s="129"/>
      <c r="JZS1" s="129"/>
      <c r="JZT1" s="129"/>
      <c r="JZU1" s="129"/>
      <c r="JZV1" s="129"/>
      <c r="JZW1" s="129"/>
      <c r="JZX1" s="129"/>
      <c r="JZY1" s="129"/>
      <c r="JZZ1" s="129"/>
      <c r="KAA1" s="129"/>
      <c r="KAB1" s="129"/>
      <c r="KAC1" s="129"/>
      <c r="KAD1" s="129"/>
      <c r="KAE1" s="129"/>
      <c r="KAF1" s="129"/>
      <c r="KAG1" s="129"/>
      <c r="KAH1" s="129"/>
      <c r="KAI1" s="129"/>
      <c r="KAJ1" s="129"/>
      <c r="KAK1" s="129"/>
      <c r="KAL1" s="129"/>
      <c r="KAM1" s="129"/>
      <c r="KAN1" s="129"/>
      <c r="KAO1" s="129"/>
      <c r="KAP1" s="129"/>
      <c r="KAQ1" s="129"/>
      <c r="KAR1" s="129"/>
      <c r="KAS1" s="129"/>
      <c r="KAT1" s="129"/>
      <c r="KAU1" s="129"/>
      <c r="KAV1" s="129"/>
      <c r="KAW1" s="129"/>
      <c r="KAX1" s="129"/>
      <c r="KAY1" s="129"/>
      <c r="KAZ1" s="129"/>
      <c r="KBA1" s="129"/>
      <c r="KBB1" s="129"/>
      <c r="KBC1" s="129"/>
      <c r="KBD1" s="129"/>
      <c r="KBE1" s="129"/>
      <c r="KBF1" s="129"/>
      <c r="KBG1" s="129"/>
      <c r="KBH1" s="129"/>
      <c r="KBI1" s="129"/>
      <c r="KBJ1" s="129"/>
      <c r="KBK1" s="129"/>
      <c r="KBL1" s="129"/>
      <c r="KBM1" s="129"/>
      <c r="KBN1" s="129"/>
      <c r="KBO1" s="129"/>
      <c r="KBP1" s="129"/>
      <c r="KBQ1" s="129"/>
      <c r="KBR1" s="129"/>
      <c r="KBS1" s="129"/>
      <c r="KBT1" s="129"/>
      <c r="KBU1" s="129"/>
      <c r="KBV1" s="129"/>
      <c r="KBW1" s="129"/>
      <c r="KBX1" s="129"/>
      <c r="KBY1" s="129"/>
      <c r="KBZ1" s="129"/>
      <c r="KCA1" s="129"/>
      <c r="KCB1" s="129"/>
      <c r="KCC1" s="129"/>
      <c r="KCD1" s="129"/>
      <c r="KCE1" s="129"/>
      <c r="KCF1" s="129"/>
      <c r="KCG1" s="129"/>
      <c r="KCH1" s="129"/>
      <c r="KCI1" s="129"/>
      <c r="KCJ1" s="129"/>
      <c r="KCK1" s="129"/>
      <c r="KCL1" s="129"/>
      <c r="KCM1" s="129"/>
      <c r="KCN1" s="129"/>
      <c r="KCO1" s="129"/>
      <c r="KCP1" s="129"/>
      <c r="KCQ1" s="129"/>
      <c r="KCR1" s="129"/>
      <c r="KCS1" s="129"/>
      <c r="KCT1" s="129"/>
      <c r="KCU1" s="129"/>
      <c r="KCV1" s="129"/>
      <c r="KCW1" s="129"/>
      <c r="KCX1" s="129"/>
      <c r="KCY1" s="129"/>
      <c r="KCZ1" s="129"/>
      <c r="KDA1" s="129"/>
      <c r="KDB1" s="129"/>
      <c r="KDC1" s="129"/>
      <c r="KDD1" s="129"/>
      <c r="KDE1" s="129"/>
      <c r="KDF1" s="129"/>
      <c r="KDG1" s="129"/>
      <c r="KDH1" s="129"/>
      <c r="KDI1" s="129"/>
      <c r="KDJ1" s="129"/>
      <c r="KDK1" s="129"/>
      <c r="KDL1" s="129"/>
      <c r="KDM1" s="129"/>
      <c r="KDN1" s="129"/>
      <c r="KDO1" s="129"/>
      <c r="KDP1" s="129"/>
      <c r="KDQ1" s="129"/>
      <c r="KDR1" s="129"/>
      <c r="KDS1" s="129"/>
      <c r="KDT1" s="129"/>
      <c r="KDU1" s="129"/>
      <c r="KDV1" s="129"/>
      <c r="KDW1" s="129"/>
      <c r="KDX1" s="129"/>
      <c r="KDY1" s="129"/>
      <c r="KDZ1" s="129"/>
      <c r="KEA1" s="129"/>
      <c r="KEB1" s="129"/>
      <c r="KEC1" s="129"/>
      <c r="KED1" s="129"/>
      <c r="KEE1" s="129"/>
      <c r="KEF1" s="129"/>
      <c r="KEG1" s="129"/>
      <c r="KEH1" s="129"/>
      <c r="KEI1" s="129"/>
      <c r="KEJ1" s="129"/>
      <c r="KEK1" s="129"/>
      <c r="KEL1" s="129"/>
      <c r="KEM1" s="129"/>
      <c r="KEN1" s="129"/>
      <c r="KEO1" s="129"/>
      <c r="KEP1" s="129"/>
      <c r="KEQ1" s="129"/>
      <c r="KER1" s="129"/>
      <c r="KES1" s="129"/>
      <c r="KET1" s="129"/>
      <c r="KEU1" s="129"/>
      <c r="KEV1" s="129"/>
      <c r="KEW1" s="129"/>
      <c r="KEX1" s="129"/>
      <c r="KEY1" s="129"/>
      <c r="KEZ1" s="129"/>
      <c r="KFA1" s="129"/>
      <c r="KFB1" s="129"/>
      <c r="KFC1" s="129"/>
      <c r="KFD1" s="129"/>
      <c r="KFE1" s="129"/>
      <c r="KFF1" s="129"/>
      <c r="KFG1" s="129"/>
      <c r="KFH1" s="129"/>
      <c r="KFI1" s="129"/>
      <c r="KFJ1" s="129"/>
      <c r="KFK1" s="129"/>
      <c r="KFL1" s="129"/>
      <c r="KFM1" s="129"/>
      <c r="KFN1" s="129"/>
      <c r="KFO1" s="129"/>
      <c r="KFP1" s="129"/>
      <c r="KFQ1" s="129"/>
      <c r="KFR1" s="129"/>
      <c r="KFS1" s="129"/>
      <c r="KFT1" s="129"/>
      <c r="KFU1" s="129"/>
      <c r="KFV1" s="129"/>
      <c r="KFW1" s="129"/>
      <c r="KFX1" s="129"/>
      <c r="KFY1" s="129"/>
      <c r="KFZ1" s="129"/>
      <c r="KGA1" s="129"/>
      <c r="KGB1" s="129"/>
      <c r="KGC1" s="129"/>
      <c r="KGD1" s="129"/>
      <c r="KGE1" s="129"/>
      <c r="KGF1" s="129"/>
      <c r="KGG1" s="129"/>
      <c r="KGH1" s="129"/>
      <c r="KGI1" s="129"/>
      <c r="KGJ1" s="129"/>
      <c r="KGK1" s="129"/>
      <c r="KGL1" s="129"/>
      <c r="KGM1" s="129"/>
      <c r="KGN1" s="129"/>
      <c r="KGO1" s="129"/>
      <c r="KGP1" s="129"/>
      <c r="KGQ1" s="129"/>
      <c r="KGR1" s="129"/>
      <c r="KGS1" s="129"/>
      <c r="KGT1" s="129"/>
      <c r="KGU1" s="129"/>
      <c r="KGV1" s="129"/>
      <c r="KGW1" s="129"/>
      <c r="KGX1" s="129"/>
      <c r="KGY1" s="129"/>
      <c r="KGZ1" s="129"/>
      <c r="KHA1" s="129"/>
      <c r="KHB1" s="129"/>
      <c r="KHC1" s="129"/>
      <c r="KHD1" s="129"/>
      <c r="KHE1" s="129"/>
      <c r="KHF1" s="129"/>
      <c r="KHG1" s="129"/>
      <c r="KHH1" s="129"/>
      <c r="KHI1" s="129"/>
      <c r="KHJ1" s="129"/>
      <c r="KHK1" s="129"/>
      <c r="KHL1" s="129"/>
      <c r="KHM1" s="129"/>
      <c r="KHN1" s="129"/>
      <c r="KHO1" s="129"/>
      <c r="KHP1" s="129"/>
      <c r="KHQ1" s="129"/>
      <c r="KHR1" s="129"/>
      <c r="KHS1" s="129"/>
      <c r="KHT1" s="129"/>
      <c r="KHU1" s="129"/>
      <c r="KHV1" s="129"/>
      <c r="KHW1" s="129"/>
      <c r="KHX1" s="129"/>
      <c r="KHY1" s="129"/>
      <c r="KHZ1" s="129"/>
      <c r="KIA1" s="129"/>
      <c r="KIB1" s="129"/>
      <c r="KIC1" s="129"/>
      <c r="KID1" s="129"/>
      <c r="KIE1" s="129"/>
      <c r="KIF1" s="129"/>
      <c r="KIG1" s="129"/>
      <c r="KIH1" s="129"/>
      <c r="KII1" s="129"/>
      <c r="KIJ1" s="129"/>
      <c r="KIK1" s="129"/>
      <c r="KIL1" s="129"/>
      <c r="KIM1" s="129"/>
      <c r="KIN1" s="129"/>
      <c r="KIO1" s="129"/>
      <c r="KIP1" s="129"/>
      <c r="KIQ1" s="129"/>
      <c r="KIR1" s="129"/>
      <c r="KIS1" s="129"/>
      <c r="KIT1" s="129"/>
      <c r="KIU1" s="129"/>
      <c r="KIV1" s="129"/>
      <c r="KIW1" s="129"/>
      <c r="KIX1" s="129"/>
      <c r="KIY1" s="129"/>
      <c r="KIZ1" s="129"/>
      <c r="KJA1" s="129"/>
      <c r="KJB1" s="129"/>
      <c r="KJC1" s="129"/>
      <c r="KJD1" s="129"/>
      <c r="KJE1" s="129"/>
      <c r="KJF1" s="129"/>
      <c r="KJG1" s="129"/>
      <c r="KJH1" s="129"/>
      <c r="KJI1" s="129"/>
      <c r="KJJ1" s="129"/>
      <c r="KJK1" s="129"/>
      <c r="KJL1" s="129"/>
      <c r="KJM1" s="129"/>
      <c r="KJN1" s="129"/>
      <c r="KJO1" s="129"/>
      <c r="KJP1" s="129"/>
      <c r="KJQ1" s="129"/>
      <c r="KJR1" s="129"/>
      <c r="KJS1" s="129"/>
      <c r="KJT1" s="129"/>
      <c r="KJU1" s="129"/>
      <c r="KJV1" s="129"/>
      <c r="KJW1" s="129"/>
      <c r="KJX1" s="129"/>
      <c r="KJY1" s="129"/>
      <c r="KJZ1" s="129"/>
      <c r="KKA1" s="129"/>
      <c r="KKB1" s="129"/>
      <c r="KKC1" s="129"/>
      <c r="KKD1" s="129"/>
      <c r="KKE1" s="129"/>
      <c r="KKF1" s="129"/>
      <c r="KKG1" s="129"/>
      <c r="KKH1" s="129"/>
      <c r="KKI1" s="129"/>
      <c r="KKJ1" s="129"/>
      <c r="KKK1" s="129"/>
      <c r="KKL1" s="129"/>
      <c r="KKM1" s="129"/>
      <c r="KKN1" s="129"/>
      <c r="KKO1" s="129"/>
      <c r="KKP1" s="129"/>
      <c r="KKQ1" s="129"/>
      <c r="KKR1" s="129"/>
      <c r="KKS1" s="129"/>
      <c r="KKT1" s="129"/>
      <c r="KKU1" s="129"/>
      <c r="KKV1" s="129"/>
      <c r="KKW1" s="129"/>
      <c r="KKX1" s="129"/>
      <c r="KKY1" s="129"/>
      <c r="KKZ1" s="129"/>
      <c r="KLA1" s="129"/>
      <c r="KLB1" s="129"/>
      <c r="KLC1" s="129"/>
      <c r="KLD1" s="129"/>
      <c r="KLE1" s="129"/>
      <c r="KLF1" s="129"/>
      <c r="KLG1" s="129"/>
      <c r="KLH1" s="129"/>
      <c r="KLI1" s="129"/>
      <c r="KLJ1" s="129"/>
      <c r="KLK1" s="129"/>
      <c r="KLL1" s="129"/>
      <c r="KLM1" s="129"/>
      <c r="KLN1" s="129"/>
      <c r="KLO1" s="129"/>
      <c r="KLP1" s="129"/>
      <c r="KLQ1" s="129"/>
      <c r="KLR1" s="129"/>
      <c r="KLS1" s="129"/>
      <c r="KLT1" s="129"/>
      <c r="KLU1" s="129"/>
      <c r="KLV1" s="129"/>
      <c r="KLW1" s="129"/>
      <c r="KLX1" s="129"/>
      <c r="KLY1" s="129"/>
      <c r="KLZ1" s="129"/>
      <c r="KMA1" s="129"/>
      <c r="KMB1" s="129"/>
      <c r="KMC1" s="129"/>
      <c r="KMD1" s="129"/>
      <c r="KME1" s="129"/>
      <c r="KMF1" s="129"/>
      <c r="KMG1" s="129"/>
      <c r="KMH1" s="129"/>
      <c r="KMI1" s="129"/>
      <c r="KMJ1" s="129"/>
      <c r="KMK1" s="129"/>
      <c r="KML1" s="129"/>
      <c r="KMM1" s="129"/>
      <c r="KMN1" s="129"/>
      <c r="KMO1" s="129"/>
      <c r="KMP1" s="129"/>
      <c r="KMQ1" s="129"/>
      <c r="KMR1" s="129"/>
      <c r="KMS1" s="129"/>
      <c r="KMT1" s="129"/>
      <c r="KMU1" s="129"/>
      <c r="KMV1" s="129"/>
      <c r="KMW1" s="129"/>
      <c r="KMX1" s="129"/>
      <c r="KMY1" s="129"/>
      <c r="KMZ1" s="129"/>
      <c r="KNA1" s="129"/>
      <c r="KNB1" s="129"/>
      <c r="KNC1" s="129"/>
      <c r="KND1" s="129"/>
      <c r="KNE1" s="129"/>
      <c r="KNF1" s="129"/>
      <c r="KNG1" s="129"/>
      <c r="KNH1" s="129"/>
      <c r="KNI1" s="129"/>
      <c r="KNJ1" s="129"/>
      <c r="KNK1" s="129"/>
      <c r="KNL1" s="129"/>
      <c r="KNM1" s="129"/>
      <c r="KNN1" s="129"/>
      <c r="KNO1" s="129"/>
      <c r="KNP1" s="129"/>
      <c r="KNQ1" s="129"/>
      <c r="KNR1" s="129"/>
      <c r="KNS1" s="129"/>
      <c r="KNT1" s="129"/>
      <c r="KNU1" s="129"/>
      <c r="KNV1" s="129"/>
      <c r="KNW1" s="129"/>
      <c r="KNX1" s="129"/>
      <c r="KNY1" s="129"/>
      <c r="KNZ1" s="129"/>
      <c r="KOA1" s="129"/>
      <c r="KOB1" s="129"/>
      <c r="KOC1" s="129"/>
      <c r="KOD1" s="129"/>
      <c r="KOE1" s="129"/>
      <c r="KOF1" s="129"/>
      <c r="KOG1" s="129"/>
      <c r="KOH1" s="129"/>
      <c r="KOI1" s="129"/>
      <c r="KOJ1" s="129"/>
      <c r="KOK1" s="129"/>
      <c r="KOL1" s="129"/>
      <c r="KOM1" s="129"/>
      <c r="KON1" s="129"/>
      <c r="KOO1" s="129"/>
      <c r="KOP1" s="129"/>
      <c r="KOQ1" s="129"/>
      <c r="KOR1" s="129"/>
      <c r="KOS1" s="129"/>
      <c r="KOT1" s="129"/>
      <c r="KOU1" s="129"/>
      <c r="KOV1" s="129"/>
      <c r="KOW1" s="129"/>
      <c r="KOX1" s="129"/>
      <c r="KOY1" s="129"/>
      <c r="KOZ1" s="129"/>
      <c r="KPA1" s="129"/>
      <c r="KPB1" s="129"/>
      <c r="KPC1" s="129"/>
      <c r="KPD1" s="129"/>
      <c r="KPE1" s="129"/>
      <c r="KPF1" s="129"/>
      <c r="KPG1" s="129"/>
      <c r="KPH1" s="129"/>
      <c r="KPI1" s="129"/>
      <c r="KPJ1" s="129"/>
      <c r="KPK1" s="129"/>
      <c r="KPL1" s="129"/>
      <c r="KPM1" s="129"/>
      <c r="KPN1" s="129"/>
      <c r="KPO1" s="129"/>
      <c r="KPP1" s="129"/>
      <c r="KPQ1" s="129"/>
      <c r="KPR1" s="129"/>
      <c r="KPS1" s="129"/>
      <c r="KPT1" s="129"/>
      <c r="KPU1" s="129"/>
      <c r="KPV1" s="129"/>
      <c r="KPW1" s="129"/>
      <c r="KPX1" s="129"/>
      <c r="KPY1" s="129"/>
      <c r="KPZ1" s="129"/>
      <c r="KQA1" s="129"/>
      <c r="KQB1" s="129"/>
      <c r="KQC1" s="129"/>
      <c r="KQD1" s="129"/>
      <c r="KQE1" s="129"/>
      <c r="KQF1" s="129"/>
      <c r="KQG1" s="129"/>
      <c r="KQH1" s="129"/>
      <c r="KQI1" s="129"/>
      <c r="KQJ1" s="129"/>
      <c r="KQK1" s="129"/>
      <c r="KQL1" s="129"/>
      <c r="KQM1" s="129"/>
      <c r="KQN1" s="129"/>
      <c r="KQO1" s="129"/>
      <c r="KQP1" s="129"/>
      <c r="KQQ1" s="129"/>
      <c r="KQR1" s="129"/>
      <c r="KQS1" s="129"/>
      <c r="KQT1" s="129"/>
      <c r="KQU1" s="129"/>
      <c r="KQV1" s="129"/>
      <c r="KQW1" s="129"/>
      <c r="KQX1" s="129"/>
      <c r="KQY1" s="129"/>
      <c r="KQZ1" s="129"/>
      <c r="KRA1" s="129"/>
      <c r="KRB1" s="129"/>
      <c r="KRC1" s="129"/>
      <c r="KRD1" s="129"/>
      <c r="KRE1" s="129"/>
      <c r="KRF1" s="129"/>
      <c r="KRG1" s="129"/>
      <c r="KRH1" s="129"/>
      <c r="KRI1" s="129"/>
      <c r="KRJ1" s="129"/>
      <c r="KRK1" s="129"/>
      <c r="KRL1" s="129"/>
      <c r="KRM1" s="129"/>
      <c r="KRN1" s="129"/>
      <c r="KRO1" s="129"/>
      <c r="KRP1" s="129"/>
      <c r="KRQ1" s="129"/>
      <c r="KRR1" s="129"/>
      <c r="KRS1" s="129"/>
      <c r="KRT1" s="129"/>
      <c r="KRU1" s="129"/>
      <c r="KRV1" s="129"/>
      <c r="KRW1" s="129"/>
      <c r="KRX1" s="129"/>
      <c r="KRY1" s="129"/>
      <c r="KRZ1" s="129"/>
      <c r="KSA1" s="129"/>
      <c r="KSB1" s="129"/>
      <c r="KSC1" s="129"/>
      <c r="KSD1" s="129"/>
      <c r="KSE1" s="129"/>
      <c r="KSF1" s="129"/>
      <c r="KSG1" s="129"/>
      <c r="KSH1" s="129"/>
      <c r="KSI1" s="129"/>
      <c r="KSJ1" s="129"/>
      <c r="KSK1" s="129"/>
      <c r="KSL1" s="129"/>
      <c r="KSM1" s="129"/>
      <c r="KSN1" s="129"/>
      <c r="KSO1" s="129"/>
      <c r="KSP1" s="129"/>
      <c r="KSQ1" s="129"/>
      <c r="KSR1" s="129"/>
      <c r="KSS1" s="129"/>
      <c r="KST1" s="129"/>
      <c r="KSU1" s="129"/>
      <c r="KSV1" s="129"/>
      <c r="KSW1" s="129"/>
      <c r="KSX1" s="129"/>
      <c r="KSY1" s="129"/>
      <c r="KSZ1" s="129"/>
      <c r="KTA1" s="129"/>
      <c r="KTB1" s="129"/>
      <c r="KTC1" s="129"/>
      <c r="KTD1" s="129"/>
      <c r="KTE1" s="129"/>
      <c r="KTF1" s="129"/>
      <c r="KTG1" s="129"/>
      <c r="KTH1" s="129"/>
      <c r="KTI1" s="129"/>
      <c r="KTJ1" s="129"/>
      <c r="KTK1" s="129"/>
      <c r="KTL1" s="129"/>
      <c r="KTM1" s="129"/>
      <c r="KTN1" s="129"/>
      <c r="KTO1" s="129"/>
      <c r="KTP1" s="129"/>
      <c r="KTQ1" s="129"/>
      <c r="KTR1" s="129"/>
      <c r="KTS1" s="129"/>
      <c r="KTT1" s="129"/>
      <c r="KTU1" s="129"/>
      <c r="KTV1" s="129"/>
      <c r="KTW1" s="129"/>
      <c r="KTX1" s="129"/>
      <c r="KTY1" s="129"/>
      <c r="KTZ1" s="129"/>
      <c r="KUA1" s="129"/>
      <c r="KUB1" s="129"/>
      <c r="KUC1" s="129"/>
      <c r="KUD1" s="129"/>
      <c r="KUE1" s="129"/>
      <c r="KUF1" s="129"/>
      <c r="KUG1" s="129"/>
      <c r="KUH1" s="129"/>
      <c r="KUI1" s="129"/>
      <c r="KUJ1" s="129"/>
      <c r="KUK1" s="129"/>
      <c r="KUL1" s="129"/>
      <c r="KUM1" s="129"/>
      <c r="KUN1" s="129"/>
      <c r="KUO1" s="129"/>
      <c r="KUP1" s="129"/>
      <c r="KUQ1" s="129"/>
      <c r="KUR1" s="129"/>
      <c r="KUS1" s="129"/>
      <c r="KUT1" s="129"/>
      <c r="KUU1" s="129"/>
      <c r="KUV1" s="129"/>
      <c r="KUW1" s="129"/>
      <c r="KUX1" s="129"/>
      <c r="KUY1" s="129"/>
      <c r="KUZ1" s="129"/>
      <c r="KVA1" s="129"/>
      <c r="KVB1" s="129"/>
      <c r="KVC1" s="129"/>
      <c r="KVD1" s="129"/>
      <c r="KVE1" s="129"/>
      <c r="KVF1" s="129"/>
      <c r="KVG1" s="129"/>
      <c r="KVH1" s="129"/>
      <c r="KVI1" s="129"/>
      <c r="KVJ1" s="129"/>
      <c r="KVK1" s="129"/>
      <c r="KVL1" s="129"/>
      <c r="KVM1" s="129"/>
      <c r="KVN1" s="129"/>
      <c r="KVO1" s="129"/>
      <c r="KVP1" s="129"/>
      <c r="KVQ1" s="129"/>
      <c r="KVR1" s="129"/>
      <c r="KVS1" s="129"/>
      <c r="KVT1" s="129"/>
      <c r="KVU1" s="129"/>
      <c r="KVV1" s="129"/>
      <c r="KVW1" s="129"/>
      <c r="KVX1" s="129"/>
      <c r="KVY1" s="129"/>
      <c r="KVZ1" s="129"/>
      <c r="KWA1" s="129"/>
      <c r="KWB1" s="129"/>
      <c r="KWC1" s="129"/>
      <c r="KWD1" s="129"/>
      <c r="KWE1" s="129"/>
      <c r="KWF1" s="129"/>
      <c r="KWG1" s="129"/>
      <c r="KWH1" s="129"/>
      <c r="KWI1" s="129"/>
      <c r="KWJ1" s="129"/>
      <c r="KWK1" s="129"/>
      <c r="KWL1" s="129"/>
      <c r="KWM1" s="129"/>
      <c r="KWN1" s="129"/>
      <c r="KWO1" s="129"/>
      <c r="KWP1" s="129"/>
      <c r="KWQ1" s="129"/>
      <c r="KWR1" s="129"/>
      <c r="KWS1" s="129"/>
      <c r="KWT1" s="129"/>
      <c r="KWU1" s="129"/>
      <c r="KWV1" s="129"/>
      <c r="KWW1" s="129"/>
      <c r="KWX1" s="129"/>
      <c r="KWY1" s="129"/>
      <c r="KWZ1" s="129"/>
      <c r="KXA1" s="129"/>
      <c r="KXB1" s="129"/>
      <c r="KXC1" s="129"/>
      <c r="KXD1" s="129"/>
      <c r="KXE1" s="129"/>
      <c r="KXF1" s="129"/>
      <c r="KXG1" s="129"/>
      <c r="KXH1" s="129"/>
      <c r="KXI1" s="129"/>
      <c r="KXJ1" s="129"/>
      <c r="KXK1" s="129"/>
      <c r="KXL1" s="129"/>
      <c r="KXM1" s="129"/>
      <c r="KXN1" s="129"/>
      <c r="KXO1" s="129"/>
      <c r="KXP1" s="129"/>
      <c r="KXQ1" s="129"/>
      <c r="KXR1" s="129"/>
      <c r="KXS1" s="129"/>
      <c r="KXT1" s="129"/>
      <c r="KXU1" s="129"/>
      <c r="KXV1" s="129"/>
      <c r="KXW1" s="129"/>
      <c r="KXX1" s="129"/>
      <c r="KXY1" s="129"/>
      <c r="KXZ1" s="129"/>
      <c r="KYA1" s="129"/>
      <c r="KYB1" s="129"/>
      <c r="KYC1" s="129"/>
      <c r="KYD1" s="129"/>
      <c r="KYE1" s="129"/>
      <c r="KYF1" s="129"/>
      <c r="KYG1" s="129"/>
      <c r="KYH1" s="129"/>
      <c r="KYI1" s="129"/>
      <c r="KYJ1" s="129"/>
      <c r="KYK1" s="129"/>
      <c r="KYL1" s="129"/>
      <c r="KYM1" s="129"/>
      <c r="KYN1" s="129"/>
      <c r="KYO1" s="129"/>
      <c r="KYP1" s="129"/>
      <c r="KYQ1" s="129"/>
      <c r="KYR1" s="129"/>
      <c r="KYS1" s="129"/>
      <c r="KYT1" s="129"/>
      <c r="KYU1" s="129"/>
      <c r="KYV1" s="129"/>
      <c r="KYW1" s="129"/>
      <c r="KYX1" s="129"/>
      <c r="KYY1" s="129"/>
      <c r="KYZ1" s="129"/>
      <c r="KZA1" s="129"/>
      <c r="KZB1" s="129"/>
      <c r="KZC1" s="129"/>
      <c r="KZD1" s="129"/>
      <c r="KZE1" s="129"/>
      <c r="KZF1" s="129"/>
      <c r="KZG1" s="129"/>
      <c r="KZH1" s="129"/>
      <c r="KZI1" s="129"/>
      <c r="KZJ1" s="129"/>
      <c r="KZK1" s="129"/>
      <c r="KZL1" s="129"/>
      <c r="KZM1" s="129"/>
      <c r="KZN1" s="129"/>
      <c r="KZO1" s="129"/>
      <c r="KZP1" s="129"/>
      <c r="KZQ1" s="129"/>
      <c r="KZR1" s="129"/>
      <c r="KZS1" s="129"/>
      <c r="KZT1" s="129"/>
      <c r="KZU1" s="129"/>
      <c r="KZV1" s="129"/>
      <c r="KZW1" s="129"/>
      <c r="KZX1" s="129"/>
      <c r="KZY1" s="129"/>
      <c r="KZZ1" s="129"/>
      <c r="LAA1" s="129"/>
      <c r="LAB1" s="129"/>
      <c r="LAC1" s="129"/>
      <c r="LAD1" s="129"/>
      <c r="LAE1" s="129"/>
      <c r="LAF1" s="129"/>
      <c r="LAG1" s="129"/>
      <c r="LAH1" s="129"/>
      <c r="LAI1" s="129"/>
      <c r="LAJ1" s="129"/>
      <c r="LAK1" s="129"/>
      <c r="LAL1" s="129"/>
      <c r="LAM1" s="129"/>
      <c r="LAN1" s="129"/>
      <c r="LAO1" s="129"/>
      <c r="LAP1" s="129"/>
      <c r="LAQ1" s="129"/>
      <c r="LAR1" s="129"/>
      <c r="LAS1" s="129"/>
      <c r="LAT1" s="129"/>
      <c r="LAU1" s="129"/>
      <c r="LAV1" s="129"/>
      <c r="LAW1" s="129"/>
      <c r="LAX1" s="129"/>
      <c r="LAY1" s="129"/>
      <c r="LAZ1" s="129"/>
      <c r="LBA1" s="129"/>
      <c r="LBB1" s="129"/>
      <c r="LBC1" s="129"/>
      <c r="LBD1" s="129"/>
      <c r="LBE1" s="129"/>
      <c r="LBF1" s="129"/>
      <c r="LBG1" s="129"/>
      <c r="LBH1" s="129"/>
      <c r="LBI1" s="129"/>
      <c r="LBJ1" s="129"/>
      <c r="LBK1" s="129"/>
      <c r="LBL1" s="129"/>
      <c r="LBM1" s="129"/>
      <c r="LBN1" s="129"/>
      <c r="LBO1" s="129"/>
      <c r="LBP1" s="129"/>
      <c r="LBQ1" s="129"/>
      <c r="LBR1" s="129"/>
      <c r="LBS1" s="129"/>
      <c r="LBT1" s="129"/>
      <c r="LBU1" s="129"/>
      <c r="LBV1" s="129"/>
      <c r="LBW1" s="129"/>
      <c r="LBX1" s="129"/>
      <c r="LBY1" s="129"/>
      <c r="LBZ1" s="129"/>
      <c r="LCA1" s="129"/>
      <c r="LCB1" s="129"/>
      <c r="LCC1" s="129"/>
      <c r="LCD1" s="129"/>
      <c r="LCE1" s="129"/>
      <c r="LCF1" s="129"/>
      <c r="LCG1" s="129"/>
      <c r="LCH1" s="129"/>
      <c r="LCI1" s="129"/>
      <c r="LCJ1" s="129"/>
      <c r="LCK1" s="129"/>
      <c r="LCL1" s="129"/>
      <c r="LCM1" s="129"/>
      <c r="LCN1" s="129"/>
      <c r="LCO1" s="129"/>
      <c r="LCP1" s="129"/>
      <c r="LCQ1" s="129"/>
      <c r="LCR1" s="129"/>
      <c r="LCS1" s="129"/>
      <c r="LCT1" s="129"/>
      <c r="LCU1" s="129"/>
      <c r="LCV1" s="129"/>
      <c r="LCW1" s="129"/>
      <c r="LCX1" s="129"/>
      <c r="LCY1" s="129"/>
      <c r="LCZ1" s="129"/>
      <c r="LDA1" s="129"/>
      <c r="LDB1" s="129"/>
      <c r="LDC1" s="129"/>
      <c r="LDD1" s="129"/>
      <c r="LDE1" s="129"/>
      <c r="LDF1" s="129"/>
      <c r="LDG1" s="129"/>
      <c r="LDH1" s="129"/>
      <c r="LDI1" s="129"/>
      <c r="LDJ1" s="129"/>
      <c r="LDK1" s="129"/>
      <c r="LDL1" s="129"/>
      <c r="LDM1" s="129"/>
      <c r="LDN1" s="129"/>
      <c r="LDO1" s="129"/>
      <c r="LDP1" s="129"/>
      <c r="LDQ1" s="129"/>
      <c r="LDR1" s="129"/>
      <c r="LDS1" s="129"/>
      <c r="LDT1" s="129"/>
      <c r="LDU1" s="129"/>
      <c r="LDV1" s="129"/>
      <c r="LDW1" s="129"/>
      <c r="LDX1" s="129"/>
      <c r="LDY1" s="129"/>
      <c r="LDZ1" s="129"/>
      <c r="LEA1" s="129"/>
      <c r="LEB1" s="129"/>
      <c r="LEC1" s="129"/>
      <c r="LED1" s="129"/>
      <c r="LEE1" s="129"/>
      <c r="LEF1" s="129"/>
      <c r="LEG1" s="129"/>
      <c r="LEH1" s="129"/>
      <c r="LEI1" s="129"/>
      <c r="LEJ1" s="129"/>
      <c r="LEK1" s="129"/>
      <c r="LEL1" s="129"/>
      <c r="LEM1" s="129"/>
      <c r="LEN1" s="129"/>
      <c r="LEO1" s="129"/>
      <c r="LEP1" s="129"/>
      <c r="LEQ1" s="129"/>
      <c r="LER1" s="129"/>
      <c r="LES1" s="129"/>
      <c r="LET1" s="129"/>
      <c r="LEU1" s="129"/>
      <c r="LEV1" s="129"/>
      <c r="LEW1" s="129"/>
      <c r="LEX1" s="129"/>
      <c r="LEY1" s="129"/>
      <c r="LEZ1" s="129"/>
      <c r="LFA1" s="129"/>
      <c r="LFB1" s="129"/>
      <c r="LFC1" s="129"/>
      <c r="LFD1" s="129"/>
      <c r="LFE1" s="129"/>
      <c r="LFF1" s="129"/>
      <c r="LFG1" s="129"/>
      <c r="LFH1" s="129"/>
      <c r="LFI1" s="129"/>
      <c r="LFJ1" s="129"/>
      <c r="LFK1" s="129"/>
      <c r="LFL1" s="129"/>
      <c r="LFM1" s="129"/>
      <c r="LFN1" s="129"/>
      <c r="LFO1" s="129"/>
      <c r="LFP1" s="129"/>
      <c r="LFQ1" s="129"/>
      <c r="LFR1" s="129"/>
      <c r="LFS1" s="129"/>
      <c r="LFT1" s="129"/>
      <c r="LFU1" s="129"/>
      <c r="LFV1" s="129"/>
      <c r="LFW1" s="129"/>
      <c r="LFX1" s="129"/>
      <c r="LFY1" s="129"/>
      <c r="LFZ1" s="129"/>
      <c r="LGA1" s="129"/>
      <c r="LGB1" s="129"/>
      <c r="LGC1" s="129"/>
      <c r="LGD1" s="129"/>
      <c r="LGE1" s="129"/>
      <c r="LGF1" s="129"/>
      <c r="LGG1" s="129"/>
      <c r="LGH1" s="129"/>
      <c r="LGI1" s="129"/>
      <c r="LGJ1" s="129"/>
      <c r="LGK1" s="129"/>
      <c r="LGL1" s="129"/>
      <c r="LGM1" s="129"/>
      <c r="LGN1" s="129"/>
      <c r="LGO1" s="129"/>
      <c r="LGP1" s="129"/>
      <c r="LGQ1" s="129"/>
      <c r="LGR1" s="129"/>
      <c r="LGS1" s="129"/>
      <c r="LGT1" s="129"/>
      <c r="LGU1" s="129"/>
      <c r="LGV1" s="129"/>
      <c r="LGW1" s="129"/>
      <c r="LGX1" s="129"/>
      <c r="LGY1" s="129"/>
      <c r="LGZ1" s="129"/>
      <c r="LHA1" s="129"/>
      <c r="LHB1" s="129"/>
      <c r="LHC1" s="129"/>
      <c r="LHD1" s="129"/>
      <c r="LHE1" s="129"/>
      <c r="LHF1" s="129"/>
      <c r="LHG1" s="129"/>
      <c r="LHH1" s="129"/>
      <c r="LHI1" s="129"/>
      <c r="LHJ1" s="129"/>
      <c r="LHK1" s="129"/>
      <c r="LHL1" s="129"/>
      <c r="LHM1" s="129"/>
      <c r="LHN1" s="129"/>
      <c r="LHO1" s="129"/>
      <c r="LHP1" s="129"/>
      <c r="LHQ1" s="129"/>
      <c r="LHR1" s="129"/>
      <c r="LHS1" s="129"/>
      <c r="LHT1" s="129"/>
      <c r="LHU1" s="129"/>
      <c r="LHV1" s="129"/>
      <c r="LHW1" s="129"/>
      <c r="LHX1" s="129"/>
      <c r="LHY1" s="129"/>
      <c r="LHZ1" s="129"/>
      <c r="LIA1" s="129"/>
      <c r="LIB1" s="129"/>
      <c r="LIC1" s="129"/>
      <c r="LID1" s="129"/>
      <c r="LIE1" s="129"/>
      <c r="LIF1" s="129"/>
      <c r="LIG1" s="129"/>
      <c r="LIH1" s="129"/>
      <c r="LII1" s="129"/>
      <c r="LIJ1" s="129"/>
      <c r="LIK1" s="129"/>
      <c r="LIL1" s="129"/>
      <c r="LIM1" s="129"/>
      <c r="LIN1" s="129"/>
      <c r="LIO1" s="129"/>
      <c r="LIP1" s="129"/>
      <c r="LIQ1" s="129"/>
      <c r="LIR1" s="129"/>
      <c r="LIS1" s="129"/>
      <c r="LIT1" s="129"/>
      <c r="LIU1" s="129"/>
      <c r="LIV1" s="129"/>
      <c r="LIW1" s="129"/>
      <c r="LIX1" s="129"/>
      <c r="LIY1" s="129"/>
      <c r="LIZ1" s="129"/>
      <c r="LJA1" s="129"/>
      <c r="LJB1" s="129"/>
      <c r="LJC1" s="129"/>
      <c r="LJD1" s="129"/>
      <c r="LJE1" s="129"/>
      <c r="LJF1" s="129"/>
      <c r="LJG1" s="129"/>
      <c r="LJH1" s="129"/>
      <c r="LJI1" s="129"/>
      <c r="LJJ1" s="129"/>
      <c r="LJK1" s="129"/>
      <c r="LJL1" s="129"/>
      <c r="LJM1" s="129"/>
      <c r="LJN1" s="129"/>
      <c r="LJO1" s="129"/>
      <c r="LJP1" s="129"/>
      <c r="LJQ1" s="129"/>
      <c r="LJR1" s="129"/>
      <c r="LJS1" s="129"/>
      <c r="LJT1" s="129"/>
      <c r="LJU1" s="129"/>
      <c r="LJV1" s="129"/>
      <c r="LJW1" s="129"/>
      <c r="LJX1" s="129"/>
      <c r="LJY1" s="129"/>
      <c r="LJZ1" s="129"/>
      <c r="LKA1" s="129"/>
      <c r="LKB1" s="129"/>
      <c r="LKC1" s="129"/>
      <c r="LKD1" s="129"/>
      <c r="LKE1" s="129"/>
      <c r="LKF1" s="129"/>
      <c r="LKG1" s="129"/>
      <c r="LKH1" s="129"/>
      <c r="LKI1" s="129"/>
      <c r="LKJ1" s="129"/>
      <c r="LKK1" s="129"/>
      <c r="LKL1" s="129"/>
      <c r="LKM1" s="129"/>
      <c r="LKN1" s="129"/>
      <c r="LKO1" s="129"/>
      <c r="LKP1" s="129"/>
      <c r="LKQ1" s="129"/>
      <c r="LKR1" s="129"/>
      <c r="LKS1" s="129"/>
      <c r="LKT1" s="129"/>
      <c r="LKU1" s="129"/>
      <c r="LKV1" s="129"/>
      <c r="LKW1" s="129"/>
      <c r="LKX1" s="129"/>
      <c r="LKY1" s="129"/>
      <c r="LKZ1" s="129"/>
      <c r="LLA1" s="129"/>
      <c r="LLB1" s="129"/>
      <c r="LLC1" s="129"/>
      <c r="LLD1" s="129"/>
      <c r="LLE1" s="129"/>
      <c r="LLF1" s="129"/>
      <c r="LLG1" s="129"/>
      <c r="LLH1" s="129"/>
      <c r="LLI1" s="129"/>
      <c r="LLJ1" s="129"/>
      <c r="LLK1" s="129"/>
      <c r="LLL1" s="129"/>
      <c r="LLM1" s="129"/>
      <c r="LLN1" s="129"/>
      <c r="LLO1" s="129"/>
      <c r="LLP1" s="129"/>
      <c r="LLQ1" s="129"/>
      <c r="LLR1" s="129"/>
      <c r="LLS1" s="129"/>
      <c r="LLT1" s="129"/>
      <c r="LLU1" s="129"/>
      <c r="LLV1" s="129"/>
      <c r="LLW1" s="129"/>
      <c r="LLX1" s="129"/>
      <c r="LLY1" s="129"/>
      <c r="LLZ1" s="129"/>
      <c r="LMA1" s="129"/>
      <c r="LMB1" s="129"/>
      <c r="LMC1" s="129"/>
      <c r="LMD1" s="129"/>
      <c r="LME1" s="129"/>
      <c r="LMF1" s="129"/>
      <c r="LMG1" s="129"/>
      <c r="LMH1" s="129"/>
      <c r="LMI1" s="129"/>
      <c r="LMJ1" s="129"/>
      <c r="LMK1" s="129"/>
      <c r="LML1" s="129"/>
      <c r="LMM1" s="129"/>
      <c r="LMN1" s="129"/>
      <c r="LMO1" s="129"/>
      <c r="LMP1" s="129"/>
      <c r="LMQ1" s="129"/>
      <c r="LMR1" s="129"/>
      <c r="LMS1" s="129"/>
      <c r="LMT1" s="129"/>
      <c r="LMU1" s="129"/>
      <c r="LMV1" s="129"/>
      <c r="LMW1" s="129"/>
      <c r="LMX1" s="129"/>
      <c r="LMY1" s="129"/>
      <c r="LMZ1" s="129"/>
      <c r="LNA1" s="129"/>
      <c r="LNB1" s="129"/>
      <c r="LNC1" s="129"/>
      <c r="LND1" s="129"/>
      <c r="LNE1" s="129"/>
      <c r="LNF1" s="129"/>
      <c r="LNG1" s="129"/>
      <c r="LNH1" s="129"/>
      <c r="LNI1" s="129"/>
      <c r="LNJ1" s="129"/>
      <c r="LNK1" s="129"/>
      <c r="LNL1" s="129"/>
      <c r="LNM1" s="129"/>
      <c r="LNN1" s="129"/>
      <c r="LNO1" s="129"/>
      <c r="LNP1" s="129"/>
      <c r="LNQ1" s="129"/>
      <c r="LNR1" s="129"/>
      <c r="LNS1" s="129"/>
      <c r="LNT1" s="129"/>
      <c r="LNU1" s="129"/>
      <c r="LNV1" s="129"/>
      <c r="LNW1" s="129"/>
      <c r="LNX1" s="129"/>
      <c r="LNY1" s="129"/>
      <c r="LNZ1" s="129"/>
      <c r="LOA1" s="129"/>
      <c r="LOB1" s="129"/>
      <c r="LOC1" s="129"/>
      <c r="LOD1" s="129"/>
      <c r="LOE1" s="129"/>
      <c r="LOF1" s="129"/>
      <c r="LOG1" s="129"/>
      <c r="LOH1" s="129"/>
      <c r="LOI1" s="129"/>
      <c r="LOJ1" s="129"/>
      <c r="LOK1" s="129"/>
      <c r="LOL1" s="129"/>
      <c r="LOM1" s="129"/>
      <c r="LON1" s="129"/>
      <c r="LOO1" s="129"/>
      <c r="LOP1" s="129"/>
      <c r="LOQ1" s="129"/>
      <c r="LOR1" s="129"/>
      <c r="LOS1" s="129"/>
      <c r="LOT1" s="129"/>
      <c r="LOU1" s="129"/>
      <c r="LOV1" s="129"/>
      <c r="LOW1" s="129"/>
      <c r="LOX1" s="129"/>
      <c r="LOY1" s="129"/>
      <c r="LOZ1" s="129"/>
      <c r="LPA1" s="129"/>
      <c r="LPB1" s="129"/>
      <c r="LPC1" s="129"/>
      <c r="LPD1" s="129"/>
      <c r="LPE1" s="129"/>
      <c r="LPF1" s="129"/>
      <c r="LPG1" s="129"/>
      <c r="LPH1" s="129"/>
      <c r="LPI1" s="129"/>
      <c r="LPJ1" s="129"/>
      <c r="LPK1" s="129"/>
      <c r="LPL1" s="129"/>
      <c r="LPM1" s="129"/>
      <c r="LPN1" s="129"/>
      <c r="LPO1" s="129"/>
      <c r="LPP1" s="129"/>
      <c r="LPQ1" s="129"/>
      <c r="LPR1" s="129"/>
      <c r="LPS1" s="129"/>
      <c r="LPT1" s="129"/>
      <c r="LPU1" s="129"/>
      <c r="LPV1" s="129"/>
      <c r="LPW1" s="129"/>
      <c r="LPX1" s="129"/>
      <c r="LPY1" s="129"/>
      <c r="LPZ1" s="129"/>
      <c r="LQA1" s="129"/>
      <c r="LQB1" s="129"/>
      <c r="LQC1" s="129"/>
      <c r="LQD1" s="129"/>
      <c r="LQE1" s="129"/>
      <c r="LQF1" s="129"/>
      <c r="LQG1" s="129"/>
      <c r="LQH1" s="129"/>
      <c r="LQI1" s="129"/>
      <c r="LQJ1" s="129"/>
      <c r="LQK1" s="129"/>
      <c r="LQL1" s="129"/>
      <c r="LQM1" s="129"/>
      <c r="LQN1" s="129"/>
      <c r="LQO1" s="129"/>
      <c r="LQP1" s="129"/>
      <c r="LQQ1" s="129"/>
      <c r="LQR1" s="129"/>
      <c r="LQS1" s="129"/>
      <c r="LQT1" s="129"/>
      <c r="LQU1" s="129"/>
      <c r="LQV1" s="129"/>
      <c r="LQW1" s="129"/>
      <c r="LQX1" s="129"/>
      <c r="LQY1" s="129"/>
      <c r="LQZ1" s="129"/>
      <c r="LRA1" s="129"/>
      <c r="LRB1" s="129"/>
      <c r="LRC1" s="129"/>
      <c r="LRD1" s="129"/>
      <c r="LRE1" s="129"/>
      <c r="LRF1" s="129"/>
      <c r="LRG1" s="129"/>
      <c r="LRH1" s="129"/>
      <c r="LRI1" s="129"/>
      <c r="LRJ1" s="129"/>
      <c r="LRK1" s="129"/>
      <c r="LRL1" s="129"/>
      <c r="LRM1" s="129"/>
      <c r="LRN1" s="129"/>
      <c r="LRO1" s="129"/>
      <c r="LRP1" s="129"/>
      <c r="LRQ1" s="129"/>
      <c r="LRR1" s="129"/>
      <c r="LRS1" s="129"/>
      <c r="LRT1" s="129"/>
      <c r="LRU1" s="129"/>
      <c r="LRV1" s="129"/>
      <c r="LRW1" s="129"/>
      <c r="LRX1" s="129"/>
      <c r="LRY1" s="129"/>
      <c r="LRZ1" s="129"/>
      <c r="LSA1" s="129"/>
      <c r="LSB1" s="129"/>
      <c r="LSC1" s="129"/>
      <c r="LSD1" s="129"/>
      <c r="LSE1" s="129"/>
      <c r="LSF1" s="129"/>
      <c r="LSG1" s="129"/>
      <c r="LSH1" s="129"/>
      <c r="LSI1" s="129"/>
      <c r="LSJ1" s="129"/>
      <c r="LSK1" s="129"/>
      <c r="LSL1" s="129"/>
      <c r="LSM1" s="129"/>
      <c r="LSN1" s="129"/>
      <c r="LSO1" s="129"/>
      <c r="LSP1" s="129"/>
      <c r="LSQ1" s="129"/>
      <c r="LSR1" s="129"/>
      <c r="LSS1" s="129"/>
      <c r="LST1" s="129"/>
      <c r="LSU1" s="129"/>
      <c r="LSV1" s="129"/>
      <c r="LSW1" s="129"/>
      <c r="LSX1" s="129"/>
      <c r="LSY1" s="129"/>
      <c r="LSZ1" s="129"/>
      <c r="LTA1" s="129"/>
      <c r="LTB1" s="129"/>
      <c r="LTC1" s="129"/>
      <c r="LTD1" s="129"/>
      <c r="LTE1" s="129"/>
      <c r="LTF1" s="129"/>
      <c r="LTG1" s="129"/>
      <c r="LTH1" s="129"/>
      <c r="LTI1" s="129"/>
      <c r="LTJ1" s="129"/>
      <c r="LTK1" s="129"/>
      <c r="LTL1" s="129"/>
      <c r="LTM1" s="129"/>
      <c r="LTN1" s="129"/>
      <c r="LTO1" s="129"/>
      <c r="LTP1" s="129"/>
      <c r="LTQ1" s="129"/>
      <c r="LTR1" s="129"/>
      <c r="LTS1" s="129"/>
      <c r="LTT1" s="129"/>
      <c r="LTU1" s="129"/>
      <c r="LTV1" s="129"/>
      <c r="LTW1" s="129"/>
      <c r="LTX1" s="129"/>
      <c r="LTY1" s="129"/>
      <c r="LTZ1" s="129"/>
      <c r="LUA1" s="129"/>
      <c r="LUB1" s="129"/>
      <c r="LUC1" s="129"/>
      <c r="LUD1" s="129"/>
      <c r="LUE1" s="129"/>
      <c r="LUF1" s="129"/>
      <c r="LUG1" s="129"/>
      <c r="LUH1" s="129"/>
      <c r="LUI1" s="129"/>
      <c r="LUJ1" s="129"/>
      <c r="LUK1" s="129"/>
      <c r="LUL1" s="129"/>
      <c r="LUM1" s="129"/>
      <c r="LUN1" s="129"/>
      <c r="LUO1" s="129"/>
      <c r="LUP1" s="129"/>
      <c r="LUQ1" s="129"/>
      <c r="LUR1" s="129"/>
      <c r="LUS1" s="129"/>
      <c r="LUT1" s="129"/>
      <c r="LUU1" s="129"/>
      <c r="LUV1" s="129"/>
      <c r="LUW1" s="129"/>
      <c r="LUX1" s="129"/>
      <c r="LUY1" s="129"/>
      <c r="LUZ1" s="129"/>
      <c r="LVA1" s="129"/>
      <c r="LVB1" s="129"/>
      <c r="LVC1" s="129"/>
      <c r="LVD1" s="129"/>
      <c r="LVE1" s="129"/>
      <c r="LVF1" s="129"/>
      <c r="LVG1" s="129"/>
      <c r="LVH1" s="129"/>
      <c r="LVI1" s="129"/>
      <c r="LVJ1" s="129"/>
      <c r="LVK1" s="129"/>
      <c r="LVL1" s="129"/>
      <c r="LVM1" s="129"/>
      <c r="LVN1" s="129"/>
      <c r="LVO1" s="129"/>
      <c r="LVP1" s="129"/>
      <c r="LVQ1" s="129"/>
      <c r="LVR1" s="129"/>
      <c r="LVS1" s="129"/>
      <c r="LVT1" s="129"/>
      <c r="LVU1" s="129"/>
      <c r="LVV1" s="129"/>
      <c r="LVW1" s="129"/>
      <c r="LVX1" s="129"/>
      <c r="LVY1" s="129"/>
      <c r="LVZ1" s="129"/>
      <c r="LWA1" s="129"/>
      <c r="LWB1" s="129"/>
      <c r="LWC1" s="129"/>
      <c r="LWD1" s="129"/>
      <c r="LWE1" s="129"/>
      <c r="LWF1" s="129"/>
      <c r="LWG1" s="129"/>
      <c r="LWH1" s="129"/>
      <c r="LWI1" s="129"/>
      <c r="LWJ1" s="129"/>
      <c r="LWK1" s="129"/>
      <c r="LWL1" s="129"/>
      <c r="LWM1" s="129"/>
      <c r="LWN1" s="129"/>
      <c r="LWO1" s="129"/>
      <c r="LWP1" s="129"/>
      <c r="LWQ1" s="129"/>
      <c r="LWR1" s="129"/>
      <c r="LWS1" s="129"/>
      <c r="LWT1" s="129"/>
      <c r="LWU1" s="129"/>
      <c r="LWV1" s="129"/>
      <c r="LWW1" s="129"/>
      <c r="LWX1" s="129"/>
      <c r="LWY1" s="129"/>
      <c r="LWZ1" s="129"/>
      <c r="LXA1" s="129"/>
      <c r="LXB1" s="129"/>
      <c r="LXC1" s="129"/>
      <c r="LXD1" s="129"/>
      <c r="LXE1" s="129"/>
      <c r="LXF1" s="129"/>
      <c r="LXG1" s="129"/>
      <c r="LXH1" s="129"/>
      <c r="LXI1" s="129"/>
      <c r="LXJ1" s="129"/>
      <c r="LXK1" s="129"/>
      <c r="LXL1" s="129"/>
      <c r="LXM1" s="129"/>
      <c r="LXN1" s="129"/>
      <c r="LXO1" s="129"/>
      <c r="LXP1" s="129"/>
      <c r="LXQ1" s="129"/>
      <c r="LXR1" s="129"/>
      <c r="LXS1" s="129"/>
      <c r="LXT1" s="129"/>
      <c r="LXU1" s="129"/>
      <c r="LXV1" s="129"/>
      <c r="LXW1" s="129"/>
      <c r="LXX1" s="129"/>
      <c r="LXY1" s="129"/>
      <c r="LXZ1" s="129"/>
      <c r="LYA1" s="129"/>
      <c r="LYB1" s="129"/>
      <c r="LYC1" s="129"/>
      <c r="LYD1" s="129"/>
      <c r="LYE1" s="129"/>
      <c r="LYF1" s="129"/>
      <c r="LYG1" s="129"/>
      <c r="LYH1" s="129"/>
      <c r="LYI1" s="129"/>
      <c r="LYJ1" s="129"/>
      <c r="LYK1" s="129"/>
      <c r="LYL1" s="129"/>
      <c r="LYM1" s="129"/>
      <c r="LYN1" s="129"/>
      <c r="LYO1" s="129"/>
      <c r="LYP1" s="129"/>
      <c r="LYQ1" s="129"/>
      <c r="LYR1" s="129"/>
      <c r="LYS1" s="129"/>
      <c r="LYT1" s="129"/>
      <c r="LYU1" s="129"/>
      <c r="LYV1" s="129"/>
      <c r="LYW1" s="129"/>
      <c r="LYX1" s="129"/>
      <c r="LYY1" s="129"/>
      <c r="LYZ1" s="129"/>
      <c r="LZA1" s="129"/>
      <c r="LZB1" s="129"/>
      <c r="LZC1" s="129"/>
      <c r="LZD1" s="129"/>
      <c r="LZE1" s="129"/>
      <c r="LZF1" s="129"/>
      <c r="LZG1" s="129"/>
      <c r="LZH1" s="129"/>
      <c r="LZI1" s="129"/>
      <c r="LZJ1" s="129"/>
      <c r="LZK1" s="129"/>
      <c r="LZL1" s="129"/>
      <c r="LZM1" s="129"/>
      <c r="LZN1" s="129"/>
      <c r="LZO1" s="129"/>
      <c r="LZP1" s="129"/>
      <c r="LZQ1" s="129"/>
      <c r="LZR1" s="129"/>
      <c r="LZS1" s="129"/>
      <c r="LZT1" s="129"/>
      <c r="LZU1" s="129"/>
      <c r="LZV1" s="129"/>
      <c r="LZW1" s="129"/>
      <c r="LZX1" s="129"/>
      <c r="LZY1" s="129"/>
      <c r="LZZ1" s="129"/>
      <c r="MAA1" s="129"/>
      <c r="MAB1" s="129"/>
      <c r="MAC1" s="129"/>
      <c r="MAD1" s="129"/>
      <c r="MAE1" s="129"/>
      <c r="MAF1" s="129"/>
      <c r="MAG1" s="129"/>
      <c r="MAH1" s="129"/>
      <c r="MAI1" s="129"/>
      <c r="MAJ1" s="129"/>
      <c r="MAK1" s="129"/>
      <c r="MAL1" s="129"/>
      <c r="MAM1" s="129"/>
      <c r="MAN1" s="129"/>
      <c r="MAO1" s="129"/>
      <c r="MAP1" s="129"/>
      <c r="MAQ1" s="129"/>
      <c r="MAR1" s="129"/>
      <c r="MAS1" s="129"/>
      <c r="MAT1" s="129"/>
      <c r="MAU1" s="129"/>
      <c r="MAV1" s="129"/>
      <c r="MAW1" s="129"/>
      <c r="MAX1" s="129"/>
      <c r="MAY1" s="129"/>
      <c r="MAZ1" s="129"/>
      <c r="MBA1" s="129"/>
      <c r="MBB1" s="129"/>
      <c r="MBC1" s="129"/>
      <c r="MBD1" s="129"/>
      <c r="MBE1" s="129"/>
      <c r="MBF1" s="129"/>
      <c r="MBG1" s="129"/>
      <c r="MBH1" s="129"/>
      <c r="MBI1" s="129"/>
      <c r="MBJ1" s="129"/>
      <c r="MBK1" s="129"/>
      <c r="MBL1" s="129"/>
      <c r="MBM1" s="129"/>
      <c r="MBN1" s="129"/>
      <c r="MBO1" s="129"/>
      <c r="MBP1" s="129"/>
      <c r="MBQ1" s="129"/>
      <c r="MBR1" s="129"/>
      <c r="MBS1" s="129"/>
      <c r="MBT1" s="129"/>
      <c r="MBU1" s="129"/>
      <c r="MBV1" s="129"/>
      <c r="MBW1" s="129"/>
      <c r="MBX1" s="129"/>
      <c r="MBY1" s="129"/>
      <c r="MBZ1" s="129"/>
      <c r="MCA1" s="129"/>
      <c r="MCB1" s="129"/>
      <c r="MCC1" s="129"/>
      <c r="MCD1" s="129"/>
      <c r="MCE1" s="129"/>
      <c r="MCF1" s="129"/>
      <c r="MCG1" s="129"/>
      <c r="MCH1" s="129"/>
      <c r="MCI1" s="129"/>
      <c r="MCJ1" s="129"/>
      <c r="MCK1" s="129"/>
      <c r="MCL1" s="129"/>
      <c r="MCM1" s="129"/>
      <c r="MCN1" s="129"/>
      <c r="MCO1" s="129"/>
      <c r="MCP1" s="129"/>
      <c r="MCQ1" s="129"/>
      <c r="MCR1" s="129"/>
      <c r="MCS1" s="129"/>
      <c r="MCT1" s="129"/>
      <c r="MCU1" s="129"/>
      <c r="MCV1" s="129"/>
      <c r="MCW1" s="129"/>
      <c r="MCX1" s="129"/>
      <c r="MCY1" s="129"/>
      <c r="MCZ1" s="129"/>
      <c r="MDA1" s="129"/>
      <c r="MDB1" s="129"/>
      <c r="MDC1" s="129"/>
      <c r="MDD1" s="129"/>
      <c r="MDE1" s="129"/>
      <c r="MDF1" s="129"/>
      <c r="MDG1" s="129"/>
      <c r="MDH1" s="129"/>
      <c r="MDI1" s="129"/>
      <c r="MDJ1" s="129"/>
      <c r="MDK1" s="129"/>
      <c r="MDL1" s="129"/>
      <c r="MDM1" s="129"/>
      <c r="MDN1" s="129"/>
      <c r="MDO1" s="129"/>
      <c r="MDP1" s="129"/>
      <c r="MDQ1" s="129"/>
      <c r="MDR1" s="129"/>
      <c r="MDS1" s="129"/>
      <c r="MDT1" s="129"/>
      <c r="MDU1" s="129"/>
      <c r="MDV1" s="129"/>
      <c r="MDW1" s="129"/>
      <c r="MDX1" s="129"/>
      <c r="MDY1" s="129"/>
      <c r="MDZ1" s="129"/>
      <c r="MEA1" s="129"/>
      <c r="MEB1" s="129"/>
      <c r="MEC1" s="129"/>
      <c r="MED1" s="129"/>
      <c r="MEE1" s="129"/>
      <c r="MEF1" s="129"/>
      <c r="MEG1" s="129"/>
      <c r="MEH1" s="129"/>
      <c r="MEI1" s="129"/>
      <c r="MEJ1" s="129"/>
      <c r="MEK1" s="129"/>
      <c r="MEL1" s="129"/>
      <c r="MEM1" s="129"/>
      <c r="MEN1" s="129"/>
      <c r="MEO1" s="129"/>
      <c r="MEP1" s="129"/>
      <c r="MEQ1" s="129"/>
      <c r="MER1" s="129"/>
      <c r="MES1" s="129"/>
      <c r="MET1" s="129"/>
      <c r="MEU1" s="129"/>
      <c r="MEV1" s="129"/>
      <c r="MEW1" s="129"/>
      <c r="MEX1" s="129"/>
      <c r="MEY1" s="129"/>
      <c r="MEZ1" s="129"/>
      <c r="MFA1" s="129"/>
      <c r="MFB1" s="129"/>
      <c r="MFC1" s="129"/>
      <c r="MFD1" s="129"/>
      <c r="MFE1" s="129"/>
      <c r="MFF1" s="129"/>
      <c r="MFG1" s="129"/>
      <c r="MFH1" s="129"/>
      <c r="MFI1" s="129"/>
      <c r="MFJ1" s="129"/>
      <c r="MFK1" s="129"/>
      <c r="MFL1" s="129"/>
      <c r="MFM1" s="129"/>
      <c r="MFN1" s="129"/>
      <c r="MFO1" s="129"/>
      <c r="MFP1" s="129"/>
      <c r="MFQ1" s="129"/>
      <c r="MFR1" s="129"/>
      <c r="MFS1" s="129"/>
      <c r="MFT1" s="129"/>
      <c r="MFU1" s="129"/>
      <c r="MFV1" s="129"/>
      <c r="MFW1" s="129"/>
      <c r="MFX1" s="129"/>
      <c r="MFY1" s="129"/>
      <c r="MFZ1" s="129"/>
      <c r="MGA1" s="129"/>
      <c r="MGB1" s="129"/>
      <c r="MGC1" s="129"/>
      <c r="MGD1" s="129"/>
      <c r="MGE1" s="129"/>
      <c r="MGF1" s="129"/>
      <c r="MGG1" s="129"/>
      <c r="MGH1" s="129"/>
      <c r="MGI1" s="129"/>
      <c r="MGJ1" s="129"/>
      <c r="MGK1" s="129"/>
      <c r="MGL1" s="129"/>
      <c r="MGM1" s="129"/>
      <c r="MGN1" s="129"/>
      <c r="MGO1" s="129"/>
      <c r="MGP1" s="129"/>
      <c r="MGQ1" s="129"/>
      <c r="MGR1" s="129"/>
      <c r="MGS1" s="129"/>
      <c r="MGT1" s="129"/>
      <c r="MGU1" s="129"/>
      <c r="MGV1" s="129"/>
      <c r="MGW1" s="129"/>
      <c r="MGX1" s="129"/>
      <c r="MGY1" s="129"/>
      <c r="MGZ1" s="129"/>
      <c r="MHA1" s="129"/>
      <c r="MHB1" s="129"/>
      <c r="MHC1" s="129"/>
      <c r="MHD1" s="129"/>
      <c r="MHE1" s="129"/>
      <c r="MHF1" s="129"/>
      <c r="MHG1" s="129"/>
      <c r="MHH1" s="129"/>
      <c r="MHI1" s="129"/>
      <c r="MHJ1" s="129"/>
      <c r="MHK1" s="129"/>
      <c r="MHL1" s="129"/>
      <c r="MHM1" s="129"/>
      <c r="MHN1" s="129"/>
      <c r="MHO1" s="129"/>
      <c r="MHP1" s="129"/>
      <c r="MHQ1" s="129"/>
      <c r="MHR1" s="129"/>
      <c r="MHS1" s="129"/>
      <c r="MHT1" s="129"/>
      <c r="MHU1" s="129"/>
      <c r="MHV1" s="129"/>
      <c r="MHW1" s="129"/>
      <c r="MHX1" s="129"/>
      <c r="MHY1" s="129"/>
      <c r="MHZ1" s="129"/>
      <c r="MIA1" s="129"/>
      <c r="MIB1" s="129"/>
      <c r="MIC1" s="129"/>
      <c r="MID1" s="129"/>
      <c r="MIE1" s="129"/>
      <c r="MIF1" s="129"/>
      <c r="MIG1" s="129"/>
      <c r="MIH1" s="129"/>
      <c r="MII1" s="129"/>
      <c r="MIJ1" s="129"/>
      <c r="MIK1" s="129"/>
      <c r="MIL1" s="129"/>
      <c r="MIM1" s="129"/>
      <c r="MIN1" s="129"/>
      <c r="MIO1" s="129"/>
      <c r="MIP1" s="129"/>
      <c r="MIQ1" s="129"/>
      <c r="MIR1" s="129"/>
      <c r="MIS1" s="129"/>
      <c r="MIT1" s="129"/>
      <c r="MIU1" s="129"/>
      <c r="MIV1" s="129"/>
      <c r="MIW1" s="129"/>
      <c r="MIX1" s="129"/>
      <c r="MIY1" s="129"/>
      <c r="MIZ1" s="129"/>
      <c r="MJA1" s="129"/>
      <c r="MJB1" s="129"/>
      <c r="MJC1" s="129"/>
      <c r="MJD1" s="129"/>
      <c r="MJE1" s="129"/>
      <c r="MJF1" s="129"/>
      <c r="MJG1" s="129"/>
      <c r="MJH1" s="129"/>
      <c r="MJI1" s="129"/>
      <c r="MJJ1" s="129"/>
      <c r="MJK1" s="129"/>
      <c r="MJL1" s="129"/>
      <c r="MJM1" s="129"/>
      <c r="MJN1" s="129"/>
      <c r="MJO1" s="129"/>
      <c r="MJP1" s="129"/>
      <c r="MJQ1" s="129"/>
      <c r="MJR1" s="129"/>
      <c r="MJS1" s="129"/>
      <c r="MJT1" s="129"/>
      <c r="MJU1" s="129"/>
      <c r="MJV1" s="129"/>
      <c r="MJW1" s="129"/>
      <c r="MJX1" s="129"/>
      <c r="MJY1" s="129"/>
      <c r="MJZ1" s="129"/>
      <c r="MKA1" s="129"/>
      <c r="MKB1" s="129"/>
      <c r="MKC1" s="129"/>
      <c r="MKD1" s="129"/>
      <c r="MKE1" s="129"/>
      <c r="MKF1" s="129"/>
      <c r="MKG1" s="129"/>
      <c r="MKH1" s="129"/>
      <c r="MKI1" s="129"/>
      <c r="MKJ1" s="129"/>
      <c r="MKK1" s="129"/>
      <c r="MKL1" s="129"/>
      <c r="MKM1" s="129"/>
      <c r="MKN1" s="129"/>
      <c r="MKO1" s="129"/>
      <c r="MKP1" s="129"/>
      <c r="MKQ1" s="129"/>
      <c r="MKR1" s="129"/>
      <c r="MKS1" s="129"/>
      <c r="MKT1" s="129"/>
      <c r="MKU1" s="129"/>
      <c r="MKV1" s="129"/>
      <c r="MKW1" s="129"/>
      <c r="MKX1" s="129"/>
      <c r="MKY1" s="129"/>
      <c r="MKZ1" s="129"/>
      <c r="MLA1" s="129"/>
      <c r="MLB1" s="129"/>
      <c r="MLC1" s="129"/>
      <c r="MLD1" s="129"/>
      <c r="MLE1" s="129"/>
      <c r="MLF1" s="129"/>
      <c r="MLG1" s="129"/>
      <c r="MLH1" s="129"/>
      <c r="MLI1" s="129"/>
      <c r="MLJ1" s="129"/>
      <c r="MLK1" s="129"/>
      <c r="MLL1" s="129"/>
      <c r="MLM1" s="129"/>
      <c r="MLN1" s="129"/>
      <c r="MLO1" s="129"/>
      <c r="MLP1" s="129"/>
      <c r="MLQ1" s="129"/>
      <c r="MLR1" s="129"/>
      <c r="MLS1" s="129"/>
      <c r="MLT1" s="129"/>
      <c r="MLU1" s="129"/>
      <c r="MLV1" s="129"/>
      <c r="MLW1" s="129"/>
      <c r="MLX1" s="129"/>
      <c r="MLY1" s="129"/>
      <c r="MLZ1" s="129"/>
      <c r="MMA1" s="129"/>
      <c r="MMB1" s="129"/>
      <c r="MMC1" s="129"/>
      <c r="MMD1" s="129"/>
      <c r="MME1" s="129"/>
      <c r="MMF1" s="129"/>
      <c r="MMG1" s="129"/>
      <c r="MMH1" s="129"/>
      <c r="MMI1" s="129"/>
      <c r="MMJ1" s="129"/>
      <c r="MMK1" s="129"/>
      <c r="MML1" s="129"/>
      <c r="MMM1" s="129"/>
      <c r="MMN1" s="129"/>
      <c r="MMO1" s="129"/>
      <c r="MMP1" s="129"/>
      <c r="MMQ1" s="129"/>
      <c r="MMR1" s="129"/>
      <c r="MMS1" s="129"/>
      <c r="MMT1" s="129"/>
      <c r="MMU1" s="129"/>
      <c r="MMV1" s="129"/>
      <c r="MMW1" s="129"/>
      <c r="MMX1" s="129"/>
      <c r="MMY1" s="129"/>
      <c r="MMZ1" s="129"/>
      <c r="MNA1" s="129"/>
      <c r="MNB1" s="129"/>
      <c r="MNC1" s="129"/>
      <c r="MND1" s="129"/>
      <c r="MNE1" s="129"/>
      <c r="MNF1" s="129"/>
      <c r="MNG1" s="129"/>
      <c r="MNH1" s="129"/>
      <c r="MNI1" s="129"/>
      <c r="MNJ1" s="129"/>
      <c r="MNK1" s="129"/>
      <c r="MNL1" s="129"/>
      <c r="MNM1" s="129"/>
      <c r="MNN1" s="129"/>
      <c r="MNO1" s="129"/>
      <c r="MNP1" s="129"/>
      <c r="MNQ1" s="129"/>
      <c r="MNR1" s="129"/>
      <c r="MNS1" s="129"/>
      <c r="MNT1" s="129"/>
      <c r="MNU1" s="129"/>
      <c r="MNV1" s="129"/>
      <c r="MNW1" s="129"/>
      <c r="MNX1" s="129"/>
      <c r="MNY1" s="129"/>
      <c r="MNZ1" s="129"/>
      <c r="MOA1" s="129"/>
      <c r="MOB1" s="129"/>
      <c r="MOC1" s="129"/>
      <c r="MOD1" s="129"/>
      <c r="MOE1" s="129"/>
      <c r="MOF1" s="129"/>
      <c r="MOG1" s="129"/>
      <c r="MOH1" s="129"/>
      <c r="MOI1" s="129"/>
      <c r="MOJ1" s="129"/>
      <c r="MOK1" s="129"/>
      <c r="MOL1" s="129"/>
      <c r="MOM1" s="129"/>
      <c r="MON1" s="129"/>
      <c r="MOO1" s="129"/>
      <c r="MOP1" s="129"/>
      <c r="MOQ1" s="129"/>
      <c r="MOR1" s="129"/>
      <c r="MOS1" s="129"/>
      <c r="MOT1" s="129"/>
      <c r="MOU1" s="129"/>
      <c r="MOV1" s="129"/>
      <c r="MOW1" s="129"/>
      <c r="MOX1" s="129"/>
      <c r="MOY1" s="129"/>
      <c r="MOZ1" s="129"/>
      <c r="MPA1" s="129"/>
      <c r="MPB1" s="129"/>
      <c r="MPC1" s="129"/>
      <c r="MPD1" s="129"/>
      <c r="MPE1" s="129"/>
      <c r="MPF1" s="129"/>
      <c r="MPG1" s="129"/>
      <c r="MPH1" s="129"/>
      <c r="MPI1" s="129"/>
      <c r="MPJ1" s="129"/>
      <c r="MPK1" s="129"/>
      <c r="MPL1" s="129"/>
      <c r="MPM1" s="129"/>
      <c r="MPN1" s="129"/>
      <c r="MPO1" s="129"/>
      <c r="MPP1" s="129"/>
      <c r="MPQ1" s="129"/>
      <c r="MPR1" s="129"/>
      <c r="MPS1" s="129"/>
      <c r="MPT1" s="129"/>
      <c r="MPU1" s="129"/>
      <c r="MPV1" s="129"/>
      <c r="MPW1" s="129"/>
      <c r="MPX1" s="129"/>
      <c r="MPY1" s="129"/>
      <c r="MPZ1" s="129"/>
      <c r="MQA1" s="129"/>
      <c r="MQB1" s="129"/>
      <c r="MQC1" s="129"/>
      <c r="MQD1" s="129"/>
      <c r="MQE1" s="129"/>
      <c r="MQF1" s="129"/>
      <c r="MQG1" s="129"/>
      <c r="MQH1" s="129"/>
      <c r="MQI1" s="129"/>
      <c r="MQJ1" s="129"/>
      <c r="MQK1" s="129"/>
      <c r="MQL1" s="129"/>
      <c r="MQM1" s="129"/>
      <c r="MQN1" s="129"/>
      <c r="MQO1" s="129"/>
      <c r="MQP1" s="129"/>
      <c r="MQQ1" s="129"/>
      <c r="MQR1" s="129"/>
      <c r="MQS1" s="129"/>
      <c r="MQT1" s="129"/>
      <c r="MQU1" s="129"/>
      <c r="MQV1" s="129"/>
      <c r="MQW1" s="129"/>
      <c r="MQX1" s="129"/>
      <c r="MQY1" s="129"/>
      <c r="MQZ1" s="129"/>
      <c r="MRA1" s="129"/>
      <c r="MRB1" s="129"/>
      <c r="MRC1" s="129"/>
      <c r="MRD1" s="129"/>
      <c r="MRE1" s="129"/>
      <c r="MRF1" s="129"/>
      <c r="MRG1" s="129"/>
      <c r="MRH1" s="129"/>
      <c r="MRI1" s="129"/>
      <c r="MRJ1" s="129"/>
      <c r="MRK1" s="129"/>
      <c r="MRL1" s="129"/>
      <c r="MRM1" s="129"/>
      <c r="MRN1" s="129"/>
      <c r="MRO1" s="129"/>
      <c r="MRP1" s="129"/>
      <c r="MRQ1" s="129"/>
      <c r="MRR1" s="129"/>
      <c r="MRS1" s="129"/>
      <c r="MRT1" s="129"/>
      <c r="MRU1" s="129"/>
      <c r="MRV1" s="129"/>
      <c r="MRW1" s="129"/>
      <c r="MRX1" s="129"/>
      <c r="MRY1" s="129"/>
      <c r="MRZ1" s="129"/>
      <c r="MSA1" s="129"/>
      <c r="MSB1" s="129"/>
      <c r="MSC1" s="129"/>
      <c r="MSD1" s="129"/>
      <c r="MSE1" s="129"/>
      <c r="MSF1" s="129"/>
      <c r="MSG1" s="129"/>
      <c r="MSH1" s="129"/>
      <c r="MSI1" s="129"/>
      <c r="MSJ1" s="129"/>
      <c r="MSK1" s="129"/>
      <c r="MSL1" s="129"/>
      <c r="MSM1" s="129"/>
      <c r="MSN1" s="129"/>
      <c r="MSO1" s="129"/>
      <c r="MSP1" s="129"/>
      <c r="MSQ1" s="129"/>
      <c r="MSR1" s="129"/>
      <c r="MSS1" s="129"/>
      <c r="MST1" s="129"/>
      <c r="MSU1" s="129"/>
      <c r="MSV1" s="129"/>
      <c r="MSW1" s="129"/>
      <c r="MSX1" s="129"/>
      <c r="MSY1" s="129"/>
      <c r="MSZ1" s="129"/>
      <c r="MTA1" s="129"/>
      <c r="MTB1" s="129"/>
      <c r="MTC1" s="129"/>
      <c r="MTD1" s="129"/>
      <c r="MTE1" s="129"/>
      <c r="MTF1" s="129"/>
      <c r="MTG1" s="129"/>
      <c r="MTH1" s="129"/>
      <c r="MTI1" s="129"/>
      <c r="MTJ1" s="129"/>
      <c r="MTK1" s="129"/>
      <c r="MTL1" s="129"/>
      <c r="MTM1" s="129"/>
      <c r="MTN1" s="129"/>
      <c r="MTO1" s="129"/>
      <c r="MTP1" s="129"/>
      <c r="MTQ1" s="129"/>
      <c r="MTR1" s="129"/>
      <c r="MTS1" s="129"/>
      <c r="MTT1" s="129"/>
      <c r="MTU1" s="129"/>
      <c r="MTV1" s="129"/>
      <c r="MTW1" s="129"/>
      <c r="MTX1" s="129"/>
      <c r="MTY1" s="129"/>
      <c r="MTZ1" s="129"/>
      <c r="MUA1" s="129"/>
      <c r="MUB1" s="129"/>
      <c r="MUC1" s="129"/>
      <c r="MUD1" s="129"/>
      <c r="MUE1" s="129"/>
      <c r="MUF1" s="129"/>
      <c r="MUG1" s="129"/>
      <c r="MUH1" s="129"/>
      <c r="MUI1" s="129"/>
      <c r="MUJ1" s="129"/>
      <c r="MUK1" s="129"/>
      <c r="MUL1" s="129"/>
      <c r="MUM1" s="129"/>
      <c r="MUN1" s="129"/>
      <c r="MUO1" s="129"/>
      <c r="MUP1" s="129"/>
      <c r="MUQ1" s="129"/>
      <c r="MUR1" s="129"/>
      <c r="MUS1" s="129"/>
      <c r="MUT1" s="129"/>
      <c r="MUU1" s="129"/>
      <c r="MUV1" s="129"/>
      <c r="MUW1" s="129"/>
      <c r="MUX1" s="129"/>
      <c r="MUY1" s="129"/>
      <c r="MUZ1" s="129"/>
      <c r="MVA1" s="129"/>
      <c r="MVB1" s="129"/>
      <c r="MVC1" s="129"/>
      <c r="MVD1" s="129"/>
      <c r="MVE1" s="129"/>
      <c r="MVF1" s="129"/>
      <c r="MVG1" s="129"/>
      <c r="MVH1" s="129"/>
      <c r="MVI1" s="129"/>
      <c r="MVJ1" s="129"/>
      <c r="MVK1" s="129"/>
      <c r="MVL1" s="129"/>
      <c r="MVM1" s="129"/>
      <c r="MVN1" s="129"/>
      <c r="MVO1" s="129"/>
      <c r="MVP1" s="129"/>
      <c r="MVQ1" s="129"/>
      <c r="MVR1" s="129"/>
      <c r="MVS1" s="129"/>
      <c r="MVT1" s="129"/>
      <c r="MVU1" s="129"/>
      <c r="MVV1" s="129"/>
      <c r="MVW1" s="129"/>
      <c r="MVX1" s="129"/>
      <c r="MVY1" s="129"/>
      <c r="MVZ1" s="129"/>
      <c r="MWA1" s="129"/>
      <c r="MWB1" s="129"/>
      <c r="MWC1" s="129"/>
      <c r="MWD1" s="129"/>
      <c r="MWE1" s="129"/>
      <c r="MWF1" s="129"/>
      <c r="MWG1" s="129"/>
      <c r="MWH1" s="129"/>
      <c r="MWI1" s="129"/>
      <c r="MWJ1" s="129"/>
      <c r="MWK1" s="129"/>
      <c r="MWL1" s="129"/>
      <c r="MWM1" s="129"/>
      <c r="MWN1" s="129"/>
      <c r="MWO1" s="129"/>
      <c r="MWP1" s="129"/>
      <c r="MWQ1" s="129"/>
      <c r="MWR1" s="129"/>
      <c r="MWS1" s="129"/>
      <c r="MWT1" s="129"/>
      <c r="MWU1" s="129"/>
      <c r="MWV1" s="129"/>
      <c r="MWW1" s="129"/>
      <c r="MWX1" s="129"/>
      <c r="MWY1" s="129"/>
      <c r="MWZ1" s="129"/>
      <c r="MXA1" s="129"/>
      <c r="MXB1" s="129"/>
      <c r="MXC1" s="129"/>
      <c r="MXD1" s="129"/>
      <c r="MXE1" s="129"/>
      <c r="MXF1" s="129"/>
      <c r="MXG1" s="129"/>
      <c r="MXH1" s="129"/>
      <c r="MXI1" s="129"/>
      <c r="MXJ1" s="129"/>
      <c r="MXK1" s="129"/>
      <c r="MXL1" s="129"/>
      <c r="MXM1" s="129"/>
      <c r="MXN1" s="129"/>
      <c r="MXO1" s="129"/>
      <c r="MXP1" s="129"/>
      <c r="MXQ1" s="129"/>
      <c r="MXR1" s="129"/>
      <c r="MXS1" s="129"/>
      <c r="MXT1" s="129"/>
      <c r="MXU1" s="129"/>
      <c r="MXV1" s="129"/>
      <c r="MXW1" s="129"/>
      <c r="MXX1" s="129"/>
      <c r="MXY1" s="129"/>
      <c r="MXZ1" s="129"/>
      <c r="MYA1" s="129"/>
      <c r="MYB1" s="129"/>
      <c r="MYC1" s="129"/>
      <c r="MYD1" s="129"/>
      <c r="MYE1" s="129"/>
      <c r="MYF1" s="129"/>
      <c r="MYG1" s="129"/>
      <c r="MYH1" s="129"/>
      <c r="MYI1" s="129"/>
      <c r="MYJ1" s="129"/>
      <c r="MYK1" s="129"/>
      <c r="MYL1" s="129"/>
      <c r="MYM1" s="129"/>
      <c r="MYN1" s="129"/>
      <c r="MYO1" s="129"/>
      <c r="MYP1" s="129"/>
      <c r="MYQ1" s="129"/>
      <c r="MYR1" s="129"/>
      <c r="MYS1" s="129"/>
      <c r="MYT1" s="129"/>
      <c r="MYU1" s="129"/>
      <c r="MYV1" s="129"/>
      <c r="MYW1" s="129"/>
      <c r="MYX1" s="129"/>
      <c r="MYY1" s="129"/>
      <c r="MYZ1" s="129"/>
      <c r="MZA1" s="129"/>
      <c r="MZB1" s="129"/>
      <c r="MZC1" s="129"/>
      <c r="MZD1" s="129"/>
      <c r="MZE1" s="129"/>
      <c r="MZF1" s="129"/>
      <c r="MZG1" s="129"/>
      <c r="MZH1" s="129"/>
      <c r="MZI1" s="129"/>
      <c r="MZJ1" s="129"/>
      <c r="MZK1" s="129"/>
      <c r="MZL1" s="129"/>
      <c r="MZM1" s="129"/>
      <c r="MZN1" s="129"/>
      <c r="MZO1" s="129"/>
      <c r="MZP1" s="129"/>
      <c r="MZQ1" s="129"/>
      <c r="MZR1" s="129"/>
      <c r="MZS1" s="129"/>
      <c r="MZT1" s="129"/>
      <c r="MZU1" s="129"/>
      <c r="MZV1" s="129"/>
      <c r="MZW1" s="129"/>
      <c r="MZX1" s="129"/>
      <c r="MZY1" s="129"/>
      <c r="MZZ1" s="129"/>
      <c r="NAA1" s="129"/>
      <c r="NAB1" s="129"/>
      <c r="NAC1" s="129"/>
      <c r="NAD1" s="129"/>
      <c r="NAE1" s="129"/>
      <c r="NAF1" s="129"/>
      <c r="NAG1" s="129"/>
      <c r="NAH1" s="129"/>
      <c r="NAI1" s="129"/>
      <c r="NAJ1" s="129"/>
      <c r="NAK1" s="129"/>
      <c r="NAL1" s="129"/>
      <c r="NAM1" s="129"/>
      <c r="NAN1" s="129"/>
      <c r="NAO1" s="129"/>
      <c r="NAP1" s="129"/>
      <c r="NAQ1" s="129"/>
      <c r="NAR1" s="129"/>
      <c r="NAS1" s="129"/>
      <c r="NAT1" s="129"/>
      <c r="NAU1" s="129"/>
      <c r="NAV1" s="129"/>
      <c r="NAW1" s="129"/>
      <c r="NAX1" s="129"/>
      <c r="NAY1" s="129"/>
      <c r="NAZ1" s="129"/>
      <c r="NBA1" s="129"/>
      <c r="NBB1" s="129"/>
      <c r="NBC1" s="129"/>
      <c r="NBD1" s="129"/>
      <c r="NBE1" s="129"/>
      <c r="NBF1" s="129"/>
      <c r="NBG1" s="129"/>
      <c r="NBH1" s="129"/>
      <c r="NBI1" s="129"/>
      <c r="NBJ1" s="129"/>
      <c r="NBK1" s="129"/>
      <c r="NBL1" s="129"/>
      <c r="NBM1" s="129"/>
      <c r="NBN1" s="129"/>
      <c r="NBO1" s="129"/>
      <c r="NBP1" s="129"/>
      <c r="NBQ1" s="129"/>
      <c r="NBR1" s="129"/>
      <c r="NBS1" s="129"/>
      <c r="NBT1" s="129"/>
      <c r="NBU1" s="129"/>
      <c r="NBV1" s="129"/>
      <c r="NBW1" s="129"/>
      <c r="NBX1" s="129"/>
      <c r="NBY1" s="129"/>
      <c r="NBZ1" s="129"/>
      <c r="NCA1" s="129"/>
      <c r="NCB1" s="129"/>
      <c r="NCC1" s="129"/>
      <c r="NCD1" s="129"/>
      <c r="NCE1" s="129"/>
      <c r="NCF1" s="129"/>
      <c r="NCG1" s="129"/>
      <c r="NCH1" s="129"/>
      <c r="NCI1" s="129"/>
      <c r="NCJ1" s="129"/>
      <c r="NCK1" s="129"/>
      <c r="NCL1" s="129"/>
      <c r="NCM1" s="129"/>
      <c r="NCN1" s="129"/>
      <c r="NCO1" s="129"/>
      <c r="NCP1" s="129"/>
      <c r="NCQ1" s="129"/>
      <c r="NCR1" s="129"/>
      <c r="NCS1" s="129"/>
      <c r="NCT1" s="129"/>
      <c r="NCU1" s="129"/>
      <c r="NCV1" s="129"/>
      <c r="NCW1" s="129"/>
      <c r="NCX1" s="129"/>
      <c r="NCY1" s="129"/>
      <c r="NCZ1" s="129"/>
      <c r="NDA1" s="129"/>
      <c r="NDB1" s="129"/>
      <c r="NDC1" s="129"/>
      <c r="NDD1" s="129"/>
      <c r="NDE1" s="129"/>
      <c r="NDF1" s="129"/>
      <c r="NDG1" s="129"/>
      <c r="NDH1" s="129"/>
      <c r="NDI1" s="129"/>
      <c r="NDJ1" s="129"/>
      <c r="NDK1" s="129"/>
      <c r="NDL1" s="129"/>
      <c r="NDM1" s="129"/>
      <c r="NDN1" s="129"/>
      <c r="NDO1" s="129"/>
      <c r="NDP1" s="129"/>
      <c r="NDQ1" s="129"/>
      <c r="NDR1" s="129"/>
      <c r="NDS1" s="129"/>
      <c r="NDT1" s="129"/>
      <c r="NDU1" s="129"/>
      <c r="NDV1" s="129"/>
      <c r="NDW1" s="129"/>
      <c r="NDX1" s="129"/>
      <c r="NDY1" s="129"/>
      <c r="NDZ1" s="129"/>
      <c r="NEA1" s="129"/>
      <c r="NEB1" s="129"/>
      <c r="NEC1" s="129"/>
      <c r="NED1" s="129"/>
      <c r="NEE1" s="129"/>
      <c r="NEF1" s="129"/>
      <c r="NEG1" s="129"/>
      <c r="NEH1" s="129"/>
      <c r="NEI1" s="129"/>
      <c r="NEJ1" s="129"/>
      <c r="NEK1" s="129"/>
      <c r="NEL1" s="129"/>
      <c r="NEM1" s="129"/>
      <c r="NEN1" s="129"/>
      <c r="NEO1" s="129"/>
      <c r="NEP1" s="129"/>
      <c r="NEQ1" s="129"/>
      <c r="NER1" s="129"/>
      <c r="NES1" s="129"/>
      <c r="NET1" s="129"/>
      <c r="NEU1" s="129"/>
      <c r="NEV1" s="129"/>
      <c r="NEW1" s="129"/>
      <c r="NEX1" s="129"/>
      <c r="NEY1" s="129"/>
      <c r="NEZ1" s="129"/>
      <c r="NFA1" s="129"/>
      <c r="NFB1" s="129"/>
      <c r="NFC1" s="129"/>
      <c r="NFD1" s="129"/>
      <c r="NFE1" s="129"/>
      <c r="NFF1" s="129"/>
      <c r="NFG1" s="129"/>
      <c r="NFH1" s="129"/>
      <c r="NFI1" s="129"/>
      <c r="NFJ1" s="129"/>
      <c r="NFK1" s="129"/>
      <c r="NFL1" s="129"/>
      <c r="NFM1" s="129"/>
      <c r="NFN1" s="129"/>
      <c r="NFO1" s="129"/>
      <c r="NFP1" s="129"/>
      <c r="NFQ1" s="129"/>
      <c r="NFR1" s="129"/>
      <c r="NFS1" s="129"/>
      <c r="NFT1" s="129"/>
      <c r="NFU1" s="129"/>
      <c r="NFV1" s="129"/>
      <c r="NFW1" s="129"/>
      <c r="NFX1" s="129"/>
      <c r="NFY1" s="129"/>
      <c r="NFZ1" s="129"/>
      <c r="NGA1" s="129"/>
      <c r="NGB1" s="129"/>
      <c r="NGC1" s="129"/>
      <c r="NGD1" s="129"/>
      <c r="NGE1" s="129"/>
      <c r="NGF1" s="129"/>
      <c r="NGG1" s="129"/>
      <c r="NGH1" s="129"/>
      <c r="NGI1" s="129"/>
      <c r="NGJ1" s="129"/>
      <c r="NGK1" s="129"/>
      <c r="NGL1" s="129"/>
      <c r="NGM1" s="129"/>
      <c r="NGN1" s="129"/>
      <c r="NGO1" s="129"/>
      <c r="NGP1" s="129"/>
      <c r="NGQ1" s="129"/>
      <c r="NGR1" s="129"/>
      <c r="NGS1" s="129"/>
      <c r="NGT1" s="129"/>
      <c r="NGU1" s="129"/>
      <c r="NGV1" s="129"/>
      <c r="NGW1" s="129"/>
      <c r="NGX1" s="129"/>
      <c r="NGY1" s="129"/>
      <c r="NGZ1" s="129"/>
      <c r="NHA1" s="129"/>
      <c r="NHB1" s="129"/>
      <c r="NHC1" s="129"/>
      <c r="NHD1" s="129"/>
      <c r="NHE1" s="129"/>
      <c r="NHF1" s="129"/>
      <c r="NHG1" s="129"/>
      <c r="NHH1" s="129"/>
      <c r="NHI1" s="129"/>
      <c r="NHJ1" s="129"/>
      <c r="NHK1" s="129"/>
      <c r="NHL1" s="129"/>
      <c r="NHM1" s="129"/>
      <c r="NHN1" s="129"/>
      <c r="NHO1" s="129"/>
      <c r="NHP1" s="129"/>
      <c r="NHQ1" s="129"/>
      <c r="NHR1" s="129"/>
      <c r="NHS1" s="129"/>
      <c r="NHT1" s="129"/>
      <c r="NHU1" s="129"/>
      <c r="NHV1" s="129"/>
      <c r="NHW1" s="129"/>
      <c r="NHX1" s="129"/>
      <c r="NHY1" s="129"/>
      <c r="NHZ1" s="129"/>
      <c r="NIA1" s="129"/>
      <c r="NIB1" s="129"/>
      <c r="NIC1" s="129"/>
      <c r="NID1" s="129"/>
      <c r="NIE1" s="129"/>
      <c r="NIF1" s="129"/>
      <c r="NIG1" s="129"/>
      <c r="NIH1" s="129"/>
      <c r="NII1" s="129"/>
      <c r="NIJ1" s="129"/>
      <c r="NIK1" s="129"/>
      <c r="NIL1" s="129"/>
      <c r="NIM1" s="129"/>
      <c r="NIN1" s="129"/>
      <c r="NIO1" s="129"/>
      <c r="NIP1" s="129"/>
      <c r="NIQ1" s="129"/>
      <c r="NIR1" s="129"/>
      <c r="NIS1" s="129"/>
      <c r="NIT1" s="129"/>
      <c r="NIU1" s="129"/>
      <c r="NIV1" s="129"/>
      <c r="NIW1" s="129"/>
      <c r="NIX1" s="129"/>
      <c r="NIY1" s="129"/>
      <c r="NIZ1" s="129"/>
      <c r="NJA1" s="129"/>
      <c r="NJB1" s="129"/>
      <c r="NJC1" s="129"/>
      <c r="NJD1" s="129"/>
      <c r="NJE1" s="129"/>
      <c r="NJF1" s="129"/>
      <c r="NJG1" s="129"/>
      <c r="NJH1" s="129"/>
      <c r="NJI1" s="129"/>
      <c r="NJJ1" s="129"/>
      <c r="NJK1" s="129"/>
      <c r="NJL1" s="129"/>
      <c r="NJM1" s="129"/>
      <c r="NJN1" s="129"/>
      <c r="NJO1" s="129"/>
      <c r="NJP1" s="129"/>
      <c r="NJQ1" s="129"/>
      <c r="NJR1" s="129"/>
      <c r="NJS1" s="129"/>
      <c r="NJT1" s="129"/>
      <c r="NJU1" s="129"/>
      <c r="NJV1" s="129"/>
      <c r="NJW1" s="129"/>
      <c r="NJX1" s="129"/>
      <c r="NJY1" s="129"/>
      <c r="NJZ1" s="129"/>
      <c r="NKA1" s="129"/>
      <c r="NKB1" s="129"/>
      <c r="NKC1" s="129"/>
      <c r="NKD1" s="129"/>
      <c r="NKE1" s="129"/>
      <c r="NKF1" s="129"/>
      <c r="NKG1" s="129"/>
      <c r="NKH1" s="129"/>
      <c r="NKI1" s="129"/>
      <c r="NKJ1" s="129"/>
      <c r="NKK1" s="129"/>
      <c r="NKL1" s="129"/>
      <c r="NKM1" s="129"/>
      <c r="NKN1" s="129"/>
      <c r="NKO1" s="129"/>
      <c r="NKP1" s="129"/>
      <c r="NKQ1" s="129"/>
      <c r="NKR1" s="129"/>
      <c r="NKS1" s="129"/>
      <c r="NKT1" s="129"/>
      <c r="NKU1" s="129"/>
      <c r="NKV1" s="129"/>
      <c r="NKW1" s="129"/>
      <c r="NKX1" s="129"/>
      <c r="NKY1" s="129"/>
      <c r="NKZ1" s="129"/>
      <c r="NLA1" s="129"/>
      <c r="NLB1" s="129"/>
      <c r="NLC1" s="129"/>
      <c r="NLD1" s="129"/>
      <c r="NLE1" s="129"/>
      <c r="NLF1" s="129"/>
      <c r="NLG1" s="129"/>
      <c r="NLH1" s="129"/>
      <c r="NLI1" s="129"/>
      <c r="NLJ1" s="129"/>
      <c r="NLK1" s="129"/>
      <c r="NLL1" s="129"/>
      <c r="NLM1" s="129"/>
      <c r="NLN1" s="129"/>
      <c r="NLO1" s="129"/>
      <c r="NLP1" s="129"/>
      <c r="NLQ1" s="129"/>
      <c r="NLR1" s="129"/>
      <c r="NLS1" s="129"/>
      <c r="NLT1" s="129"/>
      <c r="NLU1" s="129"/>
      <c r="NLV1" s="129"/>
      <c r="NLW1" s="129"/>
      <c r="NLX1" s="129"/>
      <c r="NLY1" s="129"/>
      <c r="NLZ1" s="129"/>
      <c r="NMA1" s="129"/>
      <c r="NMB1" s="129"/>
      <c r="NMC1" s="129"/>
      <c r="NMD1" s="129"/>
      <c r="NME1" s="129"/>
      <c r="NMF1" s="129"/>
      <c r="NMG1" s="129"/>
      <c r="NMH1" s="129"/>
      <c r="NMI1" s="129"/>
      <c r="NMJ1" s="129"/>
      <c r="NMK1" s="129"/>
      <c r="NML1" s="129"/>
      <c r="NMM1" s="129"/>
      <c r="NMN1" s="129"/>
      <c r="NMO1" s="129"/>
      <c r="NMP1" s="129"/>
      <c r="NMQ1" s="129"/>
      <c r="NMR1" s="129"/>
      <c r="NMS1" s="129"/>
      <c r="NMT1" s="129"/>
      <c r="NMU1" s="129"/>
      <c r="NMV1" s="129"/>
      <c r="NMW1" s="129"/>
      <c r="NMX1" s="129"/>
      <c r="NMY1" s="129"/>
      <c r="NMZ1" s="129"/>
      <c r="NNA1" s="129"/>
      <c r="NNB1" s="129"/>
      <c r="NNC1" s="129"/>
      <c r="NND1" s="129"/>
      <c r="NNE1" s="129"/>
      <c r="NNF1" s="129"/>
      <c r="NNG1" s="129"/>
      <c r="NNH1" s="129"/>
      <c r="NNI1" s="129"/>
      <c r="NNJ1" s="129"/>
      <c r="NNK1" s="129"/>
      <c r="NNL1" s="129"/>
      <c r="NNM1" s="129"/>
      <c r="NNN1" s="129"/>
      <c r="NNO1" s="129"/>
      <c r="NNP1" s="129"/>
      <c r="NNQ1" s="129"/>
      <c r="NNR1" s="129"/>
      <c r="NNS1" s="129"/>
      <c r="NNT1" s="129"/>
      <c r="NNU1" s="129"/>
      <c r="NNV1" s="129"/>
      <c r="NNW1" s="129"/>
      <c r="NNX1" s="129"/>
      <c r="NNY1" s="129"/>
      <c r="NNZ1" s="129"/>
      <c r="NOA1" s="129"/>
      <c r="NOB1" s="129"/>
      <c r="NOC1" s="129"/>
      <c r="NOD1" s="129"/>
      <c r="NOE1" s="129"/>
      <c r="NOF1" s="129"/>
      <c r="NOG1" s="129"/>
      <c r="NOH1" s="129"/>
      <c r="NOI1" s="129"/>
      <c r="NOJ1" s="129"/>
      <c r="NOK1" s="129"/>
      <c r="NOL1" s="129"/>
      <c r="NOM1" s="129"/>
      <c r="NON1" s="129"/>
      <c r="NOO1" s="129"/>
      <c r="NOP1" s="129"/>
      <c r="NOQ1" s="129"/>
      <c r="NOR1" s="129"/>
      <c r="NOS1" s="129"/>
      <c r="NOT1" s="129"/>
      <c r="NOU1" s="129"/>
      <c r="NOV1" s="129"/>
      <c r="NOW1" s="129"/>
      <c r="NOX1" s="129"/>
      <c r="NOY1" s="129"/>
      <c r="NOZ1" s="129"/>
      <c r="NPA1" s="129"/>
      <c r="NPB1" s="129"/>
      <c r="NPC1" s="129"/>
      <c r="NPD1" s="129"/>
      <c r="NPE1" s="129"/>
      <c r="NPF1" s="129"/>
      <c r="NPG1" s="129"/>
      <c r="NPH1" s="129"/>
      <c r="NPI1" s="129"/>
      <c r="NPJ1" s="129"/>
      <c r="NPK1" s="129"/>
      <c r="NPL1" s="129"/>
      <c r="NPM1" s="129"/>
      <c r="NPN1" s="129"/>
      <c r="NPO1" s="129"/>
      <c r="NPP1" s="129"/>
      <c r="NPQ1" s="129"/>
      <c r="NPR1" s="129"/>
      <c r="NPS1" s="129"/>
      <c r="NPT1" s="129"/>
      <c r="NPU1" s="129"/>
      <c r="NPV1" s="129"/>
      <c r="NPW1" s="129"/>
      <c r="NPX1" s="129"/>
      <c r="NPY1" s="129"/>
      <c r="NPZ1" s="129"/>
      <c r="NQA1" s="129"/>
      <c r="NQB1" s="129"/>
      <c r="NQC1" s="129"/>
      <c r="NQD1" s="129"/>
      <c r="NQE1" s="129"/>
      <c r="NQF1" s="129"/>
      <c r="NQG1" s="129"/>
      <c r="NQH1" s="129"/>
      <c r="NQI1" s="129"/>
      <c r="NQJ1" s="129"/>
      <c r="NQK1" s="129"/>
      <c r="NQL1" s="129"/>
      <c r="NQM1" s="129"/>
      <c r="NQN1" s="129"/>
      <c r="NQO1" s="129"/>
      <c r="NQP1" s="129"/>
      <c r="NQQ1" s="129"/>
      <c r="NQR1" s="129"/>
      <c r="NQS1" s="129"/>
      <c r="NQT1" s="129"/>
      <c r="NQU1" s="129"/>
      <c r="NQV1" s="129"/>
      <c r="NQW1" s="129"/>
      <c r="NQX1" s="129"/>
      <c r="NQY1" s="129"/>
      <c r="NQZ1" s="129"/>
      <c r="NRA1" s="129"/>
      <c r="NRB1" s="129"/>
      <c r="NRC1" s="129"/>
      <c r="NRD1" s="129"/>
      <c r="NRE1" s="129"/>
      <c r="NRF1" s="129"/>
      <c r="NRG1" s="129"/>
      <c r="NRH1" s="129"/>
      <c r="NRI1" s="129"/>
      <c r="NRJ1" s="129"/>
      <c r="NRK1" s="129"/>
      <c r="NRL1" s="129"/>
      <c r="NRM1" s="129"/>
      <c r="NRN1" s="129"/>
      <c r="NRO1" s="129"/>
      <c r="NRP1" s="129"/>
      <c r="NRQ1" s="129"/>
      <c r="NRR1" s="129"/>
      <c r="NRS1" s="129"/>
      <c r="NRT1" s="129"/>
      <c r="NRU1" s="129"/>
      <c r="NRV1" s="129"/>
      <c r="NRW1" s="129"/>
      <c r="NRX1" s="129"/>
      <c r="NRY1" s="129"/>
      <c r="NRZ1" s="129"/>
      <c r="NSA1" s="129"/>
      <c r="NSB1" s="129"/>
      <c r="NSC1" s="129"/>
      <c r="NSD1" s="129"/>
      <c r="NSE1" s="129"/>
      <c r="NSF1" s="129"/>
      <c r="NSG1" s="129"/>
      <c r="NSH1" s="129"/>
      <c r="NSI1" s="129"/>
      <c r="NSJ1" s="129"/>
      <c r="NSK1" s="129"/>
      <c r="NSL1" s="129"/>
      <c r="NSM1" s="129"/>
      <c r="NSN1" s="129"/>
      <c r="NSO1" s="129"/>
      <c r="NSP1" s="129"/>
      <c r="NSQ1" s="129"/>
      <c r="NSR1" s="129"/>
      <c r="NSS1" s="129"/>
      <c r="NST1" s="129"/>
      <c r="NSU1" s="129"/>
      <c r="NSV1" s="129"/>
      <c r="NSW1" s="129"/>
      <c r="NSX1" s="129"/>
      <c r="NSY1" s="129"/>
      <c r="NSZ1" s="129"/>
      <c r="NTA1" s="129"/>
      <c r="NTB1" s="129"/>
      <c r="NTC1" s="129"/>
      <c r="NTD1" s="129"/>
      <c r="NTE1" s="129"/>
      <c r="NTF1" s="129"/>
      <c r="NTG1" s="129"/>
      <c r="NTH1" s="129"/>
      <c r="NTI1" s="129"/>
      <c r="NTJ1" s="129"/>
      <c r="NTK1" s="129"/>
      <c r="NTL1" s="129"/>
      <c r="NTM1" s="129"/>
      <c r="NTN1" s="129"/>
      <c r="NTO1" s="129"/>
      <c r="NTP1" s="129"/>
      <c r="NTQ1" s="129"/>
      <c r="NTR1" s="129"/>
      <c r="NTS1" s="129"/>
      <c r="NTT1" s="129"/>
      <c r="NTU1" s="129"/>
      <c r="NTV1" s="129"/>
      <c r="NTW1" s="129"/>
      <c r="NTX1" s="129"/>
      <c r="NTY1" s="129"/>
      <c r="NTZ1" s="129"/>
      <c r="NUA1" s="129"/>
      <c r="NUB1" s="129"/>
      <c r="NUC1" s="129"/>
      <c r="NUD1" s="129"/>
      <c r="NUE1" s="129"/>
      <c r="NUF1" s="129"/>
      <c r="NUG1" s="129"/>
      <c r="NUH1" s="129"/>
      <c r="NUI1" s="129"/>
      <c r="NUJ1" s="129"/>
      <c r="NUK1" s="129"/>
      <c r="NUL1" s="129"/>
      <c r="NUM1" s="129"/>
      <c r="NUN1" s="129"/>
      <c r="NUO1" s="129"/>
      <c r="NUP1" s="129"/>
      <c r="NUQ1" s="129"/>
      <c r="NUR1" s="129"/>
      <c r="NUS1" s="129"/>
      <c r="NUT1" s="129"/>
      <c r="NUU1" s="129"/>
      <c r="NUV1" s="129"/>
      <c r="NUW1" s="129"/>
      <c r="NUX1" s="129"/>
      <c r="NUY1" s="129"/>
      <c r="NUZ1" s="129"/>
      <c r="NVA1" s="129"/>
      <c r="NVB1" s="129"/>
      <c r="NVC1" s="129"/>
      <c r="NVD1" s="129"/>
      <c r="NVE1" s="129"/>
      <c r="NVF1" s="129"/>
      <c r="NVG1" s="129"/>
      <c r="NVH1" s="129"/>
      <c r="NVI1" s="129"/>
      <c r="NVJ1" s="129"/>
      <c r="NVK1" s="129"/>
      <c r="NVL1" s="129"/>
      <c r="NVM1" s="129"/>
      <c r="NVN1" s="129"/>
      <c r="NVO1" s="129"/>
      <c r="NVP1" s="129"/>
      <c r="NVQ1" s="129"/>
      <c r="NVR1" s="129"/>
      <c r="NVS1" s="129"/>
      <c r="NVT1" s="129"/>
      <c r="NVU1" s="129"/>
      <c r="NVV1" s="129"/>
      <c r="NVW1" s="129"/>
      <c r="NVX1" s="129"/>
      <c r="NVY1" s="129"/>
      <c r="NVZ1" s="129"/>
      <c r="NWA1" s="129"/>
      <c r="NWB1" s="129"/>
      <c r="NWC1" s="129"/>
      <c r="NWD1" s="129"/>
      <c r="NWE1" s="129"/>
      <c r="NWF1" s="129"/>
      <c r="NWG1" s="129"/>
      <c r="NWH1" s="129"/>
      <c r="NWI1" s="129"/>
      <c r="NWJ1" s="129"/>
      <c r="NWK1" s="129"/>
      <c r="NWL1" s="129"/>
      <c r="NWM1" s="129"/>
      <c r="NWN1" s="129"/>
      <c r="NWO1" s="129"/>
      <c r="NWP1" s="129"/>
      <c r="NWQ1" s="129"/>
      <c r="NWR1" s="129"/>
      <c r="NWS1" s="129"/>
      <c r="NWT1" s="129"/>
      <c r="NWU1" s="129"/>
      <c r="NWV1" s="129"/>
      <c r="NWW1" s="129"/>
      <c r="NWX1" s="129"/>
      <c r="NWY1" s="129"/>
      <c r="NWZ1" s="129"/>
      <c r="NXA1" s="129"/>
      <c r="NXB1" s="129"/>
      <c r="NXC1" s="129"/>
      <c r="NXD1" s="129"/>
      <c r="NXE1" s="129"/>
      <c r="NXF1" s="129"/>
      <c r="NXG1" s="129"/>
      <c r="NXH1" s="129"/>
      <c r="NXI1" s="129"/>
      <c r="NXJ1" s="129"/>
      <c r="NXK1" s="129"/>
      <c r="NXL1" s="129"/>
      <c r="NXM1" s="129"/>
      <c r="NXN1" s="129"/>
      <c r="NXO1" s="129"/>
      <c r="NXP1" s="129"/>
      <c r="NXQ1" s="129"/>
      <c r="NXR1" s="129"/>
      <c r="NXS1" s="129"/>
      <c r="NXT1" s="129"/>
      <c r="NXU1" s="129"/>
      <c r="NXV1" s="129"/>
      <c r="NXW1" s="129"/>
      <c r="NXX1" s="129"/>
      <c r="NXY1" s="129"/>
      <c r="NXZ1" s="129"/>
      <c r="NYA1" s="129"/>
      <c r="NYB1" s="129"/>
      <c r="NYC1" s="129"/>
      <c r="NYD1" s="129"/>
      <c r="NYE1" s="129"/>
      <c r="NYF1" s="129"/>
      <c r="NYG1" s="129"/>
      <c r="NYH1" s="129"/>
      <c r="NYI1" s="129"/>
      <c r="NYJ1" s="129"/>
      <c r="NYK1" s="129"/>
      <c r="NYL1" s="129"/>
      <c r="NYM1" s="129"/>
      <c r="NYN1" s="129"/>
      <c r="NYO1" s="129"/>
      <c r="NYP1" s="129"/>
      <c r="NYQ1" s="129"/>
      <c r="NYR1" s="129"/>
      <c r="NYS1" s="129"/>
      <c r="NYT1" s="129"/>
      <c r="NYU1" s="129"/>
      <c r="NYV1" s="129"/>
      <c r="NYW1" s="129"/>
      <c r="NYX1" s="129"/>
      <c r="NYY1" s="129"/>
      <c r="NYZ1" s="129"/>
      <c r="NZA1" s="129"/>
      <c r="NZB1" s="129"/>
      <c r="NZC1" s="129"/>
      <c r="NZD1" s="129"/>
      <c r="NZE1" s="129"/>
      <c r="NZF1" s="129"/>
      <c r="NZG1" s="129"/>
      <c r="NZH1" s="129"/>
      <c r="NZI1" s="129"/>
      <c r="NZJ1" s="129"/>
      <c r="NZK1" s="129"/>
      <c r="NZL1" s="129"/>
      <c r="NZM1" s="129"/>
      <c r="NZN1" s="129"/>
      <c r="NZO1" s="129"/>
      <c r="NZP1" s="129"/>
      <c r="NZQ1" s="129"/>
      <c r="NZR1" s="129"/>
      <c r="NZS1" s="129"/>
      <c r="NZT1" s="129"/>
      <c r="NZU1" s="129"/>
      <c r="NZV1" s="129"/>
      <c r="NZW1" s="129"/>
      <c r="NZX1" s="129"/>
      <c r="NZY1" s="129"/>
      <c r="NZZ1" s="129"/>
      <c r="OAA1" s="129"/>
      <c r="OAB1" s="129"/>
      <c r="OAC1" s="129"/>
      <c r="OAD1" s="129"/>
      <c r="OAE1" s="129"/>
      <c r="OAF1" s="129"/>
      <c r="OAG1" s="129"/>
      <c r="OAH1" s="129"/>
      <c r="OAI1" s="129"/>
      <c r="OAJ1" s="129"/>
      <c r="OAK1" s="129"/>
      <c r="OAL1" s="129"/>
      <c r="OAM1" s="129"/>
      <c r="OAN1" s="129"/>
      <c r="OAO1" s="129"/>
      <c r="OAP1" s="129"/>
      <c r="OAQ1" s="129"/>
      <c r="OAR1" s="129"/>
      <c r="OAS1" s="129"/>
      <c r="OAT1" s="129"/>
      <c r="OAU1" s="129"/>
      <c r="OAV1" s="129"/>
      <c r="OAW1" s="129"/>
      <c r="OAX1" s="129"/>
      <c r="OAY1" s="129"/>
      <c r="OAZ1" s="129"/>
      <c r="OBA1" s="129"/>
      <c r="OBB1" s="129"/>
      <c r="OBC1" s="129"/>
      <c r="OBD1" s="129"/>
      <c r="OBE1" s="129"/>
      <c r="OBF1" s="129"/>
      <c r="OBG1" s="129"/>
      <c r="OBH1" s="129"/>
      <c r="OBI1" s="129"/>
      <c r="OBJ1" s="129"/>
      <c r="OBK1" s="129"/>
      <c r="OBL1" s="129"/>
      <c r="OBM1" s="129"/>
      <c r="OBN1" s="129"/>
      <c r="OBO1" s="129"/>
      <c r="OBP1" s="129"/>
      <c r="OBQ1" s="129"/>
      <c r="OBR1" s="129"/>
      <c r="OBS1" s="129"/>
      <c r="OBT1" s="129"/>
      <c r="OBU1" s="129"/>
      <c r="OBV1" s="129"/>
      <c r="OBW1" s="129"/>
      <c r="OBX1" s="129"/>
      <c r="OBY1" s="129"/>
      <c r="OBZ1" s="129"/>
      <c r="OCA1" s="129"/>
      <c r="OCB1" s="129"/>
      <c r="OCC1" s="129"/>
      <c r="OCD1" s="129"/>
      <c r="OCE1" s="129"/>
      <c r="OCF1" s="129"/>
      <c r="OCG1" s="129"/>
      <c r="OCH1" s="129"/>
      <c r="OCI1" s="129"/>
      <c r="OCJ1" s="129"/>
      <c r="OCK1" s="129"/>
      <c r="OCL1" s="129"/>
      <c r="OCM1" s="129"/>
      <c r="OCN1" s="129"/>
      <c r="OCO1" s="129"/>
      <c r="OCP1" s="129"/>
      <c r="OCQ1" s="129"/>
      <c r="OCR1" s="129"/>
      <c r="OCS1" s="129"/>
      <c r="OCT1" s="129"/>
      <c r="OCU1" s="129"/>
      <c r="OCV1" s="129"/>
      <c r="OCW1" s="129"/>
      <c r="OCX1" s="129"/>
      <c r="OCY1" s="129"/>
      <c r="OCZ1" s="129"/>
      <c r="ODA1" s="129"/>
      <c r="ODB1" s="129"/>
      <c r="ODC1" s="129"/>
      <c r="ODD1" s="129"/>
      <c r="ODE1" s="129"/>
      <c r="ODF1" s="129"/>
      <c r="ODG1" s="129"/>
      <c r="ODH1" s="129"/>
      <c r="ODI1" s="129"/>
      <c r="ODJ1" s="129"/>
      <c r="ODK1" s="129"/>
      <c r="ODL1" s="129"/>
      <c r="ODM1" s="129"/>
      <c r="ODN1" s="129"/>
      <c r="ODO1" s="129"/>
      <c r="ODP1" s="129"/>
      <c r="ODQ1" s="129"/>
      <c r="ODR1" s="129"/>
      <c r="ODS1" s="129"/>
      <c r="ODT1" s="129"/>
      <c r="ODU1" s="129"/>
      <c r="ODV1" s="129"/>
      <c r="ODW1" s="129"/>
      <c r="ODX1" s="129"/>
      <c r="ODY1" s="129"/>
      <c r="ODZ1" s="129"/>
      <c r="OEA1" s="129"/>
      <c r="OEB1" s="129"/>
      <c r="OEC1" s="129"/>
      <c r="OED1" s="129"/>
      <c r="OEE1" s="129"/>
      <c r="OEF1" s="129"/>
      <c r="OEG1" s="129"/>
      <c r="OEH1" s="129"/>
      <c r="OEI1" s="129"/>
      <c r="OEJ1" s="129"/>
      <c r="OEK1" s="129"/>
      <c r="OEL1" s="129"/>
      <c r="OEM1" s="129"/>
      <c r="OEN1" s="129"/>
      <c r="OEO1" s="129"/>
      <c r="OEP1" s="129"/>
      <c r="OEQ1" s="129"/>
      <c r="OER1" s="129"/>
      <c r="OES1" s="129"/>
      <c r="OET1" s="129"/>
      <c r="OEU1" s="129"/>
      <c r="OEV1" s="129"/>
      <c r="OEW1" s="129"/>
      <c r="OEX1" s="129"/>
      <c r="OEY1" s="129"/>
      <c r="OEZ1" s="129"/>
      <c r="OFA1" s="129"/>
      <c r="OFB1" s="129"/>
      <c r="OFC1" s="129"/>
      <c r="OFD1" s="129"/>
      <c r="OFE1" s="129"/>
      <c r="OFF1" s="129"/>
      <c r="OFG1" s="129"/>
      <c r="OFH1" s="129"/>
      <c r="OFI1" s="129"/>
      <c r="OFJ1" s="129"/>
      <c r="OFK1" s="129"/>
      <c r="OFL1" s="129"/>
      <c r="OFM1" s="129"/>
      <c r="OFN1" s="129"/>
      <c r="OFO1" s="129"/>
      <c r="OFP1" s="129"/>
      <c r="OFQ1" s="129"/>
      <c r="OFR1" s="129"/>
      <c r="OFS1" s="129"/>
      <c r="OFT1" s="129"/>
      <c r="OFU1" s="129"/>
      <c r="OFV1" s="129"/>
      <c r="OFW1" s="129"/>
      <c r="OFX1" s="129"/>
      <c r="OFY1" s="129"/>
      <c r="OFZ1" s="129"/>
      <c r="OGA1" s="129"/>
      <c r="OGB1" s="129"/>
      <c r="OGC1" s="129"/>
      <c r="OGD1" s="129"/>
      <c r="OGE1" s="129"/>
      <c r="OGF1" s="129"/>
      <c r="OGG1" s="129"/>
      <c r="OGH1" s="129"/>
      <c r="OGI1" s="129"/>
      <c r="OGJ1" s="129"/>
      <c r="OGK1" s="129"/>
      <c r="OGL1" s="129"/>
      <c r="OGM1" s="129"/>
      <c r="OGN1" s="129"/>
      <c r="OGO1" s="129"/>
      <c r="OGP1" s="129"/>
      <c r="OGQ1" s="129"/>
      <c r="OGR1" s="129"/>
      <c r="OGS1" s="129"/>
      <c r="OGT1" s="129"/>
      <c r="OGU1" s="129"/>
      <c r="OGV1" s="129"/>
      <c r="OGW1" s="129"/>
      <c r="OGX1" s="129"/>
      <c r="OGY1" s="129"/>
      <c r="OGZ1" s="129"/>
      <c r="OHA1" s="129"/>
      <c r="OHB1" s="129"/>
      <c r="OHC1" s="129"/>
      <c r="OHD1" s="129"/>
      <c r="OHE1" s="129"/>
      <c r="OHF1" s="129"/>
      <c r="OHG1" s="129"/>
      <c r="OHH1" s="129"/>
      <c r="OHI1" s="129"/>
      <c r="OHJ1" s="129"/>
      <c r="OHK1" s="129"/>
      <c r="OHL1" s="129"/>
      <c r="OHM1" s="129"/>
      <c r="OHN1" s="129"/>
      <c r="OHO1" s="129"/>
      <c r="OHP1" s="129"/>
      <c r="OHQ1" s="129"/>
      <c r="OHR1" s="129"/>
      <c r="OHS1" s="129"/>
      <c r="OHT1" s="129"/>
      <c r="OHU1" s="129"/>
      <c r="OHV1" s="129"/>
      <c r="OHW1" s="129"/>
      <c r="OHX1" s="129"/>
      <c r="OHY1" s="129"/>
      <c r="OHZ1" s="129"/>
      <c r="OIA1" s="129"/>
      <c r="OIB1" s="129"/>
      <c r="OIC1" s="129"/>
      <c r="OID1" s="129"/>
      <c r="OIE1" s="129"/>
      <c r="OIF1" s="129"/>
      <c r="OIG1" s="129"/>
      <c r="OIH1" s="129"/>
      <c r="OII1" s="129"/>
      <c r="OIJ1" s="129"/>
      <c r="OIK1" s="129"/>
      <c r="OIL1" s="129"/>
      <c r="OIM1" s="129"/>
      <c r="OIN1" s="129"/>
      <c r="OIO1" s="129"/>
      <c r="OIP1" s="129"/>
      <c r="OIQ1" s="129"/>
      <c r="OIR1" s="129"/>
      <c r="OIS1" s="129"/>
      <c r="OIT1" s="129"/>
      <c r="OIU1" s="129"/>
      <c r="OIV1" s="129"/>
      <c r="OIW1" s="129"/>
      <c r="OIX1" s="129"/>
      <c r="OIY1" s="129"/>
      <c r="OIZ1" s="129"/>
      <c r="OJA1" s="129"/>
      <c r="OJB1" s="129"/>
      <c r="OJC1" s="129"/>
      <c r="OJD1" s="129"/>
      <c r="OJE1" s="129"/>
      <c r="OJF1" s="129"/>
      <c r="OJG1" s="129"/>
      <c r="OJH1" s="129"/>
      <c r="OJI1" s="129"/>
      <c r="OJJ1" s="129"/>
      <c r="OJK1" s="129"/>
      <c r="OJL1" s="129"/>
      <c r="OJM1" s="129"/>
      <c r="OJN1" s="129"/>
      <c r="OJO1" s="129"/>
      <c r="OJP1" s="129"/>
      <c r="OJQ1" s="129"/>
      <c r="OJR1" s="129"/>
      <c r="OJS1" s="129"/>
      <c r="OJT1" s="129"/>
      <c r="OJU1" s="129"/>
      <c r="OJV1" s="129"/>
      <c r="OJW1" s="129"/>
      <c r="OJX1" s="129"/>
      <c r="OJY1" s="129"/>
      <c r="OJZ1" s="129"/>
      <c r="OKA1" s="129"/>
      <c r="OKB1" s="129"/>
      <c r="OKC1" s="129"/>
      <c r="OKD1" s="129"/>
      <c r="OKE1" s="129"/>
      <c r="OKF1" s="129"/>
      <c r="OKG1" s="129"/>
      <c r="OKH1" s="129"/>
      <c r="OKI1" s="129"/>
      <c r="OKJ1" s="129"/>
      <c r="OKK1" s="129"/>
      <c r="OKL1" s="129"/>
      <c r="OKM1" s="129"/>
      <c r="OKN1" s="129"/>
      <c r="OKO1" s="129"/>
      <c r="OKP1" s="129"/>
      <c r="OKQ1" s="129"/>
      <c r="OKR1" s="129"/>
      <c r="OKS1" s="129"/>
      <c r="OKT1" s="129"/>
      <c r="OKU1" s="129"/>
      <c r="OKV1" s="129"/>
      <c r="OKW1" s="129"/>
      <c r="OKX1" s="129"/>
      <c r="OKY1" s="129"/>
      <c r="OKZ1" s="129"/>
      <c r="OLA1" s="129"/>
      <c r="OLB1" s="129"/>
      <c r="OLC1" s="129"/>
      <c r="OLD1" s="129"/>
      <c r="OLE1" s="129"/>
      <c r="OLF1" s="129"/>
      <c r="OLG1" s="129"/>
      <c r="OLH1" s="129"/>
      <c r="OLI1" s="129"/>
      <c r="OLJ1" s="129"/>
      <c r="OLK1" s="129"/>
      <c r="OLL1" s="129"/>
      <c r="OLM1" s="129"/>
      <c r="OLN1" s="129"/>
      <c r="OLO1" s="129"/>
      <c r="OLP1" s="129"/>
      <c r="OLQ1" s="129"/>
      <c r="OLR1" s="129"/>
      <c r="OLS1" s="129"/>
      <c r="OLT1" s="129"/>
      <c r="OLU1" s="129"/>
      <c r="OLV1" s="129"/>
      <c r="OLW1" s="129"/>
      <c r="OLX1" s="129"/>
      <c r="OLY1" s="129"/>
      <c r="OLZ1" s="129"/>
      <c r="OMA1" s="129"/>
      <c r="OMB1" s="129"/>
      <c r="OMC1" s="129"/>
      <c r="OMD1" s="129"/>
      <c r="OME1" s="129"/>
      <c r="OMF1" s="129"/>
      <c r="OMG1" s="129"/>
      <c r="OMH1" s="129"/>
      <c r="OMI1" s="129"/>
      <c r="OMJ1" s="129"/>
      <c r="OMK1" s="129"/>
      <c r="OML1" s="129"/>
      <c r="OMM1" s="129"/>
      <c r="OMN1" s="129"/>
      <c r="OMO1" s="129"/>
      <c r="OMP1" s="129"/>
      <c r="OMQ1" s="129"/>
      <c r="OMR1" s="129"/>
      <c r="OMS1" s="129"/>
      <c r="OMT1" s="129"/>
      <c r="OMU1" s="129"/>
      <c r="OMV1" s="129"/>
      <c r="OMW1" s="129"/>
      <c r="OMX1" s="129"/>
      <c r="OMY1" s="129"/>
      <c r="OMZ1" s="129"/>
      <c r="ONA1" s="129"/>
      <c r="ONB1" s="129"/>
      <c r="ONC1" s="129"/>
      <c r="OND1" s="129"/>
      <c r="ONE1" s="129"/>
      <c r="ONF1" s="129"/>
      <c r="ONG1" s="129"/>
      <c r="ONH1" s="129"/>
      <c r="ONI1" s="129"/>
      <c r="ONJ1" s="129"/>
      <c r="ONK1" s="129"/>
      <c r="ONL1" s="129"/>
      <c r="ONM1" s="129"/>
      <c r="ONN1" s="129"/>
      <c r="ONO1" s="129"/>
      <c r="ONP1" s="129"/>
      <c r="ONQ1" s="129"/>
      <c r="ONR1" s="129"/>
      <c r="ONS1" s="129"/>
      <c r="ONT1" s="129"/>
      <c r="ONU1" s="129"/>
      <c r="ONV1" s="129"/>
      <c r="ONW1" s="129"/>
      <c r="ONX1" s="129"/>
      <c r="ONY1" s="129"/>
      <c r="ONZ1" s="129"/>
      <c r="OOA1" s="129"/>
      <c r="OOB1" s="129"/>
      <c r="OOC1" s="129"/>
      <c r="OOD1" s="129"/>
      <c r="OOE1" s="129"/>
      <c r="OOF1" s="129"/>
      <c r="OOG1" s="129"/>
      <c r="OOH1" s="129"/>
      <c r="OOI1" s="129"/>
      <c r="OOJ1" s="129"/>
      <c r="OOK1" s="129"/>
      <c r="OOL1" s="129"/>
      <c r="OOM1" s="129"/>
      <c r="OON1" s="129"/>
      <c r="OOO1" s="129"/>
      <c r="OOP1" s="129"/>
      <c r="OOQ1" s="129"/>
      <c r="OOR1" s="129"/>
      <c r="OOS1" s="129"/>
      <c r="OOT1" s="129"/>
      <c r="OOU1" s="129"/>
      <c r="OOV1" s="129"/>
      <c r="OOW1" s="129"/>
      <c r="OOX1" s="129"/>
      <c r="OOY1" s="129"/>
      <c r="OOZ1" s="129"/>
      <c r="OPA1" s="129"/>
      <c r="OPB1" s="129"/>
      <c r="OPC1" s="129"/>
      <c r="OPD1" s="129"/>
      <c r="OPE1" s="129"/>
      <c r="OPF1" s="129"/>
      <c r="OPG1" s="129"/>
      <c r="OPH1" s="129"/>
      <c r="OPI1" s="129"/>
      <c r="OPJ1" s="129"/>
      <c r="OPK1" s="129"/>
      <c r="OPL1" s="129"/>
      <c r="OPM1" s="129"/>
      <c r="OPN1" s="129"/>
      <c r="OPO1" s="129"/>
      <c r="OPP1" s="129"/>
      <c r="OPQ1" s="129"/>
      <c r="OPR1" s="129"/>
      <c r="OPS1" s="129"/>
      <c r="OPT1" s="129"/>
      <c r="OPU1" s="129"/>
      <c r="OPV1" s="129"/>
      <c r="OPW1" s="129"/>
      <c r="OPX1" s="129"/>
      <c r="OPY1" s="129"/>
      <c r="OPZ1" s="129"/>
      <c r="OQA1" s="129"/>
      <c r="OQB1" s="129"/>
      <c r="OQC1" s="129"/>
      <c r="OQD1" s="129"/>
      <c r="OQE1" s="129"/>
      <c r="OQF1" s="129"/>
      <c r="OQG1" s="129"/>
      <c r="OQH1" s="129"/>
      <c r="OQI1" s="129"/>
      <c r="OQJ1" s="129"/>
      <c r="OQK1" s="129"/>
      <c r="OQL1" s="129"/>
      <c r="OQM1" s="129"/>
      <c r="OQN1" s="129"/>
      <c r="OQO1" s="129"/>
      <c r="OQP1" s="129"/>
      <c r="OQQ1" s="129"/>
      <c r="OQR1" s="129"/>
      <c r="OQS1" s="129"/>
      <c r="OQT1" s="129"/>
      <c r="OQU1" s="129"/>
      <c r="OQV1" s="129"/>
      <c r="OQW1" s="129"/>
      <c r="OQX1" s="129"/>
      <c r="OQY1" s="129"/>
      <c r="OQZ1" s="129"/>
      <c r="ORA1" s="129"/>
      <c r="ORB1" s="129"/>
      <c r="ORC1" s="129"/>
      <c r="ORD1" s="129"/>
      <c r="ORE1" s="129"/>
      <c r="ORF1" s="129"/>
      <c r="ORG1" s="129"/>
      <c r="ORH1" s="129"/>
      <c r="ORI1" s="129"/>
      <c r="ORJ1" s="129"/>
      <c r="ORK1" s="129"/>
      <c r="ORL1" s="129"/>
      <c r="ORM1" s="129"/>
      <c r="ORN1" s="129"/>
      <c r="ORO1" s="129"/>
      <c r="ORP1" s="129"/>
      <c r="ORQ1" s="129"/>
      <c r="ORR1" s="129"/>
      <c r="ORS1" s="129"/>
      <c r="ORT1" s="129"/>
      <c r="ORU1" s="129"/>
      <c r="ORV1" s="129"/>
      <c r="ORW1" s="129"/>
      <c r="ORX1" s="129"/>
      <c r="ORY1" s="129"/>
      <c r="ORZ1" s="129"/>
      <c r="OSA1" s="129"/>
      <c r="OSB1" s="129"/>
      <c r="OSC1" s="129"/>
      <c r="OSD1" s="129"/>
      <c r="OSE1" s="129"/>
      <c r="OSF1" s="129"/>
      <c r="OSG1" s="129"/>
      <c r="OSH1" s="129"/>
      <c r="OSI1" s="129"/>
      <c r="OSJ1" s="129"/>
      <c r="OSK1" s="129"/>
      <c r="OSL1" s="129"/>
      <c r="OSM1" s="129"/>
      <c r="OSN1" s="129"/>
      <c r="OSO1" s="129"/>
      <c r="OSP1" s="129"/>
      <c r="OSQ1" s="129"/>
      <c r="OSR1" s="129"/>
      <c r="OSS1" s="129"/>
      <c r="OST1" s="129"/>
      <c r="OSU1" s="129"/>
      <c r="OSV1" s="129"/>
      <c r="OSW1" s="129"/>
      <c r="OSX1" s="129"/>
      <c r="OSY1" s="129"/>
      <c r="OSZ1" s="129"/>
      <c r="OTA1" s="129"/>
      <c r="OTB1" s="129"/>
      <c r="OTC1" s="129"/>
      <c r="OTD1" s="129"/>
      <c r="OTE1" s="129"/>
      <c r="OTF1" s="129"/>
      <c r="OTG1" s="129"/>
      <c r="OTH1" s="129"/>
      <c r="OTI1" s="129"/>
      <c r="OTJ1" s="129"/>
      <c r="OTK1" s="129"/>
      <c r="OTL1" s="129"/>
      <c r="OTM1" s="129"/>
      <c r="OTN1" s="129"/>
      <c r="OTO1" s="129"/>
      <c r="OTP1" s="129"/>
      <c r="OTQ1" s="129"/>
      <c r="OTR1" s="129"/>
      <c r="OTS1" s="129"/>
      <c r="OTT1" s="129"/>
      <c r="OTU1" s="129"/>
      <c r="OTV1" s="129"/>
      <c r="OTW1" s="129"/>
      <c r="OTX1" s="129"/>
      <c r="OTY1" s="129"/>
      <c r="OTZ1" s="129"/>
      <c r="OUA1" s="129"/>
      <c r="OUB1" s="129"/>
      <c r="OUC1" s="129"/>
      <c r="OUD1" s="129"/>
      <c r="OUE1" s="129"/>
      <c r="OUF1" s="129"/>
      <c r="OUG1" s="129"/>
      <c r="OUH1" s="129"/>
      <c r="OUI1" s="129"/>
      <c r="OUJ1" s="129"/>
      <c r="OUK1" s="129"/>
      <c r="OUL1" s="129"/>
      <c r="OUM1" s="129"/>
      <c r="OUN1" s="129"/>
      <c r="OUO1" s="129"/>
      <c r="OUP1" s="129"/>
      <c r="OUQ1" s="129"/>
      <c r="OUR1" s="129"/>
      <c r="OUS1" s="129"/>
      <c r="OUT1" s="129"/>
      <c r="OUU1" s="129"/>
      <c r="OUV1" s="129"/>
      <c r="OUW1" s="129"/>
      <c r="OUX1" s="129"/>
      <c r="OUY1" s="129"/>
      <c r="OUZ1" s="129"/>
      <c r="OVA1" s="129"/>
      <c r="OVB1" s="129"/>
      <c r="OVC1" s="129"/>
      <c r="OVD1" s="129"/>
      <c r="OVE1" s="129"/>
      <c r="OVF1" s="129"/>
      <c r="OVG1" s="129"/>
      <c r="OVH1" s="129"/>
      <c r="OVI1" s="129"/>
      <c r="OVJ1" s="129"/>
      <c r="OVK1" s="129"/>
      <c r="OVL1" s="129"/>
      <c r="OVM1" s="129"/>
      <c r="OVN1" s="129"/>
      <c r="OVO1" s="129"/>
      <c r="OVP1" s="129"/>
      <c r="OVQ1" s="129"/>
      <c r="OVR1" s="129"/>
      <c r="OVS1" s="129"/>
      <c r="OVT1" s="129"/>
      <c r="OVU1" s="129"/>
      <c r="OVV1" s="129"/>
      <c r="OVW1" s="129"/>
      <c r="OVX1" s="129"/>
      <c r="OVY1" s="129"/>
      <c r="OVZ1" s="129"/>
      <c r="OWA1" s="129"/>
      <c r="OWB1" s="129"/>
      <c r="OWC1" s="129"/>
      <c r="OWD1" s="129"/>
      <c r="OWE1" s="129"/>
      <c r="OWF1" s="129"/>
      <c r="OWG1" s="129"/>
      <c r="OWH1" s="129"/>
      <c r="OWI1" s="129"/>
      <c r="OWJ1" s="129"/>
      <c r="OWK1" s="129"/>
      <c r="OWL1" s="129"/>
      <c r="OWM1" s="129"/>
      <c r="OWN1" s="129"/>
      <c r="OWO1" s="129"/>
      <c r="OWP1" s="129"/>
      <c r="OWQ1" s="129"/>
      <c r="OWR1" s="129"/>
      <c r="OWS1" s="129"/>
      <c r="OWT1" s="129"/>
      <c r="OWU1" s="129"/>
      <c r="OWV1" s="129"/>
      <c r="OWW1" s="129"/>
      <c r="OWX1" s="129"/>
      <c r="OWY1" s="129"/>
      <c r="OWZ1" s="129"/>
      <c r="OXA1" s="129"/>
      <c r="OXB1" s="129"/>
      <c r="OXC1" s="129"/>
      <c r="OXD1" s="129"/>
      <c r="OXE1" s="129"/>
      <c r="OXF1" s="129"/>
      <c r="OXG1" s="129"/>
      <c r="OXH1" s="129"/>
      <c r="OXI1" s="129"/>
      <c r="OXJ1" s="129"/>
      <c r="OXK1" s="129"/>
      <c r="OXL1" s="129"/>
      <c r="OXM1" s="129"/>
      <c r="OXN1" s="129"/>
      <c r="OXO1" s="129"/>
      <c r="OXP1" s="129"/>
      <c r="OXQ1" s="129"/>
      <c r="OXR1" s="129"/>
      <c r="OXS1" s="129"/>
      <c r="OXT1" s="129"/>
      <c r="OXU1" s="129"/>
      <c r="OXV1" s="129"/>
      <c r="OXW1" s="129"/>
      <c r="OXX1" s="129"/>
      <c r="OXY1" s="129"/>
      <c r="OXZ1" s="129"/>
      <c r="OYA1" s="129"/>
      <c r="OYB1" s="129"/>
      <c r="OYC1" s="129"/>
      <c r="OYD1" s="129"/>
      <c r="OYE1" s="129"/>
      <c r="OYF1" s="129"/>
      <c r="OYG1" s="129"/>
      <c r="OYH1" s="129"/>
      <c r="OYI1" s="129"/>
      <c r="OYJ1" s="129"/>
      <c r="OYK1" s="129"/>
      <c r="OYL1" s="129"/>
      <c r="OYM1" s="129"/>
      <c r="OYN1" s="129"/>
      <c r="OYO1" s="129"/>
      <c r="OYP1" s="129"/>
      <c r="OYQ1" s="129"/>
      <c r="OYR1" s="129"/>
      <c r="OYS1" s="129"/>
      <c r="OYT1" s="129"/>
      <c r="OYU1" s="129"/>
      <c r="OYV1" s="129"/>
      <c r="OYW1" s="129"/>
      <c r="OYX1" s="129"/>
      <c r="OYY1" s="129"/>
      <c r="OYZ1" s="129"/>
      <c r="OZA1" s="129"/>
      <c r="OZB1" s="129"/>
      <c r="OZC1" s="129"/>
      <c r="OZD1" s="129"/>
      <c r="OZE1" s="129"/>
      <c r="OZF1" s="129"/>
      <c r="OZG1" s="129"/>
      <c r="OZH1" s="129"/>
      <c r="OZI1" s="129"/>
      <c r="OZJ1" s="129"/>
      <c r="OZK1" s="129"/>
      <c r="OZL1" s="129"/>
      <c r="OZM1" s="129"/>
      <c r="OZN1" s="129"/>
      <c r="OZO1" s="129"/>
      <c r="OZP1" s="129"/>
      <c r="OZQ1" s="129"/>
      <c r="OZR1" s="129"/>
      <c r="OZS1" s="129"/>
      <c r="OZT1" s="129"/>
      <c r="OZU1" s="129"/>
      <c r="OZV1" s="129"/>
      <c r="OZW1" s="129"/>
      <c r="OZX1" s="129"/>
      <c r="OZY1" s="129"/>
      <c r="OZZ1" s="129"/>
      <c r="PAA1" s="129"/>
      <c r="PAB1" s="129"/>
      <c r="PAC1" s="129"/>
      <c r="PAD1" s="129"/>
      <c r="PAE1" s="129"/>
      <c r="PAF1" s="129"/>
      <c r="PAG1" s="129"/>
      <c r="PAH1" s="129"/>
      <c r="PAI1" s="129"/>
      <c r="PAJ1" s="129"/>
      <c r="PAK1" s="129"/>
      <c r="PAL1" s="129"/>
      <c r="PAM1" s="129"/>
      <c r="PAN1" s="129"/>
      <c r="PAO1" s="129"/>
      <c r="PAP1" s="129"/>
      <c r="PAQ1" s="129"/>
      <c r="PAR1" s="129"/>
      <c r="PAS1" s="129"/>
      <c r="PAT1" s="129"/>
      <c r="PAU1" s="129"/>
      <c r="PAV1" s="129"/>
      <c r="PAW1" s="129"/>
      <c r="PAX1" s="129"/>
      <c r="PAY1" s="129"/>
      <c r="PAZ1" s="129"/>
      <c r="PBA1" s="129"/>
      <c r="PBB1" s="129"/>
      <c r="PBC1" s="129"/>
      <c r="PBD1" s="129"/>
      <c r="PBE1" s="129"/>
      <c r="PBF1" s="129"/>
      <c r="PBG1" s="129"/>
      <c r="PBH1" s="129"/>
      <c r="PBI1" s="129"/>
      <c r="PBJ1" s="129"/>
      <c r="PBK1" s="129"/>
      <c r="PBL1" s="129"/>
      <c r="PBM1" s="129"/>
      <c r="PBN1" s="129"/>
      <c r="PBO1" s="129"/>
      <c r="PBP1" s="129"/>
      <c r="PBQ1" s="129"/>
      <c r="PBR1" s="129"/>
      <c r="PBS1" s="129"/>
      <c r="PBT1" s="129"/>
      <c r="PBU1" s="129"/>
      <c r="PBV1" s="129"/>
      <c r="PBW1" s="129"/>
      <c r="PBX1" s="129"/>
      <c r="PBY1" s="129"/>
      <c r="PBZ1" s="129"/>
      <c r="PCA1" s="129"/>
      <c r="PCB1" s="129"/>
      <c r="PCC1" s="129"/>
      <c r="PCD1" s="129"/>
      <c r="PCE1" s="129"/>
      <c r="PCF1" s="129"/>
      <c r="PCG1" s="129"/>
      <c r="PCH1" s="129"/>
      <c r="PCI1" s="129"/>
      <c r="PCJ1" s="129"/>
      <c r="PCK1" s="129"/>
      <c r="PCL1" s="129"/>
      <c r="PCM1" s="129"/>
      <c r="PCN1" s="129"/>
      <c r="PCO1" s="129"/>
      <c r="PCP1" s="129"/>
      <c r="PCQ1" s="129"/>
      <c r="PCR1" s="129"/>
      <c r="PCS1" s="129"/>
      <c r="PCT1" s="129"/>
      <c r="PCU1" s="129"/>
      <c r="PCV1" s="129"/>
      <c r="PCW1" s="129"/>
      <c r="PCX1" s="129"/>
      <c r="PCY1" s="129"/>
      <c r="PCZ1" s="129"/>
      <c r="PDA1" s="129"/>
      <c r="PDB1" s="129"/>
      <c r="PDC1" s="129"/>
      <c r="PDD1" s="129"/>
      <c r="PDE1" s="129"/>
      <c r="PDF1" s="129"/>
      <c r="PDG1" s="129"/>
      <c r="PDH1" s="129"/>
      <c r="PDI1" s="129"/>
      <c r="PDJ1" s="129"/>
      <c r="PDK1" s="129"/>
      <c r="PDL1" s="129"/>
      <c r="PDM1" s="129"/>
      <c r="PDN1" s="129"/>
      <c r="PDO1" s="129"/>
      <c r="PDP1" s="129"/>
      <c r="PDQ1" s="129"/>
      <c r="PDR1" s="129"/>
      <c r="PDS1" s="129"/>
      <c r="PDT1" s="129"/>
      <c r="PDU1" s="129"/>
      <c r="PDV1" s="129"/>
      <c r="PDW1" s="129"/>
      <c r="PDX1" s="129"/>
      <c r="PDY1" s="129"/>
      <c r="PDZ1" s="129"/>
      <c r="PEA1" s="129"/>
      <c r="PEB1" s="129"/>
      <c r="PEC1" s="129"/>
      <c r="PED1" s="129"/>
      <c r="PEE1" s="129"/>
      <c r="PEF1" s="129"/>
      <c r="PEG1" s="129"/>
      <c r="PEH1" s="129"/>
      <c r="PEI1" s="129"/>
      <c r="PEJ1" s="129"/>
      <c r="PEK1" s="129"/>
      <c r="PEL1" s="129"/>
      <c r="PEM1" s="129"/>
      <c r="PEN1" s="129"/>
      <c r="PEO1" s="129"/>
      <c r="PEP1" s="129"/>
      <c r="PEQ1" s="129"/>
      <c r="PER1" s="129"/>
      <c r="PES1" s="129"/>
      <c r="PET1" s="129"/>
      <c r="PEU1" s="129"/>
      <c r="PEV1" s="129"/>
      <c r="PEW1" s="129"/>
      <c r="PEX1" s="129"/>
      <c r="PEY1" s="129"/>
      <c r="PEZ1" s="129"/>
      <c r="PFA1" s="129"/>
      <c r="PFB1" s="129"/>
      <c r="PFC1" s="129"/>
      <c r="PFD1" s="129"/>
      <c r="PFE1" s="129"/>
      <c r="PFF1" s="129"/>
      <c r="PFG1" s="129"/>
      <c r="PFH1" s="129"/>
      <c r="PFI1" s="129"/>
      <c r="PFJ1" s="129"/>
      <c r="PFK1" s="129"/>
      <c r="PFL1" s="129"/>
      <c r="PFM1" s="129"/>
      <c r="PFN1" s="129"/>
      <c r="PFO1" s="129"/>
      <c r="PFP1" s="129"/>
      <c r="PFQ1" s="129"/>
      <c r="PFR1" s="129"/>
      <c r="PFS1" s="129"/>
      <c r="PFT1" s="129"/>
      <c r="PFU1" s="129"/>
      <c r="PFV1" s="129"/>
      <c r="PFW1" s="129"/>
      <c r="PFX1" s="129"/>
      <c r="PFY1" s="129"/>
      <c r="PFZ1" s="129"/>
      <c r="PGA1" s="129"/>
      <c r="PGB1" s="129"/>
      <c r="PGC1" s="129"/>
      <c r="PGD1" s="129"/>
      <c r="PGE1" s="129"/>
      <c r="PGF1" s="129"/>
      <c r="PGG1" s="129"/>
      <c r="PGH1" s="129"/>
      <c r="PGI1" s="129"/>
      <c r="PGJ1" s="129"/>
      <c r="PGK1" s="129"/>
      <c r="PGL1" s="129"/>
      <c r="PGM1" s="129"/>
      <c r="PGN1" s="129"/>
      <c r="PGO1" s="129"/>
      <c r="PGP1" s="129"/>
      <c r="PGQ1" s="129"/>
      <c r="PGR1" s="129"/>
      <c r="PGS1" s="129"/>
      <c r="PGT1" s="129"/>
      <c r="PGU1" s="129"/>
      <c r="PGV1" s="129"/>
      <c r="PGW1" s="129"/>
      <c r="PGX1" s="129"/>
      <c r="PGY1" s="129"/>
      <c r="PGZ1" s="129"/>
      <c r="PHA1" s="129"/>
      <c r="PHB1" s="129"/>
      <c r="PHC1" s="129"/>
      <c r="PHD1" s="129"/>
      <c r="PHE1" s="129"/>
      <c r="PHF1" s="129"/>
      <c r="PHG1" s="129"/>
      <c r="PHH1" s="129"/>
      <c r="PHI1" s="129"/>
      <c r="PHJ1" s="129"/>
      <c r="PHK1" s="129"/>
      <c r="PHL1" s="129"/>
      <c r="PHM1" s="129"/>
      <c r="PHN1" s="129"/>
      <c r="PHO1" s="129"/>
      <c r="PHP1" s="129"/>
      <c r="PHQ1" s="129"/>
      <c r="PHR1" s="129"/>
      <c r="PHS1" s="129"/>
      <c r="PHT1" s="129"/>
      <c r="PHU1" s="129"/>
      <c r="PHV1" s="129"/>
      <c r="PHW1" s="129"/>
      <c r="PHX1" s="129"/>
      <c r="PHY1" s="129"/>
      <c r="PHZ1" s="129"/>
      <c r="PIA1" s="129"/>
      <c r="PIB1" s="129"/>
      <c r="PIC1" s="129"/>
      <c r="PID1" s="129"/>
      <c r="PIE1" s="129"/>
      <c r="PIF1" s="129"/>
      <c r="PIG1" s="129"/>
      <c r="PIH1" s="129"/>
      <c r="PII1" s="129"/>
      <c r="PIJ1" s="129"/>
      <c r="PIK1" s="129"/>
      <c r="PIL1" s="129"/>
      <c r="PIM1" s="129"/>
      <c r="PIN1" s="129"/>
      <c r="PIO1" s="129"/>
      <c r="PIP1" s="129"/>
      <c r="PIQ1" s="129"/>
      <c r="PIR1" s="129"/>
      <c r="PIS1" s="129"/>
      <c r="PIT1" s="129"/>
      <c r="PIU1" s="129"/>
      <c r="PIV1" s="129"/>
      <c r="PIW1" s="129"/>
      <c r="PIX1" s="129"/>
      <c r="PIY1" s="129"/>
      <c r="PIZ1" s="129"/>
      <c r="PJA1" s="129"/>
      <c r="PJB1" s="129"/>
      <c r="PJC1" s="129"/>
      <c r="PJD1" s="129"/>
      <c r="PJE1" s="129"/>
      <c r="PJF1" s="129"/>
      <c r="PJG1" s="129"/>
      <c r="PJH1" s="129"/>
      <c r="PJI1" s="129"/>
      <c r="PJJ1" s="129"/>
      <c r="PJK1" s="129"/>
      <c r="PJL1" s="129"/>
      <c r="PJM1" s="129"/>
      <c r="PJN1" s="129"/>
      <c r="PJO1" s="129"/>
      <c r="PJP1" s="129"/>
      <c r="PJQ1" s="129"/>
      <c r="PJR1" s="129"/>
      <c r="PJS1" s="129"/>
      <c r="PJT1" s="129"/>
      <c r="PJU1" s="129"/>
      <c r="PJV1" s="129"/>
      <c r="PJW1" s="129"/>
      <c r="PJX1" s="129"/>
      <c r="PJY1" s="129"/>
      <c r="PJZ1" s="129"/>
      <c r="PKA1" s="129"/>
      <c r="PKB1" s="129"/>
      <c r="PKC1" s="129"/>
      <c r="PKD1" s="129"/>
      <c r="PKE1" s="129"/>
      <c r="PKF1" s="129"/>
      <c r="PKG1" s="129"/>
      <c r="PKH1" s="129"/>
      <c r="PKI1" s="129"/>
      <c r="PKJ1" s="129"/>
      <c r="PKK1" s="129"/>
      <c r="PKL1" s="129"/>
      <c r="PKM1" s="129"/>
      <c r="PKN1" s="129"/>
      <c r="PKO1" s="129"/>
      <c r="PKP1" s="129"/>
      <c r="PKQ1" s="129"/>
      <c r="PKR1" s="129"/>
      <c r="PKS1" s="129"/>
      <c r="PKT1" s="129"/>
      <c r="PKU1" s="129"/>
      <c r="PKV1" s="129"/>
      <c r="PKW1" s="129"/>
      <c r="PKX1" s="129"/>
      <c r="PKY1" s="129"/>
      <c r="PKZ1" s="129"/>
      <c r="PLA1" s="129"/>
      <c r="PLB1" s="129"/>
      <c r="PLC1" s="129"/>
      <c r="PLD1" s="129"/>
      <c r="PLE1" s="129"/>
      <c r="PLF1" s="129"/>
      <c r="PLG1" s="129"/>
      <c r="PLH1" s="129"/>
      <c r="PLI1" s="129"/>
      <c r="PLJ1" s="129"/>
      <c r="PLK1" s="129"/>
      <c r="PLL1" s="129"/>
      <c r="PLM1" s="129"/>
      <c r="PLN1" s="129"/>
      <c r="PLO1" s="129"/>
      <c r="PLP1" s="129"/>
      <c r="PLQ1" s="129"/>
      <c r="PLR1" s="129"/>
      <c r="PLS1" s="129"/>
      <c r="PLT1" s="129"/>
      <c r="PLU1" s="129"/>
      <c r="PLV1" s="129"/>
      <c r="PLW1" s="129"/>
      <c r="PLX1" s="129"/>
      <c r="PLY1" s="129"/>
      <c r="PLZ1" s="129"/>
      <c r="PMA1" s="129"/>
      <c r="PMB1" s="129"/>
      <c r="PMC1" s="129"/>
      <c r="PMD1" s="129"/>
      <c r="PME1" s="129"/>
      <c r="PMF1" s="129"/>
      <c r="PMG1" s="129"/>
      <c r="PMH1" s="129"/>
      <c r="PMI1" s="129"/>
      <c r="PMJ1" s="129"/>
      <c r="PMK1" s="129"/>
      <c r="PML1" s="129"/>
      <c r="PMM1" s="129"/>
      <c r="PMN1" s="129"/>
      <c r="PMO1" s="129"/>
      <c r="PMP1" s="129"/>
      <c r="PMQ1" s="129"/>
      <c r="PMR1" s="129"/>
      <c r="PMS1" s="129"/>
      <c r="PMT1" s="129"/>
      <c r="PMU1" s="129"/>
      <c r="PMV1" s="129"/>
      <c r="PMW1" s="129"/>
      <c r="PMX1" s="129"/>
      <c r="PMY1" s="129"/>
      <c r="PMZ1" s="129"/>
      <c r="PNA1" s="129"/>
      <c r="PNB1" s="129"/>
      <c r="PNC1" s="129"/>
      <c r="PND1" s="129"/>
      <c r="PNE1" s="129"/>
      <c r="PNF1" s="129"/>
      <c r="PNG1" s="129"/>
      <c r="PNH1" s="129"/>
      <c r="PNI1" s="129"/>
      <c r="PNJ1" s="129"/>
      <c r="PNK1" s="129"/>
      <c r="PNL1" s="129"/>
      <c r="PNM1" s="129"/>
      <c r="PNN1" s="129"/>
      <c r="PNO1" s="129"/>
      <c r="PNP1" s="129"/>
      <c r="PNQ1" s="129"/>
      <c r="PNR1" s="129"/>
      <c r="PNS1" s="129"/>
      <c r="PNT1" s="129"/>
      <c r="PNU1" s="129"/>
      <c r="PNV1" s="129"/>
      <c r="PNW1" s="129"/>
      <c r="PNX1" s="129"/>
      <c r="PNY1" s="129"/>
      <c r="PNZ1" s="129"/>
      <c r="POA1" s="129"/>
      <c r="POB1" s="129"/>
      <c r="POC1" s="129"/>
      <c r="POD1" s="129"/>
      <c r="POE1" s="129"/>
      <c r="POF1" s="129"/>
      <c r="POG1" s="129"/>
      <c r="POH1" s="129"/>
      <c r="POI1" s="129"/>
      <c r="POJ1" s="129"/>
      <c r="POK1" s="129"/>
      <c r="POL1" s="129"/>
      <c r="POM1" s="129"/>
      <c r="PON1" s="129"/>
      <c r="POO1" s="129"/>
      <c r="POP1" s="129"/>
      <c r="POQ1" s="129"/>
      <c r="POR1" s="129"/>
      <c r="POS1" s="129"/>
      <c r="POT1" s="129"/>
      <c r="POU1" s="129"/>
      <c r="POV1" s="129"/>
      <c r="POW1" s="129"/>
      <c r="POX1" s="129"/>
      <c r="POY1" s="129"/>
      <c r="POZ1" s="129"/>
      <c r="PPA1" s="129"/>
      <c r="PPB1" s="129"/>
      <c r="PPC1" s="129"/>
      <c r="PPD1" s="129"/>
      <c r="PPE1" s="129"/>
      <c r="PPF1" s="129"/>
      <c r="PPG1" s="129"/>
      <c r="PPH1" s="129"/>
      <c r="PPI1" s="129"/>
      <c r="PPJ1" s="129"/>
      <c r="PPK1" s="129"/>
      <c r="PPL1" s="129"/>
      <c r="PPM1" s="129"/>
      <c r="PPN1" s="129"/>
      <c r="PPO1" s="129"/>
      <c r="PPP1" s="129"/>
      <c r="PPQ1" s="129"/>
      <c r="PPR1" s="129"/>
      <c r="PPS1" s="129"/>
      <c r="PPT1" s="129"/>
      <c r="PPU1" s="129"/>
      <c r="PPV1" s="129"/>
      <c r="PPW1" s="129"/>
      <c r="PPX1" s="129"/>
      <c r="PPY1" s="129"/>
      <c r="PPZ1" s="129"/>
      <c r="PQA1" s="129"/>
      <c r="PQB1" s="129"/>
      <c r="PQC1" s="129"/>
      <c r="PQD1" s="129"/>
      <c r="PQE1" s="129"/>
      <c r="PQF1" s="129"/>
      <c r="PQG1" s="129"/>
      <c r="PQH1" s="129"/>
      <c r="PQI1" s="129"/>
      <c r="PQJ1" s="129"/>
      <c r="PQK1" s="129"/>
      <c r="PQL1" s="129"/>
      <c r="PQM1" s="129"/>
      <c r="PQN1" s="129"/>
      <c r="PQO1" s="129"/>
      <c r="PQP1" s="129"/>
      <c r="PQQ1" s="129"/>
      <c r="PQR1" s="129"/>
      <c r="PQS1" s="129"/>
      <c r="PQT1" s="129"/>
      <c r="PQU1" s="129"/>
      <c r="PQV1" s="129"/>
      <c r="PQW1" s="129"/>
      <c r="PQX1" s="129"/>
      <c r="PQY1" s="129"/>
      <c r="PQZ1" s="129"/>
      <c r="PRA1" s="129"/>
      <c r="PRB1" s="129"/>
      <c r="PRC1" s="129"/>
      <c r="PRD1" s="129"/>
      <c r="PRE1" s="129"/>
      <c r="PRF1" s="129"/>
      <c r="PRG1" s="129"/>
      <c r="PRH1" s="129"/>
      <c r="PRI1" s="129"/>
      <c r="PRJ1" s="129"/>
      <c r="PRK1" s="129"/>
      <c r="PRL1" s="129"/>
      <c r="PRM1" s="129"/>
      <c r="PRN1" s="129"/>
      <c r="PRO1" s="129"/>
      <c r="PRP1" s="129"/>
      <c r="PRQ1" s="129"/>
      <c r="PRR1" s="129"/>
      <c r="PRS1" s="129"/>
      <c r="PRT1" s="129"/>
      <c r="PRU1" s="129"/>
      <c r="PRV1" s="129"/>
      <c r="PRW1" s="129"/>
      <c r="PRX1" s="129"/>
      <c r="PRY1" s="129"/>
      <c r="PRZ1" s="129"/>
      <c r="PSA1" s="129"/>
      <c r="PSB1" s="129"/>
      <c r="PSC1" s="129"/>
      <c r="PSD1" s="129"/>
      <c r="PSE1" s="129"/>
      <c r="PSF1" s="129"/>
      <c r="PSG1" s="129"/>
      <c r="PSH1" s="129"/>
      <c r="PSI1" s="129"/>
      <c r="PSJ1" s="129"/>
      <c r="PSK1" s="129"/>
      <c r="PSL1" s="129"/>
      <c r="PSM1" s="129"/>
      <c r="PSN1" s="129"/>
      <c r="PSO1" s="129"/>
      <c r="PSP1" s="129"/>
      <c r="PSQ1" s="129"/>
      <c r="PSR1" s="129"/>
      <c r="PSS1" s="129"/>
      <c r="PST1" s="129"/>
      <c r="PSU1" s="129"/>
      <c r="PSV1" s="129"/>
      <c r="PSW1" s="129"/>
      <c r="PSX1" s="129"/>
      <c r="PSY1" s="129"/>
      <c r="PSZ1" s="129"/>
      <c r="PTA1" s="129"/>
      <c r="PTB1" s="129"/>
      <c r="PTC1" s="129"/>
      <c r="PTD1" s="129"/>
      <c r="PTE1" s="129"/>
      <c r="PTF1" s="129"/>
      <c r="PTG1" s="129"/>
      <c r="PTH1" s="129"/>
      <c r="PTI1" s="129"/>
      <c r="PTJ1" s="129"/>
      <c r="PTK1" s="129"/>
      <c r="PTL1" s="129"/>
      <c r="PTM1" s="129"/>
      <c r="PTN1" s="129"/>
      <c r="PTO1" s="129"/>
      <c r="PTP1" s="129"/>
      <c r="PTQ1" s="129"/>
      <c r="PTR1" s="129"/>
      <c r="PTS1" s="129"/>
      <c r="PTT1" s="129"/>
      <c r="PTU1" s="129"/>
      <c r="PTV1" s="129"/>
      <c r="PTW1" s="129"/>
      <c r="PTX1" s="129"/>
      <c r="PTY1" s="129"/>
      <c r="PTZ1" s="129"/>
      <c r="PUA1" s="129"/>
      <c r="PUB1" s="129"/>
      <c r="PUC1" s="129"/>
      <c r="PUD1" s="129"/>
      <c r="PUE1" s="129"/>
      <c r="PUF1" s="129"/>
      <c r="PUG1" s="129"/>
      <c r="PUH1" s="129"/>
      <c r="PUI1" s="129"/>
      <c r="PUJ1" s="129"/>
      <c r="PUK1" s="129"/>
      <c r="PUL1" s="129"/>
      <c r="PUM1" s="129"/>
      <c r="PUN1" s="129"/>
      <c r="PUO1" s="129"/>
      <c r="PUP1" s="129"/>
      <c r="PUQ1" s="129"/>
      <c r="PUR1" s="129"/>
      <c r="PUS1" s="129"/>
      <c r="PUT1" s="129"/>
      <c r="PUU1" s="129"/>
      <c r="PUV1" s="129"/>
      <c r="PUW1" s="129"/>
      <c r="PUX1" s="129"/>
      <c r="PUY1" s="129"/>
      <c r="PUZ1" s="129"/>
      <c r="PVA1" s="129"/>
      <c r="PVB1" s="129"/>
      <c r="PVC1" s="129"/>
      <c r="PVD1" s="129"/>
      <c r="PVE1" s="129"/>
      <c r="PVF1" s="129"/>
      <c r="PVG1" s="129"/>
      <c r="PVH1" s="129"/>
      <c r="PVI1" s="129"/>
      <c r="PVJ1" s="129"/>
      <c r="PVK1" s="129"/>
      <c r="PVL1" s="129"/>
      <c r="PVM1" s="129"/>
      <c r="PVN1" s="129"/>
      <c r="PVO1" s="129"/>
      <c r="PVP1" s="129"/>
      <c r="PVQ1" s="129"/>
      <c r="PVR1" s="129"/>
      <c r="PVS1" s="129"/>
      <c r="PVT1" s="129"/>
      <c r="PVU1" s="129"/>
      <c r="PVV1" s="129"/>
      <c r="PVW1" s="129"/>
      <c r="PVX1" s="129"/>
      <c r="PVY1" s="129"/>
      <c r="PVZ1" s="129"/>
      <c r="PWA1" s="129"/>
      <c r="PWB1" s="129"/>
      <c r="PWC1" s="129"/>
      <c r="PWD1" s="129"/>
      <c r="PWE1" s="129"/>
      <c r="PWF1" s="129"/>
      <c r="PWG1" s="129"/>
      <c r="PWH1" s="129"/>
      <c r="PWI1" s="129"/>
      <c r="PWJ1" s="129"/>
      <c r="PWK1" s="129"/>
      <c r="PWL1" s="129"/>
      <c r="PWM1" s="129"/>
      <c r="PWN1" s="129"/>
      <c r="PWO1" s="129"/>
      <c r="PWP1" s="129"/>
      <c r="PWQ1" s="129"/>
      <c r="PWR1" s="129"/>
      <c r="PWS1" s="129"/>
      <c r="PWT1" s="129"/>
      <c r="PWU1" s="129"/>
      <c r="PWV1" s="129"/>
      <c r="PWW1" s="129"/>
      <c r="PWX1" s="129"/>
      <c r="PWY1" s="129"/>
      <c r="PWZ1" s="129"/>
      <c r="PXA1" s="129"/>
      <c r="PXB1" s="129"/>
      <c r="PXC1" s="129"/>
      <c r="PXD1" s="129"/>
      <c r="PXE1" s="129"/>
      <c r="PXF1" s="129"/>
      <c r="PXG1" s="129"/>
      <c r="PXH1" s="129"/>
      <c r="PXI1" s="129"/>
      <c r="PXJ1" s="129"/>
      <c r="PXK1" s="129"/>
      <c r="PXL1" s="129"/>
      <c r="PXM1" s="129"/>
      <c r="PXN1" s="129"/>
      <c r="PXO1" s="129"/>
      <c r="PXP1" s="129"/>
      <c r="PXQ1" s="129"/>
      <c r="PXR1" s="129"/>
      <c r="PXS1" s="129"/>
      <c r="PXT1" s="129"/>
      <c r="PXU1" s="129"/>
      <c r="PXV1" s="129"/>
      <c r="PXW1" s="129"/>
      <c r="PXX1" s="129"/>
      <c r="PXY1" s="129"/>
      <c r="PXZ1" s="129"/>
      <c r="PYA1" s="129"/>
      <c r="PYB1" s="129"/>
      <c r="PYC1" s="129"/>
      <c r="PYD1" s="129"/>
      <c r="PYE1" s="129"/>
      <c r="PYF1" s="129"/>
      <c r="PYG1" s="129"/>
      <c r="PYH1" s="129"/>
      <c r="PYI1" s="129"/>
      <c r="PYJ1" s="129"/>
      <c r="PYK1" s="129"/>
      <c r="PYL1" s="129"/>
      <c r="PYM1" s="129"/>
      <c r="PYN1" s="129"/>
      <c r="PYO1" s="129"/>
      <c r="PYP1" s="129"/>
      <c r="PYQ1" s="129"/>
      <c r="PYR1" s="129"/>
      <c r="PYS1" s="129"/>
      <c r="PYT1" s="129"/>
      <c r="PYU1" s="129"/>
      <c r="PYV1" s="129"/>
      <c r="PYW1" s="129"/>
      <c r="PYX1" s="129"/>
      <c r="PYY1" s="129"/>
      <c r="PYZ1" s="129"/>
      <c r="PZA1" s="129"/>
      <c r="PZB1" s="129"/>
      <c r="PZC1" s="129"/>
      <c r="PZD1" s="129"/>
      <c r="PZE1" s="129"/>
      <c r="PZF1" s="129"/>
      <c r="PZG1" s="129"/>
      <c r="PZH1" s="129"/>
      <c r="PZI1" s="129"/>
      <c r="PZJ1" s="129"/>
      <c r="PZK1" s="129"/>
      <c r="PZL1" s="129"/>
      <c r="PZM1" s="129"/>
      <c r="PZN1" s="129"/>
      <c r="PZO1" s="129"/>
      <c r="PZP1" s="129"/>
      <c r="PZQ1" s="129"/>
      <c r="PZR1" s="129"/>
      <c r="PZS1" s="129"/>
      <c r="PZT1" s="129"/>
      <c r="PZU1" s="129"/>
      <c r="PZV1" s="129"/>
      <c r="PZW1" s="129"/>
      <c r="PZX1" s="129"/>
      <c r="PZY1" s="129"/>
      <c r="PZZ1" s="129"/>
      <c r="QAA1" s="129"/>
      <c r="QAB1" s="129"/>
      <c r="QAC1" s="129"/>
      <c r="QAD1" s="129"/>
      <c r="QAE1" s="129"/>
      <c r="QAF1" s="129"/>
      <c r="QAG1" s="129"/>
      <c r="QAH1" s="129"/>
      <c r="QAI1" s="129"/>
      <c r="QAJ1" s="129"/>
      <c r="QAK1" s="129"/>
      <c r="QAL1" s="129"/>
      <c r="QAM1" s="129"/>
      <c r="QAN1" s="129"/>
      <c r="QAO1" s="129"/>
      <c r="QAP1" s="129"/>
      <c r="QAQ1" s="129"/>
      <c r="QAR1" s="129"/>
      <c r="QAS1" s="129"/>
      <c r="QAT1" s="129"/>
      <c r="QAU1" s="129"/>
      <c r="QAV1" s="129"/>
      <c r="QAW1" s="129"/>
      <c r="QAX1" s="129"/>
      <c r="QAY1" s="129"/>
      <c r="QAZ1" s="129"/>
      <c r="QBA1" s="129"/>
      <c r="QBB1" s="129"/>
      <c r="QBC1" s="129"/>
      <c r="QBD1" s="129"/>
      <c r="QBE1" s="129"/>
      <c r="QBF1" s="129"/>
      <c r="QBG1" s="129"/>
      <c r="QBH1" s="129"/>
      <c r="QBI1" s="129"/>
      <c r="QBJ1" s="129"/>
      <c r="QBK1" s="129"/>
      <c r="QBL1" s="129"/>
      <c r="QBM1" s="129"/>
      <c r="QBN1" s="129"/>
      <c r="QBO1" s="129"/>
      <c r="QBP1" s="129"/>
      <c r="QBQ1" s="129"/>
      <c r="QBR1" s="129"/>
      <c r="QBS1" s="129"/>
      <c r="QBT1" s="129"/>
      <c r="QBU1" s="129"/>
      <c r="QBV1" s="129"/>
      <c r="QBW1" s="129"/>
      <c r="QBX1" s="129"/>
      <c r="QBY1" s="129"/>
      <c r="QBZ1" s="129"/>
      <c r="QCA1" s="129"/>
      <c r="QCB1" s="129"/>
      <c r="QCC1" s="129"/>
      <c r="QCD1" s="129"/>
      <c r="QCE1" s="129"/>
      <c r="QCF1" s="129"/>
      <c r="QCG1" s="129"/>
      <c r="QCH1" s="129"/>
      <c r="QCI1" s="129"/>
      <c r="QCJ1" s="129"/>
      <c r="QCK1" s="129"/>
      <c r="QCL1" s="129"/>
      <c r="QCM1" s="129"/>
      <c r="QCN1" s="129"/>
      <c r="QCO1" s="129"/>
      <c r="QCP1" s="129"/>
      <c r="QCQ1" s="129"/>
      <c r="QCR1" s="129"/>
      <c r="QCS1" s="129"/>
      <c r="QCT1" s="129"/>
      <c r="QCU1" s="129"/>
      <c r="QCV1" s="129"/>
      <c r="QCW1" s="129"/>
      <c r="QCX1" s="129"/>
      <c r="QCY1" s="129"/>
      <c r="QCZ1" s="129"/>
      <c r="QDA1" s="129"/>
      <c r="QDB1" s="129"/>
      <c r="QDC1" s="129"/>
      <c r="QDD1" s="129"/>
      <c r="QDE1" s="129"/>
      <c r="QDF1" s="129"/>
      <c r="QDG1" s="129"/>
      <c r="QDH1" s="129"/>
      <c r="QDI1" s="129"/>
      <c r="QDJ1" s="129"/>
      <c r="QDK1" s="129"/>
      <c r="QDL1" s="129"/>
      <c r="QDM1" s="129"/>
      <c r="QDN1" s="129"/>
      <c r="QDO1" s="129"/>
      <c r="QDP1" s="129"/>
      <c r="QDQ1" s="129"/>
      <c r="QDR1" s="129"/>
      <c r="QDS1" s="129"/>
      <c r="QDT1" s="129"/>
      <c r="QDU1" s="129"/>
      <c r="QDV1" s="129"/>
      <c r="QDW1" s="129"/>
      <c r="QDX1" s="129"/>
      <c r="QDY1" s="129"/>
      <c r="QDZ1" s="129"/>
      <c r="QEA1" s="129"/>
      <c r="QEB1" s="129"/>
      <c r="QEC1" s="129"/>
      <c r="QED1" s="129"/>
      <c r="QEE1" s="129"/>
      <c r="QEF1" s="129"/>
      <c r="QEG1" s="129"/>
      <c r="QEH1" s="129"/>
      <c r="QEI1" s="129"/>
      <c r="QEJ1" s="129"/>
      <c r="QEK1" s="129"/>
      <c r="QEL1" s="129"/>
      <c r="QEM1" s="129"/>
      <c r="QEN1" s="129"/>
      <c r="QEO1" s="129"/>
      <c r="QEP1" s="129"/>
      <c r="QEQ1" s="129"/>
      <c r="QER1" s="129"/>
      <c r="QES1" s="129"/>
      <c r="QET1" s="129"/>
      <c r="QEU1" s="129"/>
      <c r="QEV1" s="129"/>
      <c r="QEW1" s="129"/>
      <c r="QEX1" s="129"/>
      <c r="QEY1" s="129"/>
      <c r="QEZ1" s="129"/>
      <c r="QFA1" s="129"/>
      <c r="QFB1" s="129"/>
      <c r="QFC1" s="129"/>
      <c r="QFD1" s="129"/>
      <c r="QFE1" s="129"/>
      <c r="QFF1" s="129"/>
      <c r="QFG1" s="129"/>
      <c r="QFH1" s="129"/>
      <c r="QFI1" s="129"/>
      <c r="QFJ1" s="129"/>
      <c r="QFK1" s="129"/>
      <c r="QFL1" s="129"/>
      <c r="QFM1" s="129"/>
      <c r="QFN1" s="129"/>
      <c r="QFO1" s="129"/>
      <c r="QFP1" s="129"/>
      <c r="QFQ1" s="129"/>
      <c r="QFR1" s="129"/>
      <c r="QFS1" s="129"/>
      <c r="QFT1" s="129"/>
      <c r="QFU1" s="129"/>
      <c r="QFV1" s="129"/>
      <c r="QFW1" s="129"/>
      <c r="QFX1" s="129"/>
      <c r="QFY1" s="129"/>
      <c r="QFZ1" s="129"/>
      <c r="QGA1" s="129"/>
      <c r="QGB1" s="129"/>
      <c r="QGC1" s="129"/>
      <c r="QGD1" s="129"/>
      <c r="QGE1" s="129"/>
      <c r="QGF1" s="129"/>
      <c r="QGG1" s="129"/>
      <c r="QGH1" s="129"/>
      <c r="QGI1" s="129"/>
      <c r="QGJ1" s="129"/>
      <c r="QGK1" s="129"/>
      <c r="QGL1" s="129"/>
      <c r="QGM1" s="129"/>
      <c r="QGN1" s="129"/>
      <c r="QGO1" s="129"/>
      <c r="QGP1" s="129"/>
      <c r="QGQ1" s="129"/>
      <c r="QGR1" s="129"/>
      <c r="QGS1" s="129"/>
      <c r="QGT1" s="129"/>
      <c r="QGU1" s="129"/>
      <c r="QGV1" s="129"/>
      <c r="QGW1" s="129"/>
      <c r="QGX1" s="129"/>
      <c r="QGY1" s="129"/>
      <c r="QGZ1" s="129"/>
      <c r="QHA1" s="129"/>
      <c r="QHB1" s="129"/>
      <c r="QHC1" s="129"/>
      <c r="QHD1" s="129"/>
      <c r="QHE1" s="129"/>
      <c r="QHF1" s="129"/>
      <c r="QHG1" s="129"/>
      <c r="QHH1" s="129"/>
      <c r="QHI1" s="129"/>
      <c r="QHJ1" s="129"/>
      <c r="QHK1" s="129"/>
      <c r="QHL1" s="129"/>
      <c r="QHM1" s="129"/>
      <c r="QHN1" s="129"/>
      <c r="QHO1" s="129"/>
      <c r="QHP1" s="129"/>
      <c r="QHQ1" s="129"/>
      <c r="QHR1" s="129"/>
      <c r="QHS1" s="129"/>
      <c r="QHT1" s="129"/>
      <c r="QHU1" s="129"/>
      <c r="QHV1" s="129"/>
      <c r="QHW1" s="129"/>
      <c r="QHX1" s="129"/>
      <c r="QHY1" s="129"/>
      <c r="QHZ1" s="129"/>
      <c r="QIA1" s="129"/>
      <c r="QIB1" s="129"/>
      <c r="QIC1" s="129"/>
      <c r="QID1" s="129"/>
      <c r="QIE1" s="129"/>
      <c r="QIF1" s="129"/>
      <c r="QIG1" s="129"/>
      <c r="QIH1" s="129"/>
      <c r="QII1" s="129"/>
      <c r="QIJ1" s="129"/>
      <c r="QIK1" s="129"/>
      <c r="QIL1" s="129"/>
      <c r="QIM1" s="129"/>
      <c r="QIN1" s="129"/>
      <c r="QIO1" s="129"/>
      <c r="QIP1" s="129"/>
      <c r="QIQ1" s="129"/>
      <c r="QIR1" s="129"/>
      <c r="QIS1" s="129"/>
      <c r="QIT1" s="129"/>
      <c r="QIU1" s="129"/>
      <c r="QIV1" s="129"/>
      <c r="QIW1" s="129"/>
      <c r="QIX1" s="129"/>
      <c r="QIY1" s="129"/>
      <c r="QIZ1" s="129"/>
      <c r="QJA1" s="129"/>
      <c r="QJB1" s="129"/>
      <c r="QJC1" s="129"/>
      <c r="QJD1" s="129"/>
      <c r="QJE1" s="129"/>
      <c r="QJF1" s="129"/>
      <c r="QJG1" s="129"/>
      <c r="QJH1" s="129"/>
      <c r="QJI1" s="129"/>
      <c r="QJJ1" s="129"/>
      <c r="QJK1" s="129"/>
      <c r="QJL1" s="129"/>
      <c r="QJM1" s="129"/>
      <c r="QJN1" s="129"/>
      <c r="QJO1" s="129"/>
      <c r="QJP1" s="129"/>
      <c r="QJQ1" s="129"/>
      <c r="QJR1" s="129"/>
      <c r="QJS1" s="129"/>
      <c r="QJT1" s="129"/>
      <c r="QJU1" s="129"/>
      <c r="QJV1" s="129"/>
      <c r="QJW1" s="129"/>
      <c r="QJX1" s="129"/>
      <c r="QJY1" s="129"/>
      <c r="QJZ1" s="129"/>
      <c r="QKA1" s="129"/>
      <c r="QKB1" s="129"/>
      <c r="QKC1" s="129"/>
      <c r="QKD1" s="129"/>
      <c r="QKE1" s="129"/>
      <c r="QKF1" s="129"/>
      <c r="QKG1" s="129"/>
      <c r="QKH1" s="129"/>
      <c r="QKI1" s="129"/>
      <c r="QKJ1" s="129"/>
      <c r="QKK1" s="129"/>
      <c r="QKL1" s="129"/>
      <c r="QKM1" s="129"/>
      <c r="QKN1" s="129"/>
      <c r="QKO1" s="129"/>
      <c r="QKP1" s="129"/>
      <c r="QKQ1" s="129"/>
      <c r="QKR1" s="129"/>
      <c r="QKS1" s="129"/>
      <c r="QKT1" s="129"/>
      <c r="QKU1" s="129"/>
      <c r="QKV1" s="129"/>
      <c r="QKW1" s="129"/>
      <c r="QKX1" s="129"/>
      <c r="QKY1" s="129"/>
      <c r="QKZ1" s="129"/>
      <c r="QLA1" s="129"/>
      <c r="QLB1" s="129"/>
      <c r="QLC1" s="129"/>
      <c r="QLD1" s="129"/>
      <c r="QLE1" s="129"/>
      <c r="QLF1" s="129"/>
      <c r="QLG1" s="129"/>
      <c r="QLH1" s="129"/>
      <c r="QLI1" s="129"/>
      <c r="QLJ1" s="129"/>
      <c r="QLK1" s="129"/>
      <c r="QLL1" s="129"/>
      <c r="QLM1" s="129"/>
      <c r="QLN1" s="129"/>
      <c r="QLO1" s="129"/>
      <c r="QLP1" s="129"/>
      <c r="QLQ1" s="129"/>
      <c r="QLR1" s="129"/>
      <c r="QLS1" s="129"/>
      <c r="QLT1" s="129"/>
      <c r="QLU1" s="129"/>
      <c r="QLV1" s="129"/>
      <c r="QLW1" s="129"/>
      <c r="QLX1" s="129"/>
      <c r="QLY1" s="129"/>
      <c r="QLZ1" s="129"/>
      <c r="QMA1" s="129"/>
      <c r="QMB1" s="129"/>
      <c r="QMC1" s="129"/>
      <c r="QMD1" s="129"/>
      <c r="QME1" s="129"/>
      <c r="QMF1" s="129"/>
      <c r="QMG1" s="129"/>
      <c r="QMH1" s="129"/>
      <c r="QMI1" s="129"/>
      <c r="QMJ1" s="129"/>
      <c r="QMK1" s="129"/>
      <c r="QML1" s="129"/>
      <c r="QMM1" s="129"/>
      <c r="QMN1" s="129"/>
      <c r="QMO1" s="129"/>
      <c r="QMP1" s="129"/>
      <c r="QMQ1" s="129"/>
      <c r="QMR1" s="129"/>
      <c r="QMS1" s="129"/>
      <c r="QMT1" s="129"/>
      <c r="QMU1" s="129"/>
      <c r="QMV1" s="129"/>
      <c r="QMW1" s="129"/>
      <c r="QMX1" s="129"/>
      <c r="QMY1" s="129"/>
      <c r="QMZ1" s="129"/>
      <c r="QNA1" s="129"/>
      <c r="QNB1" s="129"/>
      <c r="QNC1" s="129"/>
      <c r="QND1" s="129"/>
      <c r="QNE1" s="129"/>
      <c r="QNF1" s="129"/>
      <c r="QNG1" s="129"/>
      <c r="QNH1" s="129"/>
      <c r="QNI1" s="129"/>
      <c r="QNJ1" s="129"/>
      <c r="QNK1" s="129"/>
      <c r="QNL1" s="129"/>
      <c r="QNM1" s="129"/>
      <c r="QNN1" s="129"/>
      <c r="QNO1" s="129"/>
      <c r="QNP1" s="129"/>
      <c r="QNQ1" s="129"/>
      <c r="QNR1" s="129"/>
      <c r="QNS1" s="129"/>
      <c r="QNT1" s="129"/>
      <c r="QNU1" s="129"/>
      <c r="QNV1" s="129"/>
      <c r="QNW1" s="129"/>
      <c r="QNX1" s="129"/>
      <c r="QNY1" s="129"/>
      <c r="QNZ1" s="129"/>
      <c r="QOA1" s="129"/>
      <c r="QOB1" s="129"/>
      <c r="QOC1" s="129"/>
      <c r="QOD1" s="129"/>
      <c r="QOE1" s="129"/>
      <c r="QOF1" s="129"/>
      <c r="QOG1" s="129"/>
      <c r="QOH1" s="129"/>
      <c r="QOI1" s="129"/>
      <c r="QOJ1" s="129"/>
      <c r="QOK1" s="129"/>
      <c r="QOL1" s="129"/>
      <c r="QOM1" s="129"/>
      <c r="QON1" s="129"/>
      <c r="QOO1" s="129"/>
      <c r="QOP1" s="129"/>
      <c r="QOQ1" s="129"/>
      <c r="QOR1" s="129"/>
      <c r="QOS1" s="129"/>
      <c r="QOT1" s="129"/>
      <c r="QOU1" s="129"/>
      <c r="QOV1" s="129"/>
      <c r="QOW1" s="129"/>
      <c r="QOX1" s="129"/>
      <c r="QOY1" s="129"/>
      <c r="QOZ1" s="129"/>
      <c r="QPA1" s="129"/>
      <c r="QPB1" s="129"/>
      <c r="QPC1" s="129"/>
      <c r="QPD1" s="129"/>
      <c r="QPE1" s="129"/>
      <c r="QPF1" s="129"/>
      <c r="QPG1" s="129"/>
      <c r="QPH1" s="129"/>
      <c r="QPI1" s="129"/>
      <c r="QPJ1" s="129"/>
      <c r="QPK1" s="129"/>
      <c r="QPL1" s="129"/>
      <c r="QPM1" s="129"/>
      <c r="QPN1" s="129"/>
      <c r="QPO1" s="129"/>
      <c r="QPP1" s="129"/>
      <c r="QPQ1" s="129"/>
      <c r="QPR1" s="129"/>
      <c r="QPS1" s="129"/>
      <c r="QPT1" s="129"/>
      <c r="QPU1" s="129"/>
      <c r="QPV1" s="129"/>
      <c r="QPW1" s="129"/>
      <c r="QPX1" s="129"/>
      <c r="QPY1" s="129"/>
      <c r="QPZ1" s="129"/>
      <c r="QQA1" s="129"/>
      <c r="QQB1" s="129"/>
      <c r="QQC1" s="129"/>
      <c r="QQD1" s="129"/>
      <c r="QQE1" s="129"/>
      <c r="QQF1" s="129"/>
      <c r="QQG1" s="129"/>
      <c r="QQH1" s="129"/>
      <c r="QQI1" s="129"/>
      <c r="QQJ1" s="129"/>
      <c r="QQK1" s="129"/>
      <c r="QQL1" s="129"/>
      <c r="QQM1" s="129"/>
      <c r="QQN1" s="129"/>
      <c r="QQO1" s="129"/>
      <c r="QQP1" s="129"/>
      <c r="QQQ1" s="129"/>
      <c r="QQR1" s="129"/>
      <c r="QQS1" s="129"/>
      <c r="QQT1" s="129"/>
      <c r="QQU1" s="129"/>
      <c r="QQV1" s="129"/>
      <c r="QQW1" s="129"/>
      <c r="QQX1" s="129"/>
      <c r="QQY1" s="129"/>
      <c r="QQZ1" s="129"/>
      <c r="QRA1" s="129"/>
      <c r="QRB1" s="129"/>
      <c r="QRC1" s="129"/>
      <c r="QRD1" s="129"/>
      <c r="QRE1" s="129"/>
      <c r="QRF1" s="129"/>
      <c r="QRG1" s="129"/>
      <c r="QRH1" s="129"/>
      <c r="QRI1" s="129"/>
      <c r="QRJ1" s="129"/>
      <c r="QRK1" s="129"/>
      <c r="QRL1" s="129"/>
      <c r="QRM1" s="129"/>
      <c r="QRN1" s="129"/>
      <c r="QRO1" s="129"/>
      <c r="QRP1" s="129"/>
      <c r="QRQ1" s="129"/>
      <c r="QRR1" s="129"/>
      <c r="QRS1" s="129"/>
      <c r="QRT1" s="129"/>
      <c r="QRU1" s="129"/>
      <c r="QRV1" s="129"/>
      <c r="QRW1" s="129"/>
      <c r="QRX1" s="129"/>
      <c r="QRY1" s="129"/>
      <c r="QRZ1" s="129"/>
      <c r="QSA1" s="129"/>
      <c r="QSB1" s="129"/>
      <c r="QSC1" s="129"/>
      <c r="QSD1" s="129"/>
      <c r="QSE1" s="129"/>
      <c r="QSF1" s="129"/>
      <c r="QSG1" s="129"/>
      <c r="QSH1" s="129"/>
      <c r="QSI1" s="129"/>
      <c r="QSJ1" s="129"/>
      <c r="QSK1" s="129"/>
      <c r="QSL1" s="129"/>
      <c r="QSM1" s="129"/>
      <c r="QSN1" s="129"/>
      <c r="QSO1" s="129"/>
      <c r="QSP1" s="129"/>
      <c r="QSQ1" s="129"/>
      <c r="QSR1" s="129"/>
      <c r="QSS1" s="129"/>
      <c r="QST1" s="129"/>
      <c r="QSU1" s="129"/>
      <c r="QSV1" s="129"/>
      <c r="QSW1" s="129"/>
      <c r="QSX1" s="129"/>
      <c r="QSY1" s="129"/>
      <c r="QSZ1" s="129"/>
      <c r="QTA1" s="129"/>
      <c r="QTB1" s="129"/>
      <c r="QTC1" s="129"/>
      <c r="QTD1" s="129"/>
      <c r="QTE1" s="129"/>
      <c r="QTF1" s="129"/>
      <c r="QTG1" s="129"/>
      <c r="QTH1" s="129"/>
      <c r="QTI1" s="129"/>
      <c r="QTJ1" s="129"/>
      <c r="QTK1" s="129"/>
      <c r="QTL1" s="129"/>
      <c r="QTM1" s="129"/>
      <c r="QTN1" s="129"/>
      <c r="QTO1" s="129"/>
      <c r="QTP1" s="129"/>
      <c r="QTQ1" s="129"/>
      <c r="QTR1" s="129"/>
      <c r="QTS1" s="129"/>
      <c r="QTT1" s="129"/>
      <c r="QTU1" s="129"/>
      <c r="QTV1" s="129"/>
      <c r="QTW1" s="129"/>
      <c r="QTX1" s="129"/>
      <c r="QTY1" s="129"/>
      <c r="QTZ1" s="129"/>
      <c r="QUA1" s="129"/>
      <c r="QUB1" s="129"/>
      <c r="QUC1" s="129"/>
      <c r="QUD1" s="129"/>
      <c r="QUE1" s="129"/>
      <c r="QUF1" s="129"/>
      <c r="QUG1" s="129"/>
      <c r="QUH1" s="129"/>
      <c r="QUI1" s="129"/>
      <c r="QUJ1" s="129"/>
      <c r="QUK1" s="129"/>
      <c r="QUL1" s="129"/>
      <c r="QUM1" s="129"/>
      <c r="QUN1" s="129"/>
      <c r="QUO1" s="129"/>
      <c r="QUP1" s="129"/>
      <c r="QUQ1" s="129"/>
      <c r="QUR1" s="129"/>
      <c r="QUS1" s="129"/>
      <c r="QUT1" s="129"/>
      <c r="QUU1" s="129"/>
      <c r="QUV1" s="129"/>
      <c r="QUW1" s="129"/>
      <c r="QUX1" s="129"/>
      <c r="QUY1" s="129"/>
      <c r="QUZ1" s="129"/>
      <c r="QVA1" s="129"/>
      <c r="QVB1" s="129"/>
      <c r="QVC1" s="129"/>
      <c r="QVD1" s="129"/>
      <c r="QVE1" s="129"/>
      <c r="QVF1" s="129"/>
      <c r="QVG1" s="129"/>
      <c r="QVH1" s="129"/>
      <c r="QVI1" s="129"/>
      <c r="QVJ1" s="129"/>
      <c r="QVK1" s="129"/>
      <c r="QVL1" s="129"/>
      <c r="QVM1" s="129"/>
      <c r="QVN1" s="129"/>
      <c r="QVO1" s="129"/>
      <c r="QVP1" s="129"/>
      <c r="QVQ1" s="129"/>
      <c r="QVR1" s="129"/>
      <c r="QVS1" s="129"/>
      <c r="QVT1" s="129"/>
      <c r="QVU1" s="129"/>
      <c r="QVV1" s="129"/>
      <c r="QVW1" s="129"/>
      <c r="QVX1" s="129"/>
      <c r="QVY1" s="129"/>
      <c r="QVZ1" s="129"/>
      <c r="QWA1" s="129"/>
      <c r="QWB1" s="129"/>
      <c r="QWC1" s="129"/>
      <c r="QWD1" s="129"/>
      <c r="QWE1" s="129"/>
      <c r="QWF1" s="129"/>
      <c r="QWG1" s="129"/>
      <c r="QWH1" s="129"/>
      <c r="QWI1" s="129"/>
      <c r="QWJ1" s="129"/>
      <c r="QWK1" s="129"/>
      <c r="QWL1" s="129"/>
      <c r="QWM1" s="129"/>
      <c r="QWN1" s="129"/>
      <c r="QWO1" s="129"/>
      <c r="QWP1" s="129"/>
      <c r="QWQ1" s="129"/>
      <c r="QWR1" s="129"/>
      <c r="QWS1" s="129"/>
      <c r="QWT1" s="129"/>
      <c r="QWU1" s="129"/>
      <c r="QWV1" s="129"/>
      <c r="QWW1" s="129"/>
      <c r="QWX1" s="129"/>
      <c r="QWY1" s="129"/>
      <c r="QWZ1" s="129"/>
      <c r="QXA1" s="129"/>
      <c r="QXB1" s="129"/>
      <c r="QXC1" s="129"/>
      <c r="QXD1" s="129"/>
      <c r="QXE1" s="129"/>
      <c r="QXF1" s="129"/>
      <c r="QXG1" s="129"/>
      <c r="QXH1" s="129"/>
      <c r="QXI1" s="129"/>
      <c r="QXJ1" s="129"/>
      <c r="QXK1" s="129"/>
      <c r="QXL1" s="129"/>
      <c r="QXM1" s="129"/>
      <c r="QXN1" s="129"/>
      <c r="QXO1" s="129"/>
      <c r="QXP1" s="129"/>
      <c r="QXQ1" s="129"/>
      <c r="QXR1" s="129"/>
      <c r="QXS1" s="129"/>
      <c r="QXT1" s="129"/>
      <c r="QXU1" s="129"/>
      <c r="QXV1" s="129"/>
      <c r="QXW1" s="129"/>
      <c r="QXX1" s="129"/>
      <c r="QXY1" s="129"/>
      <c r="QXZ1" s="129"/>
      <c r="QYA1" s="129"/>
      <c r="QYB1" s="129"/>
      <c r="QYC1" s="129"/>
      <c r="QYD1" s="129"/>
      <c r="QYE1" s="129"/>
      <c r="QYF1" s="129"/>
      <c r="QYG1" s="129"/>
      <c r="QYH1" s="129"/>
      <c r="QYI1" s="129"/>
      <c r="QYJ1" s="129"/>
      <c r="QYK1" s="129"/>
      <c r="QYL1" s="129"/>
      <c r="QYM1" s="129"/>
      <c r="QYN1" s="129"/>
      <c r="QYO1" s="129"/>
      <c r="QYP1" s="129"/>
      <c r="QYQ1" s="129"/>
      <c r="QYR1" s="129"/>
      <c r="QYS1" s="129"/>
      <c r="QYT1" s="129"/>
      <c r="QYU1" s="129"/>
      <c r="QYV1" s="129"/>
      <c r="QYW1" s="129"/>
      <c r="QYX1" s="129"/>
      <c r="QYY1" s="129"/>
      <c r="QYZ1" s="129"/>
      <c r="QZA1" s="129"/>
      <c r="QZB1" s="129"/>
      <c r="QZC1" s="129"/>
      <c r="QZD1" s="129"/>
      <c r="QZE1" s="129"/>
      <c r="QZF1" s="129"/>
      <c r="QZG1" s="129"/>
      <c r="QZH1" s="129"/>
      <c r="QZI1" s="129"/>
      <c r="QZJ1" s="129"/>
      <c r="QZK1" s="129"/>
      <c r="QZL1" s="129"/>
      <c r="QZM1" s="129"/>
      <c r="QZN1" s="129"/>
      <c r="QZO1" s="129"/>
      <c r="QZP1" s="129"/>
      <c r="QZQ1" s="129"/>
      <c r="QZR1" s="129"/>
      <c r="QZS1" s="129"/>
      <c r="QZT1" s="129"/>
      <c r="QZU1" s="129"/>
      <c r="QZV1" s="129"/>
      <c r="QZW1" s="129"/>
      <c r="QZX1" s="129"/>
      <c r="QZY1" s="129"/>
      <c r="QZZ1" s="129"/>
      <c r="RAA1" s="129"/>
      <c r="RAB1" s="129"/>
      <c r="RAC1" s="129"/>
      <c r="RAD1" s="129"/>
      <c r="RAE1" s="129"/>
      <c r="RAF1" s="129"/>
      <c r="RAG1" s="129"/>
      <c r="RAH1" s="129"/>
      <c r="RAI1" s="129"/>
      <c r="RAJ1" s="129"/>
      <c r="RAK1" s="129"/>
      <c r="RAL1" s="129"/>
      <c r="RAM1" s="129"/>
      <c r="RAN1" s="129"/>
      <c r="RAO1" s="129"/>
      <c r="RAP1" s="129"/>
      <c r="RAQ1" s="129"/>
      <c r="RAR1" s="129"/>
      <c r="RAS1" s="129"/>
      <c r="RAT1" s="129"/>
      <c r="RAU1" s="129"/>
      <c r="RAV1" s="129"/>
      <c r="RAW1" s="129"/>
      <c r="RAX1" s="129"/>
      <c r="RAY1" s="129"/>
      <c r="RAZ1" s="129"/>
      <c r="RBA1" s="129"/>
      <c r="RBB1" s="129"/>
      <c r="RBC1" s="129"/>
      <c r="RBD1" s="129"/>
      <c r="RBE1" s="129"/>
      <c r="RBF1" s="129"/>
      <c r="RBG1" s="129"/>
      <c r="RBH1" s="129"/>
      <c r="RBI1" s="129"/>
      <c r="RBJ1" s="129"/>
      <c r="RBK1" s="129"/>
      <c r="RBL1" s="129"/>
      <c r="RBM1" s="129"/>
      <c r="RBN1" s="129"/>
      <c r="RBO1" s="129"/>
      <c r="RBP1" s="129"/>
      <c r="RBQ1" s="129"/>
      <c r="RBR1" s="129"/>
      <c r="RBS1" s="129"/>
      <c r="RBT1" s="129"/>
      <c r="RBU1" s="129"/>
      <c r="RBV1" s="129"/>
      <c r="RBW1" s="129"/>
      <c r="RBX1" s="129"/>
      <c r="RBY1" s="129"/>
      <c r="RBZ1" s="129"/>
      <c r="RCA1" s="129"/>
      <c r="RCB1" s="129"/>
      <c r="RCC1" s="129"/>
      <c r="RCD1" s="129"/>
      <c r="RCE1" s="129"/>
      <c r="RCF1" s="129"/>
      <c r="RCG1" s="129"/>
      <c r="RCH1" s="129"/>
      <c r="RCI1" s="129"/>
      <c r="RCJ1" s="129"/>
      <c r="RCK1" s="129"/>
      <c r="RCL1" s="129"/>
      <c r="RCM1" s="129"/>
      <c r="RCN1" s="129"/>
      <c r="RCO1" s="129"/>
      <c r="RCP1" s="129"/>
      <c r="RCQ1" s="129"/>
      <c r="RCR1" s="129"/>
      <c r="RCS1" s="129"/>
      <c r="RCT1" s="129"/>
      <c r="RCU1" s="129"/>
      <c r="RCV1" s="129"/>
      <c r="RCW1" s="129"/>
      <c r="RCX1" s="129"/>
      <c r="RCY1" s="129"/>
      <c r="RCZ1" s="129"/>
      <c r="RDA1" s="129"/>
      <c r="RDB1" s="129"/>
      <c r="RDC1" s="129"/>
      <c r="RDD1" s="129"/>
      <c r="RDE1" s="129"/>
      <c r="RDF1" s="129"/>
      <c r="RDG1" s="129"/>
      <c r="RDH1" s="129"/>
      <c r="RDI1" s="129"/>
      <c r="RDJ1" s="129"/>
      <c r="RDK1" s="129"/>
      <c r="RDL1" s="129"/>
      <c r="RDM1" s="129"/>
      <c r="RDN1" s="129"/>
      <c r="RDO1" s="129"/>
      <c r="RDP1" s="129"/>
      <c r="RDQ1" s="129"/>
      <c r="RDR1" s="129"/>
      <c r="RDS1" s="129"/>
      <c r="RDT1" s="129"/>
      <c r="RDU1" s="129"/>
      <c r="RDV1" s="129"/>
      <c r="RDW1" s="129"/>
      <c r="RDX1" s="129"/>
      <c r="RDY1" s="129"/>
      <c r="RDZ1" s="129"/>
      <c r="REA1" s="129"/>
      <c r="REB1" s="129"/>
      <c r="REC1" s="129"/>
      <c r="RED1" s="129"/>
      <c r="REE1" s="129"/>
      <c r="REF1" s="129"/>
      <c r="REG1" s="129"/>
      <c r="REH1" s="129"/>
      <c r="REI1" s="129"/>
      <c r="REJ1" s="129"/>
      <c r="REK1" s="129"/>
      <c r="REL1" s="129"/>
      <c r="REM1" s="129"/>
      <c r="REN1" s="129"/>
      <c r="REO1" s="129"/>
      <c r="REP1" s="129"/>
      <c r="REQ1" s="129"/>
      <c r="RER1" s="129"/>
      <c r="RES1" s="129"/>
      <c r="RET1" s="129"/>
      <c r="REU1" s="129"/>
      <c r="REV1" s="129"/>
      <c r="REW1" s="129"/>
      <c r="REX1" s="129"/>
      <c r="REY1" s="129"/>
      <c r="REZ1" s="129"/>
      <c r="RFA1" s="129"/>
      <c r="RFB1" s="129"/>
      <c r="RFC1" s="129"/>
      <c r="RFD1" s="129"/>
      <c r="RFE1" s="129"/>
      <c r="RFF1" s="129"/>
      <c r="RFG1" s="129"/>
      <c r="RFH1" s="129"/>
      <c r="RFI1" s="129"/>
      <c r="RFJ1" s="129"/>
      <c r="RFK1" s="129"/>
      <c r="RFL1" s="129"/>
      <c r="RFM1" s="129"/>
      <c r="RFN1" s="129"/>
      <c r="RFO1" s="129"/>
      <c r="RFP1" s="129"/>
      <c r="RFQ1" s="129"/>
      <c r="RFR1" s="129"/>
      <c r="RFS1" s="129"/>
      <c r="RFT1" s="129"/>
      <c r="RFU1" s="129"/>
      <c r="RFV1" s="129"/>
      <c r="RFW1" s="129"/>
      <c r="RFX1" s="129"/>
      <c r="RFY1" s="129"/>
      <c r="RFZ1" s="129"/>
      <c r="RGA1" s="129"/>
      <c r="RGB1" s="129"/>
      <c r="RGC1" s="129"/>
      <c r="RGD1" s="129"/>
      <c r="RGE1" s="129"/>
      <c r="RGF1" s="129"/>
      <c r="RGG1" s="129"/>
      <c r="RGH1" s="129"/>
      <c r="RGI1" s="129"/>
      <c r="RGJ1" s="129"/>
      <c r="RGK1" s="129"/>
      <c r="RGL1" s="129"/>
      <c r="RGM1" s="129"/>
      <c r="RGN1" s="129"/>
      <c r="RGO1" s="129"/>
      <c r="RGP1" s="129"/>
      <c r="RGQ1" s="129"/>
      <c r="RGR1" s="129"/>
      <c r="RGS1" s="129"/>
      <c r="RGT1" s="129"/>
      <c r="RGU1" s="129"/>
      <c r="RGV1" s="129"/>
      <c r="RGW1" s="129"/>
      <c r="RGX1" s="129"/>
      <c r="RGY1" s="129"/>
      <c r="RGZ1" s="129"/>
      <c r="RHA1" s="129"/>
      <c r="RHB1" s="129"/>
      <c r="RHC1" s="129"/>
      <c r="RHD1" s="129"/>
      <c r="RHE1" s="129"/>
      <c r="RHF1" s="129"/>
      <c r="RHG1" s="129"/>
      <c r="RHH1" s="129"/>
      <c r="RHI1" s="129"/>
      <c r="RHJ1" s="129"/>
      <c r="RHK1" s="129"/>
      <c r="RHL1" s="129"/>
      <c r="RHM1" s="129"/>
      <c r="RHN1" s="129"/>
      <c r="RHO1" s="129"/>
      <c r="RHP1" s="129"/>
      <c r="RHQ1" s="129"/>
      <c r="RHR1" s="129"/>
      <c r="RHS1" s="129"/>
      <c r="RHT1" s="129"/>
      <c r="RHU1" s="129"/>
      <c r="RHV1" s="129"/>
      <c r="RHW1" s="129"/>
      <c r="RHX1" s="129"/>
      <c r="RHY1" s="129"/>
      <c r="RHZ1" s="129"/>
      <c r="RIA1" s="129"/>
      <c r="RIB1" s="129"/>
      <c r="RIC1" s="129"/>
      <c r="RID1" s="129"/>
      <c r="RIE1" s="129"/>
      <c r="RIF1" s="129"/>
      <c r="RIG1" s="129"/>
      <c r="RIH1" s="129"/>
      <c r="RII1" s="129"/>
      <c r="RIJ1" s="129"/>
      <c r="RIK1" s="129"/>
      <c r="RIL1" s="129"/>
      <c r="RIM1" s="129"/>
      <c r="RIN1" s="129"/>
      <c r="RIO1" s="129"/>
      <c r="RIP1" s="129"/>
      <c r="RIQ1" s="129"/>
      <c r="RIR1" s="129"/>
      <c r="RIS1" s="129"/>
      <c r="RIT1" s="129"/>
      <c r="RIU1" s="129"/>
      <c r="RIV1" s="129"/>
      <c r="RIW1" s="129"/>
      <c r="RIX1" s="129"/>
      <c r="RIY1" s="129"/>
      <c r="RIZ1" s="129"/>
      <c r="RJA1" s="129"/>
      <c r="RJB1" s="129"/>
      <c r="RJC1" s="129"/>
      <c r="RJD1" s="129"/>
      <c r="RJE1" s="129"/>
      <c r="RJF1" s="129"/>
      <c r="RJG1" s="129"/>
      <c r="RJH1" s="129"/>
      <c r="RJI1" s="129"/>
      <c r="RJJ1" s="129"/>
      <c r="RJK1" s="129"/>
      <c r="RJL1" s="129"/>
      <c r="RJM1" s="129"/>
      <c r="RJN1" s="129"/>
      <c r="RJO1" s="129"/>
      <c r="RJP1" s="129"/>
      <c r="RJQ1" s="129"/>
      <c r="RJR1" s="129"/>
      <c r="RJS1" s="129"/>
      <c r="RJT1" s="129"/>
      <c r="RJU1" s="129"/>
      <c r="RJV1" s="129"/>
      <c r="RJW1" s="129"/>
      <c r="RJX1" s="129"/>
      <c r="RJY1" s="129"/>
      <c r="RJZ1" s="129"/>
      <c r="RKA1" s="129"/>
      <c r="RKB1" s="129"/>
      <c r="RKC1" s="129"/>
      <c r="RKD1" s="129"/>
      <c r="RKE1" s="129"/>
      <c r="RKF1" s="129"/>
      <c r="RKG1" s="129"/>
      <c r="RKH1" s="129"/>
      <c r="RKI1" s="129"/>
      <c r="RKJ1" s="129"/>
      <c r="RKK1" s="129"/>
      <c r="RKL1" s="129"/>
      <c r="RKM1" s="129"/>
      <c r="RKN1" s="129"/>
      <c r="RKO1" s="129"/>
      <c r="RKP1" s="129"/>
      <c r="RKQ1" s="129"/>
      <c r="RKR1" s="129"/>
      <c r="RKS1" s="129"/>
      <c r="RKT1" s="129"/>
      <c r="RKU1" s="129"/>
      <c r="RKV1" s="129"/>
      <c r="RKW1" s="129"/>
      <c r="RKX1" s="129"/>
      <c r="RKY1" s="129"/>
      <c r="RKZ1" s="129"/>
      <c r="RLA1" s="129"/>
      <c r="RLB1" s="129"/>
      <c r="RLC1" s="129"/>
      <c r="RLD1" s="129"/>
      <c r="RLE1" s="129"/>
      <c r="RLF1" s="129"/>
      <c r="RLG1" s="129"/>
      <c r="RLH1" s="129"/>
      <c r="RLI1" s="129"/>
      <c r="RLJ1" s="129"/>
      <c r="RLK1" s="129"/>
      <c r="RLL1" s="129"/>
      <c r="RLM1" s="129"/>
      <c r="RLN1" s="129"/>
      <c r="RLO1" s="129"/>
      <c r="RLP1" s="129"/>
      <c r="RLQ1" s="129"/>
      <c r="RLR1" s="129"/>
      <c r="RLS1" s="129"/>
      <c r="RLT1" s="129"/>
      <c r="RLU1" s="129"/>
      <c r="RLV1" s="129"/>
      <c r="RLW1" s="129"/>
      <c r="RLX1" s="129"/>
      <c r="RLY1" s="129"/>
      <c r="RLZ1" s="129"/>
      <c r="RMA1" s="129"/>
      <c r="RMB1" s="129"/>
      <c r="RMC1" s="129"/>
      <c r="RMD1" s="129"/>
      <c r="RME1" s="129"/>
      <c r="RMF1" s="129"/>
      <c r="RMG1" s="129"/>
      <c r="RMH1" s="129"/>
      <c r="RMI1" s="129"/>
      <c r="RMJ1" s="129"/>
      <c r="RMK1" s="129"/>
      <c r="RML1" s="129"/>
      <c r="RMM1" s="129"/>
      <c r="RMN1" s="129"/>
      <c r="RMO1" s="129"/>
      <c r="RMP1" s="129"/>
      <c r="RMQ1" s="129"/>
      <c r="RMR1" s="129"/>
      <c r="RMS1" s="129"/>
      <c r="RMT1" s="129"/>
      <c r="RMU1" s="129"/>
      <c r="RMV1" s="129"/>
      <c r="RMW1" s="129"/>
      <c r="RMX1" s="129"/>
      <c r="RMY1" s="129"/>
      <c r="RMZ1" s="129"/>
      <c r="RNA1" s="129"/>
      <c r="RNB1" s="129"/>
      <c r="RNC1" s="129"/>
      <c r="RND1" s="129"/>
      <c r="RNE1" s="129"/>
      <c r="RNF1" s="129"/>
      <c r="RNG1" s="129"/>
      <c r="RNH1" s="129"/>
      <c r="RNI1" s="129"/>
      <c r="RNJ1" s="129"/>
      <c r="RNK1" s="129"/>
      <c r="RNL1" s="129"/>
      <c r="RNM1" s="129"/>
      <c r="RNN1" s="129"/>
      <c r="RNO1" s="129"/>
      <c r="RNP1" s="129"/>
      <c r="RNQ1" s="129"/>
      <c r="RNR1" s="129"/>
      <c r="RNS1" s="129"/>
      <c r="RNT1" s="129"/>
      <c r="RNU1" s="129"/>
      <c r="RNV1" s="129"/>
      <c r="RNW1" s="129"/>
      <c r="RNX1" s="129"/>
      <c r="RNY1" s="129"/>
      <c r="RNZ1" s="129"/>
      <c r="ROA1" s="129"/>
      <c r="ROB1" s="129"/>
      <c r="ROC1" s="129"/>
      <c r="ROD1" s="129"/>
      <c r="ROE1" s="129"/>
      <c r="ROF1" s="129"/>
      <c r="ROG1" s="129"/>
      <c r="ROH1" s="129"/>
      <c r="ROI1" s="129"/>
      <c r="ROJ1" s="129"/>
      <c r="ROK1" s="129"/>
      <c r="ROL1" s="129"/>
      <c r="ROM1" s="129"/>
      <c r="RON1" s="129"/>
      <c r="ROO1" s="129"/>
      <c r="ROP1" s="129"/>
      <c r="ROQ1" s="129"/>
      <c r="ROR1" s="129"/>
      <c r="ROS1" s="129"/>
      <c r="ROT1" s="129"/>
      <c r="ROU1" s="129"/>
      <c r="ROV1" s="129"/>
      <c r="ROW1" s="129"/>
      <c r="ROX1" s="129"/>
      <c r="ROY1" s="129"/>
      <c r="ROZ1" s="129"/>
      <c r="RPA1" s="129"/>
      <c r="RPB1" s="129"/>
      <c r="RPC1" s="129"/>
      <c r="RPD1" s="129"/>
      <c r="RPE1" s="129"/>
      <c r="RPF1" s="129"/>
      <c r="RPG1" s="129"/>
      <c r="RPH1" s="129"/>
      <c r="RPI1" s="129"/>
      <c r="RPJ1" s="129"/>
      <c r="RPK1" s="129"/>
      <c r="RPL1" s="129"/>
      <c r="RPM1" s="129"/>
      <c r="RPN1" s="129"/>
      <c r="RPO1" s="129"/>
      <c r="RPP1" s="129"/>
      <c r="RPQ1" s="129"/>
      <c r="RPR1" s="129"/>
      <c r="RPS1" s="129"/>
      <c r="RPT1" s="129"/>
      <c r="RPU1" s="129"/>
      <c r="RPV1" s="129"/>
      <c r="RPW1" s="129"/>
      <c r="RPX1" s="129"/>
      <c r="RPY1" s="129"/>
      <c r="RPZ1" s="129"/>
      <c r="RQA1" s="129"/>
      <c r="RQB1" s="129"/>
      <c r="RQC1" s="129"/>
      <c r="RQD1" s="129"/>
      <c r="RQE1" s="129"/>
      <c r="RQF1" s="129"/>
      <c r="RQG1" s="129"/>
      <c r="RQH1" s="129"/>
      <c r="RQI1" s="129"/>
      <c r="RQJ1" s="129"/>
      <c r="RQK1" s="129"/>
      <c r="RQL1" s="129"/>
      <c r="RQM1" s="129"/>
      <c r="RQN1" s="129"/>
      <c r="RQO1" s="129"/>
      <c r="RQP1" s="129"/>
      <c r="RQQ1" s="129"/>
      <c r="RQR1" s="129"/>
      <c r="RQS1" s="129"/>
      <c r="RQT1" s="129"/>
      <c r="RQU1" s="129"/>
      <c r="RQV1" s="129"/>
      <c r="RQW1" s="129"/>
      <c r="RQX1" s="129"/>
      <c r="RQY1" s="129"/>
      <c r="RQZ1" s="129"/>
      <c r="RRA1" s="129"/>
      <c r="RRB1" s="129"/>
      <c r="RRC1" s="129"/>
      <c r="RRD1" s="129"/>
      <c r="RRE1" s="129"/>
      <c r="RRF1" s="129"/>
      <c r="RRG1" s="129"/>
      <c r="RRH1" s="129"/>
      <c r="RRI1" s="129"/>
      <c r="RRJ1" s="129"/>
      <c r="RRK1" s="129"/>
      <c r="RRL1" s="129"/>
      <c r="RRM1" s="129"/>
      <c r="RRN1" s="129"/>
      <c r="RRO1" s="129"/>
      <c r="RRP1" s="129"/>
      <c r="RRQ1" s="129"/>
      <c r="RRR1" s="129"/>
      <c r="RRS1" s="129"/>
      <c r="RRT1" s="129"/>
      <c r="RRU1" s="129"/>
      <c r="RRV1" s="129"/>
      <c r="RRW1" s="129"/>
      <c r="RRX1" s="129"/>
      <c r="RRY1" s="129"/>
      <c r="RRZ1" s="129"/>
      <c r="RSA1" s="129"/>
      <c r="RSB1" s="129"/>
      <c r="RSC1" s="129"/>
      <c r="RSD1" s="129"/>
      <c r="RSE1" s="129"/>
      <c r="RSF1" s="129"/>
      <c r="RSG1" s="129"/>
      <c r="RSH1" s="129"/>
      <c r="RSI1" s="129"/>
      <c r="RSJ1" s="129"/>
      <c r="RSK1" s="129"/>
      <c r="RSL1" s="129"/>
      <c r="RSM1" s="129"/>
      <c r="RSN1" s="129"/>
      <c r="RSO1" s="129"/>
      <c r="RSP1" s="129"/>
      <c r="RSQ1" s="129"/>
      <c r="RSR1" s="129"/>
      <c r="RSS1" s="129"/>
      <c r="RST1" s="129"/>
      <c r="RSU1" s="129"/>
      <c r="RSV1" s="129"/>
      <c r="RSW1" s="129"/>
      <c r="RSX1" s="129"/>
      <c r="RSY1" s="129"/>
      <c r="RSZ1" s="129"/>
      <c r="RTA1" s="129"/>
      <c r="RTB1" s="129"/>
      <c r="RTC1" s="129"/>
      <c r="RTD1" s="129"/>
      <c r="RTE1" s="129"/>
      <c r="RTF1" s="129"/>
      <c r="RTG1" s="129"/>
      <c r="RTH1" s="129"/>
      <c r="RTI1" s="129"/>
      <c r="RTJ1" s="129"/>
      <c r="RTK1" s="129"/>
      <c r="RTL1" s="129"/>
      <c r="RTM1" s="129"/>
      <c r="RTN1" s="129"/>
      <c r="RTO1" s="129"/>
      <c r="RTP1" s="129"/>
      <c r="RTQ1" s="129"/>
      <c r="RTR1" s="129"/>
      <c r="RTS1" s="129"/>
      <c r="RTT1" s="129"/>
      <c r="RTU1" s="129"/>
      <c r="RTV1" s="129"/>
      <c r="RTW1" s="129"/>
      <c r="RTX1" s="129"/>
      <c r="RTY1" s="129"/>
      <c r="RTZ1" s="129"/>
      <c r="RUA1" s="129"/>
      <c r="RUB1" s="129"/>
      <c r="RUC1" s="129"/>
      <c r="RUD1" s="129"/>
      <c r="RUE1" s="129"/>
      <c r="RUF1" s="129"/>
      <c r="RUG1" s="129"/>
      <c r="RUH1" s="129"/>
      <c r="RUI1" s="129"/>
      <c r="RUJ1" s="129"/>
      <c r="RUK1" s="129"/>
      <c r="RUL1" s="129"/>
      <c r="RUM1" s="129"/>
      <c r="RUN1" s="129"/>
      <c r="RUO1" s="129"/>
      <c r="RUP1" s="129"/>
      <c r="RUQ1" s="129"/>
      <c r="RUR1" s="129"/>
      <c r="RUS1" s="129"/>
      <c r="RUT1" s="129"/>
      <c r="RUU1" s="129"/>
      <c r="RUV1" s="129"/>
      <c r="RUW1" s="129"/>
      <c r="RUX1" s="129"/>
      <c r="RUY1" s="129"/>
      <c r="RUZ1" s="129"/>
      <c r="RVA1" s="129"/>
      <c r="RVB1" s="129"/>
      <c r="RVC1" s="129"/>
      <c r="RVD1" s="129"/>
      <c r="RVE1" s="129"/>
      <c r="RVF1" s="129"/>
      <c r="RVG1" s="129"/>
      <c r="RVH1" s="129"/>
      <c r="RVI1" s="129"/>
      <c r="RVJ1" s="129"/>
      <c r="RVK1" s="129"/>
      <c r="RVL1" s="129"/>
      <c r="RVM1" s="129"/>
      <c r="RVN1" s="129"/>
      <c r="RVO1" s="129"/>
      <c r="RVP1" s="129"/>
      <c r="RVQ1" s="129"/>
      <c r="RVR1" s="129"/>
      <c r="RVS1" s="129"/>
      <c r="RVT1" s="129"/>
      <c r="RVU1" s="129"/>
      <c r="RVV1" s="129"/>
      <c r="RVW1" s="129"/>
      <c r="RVX1" s="129"/>
      <c r="RVY1" s="129"/>
      <c r="RVZ1" s="129"/>
      <c r="RWA1" s="129"/>
      <c r="RWB1" s="129"/>
      <c r="RWC1" s="129"/>
      <c r="RWD1" s="129"/>
      <c r="RWE1" s="129"/>
      <c r="RWF1" s="129"/>
      <c r="RWG1" s="129"/>
      <c r="RWH1" s="129"/>
      <c r="RWI1" s="129"/>
      <c r="RWJ1" s="129"/>
      <c r="RWK1" s="129"/>
      <c r="RWL1" s="129"/>
      <c r="RWM1" s="129"/>
      <c r="RWN1" s="129"/>
      <c r="RWO1" s="129"/>
      <c r="RWP1" s="129"/>
      <c r="RWQ1" s="129"/>
      <c r="RWR1" s="129"/>
      <c r="RWS1" s="129"/>
      <c r="RWT1" s="129"/>
      <c r="RWU1" s="129"/>
      <c r="RWV1" s="129"/>
      <c r="RWW1" s="129"/>
      <c r="RWX1" s="129"/>
      <c r="RWY1" s="129"/>
      <c r="RWZ1" s="129"/>
      <c r="RXA1" s="129"/>
      <c r="RXB1" s="129"/>
      <c r="RXC1" s="129"/>
      <c r="RXD1" s="129"/>
      <c r="RXE1" s="129"/>
      <c r="RXF1" s="129"/>
      <c r="RXG1" s="129"/>
      <c r="RXH1" s="129"/>
      <c r="RXI1" s="129"/>
      <c r="RXJ1" s="129"/>
      <c r="RXK1" s="129"/>
      <c r="RXL1" s="129"/>
      <c r="RXM1" s="129"/>
      <c r="RXN1" s="129"/>
      <c r="RXO1" s="129"/>
      <c r="RXP1" s="129"/>
      <c r="RXQ1" s="129"/>
      <c r="RXR1" s="129"/>
      <c r="RXS1" s="129"/>
      <c r="RXT1" s="129"/>
      <c r="RXU1" s="129"/>
      <c r="RXV1" s="129"/>
      <c r="RXW1" s="129"/>
      <c r="RXX1" s="129"/>
      <c r="RXY1" s="129"/>
      <c r="RXZ1" s="129"/>
      <c r="RYA1" s="129"/>
      <c r="RYB1" s="129"/>
      <c r="RYC1" s="129"/>
      <c r="RYD1" s="129"/>
      <c r="RYE1" s="129"/>
      <c r="RYF1" s="129"/>
      <c r="RYG1" s="129"/>
      <c r="RYH1" s="129"/>
      <c r="RYI1" s="129"/>
      <c r="RYJ1" s="129"/>
      <c r="RYK1" s="129"/>
      <c r="RYL1" s="129"/>
      <c r="RYM1" s="129"/>
      <c r="RYN1" s="129"/>
      <c r="RYO1" s="129"/>
      <c r="RYP1" s="129"/>
      <c r="RYQ1" s="129"/>
      <c r="RYR1" s="129"/>
      <c r="RYS1" s="129"/>
      <c r="RYT1" s="129"/>
      <c r="RYU1" s="129"/>
      <c r="RYV1" s="129"/>
      <c r="RYW1" s="129"/>
      <c r="RYX1" s="129"/>
      <c r="RYY1" s="129"/>
      <c r="RYZ1" s="129"/>
      <c r="RZA1" s="129"/>
      <c r="RZB1" s="129"/>
      <c r="RZC1" s="129"/>
      <c r="RZD1" s="129"/>
      <c r="RZE1" s="129"/>
      <c r="RZF1" s="129"/>
      <c r="RZG1" s="129"/>
      <c r="RZH1" s="129"/>
      <c r="RZI1" s="129"/>
      <c r="RZJ1" s="129"/>
      <c r="RZK1" s="129"/>
      <c r="RZL1" s="129"/>
      <c r="RZM1" s="129"/>
      <c r="RZN1" s="129"/>
      <c r="RZO1" s="129"/>
      <c r="RZP1" s="129"/>
      <c r="RZQ1" s="129"/>
      <c r="RZR1" s="129"/>
      <c r="RZS1" s="129"/>
      <c r="RZT1" s="129"/>
      <c r="RZU1" s="129"/>
      <c r="RZV1" s="129"/>
      <c r="RZW1" s="129"/>
      <c r="RZX1" s="129"/>
      <c r="RZY1" s="129"/>
      <c r="RZZ1" s="129"/>
      <c r="SAA1" s="129"/>
      <c r="SAB1" s="129"/>
      <c r="SAC1" s="129"/>
      <c r="SAD1" s="129"/>
      <c r="SAE1" s="129"/>
      <c r="SAF1" s="129"/>
      <c r="SAG1" s="129"/>
      <c r="SAH1" s="129"/>
      <c r="SAI1" s="129"/>
      <c r="SAJ1" s="129"/>
      <c r="SAK1" s="129"/>
      <c r="SAL1" s="129"/>
      <c r="SAM1" s="129"/>
      <c r="SAN1" s="129"/>
      <c r="SAO1" s="129"/>
      <c r="SAP1" s="129"/>
      <c r="SAQ1" s="129"/>
      <c r="SAR1" s="129"/>
      <c r="SAS1" s="129"/>
      <c r="SAT1" s="129"/>
      <c r="SAU1" s="129"/>
      <c r="SAV1" s="129"/>
      <c r="SAW1" s="129"/>
      <c r="SAX1" s="129"/>
      <c r="SAY1" s="129"/>
      <c r="SAZ1" s="129"/>
      <c r="SBA1" s="129"/>
      <c r="SBB1" s="129"/>
      <c r="SBC1" s="129"/>
      <c r="SBD1" s="129"/>
      <c r="SBE1" s="129"/>
      <c r="SBF1" s="129"/>
      <c r="SBG1" s="129"/>
      <c r="SBH1" s="129"/>
      <c r="SBI1" s="129"/>
      <c r="SBJ1" s="129"/>
      <c r="SBK1" s="129"/>
      <c r="SBL1" s="129"/>
      <c r="SBM1" s="129"/>
      <c r="SBN1" s="129"/>
      <c r="SBO1" s="129"/>
      <c r="SBP1" s="129"/>
      <c r="SBQ1" s="129"/>
      <c r="SBR1" s="129"/>
      <c r="SBS1" s="129"/>
      <c r="SBT1" s="129"/>
      <c r="SBU1" s="129"/>
      <c r="SBV1" s="129"/>
      <c r="SBW1" s="129"/>
      <c r="SBX1" s="129"/>
      <c r="SBY1" s="129"/>
      <c r="SBZ1" s="129"/>
      <c r="SCA1" s="129"/>
      <c r="SCB1" s="129"/>
      <c r="SCC1" s="129"/>
      <c r="SCD1" s="129"/>
      <c r="SCE1" s="129"/>
      <c r="SCF1" s="129"/>
      <c r="SCG1" s="129"/>
      <c r="SCH1" s="129"/>
      <c r="SCI1" s="129"/>
      <c r="SCJ1" s="129"/>
      <c r="SCK1" s="129"/>
      <c r="SCL1" s="129"/>
      <c r="SCM1" s="129"/>
      <c r="SCN1" s="129"/>
      <c r="SCO1" s="129"/>
      <c r="SCP1" s="129"/>
      <c r="SCQ1" s="129"/>
      <c r="SCR1" s="129"/>
      <c r="SCS1" s="129"/>
      <c r="SCT1" s="129"/>
      <c r="SCU1" s="129"/>
      <c r="SCV1" s="129"/>
      <c r="SCW1" s="129"/>
      <c r="SCX1" s="129"/>
      <c r="SCY1" s="129"/>
      <c r="SCZ1" s="129"/>
      <c r="SDA1" s="129"/>
      <c r="SDB1" s="129"/>
      <c r="SDC1" s="129"/>
      <c r="SDD1" s="129"/>
      <c r="SDE1" s="129"/>
      <c r="SDF1" s="129"/>
      <c r="SDG1" s="129"/>
      <c r="SDH1" s="129"/>
      <c r="SDI1" s="129"/>
      <c r="SDJ1" s="129"/>
      <c r="SDK1" s="129"/>
      <c r="SDL1" s="129"/>
      <c r="SDM1" s="129"/>
      <c r="SDN1" s="129"/>
      <c r="SDO1" s="129"/>
      <c r="SDP1" s="129"/>
      <c r="SDQ1" s="129"/>
      <c r="SDR1" s="129"/>
      <c r="SDS1" s="129"/>
      <c r="SDT1" s="129"/>
      <c r="SDU1" s="129"/>
      <c r="SDV1" s="129"/>
      <c r="SDW1" s="129"/>
      <c r="SDX1" s="129"/>
      <c r="SDY1" s="129"/>
      <c r="SDZ1" s="129"/>
      <c r="SEA1" s="129"/>
      <c r="SEB1" s="129"/>
      <c r="SEC1" s="129"/>
      <c r="SED1" s="129"/>
      <c r="SEE1" s="129"/>
      <c r="SEF1" s="129"/>
      <c r="SEG1" s="129"/>
      <c r="SEH1" s="129"/>
      <c r="SEI1" s="129"/>
      <c r="SEJ1" s="129"/>
      <c r="SEK1" s="129"/>
      <c r="SEL1" s="129"/>
      <c r="SEM1" s="129"/>
      <c r="SEN1" s="129"/>
      <c r="SEO1" s="129"/>
      <c r="SEP1" s="129"/>
      <c r="SEQ1" s="129"/>
      <c r="SER1" s="129"/>
      <c r="SES1" s="129"/>
      <c r="SET1" s="129"/>
      <c r="SEU1" s="129"/>
      <c r="SEV1" s="129"/>
      <c r="SEW1" s="129"/>
      <c r="SEX1" s="129"/>
      <c r="SEY1" s="129"/>
      <c r="SEZ1" s="129"/>
      <c r="SFA1" s="129"/>
      <c r="SFB1" s="129"/>
      <c r="SFC1" s="129"/>
      <c r="SFD1" s="129"/>
      <c r="SFE1" s="129"/>
      <c r="SFF1" s="129"/>
      <c r="SFG1" s="129"/>
      <c r="SFH1" s="129"/>
      <c r="SFI1" s="129"/>
      <c r="SFJ1" s="129"/>
      <c r="SFK1" s="129"/>
      <c r="SFL1" s="129"/>
      <c r="SFM1" s="129"/>
      <c r="SFN1" s="129"/>
      <c r="SFO1" s="129"/>
      <c r="SFP1" s="129"/>
      <c r="SFQ1" s="129"/>
      <c r="SFR1" s="129"/>
      <c r="SFS1" s="129"/>
      <c r="SFT1" s="129"/>
      <c r="SFU1" s="129"/>
      <c r="SFV1" s="129"/>
      <c r="SFW1" s="129"/>
      <c r="SFX1" s="129"/>
      <c r="SFY1" s="129"/>
      <c r="SFZ1" s="129"/>
      <c r="SGA1" s="129"/>
      <c r="SGB1" s="129"/>
      <c r="SGC1" s="129"/>
      <c r="SGD1" s="129"/>
      <c r="SGE1" s="129"/>
      <c r="SGF1" s="129"/>
      <c r="SGG1" s="129"/>
      <c r="SGH1" s="129"/>
      <c r="SGI1" s="129"/>
      <c r="SGJ1" s="129"/>
      <c r="SGK1" s="129"/>
      <c r="SGL1" s="129"/>
      <c r="SGM1" s="129"/>
      <c r="SGN1" s="129"/>
      <c r="SGO1" s="129"/>
      <c r="SGP1" s="129"/>
      <c r="SGQ1" s="129"/>
      <c r="SGR1" s="129"/>
      <c r="SGS1" s="129"/>
      <c r="SGT1" s="129"/>
      <c r="SGU1" s="129"/>
      <c r="SGV1" s="129"/>
      <c r="SGW1" s="129"/>
      <c r="SGX1" s="129"/>
      <c r="SGY1" s="129"/>
      <c r="SGZ1" s="129"/>
      <c r="SHA1" s="129"/>
      <c r="SHB1" s="129"/>
      <c r="SHC1" s="129"/>
      <c r="SHD1" s="129"/>
      <c r="SHE1" s="129"/>
      <c r="SHF1" s="129"/>
      <c r="SHG1" s="129"/>
      <c r="SHH1" s="129"/>
      <c r="SHI1" s="129"/>
      <c r="SHJ1" s="129"/>
      <c r="SHK1" s="129"/>
      <c r="SHL1" s="129"/>
      <c r="SHM1" s="129"/>
      <c r="SHN1" s="129"/>
      <c r="SHO1" s="129"/>
      <c r="SHP1" s="129"/>
      <c r="SHQ1" s="129"/>
      <c r="SHR1" s="129"/>
      <c r="SHS1" s="129"/>
      <c r="SHT1" s="129"/>
      <c r="SHU1" s="129"/>
      <c r="SHV1" s="129"/>
      <c r="SHW1" s="129"/>
      <c r="SHX1" s="129"/>
      <c r="SHY1" s="129"/>
      <c r="SHZ1" s="129"/>
      <c r="SIA1" s="129"/>
      <c r="SIB1" s="129"/>
      <c r="SIC1" s="129"/>
      <c r="SID1" s="129"/>
      <c r="SIE1" s="129"/>
      <c r="SIF1" s="129"/>
      <c r="SIG1" s="129"/>
      <c r="SIH1" s="129"/>
      <c r="SII1" s="129"/>
      <c r="SIJ1" s="129"/>
      <c r="SIK1" s="129"/>
      <c r="SIL1" s="129"/>
      <c r="SIM1" s="129"/>
      <c r="SIN1" s="129"/>
      <c r="SIO1" s="129"/>
      <c r="SIP1" s="129"/>
      <c r="SIQ1" s="129"/>
      <c r="SIR1" s="129"/>
      <c r="SIS1" s="129"/>
      <c r="SIT1" s="129"/>
      <c r="SIU1" s="129"/>
      <c r="SIV1" s="129"/>
      <c r="SIW1" s="129"/>
      <c r="SIX1" s="129"/>
      <c r="SIY1" s="129"/>
      <c r="SIZ1" s="129"/>
      <c r="SJA1" s="129"/>
      <c r="SJB1" s="129"/>
      <c r="SJC1" s="129"/>
      <c r="SJD1" s="129"/>
      <c r="SJE1" s="129"/>
      <c r="SJF1" s="129"/>
      <c r="SJG1" s="129"/>
      <c r="SJH1" s="129"/>
      <c r="SJI1" s="129"/>
      <c r="SJJ1" s="129"/>
      <c r="SJK1" s="129"/>
      <c r="SJL1" s="129"/>
      <c r="SJM1" s="129"/>
      <c r="SJN1" s="129"/>
      <c r="SJO1" s="129"/>
      <c r="SJP1" s="129"/>
      <c r="SJQ1" s="129"/>
      <c r="SJR1" s="129"/>
      <c r="SJS1" s="129"/>
      <c r="SJT1" s="129"/>
      <c r="SJU1" s="129"/>
      <c r="SJV1" s="129"/>
      <c r="SJW1" s="129"/>
      <c r="SJX1" s="129"/>
      <c r="SJY1" s="129"/>
      <c r="SJZ1" s="129"/>
      <c r="SKA1" s="129"/>
      <c r="SKB1" s="129"/>
      <c r="SKC1" s="129"/>
      <c r="SKD1" s="129"/>
      <c r="SKE1" s="129"/>
      <c r="SKF1" s="129"/>
      <c r="SKG1" s="129"/>
      <c r="SKH1" s="129"/>
      <c r="SKI1" s="129"/>
      <c r="SKJ1" s="129"/>
      <c r="SKK1" s="129"/>
      <c r="SKL1" s="129"/>
      <c r="SKM1" s="129"/>
      <c r="SKN1" s="129"/>
      <c r="SKO1" s="129"/>
      <c r="SKP1" s="129"/>
      <c r="SKQ1" s="129"/>
      <c r="SKR1" s="129"/>
      <c r="SKS1" s="129"/>
      <c r="SKT1" s="129"/>
      <c r="SKU1" s="129"/>
      <c r="SKV1" s="129"/>
      <c r="SKW1" s="129"/>
      <c r="SKX1" s="129"/>
      <c r="SKY1" s="129"/>
      <c r="SKZ1" s="129"/>
      <c r="SLA1" s="129"/>
      <c r="SLB1" s="129"/>
      <c r="SLC1" s="129"/>
      <c r="SLD1" s="129"/>
      <c r="SLE1" s="129"/>
      <c r="SLF1" s="129"/>
      <c r="SLG1" s="129"/>
      <c r="SLH1" s="129"/>
      <c r="SLI1" s="129"/>
      <c r="SLJ1" s="129"/>
      <c r="SLK1" s="129"/>
      <c r="SLL1" s="129"/>
      <c r="SLM1" s="129"/>
      <c r="SLN1" s="129"/>
      <c r="SLO1" s="129"/>
      <c r="SLP1" s="129"/>
      <c r="SLQ1" s="129"/>
      <c r="SLR1" s="129"/>
      <c r="SLS1" s="129"/>
      <c r="SLT1" s="129"/>
      <c r="SLU1" s="129"/>
      <c r="SLV1" s="129"/>
      <c r="SLW1" s="129"/>
      <c r="SLX1" s="129"/>
      <c r="SLY1" s="129"/>
      <c r="SLZ1" s="129"/>
      <c r="SMA1" s="129"/>
      <c r="SMB1" s="129"/>
      <c r="SMC1" s="129"/>
      <c r="SMD1" s="129"/>
      <c r="SME1" s="129"/>
      <c r="SMF1" s="129"/>
      <c r="SMG1" s="129"/>
      <c r="SMH1" s="129"/>
      <c r="SMI1" s="129"/>
      <c r="SMJ1" s="129"/>
      <c r="SMK1" s="129"/>
      <c r="SML1" s="129"/>
      <c r="SMM1" s="129"/>
      <c r="SMN1" s="129"/>
      <c r="SMO1" s="129"/>
      <c r="SMP1" s="129"/>
      <c r="SMQ1" s="129"/>
      <c r="SMR1" s="129"/>
      <c r="SMS1" s="129"/>
      <c r="SMT1" s="129"/>
      <c r="SMU1" s="129"/>
      <c r="SMV1" s="129"/>
      <c r="SMW1" s="129"/>
      <c r="SMX1" s="129"/>
      <c r="SMY1" s="129"/>
      <c r="SMZ1" s="129"/>
      <c r="SNA1" s="129"/>
      <c r="SNB1" s="129"/>
      <c r="SNC1" s="129"/>
      <c r="SND1" s="129"/>
      <c r="SNE1" s="129"/>
      <c r="SNF1" s="129"/>
      <c r="SNG1" s="129"/>
      <c r="SNH1" s="129"/>
      <c r="SNI1" s="129"/>
      <c r="SNJ1" s="129"/>
      <c r="SNK1" s="129"/>
      <c r="SNL1" s="129"/>
      <c r="SNM1" s="129"/>
      <c r="SNN1" s="129"/>
      <c r="SNO1" s="129"/>
      <c r="SNP1" s="129"/>
      <c r="SNQ1" s="129"/>
      <c r="SNR1" s="129"/>
      <c r="SNS1" s="129"/>
      <c r="SNT1" s="129"/>
      <c r="SNU1" s="129"/>
      <c r="SNV1" s="129"/>
      <c r="SNW1" s="129"/>
      <c r="SNX1" s="129"/>
      <c r="SNY1" s="129"/>
      <c r="SNZ1" s="129"/>
      <c r="SOA1" s="129"/>
      <c r="SOB1" s="129"/>
      <c r="SOC1" s="129"/>
      <c r="SOD1" s="129"/>
      <c r="SOE1" s="129"/>
      <c r="SOF1" s="129"/>
      <c r="SOG1" s="129"/>
      <c r="SOH1" s="129"/>
      <c r="SOI1" s="129"/>
      <c r="SOJ1" s="129"/>
      <c r="SOK1" s="129"/>
      <c r="SOL1" s="129"/>
      <c r="SOM1" s="129"/>
      <c r="SON1" s="129"/>
      <c r="SOO1" s="129"/>
      <c r="SOP1" s="129"/>
      <c r="SOQ1" s="129"/>
      <c r="SOR1" s="129"/>
      <c r="SOS1" s="129"/>
      <c r="SOT1" s="129"/>
      <c r="SOU1" s="129"/>
      <c r="SOV1" s="129"/>
      <c r="SOW1" s="129"/>
      <c r="SOX1" s="129"/>
      <c r="SOY1" s="129"/>
      <c r="SOZ1" s="129"/>
      <c r="SPA1" s="129"/>
      <c r="SPB1" s="129"/>
      <c r="SPC1" s="129"/>
      <c r="SPD1" s="129"/>
      <c r="SPE1" s="129"/>
      <c r="SPF1" s="129"/>
      <c r="SPG1" s="129"/>
      <c r="SPH1" s="129"/>
      <c r="SPI1" s="129"/>
      <c r="SPJ1" s="129"/>
      <c r="SPK1" s="129"/>
      <c r="SPL1" s="129"/>
      <c r="SPM1" s="129"/>
      <c r="SPN1" s="129"/>
      <c r="SPO1" s="129"/>
      <c r="SPP1" s="129"/>
      <c r="SPQ1" s="129"/>
      <c r="SPR1" s="129"/>
      <c r="SPS1" s="129"/>
      <c r="SPT1" s="129"/>
      <c r="SPU1" s="129"/>
      <c r="SPV1" s="129"/>
      <c r="SPW1" s="129"/>
      <c r="SPX1" s="129"/>
      <c r="SPY1" s="129"/>
      <c r="SPZ1" s="129"/>
      <c r="SQA1" s="129"/>
      <c r="SQB1" s="129"/>
      <c r="SQC1" s="129"/>
      <c r="SQD1" s="129"/>
      <c r="SQE1" s="129"/>
      <c r="SQF1" s="129"/>
      <c r="SQG1" s="129"/>
      <c r="SQH1" s="129"/>
      <c r="SQI1" s="129"/>
      <c r="SQJ1" s="129"/>
      <c r="SQK1" s="129"/>
      <c r="SQL1" s="129"/>
      <c r="SQM1" s="129"/>
      <c r="SQN1" s="129"/>
      <c r="SQO1" s="129"/>
      <c r="SQP1" s="129"/>
      <c r="SQQ1" s="129"/>
      <c r="SQR1" s="129"/>
      <c r="SQS1" s="129"/>
      <c r="SQT1" s="129"/>
      <c r="SQU1" s="129"/>
      <c r="SQV1" s="129"/>
      <c r="SQW1" s="129"/>
      <c r="SQX1" s="129"/>
      <c r="SQY1" s="129"/>
      <c r="SQZ1" s="129"/>
      <c r="SRA1" s="129"/>
      <c r="SRB1" s="129"/>
      <c r="SRC1" s="129"/>
      <c r="SRD1" s="129"/>
      <c r="SRE1" s="129"/>
      <c r="SRF1" s="129"/>
      <c r="SRG1" s="129"/>
      <c r="SRH1" s="129"/>
      <c r="SRI1" s="129"/>
      <c r="SRJ1" s="129"/>
      <c r="SRK1" s="129"/>
      <c r="SRL1" s="129"/>
      <c r="SRM1" s="129"/>
      <c r="SRN1" s="129"/>
      <c r="SRO1" s="129"/>
      <c r="SRP1" s="129"/>
      <c r="SRQ1" s="129"/>
      <c r="SRR1" s="129"/>
      <c r="SRS1" s="129"/>
      <c r="SRT1" s="129"/>
      <c r="SRU1" s="129"/>
      <c r="SRV1" s="129"/>
      <c r="SRW1" s="129"/>
      <c r="SRX1" s="129"/>
      <c r="SRY1" s="129"/>
      <c r="SRZ1" s="129"/>
      <c r="SSA1" s="129"/>
      <c r="SSB1" s="129"/>
      <c r="SSC1" s="129"/>
      <c r="SSD1" s="129"/>
      <c r="SSE1" s="129"/>
      <c r="SSF1" s="129"/>
      <c r="SSG1" s="129"/>
      <c r="SSH1" s="129"/>
      <c r="SSI1" s="129"/>
      <c r="SSJ1" s="129"/>
      <c r="SSK1" s="129"/>
      <c r="SSL1" s="129"/>
      <c r="SSM1" s="129"/>
      <c r="SSN1" s="129"/>
      <c r="SSO1" s="129"/>
      <c r="SSP1" s="129"/>
      <c r="SSQ1" s="129"/>
      <c r="SSR1" s="129"/>
      <c r="SSS1" s="129"/>
      <c r="SST1" s="129"/>
      <c r="SSU1" s="129"/>
      <c r="SSV1" s="129"/>
      <c r="SSW1" s="129"/>
      <c r="SSX1" s="129"/>
      <c r="SSY1" s="129"/>
      <c r="SSZ1" s="129"/>
      <c r="STA1" s="129"/>
      <c r="STB1" s="129"/>
      <c r="STC1" s="129"/>
      <c r="STD1" s="129"/>
      <c r="STE1" s="129"/>
      <c r="STF1" s="129"/>
      <c r="STG1" s="129"/>
      <c r="STH1" s="129"/>
      <c r="STI1" s="129"/>
      <c r="STJ1" s="129"/>
      <c r="STK1" s="129"/>
      <c r="STL1" s="129"/>
      <c r="STM1" s="129"/>
      <c r="STN1" s="129"/>
      <c r="STO1" s="129"/>
      <c r="STP1" s="129"/>
      <c r="STQ1" s="129"/>
      <c r="STR1" s="129"/>
      <c r="STS1" s="129"/>
      <c r="STT1" s="129"/>
      <c r="STU1" s="129"/>
      <c r="STV1" s="129"/>
      <c r="STW1" s="129"/>
      <c r="STX1" s="129"/>
      <c r="STY1" s="129"/>
      <c r="STZ1" s="129"/>
      <c r="SUA1" s="129"/>
      <c r="SUB1" s="129"/>
      <c r="SUC1" s="129"/>
      <c r="SUD1" s="129"/>
      <c r="SUE1" s="129"/>
      <c r="SUF1" s="129"/>
      <c r="SUG1" s="129"/>
      <c r="SUH1" s="129"/>
      <c r="SUI1" s="129"/>
      <c r="SUJ1" s="129"/>
      <c r="SUK1" s="129"/>
      <c r="SUL1" s="129"/>
      <c r="SUM1" s="129"/>
      <c r="SUN1" s="129"/>
      <c r="SUO1" s="129"/>
      <c r="SUP1" s="129"/>
      <c r="SUQ1" s="129"/>
      <c r="SUR1" s="129"/>
      <c r="SUS1" s="129"/>
      <c r="SUT1" s="129"/>
      <c r="SUU1" s="129"/>
      <c r="SUV1" s="129"/>
      <c r="SUW1" s="129"/>
      <c r="SUX1" s="129"/>
      <c r="SUY1" s="129"/>
      <c r="SUZ1" s="129"/>
      <c r="SVA1" s="129"/>
      <c r="SVB1" s="129"/>
      <c r="SVC1" s="129"/>
      <c r="SVD1" s="129"/>
      <c r="SVE1" s="129"/>
      <c r="SVF1" s="129"/>
      <c r="SVG1" s="129"/>
      <c r="SVH1" s="129"/>
      <c r="SVI1" s="129"/>
      <c r="SVJ1" s="129"/>
      <c r="SVK1" s="129"/>
      <c r="SVL1" s="129"/>
      <c r="SVM1" s="129"/>
      <c r="SVN1" s="129"/>
      <c r="SVO1" s="129"/>
      <c r="SVP1" s="129"/>
      <c r="SVQ1" s="129"/>
      <c r="SVR1" s="129"/>
      <c r="SVS1" s="129"/>
      <c r="SVT1" s="129"/>
      <c r="SVU1" s="129"/>
      <c r="SVV1" s="129"/>
      <c r="SVW1" s="129"/>
      <c r="SVX1" s="129"/>
      <c r="SVY1" s="129"/>
      <c r="SVZ1" s="129"/>
      <c r="SWA1" s="129"/>
      <c r="SWB1" s="129"/>
      <c r="SWC1" s="129"/>
      <c r="SWD1" s="129"/>
      <c r="SWE1" s="129"/>
      <c r="SWF1" s="129"/>
      <c r="SWG1" s="129"/>
      <c r="SWH1" s="129"/>
      <c r="SWI1" s="129"/>
      <c r="SWJ1" s="129"/>
      <c r="SWK1" s="129"/>
      <c r="SWL1" s="129"/>
      <c r="SWM1" s="129"/>
      <c r="SWN1" s="129"/>
      <c r="SWO1" s="129"/>
      <c r="SWP1" s="129"/>
      <c r="SWQ1" s="129"/>
      <c r="SWR1" s="129"/>
      <c r="SWS1" s="129"/>
      <c r="SWT1" s="129"/>
      <c r="SWU1" s="129"/>
      <c r="SWV1" s="129"/>
      <c r="SWW1" s="129"/>
      <c r="SWX1" s="129"/>
      <c r="SWY1" s="129"/>
      <c r="SWZ1" s="129"/>
      <c r="SXA1" s="129"/>
      <c r="SXB1" s="129"/>
      <c r="SXC1" s="129"/>
      <c r="SXD1" s="129"/>
      <c r="SXE1" s="129"/>
      <c r="SXF1" s="129"/>
      <c r="SXG1" s="129"/>
      <c r="SXH1" s="129"/>
      <c r="SXI1" s="129"/>
      <c r="SXJ1" s="129"/>
      <c r="SXK1" s="129"/>
      <c r="SXL1" s="129"/>
      <c r="SXM1" s="129"/>
      <c r="SXN1" s="129"/>
      <c r="SXO1" s="129"/>
      <c r="SXP1" s="129"/>
      <c r="SXQ1" s="129"/>
      <c r="SXR1" s="129"/>
      <c r="SXS1" s="129"/>
      <c r="SXT1" s="129"/>
      <c r="SXU1" s="129"/>
      <c r="SXV1" s="129"/>
      <c r="SXW1" s="129"/>
      <c r="SXX1" s="129"/>
      <c r="SXY1" s="129"/>
      <c r="SXZ1" s="129"/>
      <c r="SYA1" s="129"/>
      <c r="SYB1" s="129"/>
      <c r="SYC1" s="129"/>
      <c r="SYD1" s="129"/>
      <c r="SYE1" s="129"/>
      <c r="SYF1" s="129"/>
      <c r="SYG1" s="129"/>
      <c r="SYH1" s="129"/>
      <c r="SYI1" s="129"/>
      <c r="SYJ1" s="129"/>
      <c r="SYK1" s="129"/>
      <c r="SYL1" s="129"/>
      <c r="SYM1" s="129"/>
      <c r="SYN1" s="129"/>
      <c r="SYO1" s="129"/>
      <c r="SYP1" s="129"/>
      <c r="SYQ1" s="129"/>
      <c r="SYR1" s="129"/>
      <c r="SYS1" s="129"/>
      <c r="SYT1" s="129"/>
      <c r="SYU1" s="129"/>
      <c r="SYV1" s="129"/>
      <c r="SYW1" s="129"/>
      <c r="SYX1" s="129"/>
      <c r="SYY1" s="129"/>
      <c r="SYZ1" s="129"/>
      <c r="SZA1" s="129"/>
      <c r="SZB1" s="129"/>
      <c r="SZC1" s="129"/>
      <c r="SZD1" s="129"/>
      <c r="SZE1" s="129"/>
      <c r="SZF1" s="129"/>
      <c r="SZG1" s="129"/>
      <c r="SZH1" s="129"/>
      <c r="SZI1" s="129"/>
      <c r="SZJ1" s="129"/>
      <c r="SZK1" s="129"/>
      <c r="SZL1" s="129"/>
      <c r="SZM1" s="129"/>
      <c r="SZN1" s="129"/>
      <c r="SZO1" s="129"/>
      <c r="SZP1" s="129"/>
      <c r="SZQ1" s="129"/>
      <c r="SZR1" s="129"/>
      <c r="SZS1" s="129"/>
      <c r="SZT1" s="129"/>
      <c r="SZU1" s="129"/>
      <c r="SZV1" s="129"/>
      <c r="SZW1" s="129"/>
      <c r="SZX1" s="129"/>
      <c r="SZY1" s="129"/>
      <c r="SZZ1" s="129"/>
      <c r="TAA1" s="129"/>
      <c r="TAB1" s="129"/>
      <c r="TAC1" s="129"/>
      <c r="TAD1" s="129"/>
      <c r="TAE1" s="129"/>
      <c r="TAF1" s="129"/>
      <c r="TAG1" s="129"/>
      <c r="TAH1" s="129"/>
      <c r="TAI1" s="129"/>
      <c r="TAJ1" s="129"/>
      <c r="TAK1" s="129"/>
      <c r="TAL1" s="129"/>
      <c r="TAM1" s="129"/>
      <c r="TAN1" s="129"/>
      <c r="TAO1" s="129"/>
      <c r="TAP1" s="129"/>
      <c r="TAQ1" s="129"/>
      <c r="TAR1" s="129"/>
      <c r="TAS1" s="129"/>
      <c r="TAT1" s="129"/>
      <c r="TAU1" s="129"/>
      <c r="TAV1" s="129"/>
      <c r="TAW1" s="129"/>
      <c r="TAX1" s="129"/>
      <c r="TAY1" s="129"/>
      <c r="TAZ1" s="129"/>
      <c r="TBA1" s="129"/>
      <c r="TBB1" s="129"/>
      <c r="TBC1" s="129"/>
      <c r="TBD1" s="129"/>
      <c r="TBE1" s="129"/>
      <c r="TBF1" s="129"/>
      <c r="TBG1" s="129"/>
      <c r="TBH1" s="129"/>
      <c r="TBI1" s="129"/>
      <c r="TBJ1" s="129"/>
      <c r="TBK1" s="129"/>
      <c r="TBL1" s="129"/>
      <c r="TBM1" s="129"/>
      <c r="TBN1" s="129"/>
      <c r="TBO1" s="129"/>
      <c r="TBP1" s="129"/>
      <c r="TBQ1" s="129"/>
      <c r="TBR1" s="129"/>
      <c r="TBS1" s="129"/>
      <c r="TBT1" s="129"/>
      <c r="TBU1" s="129"/>
      <c r="TBV1" s="129"/>
      <c r="TBW1" s="129"/>
      <c r="TBX1" s="129"/>
      <c r="TBY1" s="129"/>
      <c r="TBZ1" s="129"/>
      <c r="TCA1" s="129"/>
      <c r="TCB1" s="129"/>
      <c r="TCC1" s="129"/>
      <c r="TCD1" s="129"/>
      <c r="TCE1" s="129"/>
      <c r="TCF1" s="129"/>
      <c r="TCG1" s="129"/>
      <c r="TCH1" s="129"/>
      <c r="TCI1" s="129"/>
      <c r="TCJ1" s="129"/>
      <c r="TCK1" s="129"/>
      <c r="TCL1" s="129"/>
      <c r="TCM1" s="129"/>
      <c r="TCN1" s="129"/>
      <c r="TCO1" s="129"/>
      <c r="TCP1" s="129"/>
      <c r="TCQ1" s="129"/>
      <c r="TCR1" s="129"/>
      <c r="TCS1" s="129"/>
      <c r="TCT1" s="129"/>
      <c r="TCU1" s="129"/>
      <c r="TCV1" s="129"/>
      <c r="TCW1" s="129"/>
      <c r="TCX1" s="129"/>
      <c r="TCY1" s="129"/>
      <c r="TCZ1" s="129"/>
      <c r="TDA1" s="129"/>
      <c r="TDB1" s="129"/>
      <c r="TDC1" s="129"/>
      <c r="TDD1" s="129"/>
      <c r="TDE1" s="129"/>
      <c r="TDF1" s="129"/>
      <c r="TDG1" s="129"/>
      <c r="TDH1" s="129"/>
      <c r="TDI1" s="129"/>
      <c r="TDJ1" s="129"/>
      <c r="TDK1" s="129"/>
      <c r="TDL1" s="129"/>
      <c r="TDM1" s="129"/>
      <c r="TDN1" s="129"/>
      <c r="TDO1" s="129"/>
      <c r="TDP1" s="129"/>
      <c r="TDQ1" s="129"/>
      <c r="TDR1" s="129"/>
      <c r="TDS1" s="129"/>
      <c r="TDT1" s="129"/>
      <c r="TDU1" s="129"/>
      <c r="TDV1" s="129"/>
      <c r="TDW1" s="129"/>
      <c r="TDX1" s="129"/>
      <c r="TDY1" s="129"/>
      <c r="TDZ1" s="129"/>
      <c r="TEA1" s="129"/>
      <c r="TEB1" s="129"/>
      <c r="TEC1" s="129"/>
      <c r="TED1" s="129"/>
      <c r="TEE1" s="129"/>
      <c r="TEF1" s="129"/>
      <c r="TEG1" s="129"/>
      <c r="TEH1" s="129"/>
      <c r="TEI1" s="129"/>
      <c r="TEJ1" s="129"/>
      <c r="TEK1" s="129"/>
      <c r="TEL1" s="129"/>
      <c r="TEM1" s="129"/>
      <c r="TEN1" s="129"/>
      <c r="TEO1" s="129"/>
      <c r="TEP1" s="129"/>
      <c r="TEQ1" s="129"/>
      <c r="TER1" s="129"/>
      <c r="TES1" s="129"/>
      <c r="TET1" s="129"/>
      <c r="TEU1" s="129"/>
      <c r="TEV1" s="129"/>
      <c r="TEW1" s="129"/>
      <c r="TEX1" s="129"/>
      <c r="TEY1" s="129"/>
      <c r="TEZ1" s="129"/>
      <c r="TFA1" s="129"/>
      <c r="TFB1" s="129"/>
      <c r="TFC1" s="129"/>
      <c r="TFD1" s="129"/>
      <c r="TFE1" s="129"/>
      <c r="TFF1" s="129"/>
      <c r="TFG1" s="129"/>
      <c r="TFH1" s="129"/>
      <c r="TFI1" s="129"/>
      <c r="TFJ1" s="129"/>
      <c r="TFK1" s="129"/>
      <c r="TFL1" s="129"/>
      <c r="TFM1" s="129"/>
      <c r="TFN1" s="129"/>
      <c r="TFO1" s="129"/>
      <c r="TFP1" s="129"/>
      <c r="TFQ1" s="129"/>
      <c r="TFR1" s="129"/>
      <c r="TFS1" s="129"/>
      <c r="TFT1" s="129"/>
      <c r="TFU1" s="129"/>
      <c r="TFV1" s="129"/>
      <c r="TFW1" s="129"/>
      <c r="TFX1" s="129"/>
      <c r="TFY1" s="129"/>
      <c r="TFZ1" s="129"/>
      <c r="TGA1" s="129"/>
      <c r="TGB1" s="129"/>
      <c r="TGC1" s="129"/>
      <c r="TGD1" s="129"/>
      <c r="TGE1" s="129"/>
      <c r="TGF1" s="129"/>
      <c r="TGG1" s="129"/>
      <c r="TGH1" s="129"/>
      <c r="TGI1" s="129"/>
      <c r="TGJ1" s="129"/>
      <c r="TGK1" s="129"/>
      <c r="TGL1" s="129"/>
      <c r="TGM1" s="129"/>
      <c r="TGN1" s="129"/>
      <c r="TGO1" s="129"/>
      <c r="TGP1" s="129"/>
      <c r="TGQ1" s="129"/>
      <c r="TGR1" s="129"/>
      <c r="TGS1" s="129"/>
      <c r="TGT1" s="129"/>
      <c r="TGU1" s="129"/>
      <c r="TGV1" s="129"/>
      <c r="TGW1" s="129"/>
      <c r="TGX1" s="129"/>
      <c r="TGY1" s="129"/>
      <c r="TGZ1" s="129"/>
      <c r="THA1" s="129"/>
      <c r="THB1" s="129"/>
      <c r="THC1" s="129"/>
      <c r="THD1" s="129"/>
      <c r="THE1" s="129"/>
      <c r="THF1" s="129"/>
      <c r="THG1" s="129"/>
      <c r="THH1" s="129"/>
      <c r="THI1" s="129"/>
      <c r="THJ1" s="129"/>
      <c r="THK1" s="129"/>
      <c r="THL1" s="129"/>
      <c r="THM1" s="129"/>
      <c r="THN1" s="129"/>
      <c r="THO1" s="129"/>
      <c r="THP1" s="129"/>
      <c r="THQ1" s="129"/>
      <c r="THR1" s="129"/>
      <c r="THS1" s="129"/>
      <c r="THT1" s="129"/>
      <c r="THU1" s="129"/>
      <c r="THV1" s="129"/>
      <c r="THW1" s="129"/>
      <c r="THX1" s="129"/>
      <c r="THY1" s="129"/>
      <c r="THZ1" s="129"/>
      <c r="TIA1" s="129"/>
      <c r="TIB1" s="129"/>
      <c r="TIC1" s="129"/>
      <c r="TID1" s="129"/>
      <c r="TIE1" s="129"/>
      <c r="TIF1" s="129"/>
      <c r="TIG1" s="129"/>
      <c r="TIH1" s="129"/>
      <c r="TII1" s="129"/>
      <c r="TIJ1" s="129"/>
      <c r="TIK1" s="129"/>
      <c r="TIL1" s="129"/>
      <c r="TIM1" s="129"/>
      <c r="TIN1" s="129"/>
      <c r="TIO1" s="129"/>
      <c r="TIP1" s="129"/>
      <c r="TIQ1" s="129"/>
      <c r="TIR1" s="129"/>
      <c r="TIS1" s="129"/>
      <c r="TIT1" s="129"/>
      <c r="TIU1" s="129"/>
      <c r="TIV1" s="129"/>
      <c r="TIW1" s="129"/>
      <c r="TIX1" s="129"/>
      <c r="TIY1" s="129"/>
      <c r="TIZ1" s="129"/>
      <c r="TJA1" s="129"/>
      <c r="TJB1" s="129"/>
      <c r="TJC1" s="129"/>
      <c r="TJD1" s="129"/>
      <c r="TJE1" s="129"/>
      <c r="TJF1" s="129"/>
      <c r="TJG1" s="129"/>
      <c r="TJH1" s="129"/>
      <c r="TJI1" s="129"/>
      <c r="TJJ1" s="129"/>
      <c r="TJK1" s="129"/>
      <c r="TJL1" s="129"/>
      <c r="TJM1" s="129"/>
      <c r="TJN1" s="129"/>
      <c r="TJO1" s="129"/>
      <c r="TJP1" s="129"/>
      <c r="TJQ1" s="129"/>
      <c r="TJR1" s="129"/>
      <c r="TJS1" s="129"/>
      <c r="TJT1" s="129"/>
      <c r="TJU1" s="129"/>
      <c r="TJV1" s="129"/>
      <c r="TJW1" s="129"/>
      <c r="TJX1" s="129"/>
      <c r="TJY1" s="129"/>
      <c r="TJZ1" s="129"/>
      <c r="TKA1" s="129"/>
      <c r="TKB1" s="129"/>
      <c r="TKC1" s="129"/>
      <c r="TKD1" s="129"/>
      <c r="TKE1" s="129"/>
      <c r="TKF1" s="129"/>
      <c r="TKG1" s="129"/>
      <c r="TKH1" s="129"/>
      <c r="TKI1" s="129"/>
      <c r="TKJ1" s="129"/>
      <c r="TKK1" s="129"/>
      <c r="TKL1" s="129"/>
      <c r="TKM1" s="129"/>
      <c r="TKN1" s="129"/>
      <c r="TKO1" s="129"/>
      <c r="TKP1" s="129"/>
      <c r="TKQ1" s="129"/>
      <c r="TKR1" s="129"/>
      <c r="TKS1" s="129"/>
      <c r="TKT1" s="129"/>
      <c r="TKU1" s="129"/>
      <c r="TKV1" s="129"/>
      <c r="TKW1" s="129"/>
      <c r="TKX1" s="129"/>
      <c r="TKY1" s="129"/>
      <c r="TKZ1" s="129"/>
      <c r="TLA1" s="129"/>
      <c r="TLB1" s="129"/>
      <c r="TLC1" s="129"/>
      <c r="TLD1" s="129"/>
      <c r="TLE1" s="129"/>
      <c r="TLF1" s="129"/>
      <c r="TLG1" s="129"/>
      <c r="TLH1" s="129"/>
      <c r="TLI1" s="129"/>
      <c r="TLJ1" s="129"/>
      <c r="TLK1" s="129"/>
      <c r="TLL1" s="129"/>
      <c r="TLM1" s="129"/>
      <c r="TLN1" s="129"/>
      <c r="TLO1" s="129"/>
      <c r="TLP1" s="129"/>
      <c r="TLQ1" s="129"/>
      <c r="TLR1" s="129"/>
      <c r="TLS1" s="129"/>
      <c r="TLT1" s="129"/>
      <c r="TLU1" s="129"/>
      <c r="TLV1" s="129"/>
      <c r="TLW1" s="129"/>
      <c r="TLX1" s="129"/>
      <c r="TLY1" s="129"/>
      <c r="TLZ1" s="129"/>
      <c r="TMA1" s="129"/>
      <c r="TMB1" s="129"/>
      <c r="TMC1" s="129"/>
      <c r="TMD1" s="129"/>
      <c r="TME1" s="129"/>
      <c r="TMF1" s="129"/>
      <c r="TMG1" s="129"/>
      <c r="TMH1" s="129"/>
      <c r="TMI1" s="129"/>
      <c r="TMJ1" s="129"/>
      <c r="TMK1" s="129"/>
      <c r="TML1" s="129"/>
      <c r="TMM1" s="129"/>
      <c r="TMN1" s="129"/>
      <c r="TMO1" s="129"/>
      <c r="TMP1" s="129"/>
      <c r="TMQ1" s="129"/>
      <c r="TMR1" s="129"/>
      <c r="TMS1" s="129"/>
      <c r="TMT1" s="129"/>
      <c r="TMU1" s="129"/>
      <c r="TMV1" s="129"/>
      <c r="TMW1" s="129"/>
      <c r="TMX1" s="129"/>
      <c r="TMY1" s="129"/>
      <c r="TMZ1" s="129"/>
      <c r="TNA1" s="129"/>
      <c r="TNB1" s="129"/>
      <c r="TNC1" s="129"/>
      <c r="TND1" s="129"/>
      <c r="TNE1" s="129"/>
      <c r="TNF1" s="129"/>
      <c r="TNG1" s="129"/>
      <c r="TNH1" s="129"/>
      <c r="TNI1" s="129"/>
      <c r="TNJ1" s="129"/>
      <c r="TNK1" s="129"/>
      <c r="TNL1" s="129"/>
      <c r="TNM1" s="129"/>
      <c r="TNN1" s="129"/>
      <c r="TNO1" s="129"/>
      <c r="TNP1" s="129"/>
      <c r="TNQ1" s="129"/>
      <c r="TNR1" s="129"/>
      <c r="TNS1" s="129"/>
      <c r="TNT1" s="129"/>
      <c r="TNU1" s="129"/>
      <c r="TNV1" s="129"/>
      <c r="TNW1" s="129"/>
      <c r="TNX1" s="129"/>
      <c r="TNY1" s="129"/>
      <c r="TNZ1" s="129"/>
      <c r="TOA1" s="129"/>
      <c r="TOB1" s="129"/>
      <c r="TOC1" s="129"/>
      <c r="TOD1" s="129"/>
      <c r="TOE1" s="129"/>
      <c r="TOF1" s="129"/>
      <c r="TOG1" s="129"/>
      <c r="TOH1" s="129"/>
      <c r="TOI1" s="129"/>
      <c r="TOJ1" s="129"/>
      <c r="TOK1" s="129"/>
      <c r="TOL1" s="129"/>
      <c r="TOM1" s="129"/>
      <c r="TON1" s="129"/>
      <c r="TOO1" s="129"/>
      <c r="TOP1" s="129"/>
      <c r="TOQ1" s="129"/>
      <c r="TOR1" s="129"/>
      <c r="TOS1" s="129"/>
      <c r="TOT1" s="129"/>
      <c r="TOU1" s="129"/>
      <c r="TOV1" s="129"/>
      <c r="TOW1" s="129"/>
      <c r="TOX1" s="129"/>
      <c r="TOY1" s="129"/>
      <c r="TOZ1" s="129"/>
      <c r="TPA1" s="129"/>
      <c r="TPB1" s="129"/>
      <c r="TPC1" s="129"/>
      <c r="TPD1" s="129"/>
      <c r="TPE1" s="129"/>
      <c r="TPF1" s="129"/>
      <c r="TPG1" s="129"/>
      <c r="TPH1" s="129"/>
      <c r="TPI1" s="129"/>
      <c r="TPJ1" s="129"/>
      <c r="TPK1" s="129"/>
      <c r="TPL1" s="129"/>
      <c r="TPM1" s="129"/>
      <c r="TPN1" s="129"/>
      <c r="TPO1" s="129"/>
      <c r="TPP1" s="129"/>
      <c r="TPQ1" s="129"/>
      <c r="TPR1" s="129"/>
      <c r="TPS1" s="129"/>
      <c r="TPT1" s="129"/>
      <c r="TPU1" s="129"/>
      <c r="TPV1" s="129"/>
      <c r="TPW1" s="129"/>
      <c r="TPX1" s="129"/>
      <c r="TPY1" s="129"/>
      <c r="TPZ1" s="129"/>
      <c r="TQA1" s="129"/>
      <c r="TQB1" s="129"/>
      <c r="TQC1" s="129"/>
      <c r="TQD1" s="129"/>
      <c r="TQE1" s="129"/>
      <c r="TQF1" s="129"/>
      <c r="TQG1" s="129"/>
      <c r="TQH1" s="129"/>
      <c r="TQI1" s="129"/>
      <c r="TQJ1" s="129"/>
      <c r="TQK1" s="129"/>
      <c r="TQL1" s="129"/>
      <c r="TQM1" s="129"/>
      <c r="TQN1" s="129"/>
      <c r="TQO1" s="129"/>
      <c r="TQP1" s="129"/>
      <c r="TQQ1" s="129"/>
      <c r="TQR1" s="129"/>
      <c r="TQS1" s="129"/>
      <c r="TQT1" s="129"/>
      <c r="TQU1" s="129"/>
      <c r="TQV1" s="129"/>
      <c r="TQW1" s="129"/>
      <c r="TQX1" s="129"/>
      <c r="TQY1" s="129"/>
      <c r="TQZ1" s="129"/>
      <c r="TRA1" s="129"/>
      <c r="TRB1" s="129"/>
      <c r="TRC1" s="129"/>
      <c r="TRD1" s="129"/>
      <c r="TRE1" s="129"/>
      <c r="TRF1" s="129"/>
      <c r="TRG1" s="129"/>
      <c r="TRH1" s="129"/>
      <c r="TRI1" s="129"/>
      <c r="TRJ1" s="129"/>
      <c r="TRK1" s="129"/>
      <c r="TRL1" s="129"/>
      <c r="TRM1" s="129"/>
      <c r="TRN1" s="129"/>
      <c r="TRO1" s="129"/>
      <c r="TRP1" s="129"/>
      <c r="TRQ1" s="129"/>
      <c r="TRR1" s="129"/>
      <c r="TRS1" s="129"/>
      <c r="TRT1" s="129"/>
      <c r="TRU1" s="129"/>
      <c r="TRV1" s="129"/>
      <c r="TRW1" s="129"/>
      <c r="TRX1" s="129"/>
      <c r="TRY1" s="129"/>
      <c r="TRZ1" s="129"/>
      <c r="TSA1" s="129"/>
      <c r="TSB1" s="129"/>
      <c r="TSC1" s="129"/>
      <c r="TSD1" s="129"/>
      <c r="TSE1" s="129"/>
      <c r="TSF1" s="129"/>
      <c r="TSG1" s="129"/>
      <c r="TSH1" s="129"/>
      <c r="TSI1" s="129"/>
      <c r="TSJ1" s="129"/>
      <c r="TSK1" s="129"/>
      <c r="TSL1" s="129"/>
      <c r="TSM1" s="129"/>
      <c r="TSN1" s="129"/>
      <c r="TSO1" s="129"/>
      <c r="TSP1" s="129"/>
      <c r="TSQ1" s="129"/>
      <c r="TSR1" s="129"/>
      <c r="TSS1" s="129"/>
      <c r="TST1" s="129"/>
      <c r="TSU1" s="129"/>
      <c r="TSV1" s="129"/>
      <c r="TSW1" s="129"/>
      <c r="TSX1" s="129"/>
      <c r="TSY1" s="129"/>
      <c r="TSZ1" s="129"/>
      <c r="TTA1" s="129"/>
      <c r="TTB1" s="129"/>
      <c r="TTC1" s="129"/>
      <c r="TTD1" s="129"/>
      <c r="TTE1" s="129"/>
      <c r="TTF1" s="129"/>
      <c r="TTG1" s="129"/>
      <c r="TTH1" s="129"/>
      <c r="TTI1" s="129"/>
      <c r="TTJ1" s="129"/>
      <c r="TTK1" s="129"/>
      <c r="TTL1" s="129"/>
      <c r="TTM1" s="129"/>
      <c r="TTN1" s="129"/>
      <c r="TTO1" s="129"/>
      <c r="TTP1" s="129"/>
      <c r="TTQ1" s="129"/>
      <c r="TTR1" s="129"/>
      <c r="TTS1" s="129"/>
      <c r="TTT1" s="129"/>
      <c r="TTU1" s="129"/>
      <c r="TTV1" s="129"/>
      <c r="TTW1" s="129"/>
      <c r="TTX1" s="129"/>
      <c r="TTY1" s="129"/>
      <c r="TTZ1" s="129"/>
      <c r="TUA1" s="129"/>
      <c r="TUB1" s="129"/>
      <c r="TUC1" s="129"/>
      <c r="TUD1" s="129"/>
      <c r="TUE1" s="129"/>
      <c r="TUF1" s="129"/>
      <c r="TUG1" s="129"/>
      <c r="TUH1" s="129"/>
      <c r="TUI1" s="129"/>
      <c r="TUJ1" s="129"/>
      <c r="TUK1" s="129"/>
      <c r="TUL1" s="129"/>
      <c r="TUM1" s="129"/>
      <c r="TUN1" s="129"/>
      <c r="TUO1" s="129"/>
      <c r="TUP1" s="129"/>
      <c r="TUQ1" s="129"/>
      <c r="TUR1" s="129"/>
      <c r="TUS1" s="129"/>
      <c r="TUT1" s="129"/>
      <c r="TUU1" s="129"/>
      <c r="TUV1" s="129"/>
      <c r="TUW1" s="129"/>
      <c r="TUX1" s="129"/>
      <c r="TUY1" s="129"/>
      <c r="TUZ1" s="129"/>
      <c r="TVA1" s="129"/>
      <c r="TVB1" s="129"/>
      <c r="TVC1" s="129"/>
      <c r="TVD1" s="129"/>
      <c r="TVE1" s="129"/>
      <c r="TVF1" s="129"/>
      <c r="TVG1" s="129"/>
      <c r="TVH1" s="129"/>
      <c r="TVI1" s="129"/>
      <c r="TVJ1" s="129"/>
      <c r="TVK1" s="129"/>
      <c r="TVL1" s="129"/>
      <c r="TVM1" s="129"/>
      <c r="TVN1" s="129"/>
      <c r="TVO1" s="129"/>
      <c r="TVP1" s="129"/>
      <c r="TVQ1" s="129"/>
      <c r="TVR1" s="129"/>
      <c r="TVS1" s="129"/>
      <c r="TVT1" s="129"/>
      <c r="TVU1" s="129"/>
      <c r="TVV1" s="129"/>
      <c r="TVW1" s="129"/>
      <c r="TVX1" s="129"/>
      <c r="TVY1" s="129"/>
      <c r="TVZ1" s="129"/>
      <c r="TWA1" s="129"/>
      <c r="TWB1" s="129"/>
      <c r="TWC1" s="129"/>
      <c r="TWD1" s="129"/>
      <c r="TWE1" s="129"/>
      <c r="TWF1" s="129"/>
      <c r="TWG1" s="129"/>
      <c r="TWH1" s="129"/>
      <c r="TWI1" s="129"/>
      <c r="TWJ1" s="129"/>
      <c r="TWK1" s="129"/>
      <c r="TWL1" s="129"/>
      <c r="TWM1" s="129"/>
      <c r="TWN1" s="129"/>
      <c r="TWO1" s="129"/>
      <c r="TWP1" s="129"/>
      <c r="TWQ1" s="129"/>
      <c r="TWR1" s="129"/>
      <c r="TWS1" s="129"/>
      <c r="TWT1" s="129"/>
      <c r="TWU1" s="129"/>
      <c r="TWV1" s="129"/>
      <c r="TWW1" s="129"/>
      <c r="TWX1" s="129"/>
      <c r="TWY1" s="129"/>
      <c r="TWZ1" s="129"/>
      <c r="TXA1" s="129"/>
      <c r="TXB1" s="129"/>
      <c r="TXC1" s="129"/>
      <c r="TXD1" s="129"/>
      <c r="TXE1" s="129"/>
      <c r="TXF1" s="129"/>
      <c r="TXG1" s="129"/>
      <c r="TXH1" s="129"/>
      <c r="TXI1" s="129"/>
      <c r="TXJ1" s="129"/>
      <c r="TXK1" s="129"/>
      <c r="TXL1" s="129"/>
      <c r="TXM1" s="129"/>
      <c r="TXN1" s="129"/>
      <c r="TXO1" s="129"/>
      <c r="TXP1" s="129"/>
      <c r="TXQ1" s="129"/>
      <c r="TXR1" s="129"/>
      <c r="TXS1" s="129"/>
      <c r="TXT1" s="129"/>
      <c r="TXU1" s="129"/>
      <c r="TXV1" s="129"/>
      <c r="TXW1" s="129"/>
      <c r="TXX1" s="129"/>
      <c r="TXY1" s="129"/>
      <c r="TXZ1" s="129"/>
      <c r="TYA1" s="129"/>
      <c r="TYB1" s="129"/>
      <c r="TYC1" s="129"/>
      <c r="TYD1" s="129"/>
      <c r="TYE1" s="129"/>
      <c r="TYF1" s="129"/>
      <c r="TYG1" s="129"/>
      <c r="TYH1" s="129"/>
      <c r="TYI1" s="129"/>
      <c r="TYJ1" s="129"/>
      <c r="TYK1" s="129"/>
      <c r="TYL1" s="129"/>
      <c r="TYM1" s="129"/>
      <c r="TYN1" s="129"/>
      <c r="TYO1" s="129"/>
      <c r="TYP1" s="129"/>
      <c r="TYQ1" s="129"/>
      <c r="TYR1" s="129"/>
      <c r="TYS1" s="129"/>
      <c r="TYT1" s="129"/>
      <c r="TYU1" s="129"/>
      <c r="TYV1" s="129"/>
      <c r="TYW1" s="129"/>
      <c r="TYX1" s="129"/>
      <c r="TYY1" s="129"/>
      <c r="TYZ1" s="129"/>
      <c r="TZA1" s="129"/>
      <c r="TZB1" s="129"/>
      <c r="TZC1" s="129"/>
      <c r="TZD1" s="129"/>
      <c r="TZE1" s="129"/>
      <c r="TZF1" s="129"/>
      <c r="TZG1" s="129"/>
      <c r="TZH1" s="129"/>
      <c r="TZI1" s="129"/>
      <c r="TZJ1" s="129"/>
      <c r="TZK1" s="129"/>
      <c r="TZL1" s="129"/>
      <c r="TZM1" s="129"/>
      <c r="TZN1" s="129"/>
      <c r="TZO1" s="129"/>
      <c r="TZP1" s="129"/>
      <c r="TZQ1" s="129"/>
      <c r="TZR1" s="129"/>
      <c r="TZS1" s="129"/>
      <c r="TZT1" s="129"/>
      <c r="TZU1" s="129"/>
      <c r="TZV1" s="129"/>
      <c r="TZW1" s="129"/>
      <c r="TZX1" s="129"/>
      <c r="TZY1" s="129"/>
      <c r="TZZ1" s="129"/>
      <c r="UAA1" s="129"/>
      <c r="UAB1" s="129"/>
      <c r="UAC1" s="129"/>
      <c r="UAD1" s="129"/>
      <c r="UAE1" s="129"/>
      <c r="UAF1" s="129"/>
      <c r="UAG1" s="129"/>
      <c r="UAH1" s="129"/>
      <c r="UAI1" s="129"/>
      <c r="UAJ1" s="129"/>
      <c r="UAK1" s="129"/>
      <c r="UAL1" s="129"/>
      <c r="UAM1" s="129"/>
      <c r="UAN1" s="129"/>
      <c r="UAO1" s="129"/>
      <c r="UAP1" s="129"/>
      <c r="UAQ1" s="129"/>
      <c r="UAR1" s="129"/>
      <c r="UAS1" s="129"/>
      <c r="UAT1" s="129"/>
      <c r="UAU1" s="129"/>
      <c r="UAV1" s="129"/>
      <c r="UAW1" s="129"/>
      <c r="UAX1" s="129"/>
      <c r="UAY1" s="129"/>
      <c r="UAZ1" s="129"/>
      <c r="UBA1" s="129"/>
      <c r="UBB1" s="129"/>
      <c r="UBC1" s="129"/>
      <c r="UBD1" s="129"/>
      <c r="UBE1" s="129"/>
      <c r="UBF1" s="129"/>
      <c r="UBG1" s="129"/>
      <c r="UBH1" s="129"/>
      <c r="UBI1" s="129"/>
      <c r="UBJ1" s="129"/>
      <c r="UBK1" s="129"/>
      <c r="UBL1" s="129"/>
      <c r="UBM1" s="129"/>
      <c r="UBN1" s="129"/>
      <c r="UBO1" s="129"/>
      <c r="UBP1" s="129"/>
      <c r="UBQ1" s="129"/>
      <c r="UBR1" s="129"/>
      <c r="UBS1" s="129"/>
      <c r="UBT1" s="129"/>
      <c r="UBU1" s="129"/>
      <c r="UBV1" s="129"/>
      <c r="UBW1" s="129"/>
      <c r="UBX1" s="129"/>
      <c r="UBY1" s="129"/>
      <c r="UBZ1" s="129"/>
      <c r="UCA1" s="129"/>
      <c r="UCB1" s="129"/>
      <c r="UCC1" s="129"/>
      <c r="UCD1" s="129"/>
      <c r="UCE1" s="129"/>
      <c r="UCF1" s="129"/>
      <c r="UCG1" s="129"/>
      <c r="UCH1" s="129"/>
      <c r="UCI1" s="129"/>
      <c r="UCJ1" s="129"/>
      <c r="UCK1" s="129"/>
      <c r="UCL1" s="129"/>
      <c r="UCM1" s="129"/>
      <c r="UCN1" s="129"/>
      <c r="UCO1" s="129"/>
      <c r="UCP1" s="129"/>
      <c r="UCQ1" s="129"/>
      <c r="UCR1" s="129"/>
      <c r="UCS1" s="129"/>
      <c r="UCT1" s="129"/>
      <c r="UCU1" s="129"/>
      <c r="UCV1" s="129"/>
      <c r="UCW1" s="129"/>
      <c r="UCX1" s="129"/>
      <c r="UCY1" s="129"/>
      <c r="UCZ1" s="129"/>
      <c r="UDA1" s="129"/>
      <c r="UDB1" s="129"/>
      <c r="UDC1" s="129"/>
      <c r="UDD1" s="129"/>
      <c r="UDE1" s="129"/>
      <c r="UDF1" s="129"/>
      <c r="UDG1" s="129"/>
      <c r="UDH1" s="129"/>
      <c r="UDI1" s="129"/>
      <c r="UDJ1" s="129"/>
      <c r="UDK1" s="129"/>
      <c r="UDL1" s="129"/>
      <c r="UDM1" s="129"/>
      <c r="UDN1" s="129"/>
      <c r="UDO1" s="129"/>
      <c r="UDP1" s="129"/>
      <c r="UDQ1" s="129"/>
      <c r="UDR1" s="129"/>
      <c r="UDS1" s="129"/>
      <c r="UDT1" s="129"/>
      <c r="UDU1" s="129"/>
      <c r="UDV1" s="129"/>
      <c r="UDW1" s="129"/>
      <c r="UDX1" s="129"/>
      <c r="UDY1" s="129"/>
      <c r="UDZ1" s="129"/>
      <c r="UEA1" s="129"/>
      <c r="UEB1" s="129"/>
      <c r="UEC1" s="129"/>
      <c r="UED1" s="129"/>
      <c r="UEE1" s="129"/>
      <c r="UEF1" s="129"/>
      <c r="UEG1" s="129"/>
      <c r="UEH1" s="129"/>
      <c r="UEI1" s="129"/>
      <c r="UEJ1" s="129"/>
      <c r="UEK1" s="129"/>
      <c r="UEL1" s="129"/>
      <c r="UEM1" s="129"/>
      <c r="UEN1" s="129"/>
      <c r="UEO1" s="129"/>
      <c r="UEP1" s="129"/>
      <c r="UEQ1" s="129"/>
      <c r="UER1" s="129"/>
      <c r="UES1" s="129"/>
      <c r="UET1" s="129"/>
      <c r="UEU1" s="129"/>
      <c r="UEV1" s="129"/>
      <c r="UEW1" s="129"/>
      <c r="UEX1" s="129"/>
      <c r="UEY1" s="129"/>
      <c r="UEZ1" s="129"/>
      <c r="UFA1" s="129"/>
      <c r="UFB1" s="129"/>
      <c r="UFC1" s="129"/>
      <c r="UFD1" s="129"/>
      <c r="UFE1" s="129"/>
      <c r="UFF1" s="129"/>
      <c r="UFG1" s="129"/>
      <c r="UFH1" s="129"/>
      <c r="UFI1" s="129"/>
      <c r="UFJ1" s="129"/>
      <c r="UFK1" s="129"/>
      <c r="UFL1" s="129"/>
      <c r="UFM1" s="129"/>
      <c r="UFN1" s="129"/>
      <c r="UFO1" s="129"/>
      <c r="UFP1" s="129"/>
      <c r="UFQ1" s="129"/>
      <c r="UFR1" s="129"/>
      <c r="UFS1" s="129"/>
      <c r="UFT1" s="129"/>
      <c r="UFU1" s="129"/>
      <c r="UFV1" s="129"/>
      <c r="UFW1" s="129"/>
      <c r="UFX1" s="129"/>
      <c r="UFY1" s="129"/>
      <c r="UFZ1" s="129"/>
      <c r="UGA1" s="129"/>
      <c r="UGB1" s="129"/>
      <c r="UGC1" s="129"/>
      <c r="UGD1" s="129"/>
      <c r="UGE1" s="129"/>
      <c r="UGF1" s="129"/>
      <c r="UGG1" s="129"/>
      <c r="UGH1" s="129"/>
      <c r="UGI1" s="129"/>
      <c r="UGJ1" s="129"/>
      <c r="UGK1" s="129"/>
      <c r="UGL1" s="129"/>
      <c r="UGM1" s="129"/>
      <c r="UGN1" s="129"/>
      <c r="UGO1" s="129"/>
      <c r="UGP1" s="129"/>
      <c r="UGQ1" s="129"/>
      <c r="UGR1" s="129"/>
      <c r="UGS1" s="129"/>
      <c r="UGT1" s="129"/>
      <c r="UGU1" s="129"/>
      <c r="UGV1" s="129"/>
      <c r="UGW1" s="129"/>
      <c r="UGX1" s="129"/>
      <c r="UGY1" s="129"/>
      <c r="UGZ1" s="129"/>
      <c r="UHA1" s="129"/>
      <c r="UHB1" s="129"/>
      <c r="UHC1" s="129"/>
      <c r="UHD1" s="129"/>
      <c r="UHE1" s="129"/>
      <c r="UHF1" s="129"/>
      <c r="UHG1" s="129"/>
      <c r="UHH1" s="129"/>
      <c r="UHI1" s="129"/>
      <c r="UHJ1" s="129"/>
      <c r="UHK1" s="129"/>
      <c r="UHL1" s="129"/>
      <c r="UHM1" s="129"/>
      <c r="UHN1" s="129"/>
      <c r="UHO1" s="129"/>
      <c r="UHP1" s="129"/>
      <c r="UHQ1" s="129"/>
      <c r="UHR1" s="129"/>
      <c r="UHS1" s="129"/>
      <c r="UHT1" s="129"/>
      <c r="UHU1" s="129"/>
      <c r="UHV1" s="129"/>
      <c r="UHW1" s="129"/>
      <c r="UHX1" s="129"/>
      <c r="UHY1" s="129"/>
      <c r="UHZ1" s="129"/>
      <c r="UIA1" s="129"/>
      <c r="UIB1" s="129"/>
      <c r="UIC1" s="129"/>
      <c r="UID1" s="129"/>
      <c r="UIE1" s="129"/>
      <c r="UIF1" s="129"/>
      <c r="UIG1" s="129"/>
      <c r="UIH1" s="129"/>
      <c r="UII1" s="129"/>
      <c r="UIJ1" s="129"/>
      <c r="UIK1" s="129"/>
      <c r="UIL1" s="129"/>
      <c r="UIM1" s="129"/>
      <c r="UIN1" s="129"/>
      <c r="UIO1" s="129"/>
      <c r="UIP1" s="129"/>
      <c r="UIQ1" s="129"/>
      <c r="UIR1" s="129"/>
      <c r="UIS1" s="129"/>
      <c r="UIT1" s="129"/>
      <c r="UIU1" s="129"/>
      <c r="UIV1" s="129"/>
      <c r="UIW1" s="129"/>
      <c r="UIX1" s="129"/>
      <c r="UIY1" s="129"/>
      <c r="UIZ1" s="129"/>
      <c r="UJA1" s="129"/>
      <c r="UJB1" s="129"/>
      <c r="UJC1" s="129"/>
      <c r="UJD1" s="129"/>
      <c r="UJE1" s="129"/>
      <c r="UJF1" s="129"/>
      <c r="UJG1" s="129"/>
      <c r="UJH1" s="129"/>
      <c r="UJI1" s="129"/>
      <c r="UJJ1" s="129"/>
      <c r="UJK1" s="129"/>
      <c r="UJL1" s="129"/>
      <c r="UJM1" s="129"/>
      <c r="UJN1" s="129"/>
      <c r="UJO1" s="129"/>
      <c r="UJP1" s="129"/>
      <c r="UJQ1" s="129"/>
      <c r="UJR1" s="129"/>
      <c r="UJS1" s="129"/>
      <c r="UJT1" s="129"/>
      <c r="UJU1" s="129"/>
      <c r="UJV1" s="129"/>
      <c r="UJW1" s="129"/>
      <c r="UJX1" s="129"/>
      <c r="UJY1" s="129"/>
      <c r="UJZ1" s="129"/>
      <c r="UKA1" s="129"/>
      <c r="UKB1" s="129"/>
      <c r="UKC1" s="129"/>
      <c r="UKD1" s="129"/>
      <c r="UKE1" s="129"/>
      <c r="UKF1" s="129"/>
      <c r="UKG1" s="129"/>
      <c r="UKH1" s="129"/>
      <c r="UKI1" s="129"/>
      <c r="UKJ1" s="129"/>
      <c r="UKK1" s="129"/>
      <c r="UKL1" s="129"/>
      <c r="UKM1" s="129"/>
      <c r="UKN1" s="129"/>
      <c r="UKO1" s="129"/>
      <c r="UKP1" s="129"/>
      <c r="UKQ1" s="129"/>
      <c r="UKR1" s="129"/>
      <c r="UKS1" s="129"/>
      <c r="UKT1" s="129"/>
      <c r="UKU1" s="129"/>
      <c r="UKV1" s="129"/>
      <c r="UKW1" s="129"/>
      <c r="UKX1" s="129"/>
      <c r="UKY1" s="129"/>
      <c r="UKZ1" s="129"/>
      <c r="ULA1" s="129"/>
      <c r="ULB1" s="129"/>
      <c r="ULC1" s="129"/>
      <c r="ULD1" s="129"/>
      <c r="ULE1" s="129"/>
      <c r="ULF1" s="129"/>
      <c r="ULG1" s="129"/>
      <c r="ULH1" s="129"/>
      <c r="ULI1" s="129"/>
      <c r="ULJ1" s="129"/>
      <c r="ULK1" s="129"/>
      <c r="ULL1" s="129"/>
      <c r="ULM1" s="129"/>
      <c r="ULN1" s="129"/>
      <c r="ULO1" s="129"/>
      <c r="ULP1" s="129"/>
      <c r="ULQ1" s="129"/>
      <c r="ULR1" s="129"/>
      <c r="ULS1" s="129"/>
      <c r="ULT1" s="129"/>
      <c r="ULU1" s="129"/>
      <c r="ULV1" s="129"/>
      <c r="ULW1" s="129"/>
      <c r="ULX1" s="129"/>
      <c r="ULY1" s="129"/>
      <c r="ULZ1" s="129"/>
      <c r="UMA1" s="129"/>
      <c r="UMB1" s="129"/>
      <c r="UMC1" s="129"/>
      <c r="UMD1" s="129"/>
      <c r="UME1" s="129"/>
      <c r="UMF1" s="129"/>
      <c r="UMG1" s="129"/>
      <c r="UMH1" s="129"/>
      <c r="UMI1" s="129"/>
      <c r="UMJ1" s="129"/>
      <c r="UMK1" s="129"/>
      <c r="UML1" s="129"/>
      <c r="UMM1" s="129"/>
      <c r="UMN1" s="129"/>
      <c r="UMO1" s="129"/>
      <c r="UMP1" s="129"/>
      <c r="UMQ1" s="129"/>
      <c r="UMR1" s="129"/>
      <c r="UMS1" s="129"/>
      <c r="UMT1" s="129"/>
      <c r="UMU1" s="129"/>
      <c r="UMV1" s="129"/>
      <c r="UMW1" s="129"/>
      <c r="UMX1" s="129"/>
      <c r="UMY1" s="129"/>
      <c r="UMZ1" s="129"/>
      <c r="UNA1" s="129"/>
      <c r="UNB1" s="129"/>
      <c r="UNC1" s="129"/>
      <c r="UND1" s="129"/>
      <c r="UNE1" s="129"/>
      <c r="UNF1" s="129"/>
      <c r="UNG1" s="129"/>
      <c r="UNH1" s="129"/>
      <c r="UNI1" s="129"/>
      <c r="UNJ1" s="129"/>
      <c r="UNK1" s="129"/>
      <c r="UNL1" s="129"/>
      <c r="UNM1" s="129"/>
      <c r="UNN1" s="129"/>
      <c r="UNO1" s="129"/>
      <c r="UNP1" s="129"/>
      <c r="UNQ1" s="129"/>
      <c r="UNR1" s="129"/>
      <c r="UNS1" s="129"/>
      <c r="UNT1" s="129"/>
      <c r="UNU1" s="129"/>
      <c r="UNV1" s="129"/>
      <c r="UNW1" s="129"/>
      <c r="UNX1" s="129"/>
      <c r="UNY1" s="129"/>
      <c r="UNZ1" s="129"/>
      <c r="UOA1" s="129"/>
      <c r="UOB1" s="129"/>
      <c r="UOC1" s="129"/>
      <c r="UOD1" s="129"/>
      <c r="UOE1" s="129"/>
      <c r="UOF1" s="129"/>
      <c r="UOG1" s="129"/>
      <c r="UOH1" s="129"/>
      <c r="UOI1" s="129"/>
      <c r="UOJ1" s="129"/>
      <c r="UOK1" s="129"/>
      <c r="UOL1" s="129"/>
      <c r="UOM1" s="129"/>
      <c r="UON1" s="129"/>
      <c r="UOO1" s="129"/>
      <c r="UOP1" s="129"/>
      <c r="UOQ1" s="129"/>
      <c r="UOR1" s="129"/>
      <c r="UOS1" s="129"/>
      <c r="UOT1" s="129"/>
      <c r="UOU1" s="129"/>
      <c r="UOV1" s="129"/>
      <c r="UOW1" s="129"/>
      <c r="UOX1" s="129"/>
      <c r="UOY1" s="129"/>
      <c r="UOZ1" s="129"/>
      <c r="UPA1" s="129"/>
      <c r="UPB1" s="129"/>
      <c r="UPC1" s="129"/>
      <c r="UPD1" s="129"/>
      <c r="UPE1" s="129"/>
      <c r="UPF1" s="129"/>
      <c r="UPG1" s="129"/>
      <c r="UPH1" s="129"/>
      <c r="UPI1" s="129"/>
      <c r="UPJ1" s="129"/>
      <c r="UPK1" s="129"/>
      <c r="UPL1" s="129"/>
      <c r="UPM1" s="129"/>
      <c r="UPN1" s="129"/>
      <c r="UPO1" s="129"/>
      <c r="UPP1" s="129"/>
      <c r="UPQ1" s="129"/>
      <c r="UPR1" s="129"/>
      <c r="UPS1" s="129"/>
      <c r="UPT1" s="129"/>
      <c r="UPU1" s="129"/>
      <c r="UPV1" s="129"/>
      <c r="UPW1" s="129"/>
      <c r="UPX1" s="129"/>
      <c r="UPY1" s="129"/>
      <c r="UPZ1" s="129"/>
      <c r="UQA1" s="129"/>
      <c r="UQB1" s="129"/>
      <c r="UQC1" s="129"/>
      <c r="UQD1" s="129"/>
      <c r="UQE1" s="129"/>
      <c r="UQF1" s="129"/>
      <c r="UQG1" s="129"/>
      <c r="UQH1" s="129"/>
      <c r="UQI1" s="129"/>
      <c r="UQJ1" s="129"/>
      <c r="UQK1" s="129"/>
      <c r="UQL1" s="129"/>
      <c r="UQM1" s="129"/>
      <c r="UQN1" s="129"/>
      <c r="UQO1" s="129"/>
      <c r="UQP1" s="129"/>
      <c r="UQQ1" s="129"/>
      <c r="UQR1" s="129"/>
      <c r="UQS1" s="129"/>
      <c r="UQT1" s="129"/>
      <c r="UQU1" s="129"/>
      <c r="UQV1" s="129"/>
      <c r="UQW1" s="129"/>
      <c r="UQX1" s="129"/>
      <c r="UQY1" s="129"/>
      <c r="UQZ1" s="129"/>
      <c r="URA1" s="129"/>
      <c r="URB1" s="129"/>
      <c r="URC1" s="129"/>
      <c r="URD1" s="129"/>
      <c r="URE1" s="129"/>
      <c r="URF1" s="129"/>
      <c r="URG1" s="129"/>
      <c r="URH1" s="129"/>
      <c r="URI1" s="129"/>
      <c r="URJ1" s="129"/>
      <c r="URK1" s="129"/>
      <c r="URL1" s="129"/>
      <c r="URM1" s="129"/>
      <c r="URN1" s="129"/>
      <c r="URO1" s="129"/>
      <c r="URP1" s="129"/>
      <c r="URQ1" s="129"/>
      <c r="URR1" s="129"/>
      <c r="URS1" s="129"/>
      <c r="URT1" s="129"/>
      <c r="URU1" s="129"/>
      <c r="URV1" s="129"/>
      <c r="URW1" s="129"/>
      <c r="URX1" s="129"/>
      <c r="URY1" s="129"/>
      <c r="URZ1" s="129"/>
      <c r="USA1" s="129"/>
      <c r="USB1" s="129"/>
      <c r="USC1" s="129"/>
      <c r="USD1" s="129"/>
      <c r="USE1" s="129"/>
      <c r="USF1" s="129"/>
      <c r="USG1" s="129"/>
      <c r="USH1" s="129"/>
      <c r="USI1" s="129"/>
      <c r="USJ1" s="129"/>
      <c r="USK1" s="129"/>
      <c r="USL1" s="129"/>
      <c r="USM1" s="129"/>
      <c r="USN1" s="129"/>
      <c r="USO1" s="129"/>
      <c r="USP1" s="129"/>
      <c r="USQ1" s="129"/>
      <c r="USR1" s="129"/>
      <c r="USS1" s="129"/>
      <c r="UST1" s="129"/>
      <c r="USU1" s="129"/>
      <c r="USV1" s="129"/>
      <c r="USW1" s="129"/>
      <c r="USX1" s="129"/>
      <c r="USY1" s="129"/>
      <c r="USZ1" s="129"/>
      <c r="UTA1" s="129"/>
      <c r="UTB1" s="129"/>
      <c r="UTC1" s="129"/>
      <c r="UTD1" s="129"/>
      <c r="UTE1" s="129"/>
      <c r="UTF1" s="129"/>
      <c r="UTG1" s="129"/>
      <c r="UTH1" s="129"/>
      <c r="UTI1" s="129"/>
      <c r="UTJ1" s="129"/>
      <c r="UTK1" s="129"/>
      <c r="UTL1" s="129"/>
      <c r="UTM1" s="129"/>
      <c r="UTN1" s="129"/>
      <c r="UTO1" s="129"/>
      <c r="UTP1" s="129"/>
      <c r="UTQ1" s="129"/>
      <c r="UTR1" s="129"/>
      <c r="UTS1" s="129"/>
      <c r="UTT1" s="129"/>
      <c r="UTU1" s="129"/>
      <c r="UTV1" s="129"/>
      <c r="UTW1" s="129"/>
      <c r="UTX1" s="129"/>
      <c r="UTY1" s="129"/>
      <c r="UTZ1" s="129"/>
      <c r="UUA1" s="129"/>
      <c r="UUB1" s="129"/>
      <c r="UUC1" s="129"/>
      <c r="UUD1" s="129"/>
      <c r="UUE1" s="129"/>
      <c r="UUF1" s="129"/>
      <c r="UUG1" s="129"/>
      <c r="UUH1" s="129"/>
      <c r="UUI1" s="129"/>
      <c r="UUJ1" s="129"/>
      <c r="UUK1" s="129"/>
      <c r="UUL1" s="129"/>
      <c r="UUM1" s="129"/>
      <c r="UUN1" s="129"/>
      <c r="UUO1" s="129"/>
      <c r="UUP1" s="129"/>
      <c r="UUQ1" s="129"/>
      <c r="UUR1" s="129"/>
      <c r="UUS1" s="129"/>
      <c r="UUT1" s="129"/>
      <c r="UUU1" s="129"/>
      <c r="UUV1" s="129"/>
      <c r="UUW1" s="129"/>
      <c r="UUX1" s="129"/>
      <c r="UUY1" s="129"/>
      <c r="UUZ1" s="129"/>
      <c r="UVA1" s="129"/>
      <c r="UVB1" s="129"/>
      <c r="UVC1" s="129"/>
      <c r="UVD1" s="129"/>
      <c r="UVE1" s="129"/>
      <c r="UVF1" s="129"/>
      <c r="UVG1" s="129"/>
      <c r="UVH1" s="129"/>
      <c r="UVI1" s="129"/>
      <c r="UVJ1" s="129"/>
      <c r="UVK1" s="129"/>
      <c r="UVL1" s="129"/>
      <c r="UVM1" s="129"/>
      <c r="UVN1" s="129"/>
      <c r="UVO1" s="129"/>
      <c r="UVP1" s="129"/>
      <c r="UVQ1" s="129"/>
      <c r="UVR1" s="129"/>
      <c r="UVS1" s="129"/>
      <c r="UVT1" s="129"/>
      <c r="UVU1" s="129"/>
      <c r="UVV1" s="129"/>
      <c r="UVW1" s="129"/>
      <c r="UVX1" s="129"/>
      <c r="UVY1" s="129"/>
      <c r="UVZ1" s="129"/>
      <c r="UWA1" s="129"/>
      <c r="UWB1" s="129"/>
      <c r="UWC1" s="129"/>
      <c r="UWD1" s="129"/>
      <c r="UWE1" s="129"/>
      <c r="UWF1" s="129"/>
      <c r="UWG1" s="129"/>
      <c r="UWH1" s="129"/>
      <c r="UWI1" s="129"/>
      <c r="UWJ1" s="129"/>
      <c r="UWK1" s="129"/>
      <c r="UWL1" s="129"/>
      <c r="UWM1" s="129"/>
      <c r="UWN1" s="129"/>
      <c r="UWO1" s="129"/>
      <c r="UWP1" s="129"/>
      <c r="UWQ1" s="129"/>
      <c r="UWR1" s="129"/>
      <c r="UWS1" s="129"/>
      <c r="UWT1" s="129"/>
      <c r="UWU1" s="129"/>
      <c r="UWV1" s="129"/>
      <c r="UWW1" s="129"/>
      <c r="UWX1" s="129"/>
      <c r="UWY1" s="129"/>
      <c r="UWZ1" s="129"/>
      <c r="UXA1" s="129"/>
      <c r="UXB1" s="129"/>
      <c r="UXC1" s="129"/>
      <c r="UXD1" s="129"/>
      <c r="UXE1" s="129"/>
      <c r="UXF1" s="129"/>
      <c r="UXG1" s="129"/>
      <c r="UXH1" s="129"/>
      <c r="UXI1" s="129"/>
      <c r="UXJ1" s="129"/>
      <c r="UXK1" s="129"/>
      <c r="UXL1" s="129"/>
      <c r="UXM1" s="129"/>
      <c r="UXN1" s="129"/>
      <c r="UXO1" s="129"/>
      <c r="UXP1" s="129"/>
      <c r="UXQ1" s="129"/>
      <c r="UXR1" s="129"/>
      <c r="UXS1" s="129"/>
      <c r="UXT1" s="129"/>
      <c r="UXU1" s="129"/>
      <c r="UXV1" s="129"/>
      <c r="UXW1" s="129"/>
      <c r="UXX1" s="129"/>
      <c r="UXY1" s="129"/>
      <c r="UXZ1" s="129"/>
      <c r="UYA1" s="129"/>
      <c r="UYB1" s="129"/>
      <c r="UYC1" s="129"/>
      <c r="UYD1" s="129"/>
      <c r="UYE1" s="129"/>
      <c r="UYF1" s="129"/>
      <c r="UYG1" s="129"/>
      <c r="UYH1" s="129"/>
      <c r="UYI1" s="129"/>
      <c r="UYJ1" s="129"/>
      <c r="UYK1" s="129"/>
      <c r="UYL1" s="129"/>
      <c r="UYM1" s="129"/>
      <c r="UYN1" s="129"/>
      <c r="UYO1" s="129"/>
      <c r="UYP1" s="129"/>
      <c r="UYQ1" s="129"/>
      <c r="UYR1" s="129"/>
      <c r="UYS1" s="129"/>
      <c r="UYT1" s="129"/>
      <c r="UYU1" s="129"/>
      <c r="UYV1" s="129"/>
      <c r="UYW1" s="129"/>
      <c r="UYX1" s="129"/>
      <c r="UYY1" s="129"/>
      <c r="UYZ1" s="129"/>
      <c r="UZA1" s="129"/>
      <c r="UZB1" s="129"/>
      <c r="UZC1" s="129"/>
      <c r="UZD1" s="129"/>
      <c r="UZE1" s="129"/>
      <c r="UZF1" s="129"/>
      <c r="UZG1" s="129"/>
      <c r="UZH1" s="129"/>
      <c r="UZI1" s="129"/>
      <c r="UZJ1" s="129"/>
      <c r="UZK1" s="129"/>
      <c r="UZL1" s="129"/>
      <c r="UZM1" s="129"/>
      <c r="UZN1" s="129"/>
      <c r="UZO1" s="129"/>
      <c r="UZP1" s="129"/>
      <c r="UZQ1" s="129"/>
      <c r="UZR1" s="129"/>
      <c r="UZS1" s="129"/>
      <c r="UZT1" s="129"/>
      <c r="UZU1" s="129"/>
      <c r="UZV1" s="129"/>
      <c r="UZW1" s="129"/>
      <c r="UZX1" s="129"/>
      <c r="UZY1" s="129"/>
      <c r="UZZ1" s="129"/>
      <c r="VAA1" s="129"/>
      <c r="VAB1" s="129"/>
      <c r="VAC1" s="129"/>
      <c r="VAD1" s="129"/>
      <c r="VAE1" s="129"/>
      <c r="VAF1" s="129"/>
      <c r="VAG1" s="129"/>
      <c r="VAH1" s="129"/>
      <c r="VAI1" s="129"/>
      <c r="VAJ1" s="129"/>
      <c r="VAK1" s="129"/>
      <c r="VAL1" s="129"/>
      <c r="VAM1" s="129"/>
      <c r="VAN1" s="129"/>
      <c r="VAO1" s="129"/>
      <c r="VAP1" s="129"/>
      <c r="VAQ1" s="129"/>
      <c r="VAR1" s="129"/>
      <c r="VAS1" s="129"/>
      <c r="VAT1" s="129"/>
      <c r="VAU1" s="129"/>
      <c r="VAV1" s="129"/>
      <c r="VAW1" s="129"/>
      <c r="VAX1" s="129"/>
      <c r="VAY1" s="129"/>
      <c r="VAZ1" s="129"/>
      <c r="VBA1" s="129"/>
      <c r="VBB1" s="129"/>
      <c r="VBC1" s="129"/>
      <c r="VBD1" s="129"/>
      <c r="VBE1" s="129"/>
      <c r="VBF1" s="129"/>
      <c r="VBG1" s="129"/>
      <c r="VBH1" s="129"/>
      <c r="VBI1" s="129"/>
      <c r="VBJ1" s="129"/>
      <c r="VBK1" s="129"/>
      <c r="VBL1" s="129"/>
      <c r="VBM1" s="129"/>
      <c r="VBN1" s="129"/>
      <c r="VBO1" s="129"/>
      <c r="VBP1" s="129"/>
      <c r="VBQ1" s="129"/>
      <c r="VBR1" s="129"/>
      <c r="VBS1" s="129"/>
      <c r="VBT1" s="129"/>
      <c r="VBU1" s="129"/>
      <c r="VBV1" s="129"/>
      <c r="VBW1" s="129"/>
      <c r="VBX1" s="129"/>
      <c r="VBY1" s="129"/>
      <c r="VBZ1" s="129"/>
      <c r="VCA1" s="129"/>
      <c r="VCB1" s="129"/>
      <c r="VCC1" s="129"/>
      <c r="VCD1" s="129"/>
      <c r="VCE1" s="129"/>
      <c r="VCF1" s="129"/>
      <c r="VCG1" s="129"/>
      <c r="VCH1" s="129"/>
      <c r="VCI1" s="129"/>
      <c r="VCJ1" s="129"/>
      <c r="VCK1" s="129"/>
      <c r="VCL1" s="129"/>
      <c r="VCM1" s="129"/>
      <c r="VCN1" s="129"/>
      <c r="VCO1" s="129"/>
      <c r="VCP1" s="129"/>
      <c r="VCQ1" s="129"/>
      <c r="VCR1" s="129"/>
      <c r="VCS1" s="129"/>
      <c r="VCT1" s="129"/>
      <c r="VCU1" s="129"/>
      <c r="VCV1" s="129"/>
      <c r="VCW1" s="129"/>
      <c r="VCX1" s="129"/>
      <c r="VCY1" s="129"/>
      <c r="VCZ1" s="129"/>
      <c r="VDA1" s="129"/>
      <c r="VDB1" s="129"/>
      <c r="VDC1" s="129"/>
      <c r="VDD1" s="129"/>
      <c r="VDE1" s="129"/>
      <c r="VDF1" s="129"/>
      <c r="VDG1" s="129"/>
      <c r="VDH1" s="129"/>
      <c r="VDI1" s="129"/>
      <c r="VDJ1" s="129"/>
      <c r="VDK1" s="129"/>
      <c r="VDL1" s="129"/>
      <c r="VDM1" s="129"/>
      <c r="VDN1" s="129"/>
      <c r="VDO1" s="129"/>
      <c r="VDP1" s="129"/>
      <c r="VDQ1" s="129"/>
      <c r="VDR1" s="129"/>
      <c r="VDS1" s="129"/>
      <c r="VDT1" s="129"/>
      <c r="VDU1" s="129"/>
      <c r="VDV1" s="129"/>
      <c r="VDW1" s="129"/>
      <c r="VDX1" s="129"/>
      <c r="VDY1" s="129"/>
      <c r="VDZ1" s="129"/>
      <c r="VEA1" s="129"/>
      <c r="VEB1" s="129"/>
      <c r="VEC1" s="129"/>
      <c r="VED1" s="129"/>
      <c r="VEE1" s="129"/>
      <c r="VEF1" s="129"/>
      <c r="VEG1" s="129"/>
      <c r="VEH1" s="129"/>
      <c r="VEI1" s="129"/>
      <c r="VEJ1" s="129"/>
      <c r="VEK1" s="129"/>
      <c r="VEL1" s="129"/>
      <c r="VEM1" s="129"/>
      <c r="VEN1" s="129"/>
      <c r="VEO1" s="129"/>
      <c r="VEP1" s="129"/>
      <c r="VEQ1" s="129"/>
      <c r="VER1" s="129"/>
      <c r="VES1" s="129"/>
      <c r="VET1" s="129"/>
      <c r="VEU1" s="129"/>
      <c r="VEV1" s="129"/>
      <c r="VEW1" s="129"/>
      <c r="VEX1" s="129"/>
      <c r="VEY1" s="129"/>
      <c r="VEZ1" s="129"/>
      <c r="VFA1" s="129"/>
      <c r="VFB1" s="129"/>
      <c r="VFC1" s="129"/>
      <c r="VFD1" s="129"/>
      <c r="VFE1" s="129"/>
      <c r="VFF1" s="129"/>
      <c r="VFG1" s="129"/>
      <c r="VFH1" s="129"/>
      <c r="VFI1" s="129"/>
      <c r="VFJ1" s="129"/>
      <c r="VFK1" s="129"/>
      <c r="VFL1" s="129"/>
      <c r="VFM1" s="129"/>
      <c r="VFN1" s="129"/>
      <c r="VFO1" s="129"/>
      <c r="VFP1" s="129"/>
      <c r="VFQ1" s="129"/>
      <c r="VFR1" s="129"/>
      <c r="VFS1" s="129"/>
      <c r="VFT1" s="129"/>
      <c r="VFU1" s="129"/>
      <c r="VFV1" s="129"/>
      <c r="VFW1" s="129"/>
      <c r="VFX1" s="129"/>
      <c r="VFY1" s="129"/>
      <c r="VFZ1" s="129"/>
      <c r="VGA1" s="129"/>
      <c r="VGB1" s="129"/>
      <c r="VGC1" s="129"/>
      <c r="VGD1" s="129"/>
      <c r="VGE1" s="129"/>
      <c r="VGF1" s="129"/>
      <c r="VGG1" s="129"/>
      <c r="VGH1" s="129"/>
      <c r="VGI1" s="129"/>
      <c r="VGJ1" s="129"/>
      <c r="VGK1" s="129"/>
      <c r="VGL1" s="129"/>
      <c r="VGM1" s="129"/>
      <c r="VGN1" s="129"/>
      <c r="VGO1" s="129"/>
      <c r="VGP1" s="129"/>
      <c r="VGQ1" s="129"/>
      <c r="VGR1" s="129"/>
      <c r="VGS1" s="129"/>
      <c r="VGT1" s="129"/>
      <c r="VGU1" s="129"/>
      <c r="VGV1" s="129"/>
      <c r="VGW1" s="129"/>
      <c r="VGX1" s="129"/>
      <c r="VGY1" s="129"/>
      <c r="VGZ1" s="129"/>
      <c r="VHA1" s="129"/>
      <c r="VHB1" s="129"/>
      <c r="VHC1" s="129"/>
      <c r="VHD1" s="129"/>
      <c r="VHE1" s="129"/>
      <c r="VHF1" s="129"/>
      <c r="VHG1" s="129"/>
      <c r="VHH1" s="129"/>
      <c r="VHI1" s="129"/>
      <c r="VHJ1" s="129"/>
      <c r="VHK1" s="129"/>
      <c r="VHL1" s="129"/>
      <c r="VHM1" s="129"/>
      <c r="VHN1" s="129"/>
      <c r="VHO1" s="129"/>
      <c r="VHP1" s="129"/>
      <c r="VHQ1" s="129"/>
      <c r="VHR1" s="129"/>
      <c r="VHS1" s="129"/>
      <c r="VHT1" s="129"/>
      <c r="VHU1" s="129"/>
      <c r="VHV1" s="129"/>
      <c r="VHW1" s="129"/>
      <c r="VHX1" s="129"/>
      <c r="VHY1" s="129"/>
      <c r="VHZ1" s="129"/>
      <c r="VIA1" s="129"/>
      <c r="VIB1" s="129"/>
      <c r="VIC1" s="129"/>
      <c r="VID1" s="129"/>
      <c r="VIE1" s="129"/>
      <c r="VIF1" s="129"/>
      <c r="VIG1" s="129"/>
      <c r="VIH1" s="129"/>
      <c r="VII1" s="129"/>
      <c r="VIJ1" s="129"/>
      <c r="VIK1" s="129"/>
      <c r="VIL1" s="129"/>
      <c r="VIM1" s="129"/>
      <c r="VIN1" s="129"/>
      <c r="VIO1" s="129"/>
      <c r="VIP1" s="129"/>
      <c r="VIQ1" s="129"/>
      <c r="VIR1" s="129"/>
      <c r="VIS1" s="129"/>
      <c r="VIT1" s="129"/>
      <c r="VIU1" s="129"/>
      <c r="VIV1" s="129"/>
      <c r="VIW1" s="129"/>
      <c r="VIX1" s="129"/>
      <c r="VIY1" s="129"/>
      <c r="VIZ1" s="129"/>
      <c r="VJA1" s="129"/>
      <c r="VJB1" s="129"/>
      <c r="VJC1" s="129"/>
      <c r="VJD1" s="129"/>
      <c r="VJE1" s="129"/>
      <c r="VJF1" s="129"/>
      <c r="VJG1" s="129"/>
      <c r="VJH1" s="129"/>
      <c r="VJI1" s="129"/>
      <c r="VJJ1" s="129"/>
      <c r="VJK1" s="129"/>
      <c r="VJL1" s="129"/>
      <c r="VJM1" s="129"/>
      <c r="VJN1" s="129"/>
      <c r="VJO1" s="129"/>
      <c r="VJP1" s="129"/>
      <c r="VJQ1" s="129"/>
      <c r="VJR1" s="129"/>
      <c r="VJS1" s="129"/>
      <c r="VJT1" s="129"/>
      <c r="VJU1" s="129"/>
      <c r="VJV1" s="129"/>
      <c r="VJW1" s="129"/>
      <c r="VJX1" s="129"/>
      <c r="VJY1" s="129"/>
      <c r="VJZ1" s="129"/>
      <c r="VKA1" s="129"/>
      <c r="VKB1" s="129"/>
      <c r="VKC1" s="129"/>
      <c r="VKD1" s="129"/>
      <c r="VKE1" s="129"/>
      <c r="VKF1" s="129"/>
      <c r="VKG1" s="129"/>
      <c r="VKH1" s="129"/>
      <c r="VKI1" s="129"/>
      <c r="VKJ1" s="129"/>
      <c r="VKK1" s="129"/>
      <c r="VKL1" s="129"/>
      <c r="VKM1" s="129"/>
      <c r="VKN1" s="129"/>
      <c r="VKO1" s="129"/>
      <c r="VKP1" s="129"/>
      <c r="VKQ1" s="129"/>
      <c r="VKR1" s="129"/>
      <c r="VKS1" s="129"/>
      <c r="VKT1" s="129"/>
      <c r="VKU1" s="129"/>
      <c r="VKV1" s="129"/>
      <c r="VKW1" s="129"/>
      <c r="VKX1" s="129"/>
      <c r="VKY1" s="129"/>
      <c r="VKZ1" s="129"/>
      <c r="VLA1" s="129"/>
      <c r="VLB1" s="129"/>
      <c r="VLC1" s="129"/>
      <c r="VLD1" s="129"/>
      <c r="VLE1" s="129"/>
      <c r="VLF1" s="129"/>
      <c r="VLG1" s="129"/>
      <c r="VLH1" s="129"/>
      <c r="VLI1" s="129"/>
      <c r="VLJ1" s="129"/>
      <c r="VLK1" s="129"/>
      <c r="VLL1" s="129"/>
      <c r="VLM1" s="129"/>
      <c r="VLN1" s="129"/>
      <c r="VLO1" s="129"/>
      <c r="VLP1" s="129"/>
      <c r="VLQ1" s="129"/>
      <c r="VLR1" s="129"/>
      <c r="VLS1" s="129"/>
      <c r="VLT1" s="129"/>
      <c r="VLU1" s="129"/>
      <c r="VLV1" s="129"/>
      <c r="VLW1" s="129"/>
      <c r="VLX1" s="129"/>
      <c r="VLY1" s="129"/>
      <c r="VLZ1" s="129"/>
      <c r="VMA1" s="129"/>
      <c r="VMB1" s="129"/>
      <c r="VMC1" s="129"/>
      <c r="VMD1" s="129"/>
      <c r="VME1" s="129"/>
      <c r="VMF1" s="129"/>
      <c r="VMG1" s="129"/>
      <c r="VMH1" s="129"/>
      <c r="VMI1" s="129"/>
      <c r="VMJ1" s="129"/>
      <c r="VMK1" s="129"/>
      <c r="VML1" s="129"/>
      <c r="VMM1" s="129"/>
      <c r="VMN1" s="129"/>
      <c r="VMO1" s="129"/>
      <c r="VMP1" s="129"/>
      <c r="VMQ1" s="129"/>
      <c r="VMR1" s="129"/>
      <c r="VMS1" s="129"/>
      <c r="VMT1" s="129"/>
      <c r="VMU1" s="129"/>
      <c r="VMV1" s="129"/>
      <c r="VMW1" s="129"/>
      <c r="VMX1" s="129"/>
      <c r="VMY1" s="129"/>
      <c r="VMZ1" s="129"/>
      <c r="VNA1" s="129"/>
      <c r="VNB1" s="129"/>
      <c r="VNC1" s="129"/>
      <c r="VND1" s="129"/>
      <c r="VNE1" s="129"/>
      <c r="VNF1" s="129"/>
      <c r="VNG1" s="129"/>
      <c r="VNH1" s="129"/>
      <c r="VNI1" s="129"/>
      <c r="VNJ1" s="129"/>
      <c r="VNK1" s="129"/>
      <c r="VNL1" s="129"/>
      <c r="VNM1" s="129"/>
      <c r="VNN1" s="129"/>
      <c r="VNO1" s="129"/>
      <c r="VNP1" s="129"/>
      <c r="VNQ1" s="129"/>
      <c r="VNR1" s="129"/>
      <c r="VNS1" s="129"/>
      <c r="VNT1" s="129"/>
      <c r="VNU1" s="129"/>
      <c r="VNV1" s="129"/>
      <c r="VNW1" s="129"/>
      <c r="VNX1" s="129"/>
      <c r="VNY1" s="129"/>
      <c r="VNZ1" s="129"/>
      <c r="VOA1" s="129"/>
      <c r="VOB1" s="129"/>
      <c r="VOC1" s="129"/>
      <c r="VOD1" s="129"/>
      <c r="VOE1" s="129"/>
      <c r="VOF1" s="129"/>
      <c r="VOG1" s="129"/>
      <c r="VOH1" s="129"/>
      <c r="VOI1" s="129"/>
      <c r="VOJ1" s="129"/>
      <c r="VOK1" s="129"/>
      <c r="VOL1" s="129"/>
      <c r="VOM1" s="129"/>
      <c r="VON1" s="129"/>
      <c r="VOO1" s="129"/>
      <c r="VOP1" s="129"/>
      <c r="VOQ1" s="129"/>
      <c r="VOR1" s="129"/>
      <c r="VOS1" s="129"/>
      <c r="VOT1" s="129"/>
      <c r="VOU1" s="129"/>
      <c r="VOV1" s="129"/>
      <c r="VOW1" s="129"/>
      <c r="VOX1" s="129"/>
      <c r="VOY1" s="129"/>
      <c r="VOZ1" s="129"/>
      <c r="VPA1" s="129"/>
      <c r="VPB1" s="129"/>
      <c r="VPC1" s="129"/>
      <c r="VPD1" s="129"/>
      <c r="VPE1" s="129"/>
      <c r="VPF1" s="129"/>
      <c r="VPG1" s="129"/>
      <c r="VPH1" s="129"/>
      <c r="VPI1" s="129"/>
      <c r="VPJ1" s="129"/>
      <c r="VPK1" s="129"/>
      <c r="VPL1" s="129"/>
      <c r="VPM1" s="129"/>
      <c r="VPN1" s="129"/>
      <c r="VPO1" s="129"/>
      <c r="VPP1" s="129"/>
      <c r="VPQ1" s="129"/>
      <c r="VPR1" s="129"/>
      <c r="VPS1" s="129"/>
      <c r="VPT1" s="129"/>
      <c r="VPU1" s="129"/>
      <c r="VPV1" s="129"/>
      <c r="VPW1" s="129"/>
      <c r="VPX1" s="129"/>
      <c r="VPY1" s="129"/>
      <c r="VPZ1" s="129"/>
      <c r="VQA1" s="129"/>
      <c r="VQB1" s="129"/>
      <c r="VQC1" s="129"/>
      <c r="VQD1" s="129"/>
      <c r="VQE1" s="129"/>
      <c r="VQF1" s="129"/>
      <c r="VQG1" s="129"/>
      <c r="VQH1" s="129"/>
      <c r="VQI1" s="129"/>
      <c r="VQJ1" s="129"/>
      <c r="VQK1" s="129"/>
      <c r="VQL1" s="129"/>
      <c r="VQM1" s="129"/>
      <c r="VQN1" s="129"/>
      <c r="VQO1" s="129"/>
      <c r="VQP1" s="129"/>
      <c r="VQQ1" s="129"/>
      <c r="VQR1" s="129"/>
      <c r="VQS1" s="129"/>
      <c r="VQT1" s="129"/>
      <c r="VQU1" s="129"/>
      <c r="VQV1" s="129"/>
      <c r="VQW1" s="129"/>
      <c r="VQX1" s="129"/>
      <c r="VQY1" s="129"/>
      <c r="VQZ1" s="129"/>
      <c r="VRA1" s="129"/>
      <c r="VRB1" s="129"/>
      <c r="VRC1" s="129"/>
      <c r="VRD1" s="129"/>
      <c r="VRE1" s="129"/>
      <c r="VRF1" s="129"/>
      <c r="VRG1" s="129"/>
      <c r="VRH1" s="129"/>
      <c r="VRI1" s="129"/>
      <c r="VRJ1" s="129"/>
      <c r="VRK1" s="129"/>
      <c r="VRL1" s="129"/>
      <c r="VRM1" s="129"/>
      <c r="VRN1" s="129"/>
      <c r="VRO1" s="129"/>
      <c r="VRP1" s="129"/>
      <c r="VRQ1" s="129"/>
      <c r="VRR1" s="129"/>
      <c r="VRS1" s="129"/>
      <c r="VRT1" s="129"/>
      <c r="VRU1" s="129"/>
      <c r="VRV1" s="129"/>
      <c r="VRW1" s="129"/>
      <c r="VRX1" s="129"/>
      <c r="VRY1" s="129"/>
      <c r="VRZ1" s="129"/>
      <c r="VSA1" s="129"/>
      <c r="VSB1" s="129"/>
      <c r="VSC1" s="129"/>
      <c r="VSD1" s="129"/>
      <c r="VSE1" s="129"/>
      <c r="VSF1" s="129"/>
      <c r="VSG1" s="129"/>
      <c r="VSH1" s="129"/>
      <c r="VSI1" s="129"/>
      <c r="VSJ1" s="129"/>
      <c r="VSK1" s="129"/>
      <c r="VSL1" s="129"/>
      <c r="VSM1" s="129"/>
      <c r="VSN1" s="129"/>
      <c r="VSO1" s="129"/>
      <c r="VSP1" s="129"/>
      <c r="VSQ1" s="129"/>
      <c r="VSR1" s="129"/>
      <c r="VSS1" s="129"/>
      <c r="VST1" s="129"/>
      <c r="VSU1" s="129"/>
      <c r="VSV1" s="129"/>
      <c r="VSW1" s="129"/>
      <c r="VSX1" s="129"/>
      <c r="VSY1" s="129"/>
      <c r="VSZ1" s="129"/>
      <c r="VTA1" s="129"/>
      <c r="VTB1" s="129"/>
      <c r="VTC1" s="129"/>
      <c r="VTD1" s="129"/>
      <c r="VTE1" s="129"/>
      <c r="VTF1" s="129"/>
      <c r="VTG1" s="129"/>
      <c r="VTH1" s="129"/>
      <c r="VTI1" s="129"/>
      <c r="VTJ1" s="129"/>
      <c r="VTK1" s="129"/>
      <c r="VTL1" s="129"/>
      <c r="VTM1" s="129"/>
      <c r="VTN1" s="129"/>
      <c r="VTO1" s="129"/>
      <c r="VTP1" s="129"/>
      <c r="VTQ1" s="129"/>
      <c r="VTR1" s="129"/>
      <c r="VTS1" s="129"/>
      <c r="VTT1" s="129"/>
      <c r="VTU1" s="129"/>
      <c r="VTV1" s="129"/>
      <c r="VTW1" s="129"/>
      <c r="VTX1" s="129"/>
      <c r="VTY1" s="129"/>
      <c r="VTZ1" s="129"/>
      <c r="VUA1" s="129"/>
      <c r="VUB1" s="129"/>
      <c r="VUC1" s="129"/>
      <c r="VUD1" s="129"/>
      <c r="VUE1" s="129"/>
      <c r="VUF1" s="129"/>
      <c r="VUG1" s="129"/>
      <c r="VUH1" s="129"/>
      <c r="VUI1" s="129"/>
      <c r="VUJ1" s="129"/>
      <c r="VUK1" s="129"/>
      <c r="VUL1" s="129"/>
      <c r="VUM1" s="129"/>
      <c r="VUN1" s="129"/>
      <c r="VUO1" s="129"/>
      <c r="VUP1" s="129"/>
      <c r="VUQ1" s="129"/>
      <c r="VUR1" s="129"/>
      <c r="VUS1" s="129"/>
      <c r="VUT1" s="129"/>
      <c r="VUU1" s="129"/>
      <c r="VUV1" s="129"/>
      <c r="VUW1" s="129"/>
      <c r="VUX1" s="129"/>
      <c r="VUY1" s="129"/>
      <c r="VUZ1" s="129"/>
      <c r="VVA1" s="129"/>
      <c r="VVB1" s="129"/>
      <c r="VVC1" s="129"/>
      <c r="VVD1" s="129"/>
      <c r="VVE1" s="129"/>
      <c r="VVF1" s="129"/>
      <c r="VVG1" s="129"/>
      <c r="VVH1" s="129"/>
      <c r="VVI1" s="129"/>
      <c r="VVJ1" s="129"/>
      <c r="VVK1" s="129"/>
      <c r="VVL1" s="129"/>
      <c r="VVM1" s="129"/>
      <c r="VVN1" s="129"/>
      <c r="VVO1" s="129"/>
      <c r="VVP1" s="129"/>
      <c r="VVQ1" s="129"/>
      <c r="VVR1" s="129"/>
      <c r="VVS1" s="129"/>
      <c r="VVT1" s="129"/>
      <c r="VVU1" s="129"/>
      <c r="VVV1" s="129"/>
      <c r="VVW1" s="129"/>
      <c r="VVX1" s="129"/>
      <c r="VVY1" s="129"/>
      <c r="VVZ1" s="129"/>
      <c r="VWA1" s="129"/>
      <c r="VWB1" s="129"/>
      <c r="VWC1" s="129"/>
      <c r="VWD1" s="129"/>
      <c r="VWE1" s="129"/>
      <c r="VWF1" s="129"/>
      <c r="VWG1" s="129"/>
      <c r="VWH1" s="129"/>
      <c r="VWI1" s="129"/>
      <c r="VWJ1" s="129"/>
      <c r="VWK1" s="129"/>
      <c r="VWL1" s="129"/>
      <c r="VWM1" s="129"/>
      <c r="VWN1" s="129"/>
      <c r="VWO1" s="129"/>
      <c r="VWP1" s="129"/>
      <c r="VWQ1" s="129"/>
      <c r="VWR1" s="129"/>
      <c r="VWS1" s="129"/>
      <c r="VWT1" s="129"/>
      <c r="VWU1" s="129"/>
      <c r="VWV1" s="129"/>
      <c r="VWW1" s="129"/>
      <c r="VWX1" s="129"/>
      <c r="VWY1" s="129"/>
      <c r="VWZ1" s="129"/>
      <c r="VXA1" s="129"/>
      <c r="VXB1" s="129"/>
      <c r="VXC1" s="129"/>
      <c r="VXD1" s="129"/>
      <c r="VXE1" s="129"/>
      <c r="VXF1" s="129"/>
      <c r="VXG1" s="129"/>
      <c r="VXH1" s="129"/>
      <c r="VXI1" s="129"/>
      <c r="VXJ1" s="129"/>
      <c r="VXK1" s="129"/>
      <c r="VXL1" s="129"/>
      <c r="VXM1" s="129"/>
      <c r="VXN1" s="129"/>
      <c r="VXO1" s="129"/>
      <c r="VXP1" s="129"/>
      <c r="VXQ1" s="129"/>
      <c r="VXR1" s="129"/>
      <c r="VXS1" s="129"/>
      <c r="VXT1" s="129"/>
      <c r="VXU1" s="129"/>
      <c r="VXV1" s="129"/>
      <c r="VXW1" s="129"/>
      <c r="VXX1" s="129"/>
      <c r="VXY1" s="129"/>
      <c r="VXZ1" s="129"/>
      <c r="VYA1" s="129"/>
      <c r="VYB1" s="129"/>
      <c r="VYC1" s="129"/>
      <c r="VYD1" s="129"/>
      <c r="VYE1" s="129"/>
      <c r="VYF1" s="129"/>
      <c r="VYG1" s="129"/>
      <c r="VYH1" s="129"/>
      <c r="VYI1" s="129"/>
      <c r="VYJ1" s="129"/>
      <c r="VYK1" s="129"/>
      <c r="VYL1" s="129"/>
      <c r="VYM1" s="129"/>
      <c r="VYN1" s="129"/>
      <c r="VYO1" s="129"/>
      <c r="VYP1" s="129"/>
      <c r="VYQ1" s="129"/>
      <c r="VYR1" s="129"/>
      <c r="VYS1" s="129"/>
      <c r="VYT1" s="129"/>
      <c r="VYU1" s="129"/>
      <c r="VYV1" s="129"/>
      <c r="VYW1" s="129"/>
      <c r="VYX1" s="129"/>
      <c r="VYY1" s="129"/>
      <c r="VYZ1" s="129"/>
      <c r="VZA1" s="129"/>
      <c r="VZB1" s="129"/>
      <c r="VZC1" s="129"/>
      <c r="VZD1" s="129"/>
      <c r="VZE1" s="129"/>
      <c r="VZF1" s="129"/>
      <c r="VZG1" s="129"/>
      <c r="VZH1" s="129"/>
      <c r="VZI1" s="129"/>
      <c r="VZJ1" s="129"/>
      <c r="VZK1" s="129"/>
      <c r="VZL1" s="129"/>
      <c r="VZM1" s="129"/>
      <c r="VZN1" s="129"/>
      <c r="VZO1" s="129"/>
      <c r="VZP1" s="129"/>
      <c r="VZQ1" s="129"/>
      <c r="VZR1" s="129"/>
      <c r="VZS1" s="129"/>
      <c r="VZT1" s="129"/>
      <c r="VZU1" s="129"/>
      <c r="VZV1" s="129"/>
      <c r="VZW1" s="129"/>
      <c r="VZX1" s="129"/>
      <c r="VZY1" s="129"/>
      <c r="VZZ1" s="129"/>
      <c r="WAA1" s="129"/>
      <c r="WAB1" s="129"/>
      <c r="WAC1" s="129"/>
      <c r="WAD1" s="129"/>
      <c r="WAE1" s="129"/>
      <c r="WAF1" s="129"/>
      <c r="WAG1" s="129"/>
      <c r="WAH1" s="129"/>
      <c r="WAI1" s="129"/>
      <c r="WAJ1" s="129"/>
      <c r="WAK1" s="129"/>
      <c r="WAL1" s="129"/>
      <c r="WAM1" s="129"/>
      <c r="WAN1" s="129"/>
      <c r="WAO1" s="129"/>
      <c r="WAP1" s="129"/>
      <c r="WAQ1" s="129"/>
      <c r="WAR1" s="129"/>
      <c r="WAS1" s="129"/>
      <c r="WAT1" s="129"/>
      <c r="WAU1" s="129"/>
      <c r="WAV1" s="129"/>
      <c r="WAW1" s="129"/>
      <c r="WAX1" s="129"/>
      <c r="WAY1" s="129"/>
      <c r="WAZ1" s="129"/>
      <c r="WBA1" s="129"/>
      <c r="WBB1" s="129"/>
      <c r="WBC1" s="129"/>
      <c r="WBD1" s="129"/>
      <c r="WBE1" s="129"/>
      <c r="WBF1" s="129"/>
      <c r="WBG1" s="129"/>
      <c r="WBH1" s="129"/>
      <c r="WBI1" s="129"/>
      <c r="WBJ1" s="129"/>
      <c r="WBK1" s="129"/>
      <c r="WBL1" s="129"/>
      <c r="WBM1" s="129"/>
      <c r="WBN1" s="129"/>
      <c r="WBO1" s="129"/>
      <c r="WBP1" s="129"/>
      <c r="WBQ1" s="129"/>
      <c r="WBR1" s="129"/>
      <c r="WBS1" s="129"/>
      <c r="WBT1" s="129"/>
      <c r="WBU1" s="129"/>
      <c r="WBV1" s="129"/>
      <c r="WBW1" s="129"/>
      <c r="WBX1" s="129"/>
      <c r="WBY1" s="129"/>
      <c r="WBZ1" s="129"/>
      <c r="WCA1" s="129"/>
      <c r="WCB1" s="129"/>
      <c r="WCC1" s="129"/>
      <c r="WCD1" s="129"/>
      <c r="WCE1" s="129"/>
      <c r="WCF1" s="129"/>
      <c r="WCG1" s="129"/>
      <c r="WCH1" s="129"/>
      <c r="WCI1" s="129"/>
      <c r="WCJ1" s="129"/>
      <c r="WCK1" s="129"/>
      <c r="WCL1" s="129"/>
      <c r="WCM1" s="129"/>
      <c r="WCN1" s="129"/>
      <c r="WCO1" s="129"/>
      <c r="WCP1" s="129"/>
      <c r="WCQ1" s="129"/>
      <c r="WCR1" s="129"/>
      <c r="WCS1" s="129"/>
      <c r="WCT1" s="129"/>
      <c r="WCU1" s="129"/>
      <c r="WCV1" s="129"/>
      <c r="WCW1" s="129"/>
      <c r="WCX1" s="129"/>
      <c r="WCY1" s="129"/>
      <c r="WCZ1" s="129"/>
      <c r="WDA1" s="129"/>
      <c r="WDB1" s="129"/>
      <c r="WDC1" s="129"/>
      <c r="WDD1" s="129"/>
      <c r="WDE1" s="129"/>
      <c r="WDF1" s="129"/>
      <c r="WDG1" s="129"/>
      <c r="WDH1" s="129"/>
      <c r="WDI1" s="129"/>
      <c r="WDJ1" s="129"/>
      <c r="WDK1" s="129"/>
      <c r="WDL1" s="129"/>
      <c r="WDM1" s="129"/>
      <c r="WDN1" s="129"/>
      <c r="WDO1" s="129"/>
      <c r="WDP1" s="129"/>
      <c r="WDQ1" s="129"/>
      <c r="WDR1" s="129"/>
      <c r="WDS1" s="129"/>
      <c r="WDT1" s="129"/>
      <c r="WDU1" s="129"/>
      <c r="WDV1" s="129"/>
      <c r="WDW1" s="129"/>
      <c r="WDX1" s="129"/>
      <c r="WDY1" s="129"/>
      <c r="WDZ1" s="129"/>
      <c r="WEA1" s="129"/>
      <c r="WEB1" s="129"/>
      <c r="WEC1" s="129"/>
      <c r="WED1" s="129"/>
      <c r="WEE1" s="129"/>
      <c r="WEF1" s="129"/>
      <c r="WEG1" s="129"/>
      <c r="WEH1" s="129"/>
      <c r="WEI1" s="129"/>
      <c r="WEJ1" s="129"/>
      <c r="WEK1" s="129"/>
      <c r="WEL1" s="129"/>
      <c r="WEM1" s="129"/>
      <c r="WEN1" s="129"/>
      <c r="WEO1" s="129"/>
      <c r="WEP1" s="129"/>
      <c r="WEQ1" s="129"/>
      <c r="WER1" s="129"/>
      <c r="WES1" s="129"/>
      <c r="WET1" s="129"/>
      <c r="WEU1" s="129"/>
      <c r="WEV1" s="129"/>
      <c r="WEW1" s="129"/>
      <c r="WEX1" s="129"/>
      <c r="WEY1" s="129"/>
      <c r="WEZ1" s="129"/>
      <c r="WFA1" s="129"/>
      <c r="WFB1" s="129"/>
      <c r="WFC1" s="129"/>
      <c r="WFD1" s="129"/>
      <c r="WFE1" s="129"/>
      <c r="WFF1" s="129"/>
      <c r="WFG1" s="129"/>
      <c r="WFH1" s="129"/>
      <c r="WFI1" s="129"/>
      <c r="WFJ1" s="129"/>
      <c r="WFK1" s="129"/>
      <c r="WFL1" s="129"/>
      <c r="WFM1" s="129"/>
      <c r="WFN1" s="129"/>
      <c r="WFO1" s="129"/>
      <c r="WFP1" s="129"/>
      <c r="WFQ1" s="129"/>
      <c r="WFR1" s="129"/>
      <c r="WFS1" s="129"/>
      <c r="WFT1" s="129"/>
      <c r="WFU1" s="129"/>
      <c r="WFV1" s="129"/>
      <c r="WFW1" s="129"/>
      <c r="WFX1" s="129"/>
      <c r="WFY1" s="129"/>
      <c r="WFZ1" s="129"/>
      <c r="WGA1" s="129"/>
      <c r="WGB1" s="129"/>
      <c r="WGC1" s="129"/>
      <c r="WGD1" s="129"/>
      <c r="WGE1" s="129"/>
      <c r="WGF1" s="129"/>
      <c r="WGG1" s="129"/>
      <c r="WGH1" s="129"/>
      <c r="WGI1" s="129"/>
      <c r="WGJ1" s="129"/>
      <c r="WGK1" s="129"/>
      <c r="WGL1" s="129"/>
      <c r="WGM1" s="129"/>
      <c r="WGN1" s="129"/>
      <c r="WGO1" s="129"/>
      <c r="WGP1" s="129"/>
      <c r="WGQ1" s="129"/>
      <c r="WGR1" s="129"/>
      <c r="WGS1" s="129"/>
      <c r="WGT1" s="129"/>
      <c r="WGU1" s="129"/>
      <c r="WGV1" s="129"/>
      <c r="WGW1" s="129"/>
      <c r="WGX1" s="129"/>
      <c r="WGY1" s="129"/>
      <c r="WGZ1" s="129"/>
      <c r="WHA1" s="129"/>
      <c r="WHB1" s="129"/>
      <c r="WHC1" s="129"/>
      <c r="WHD1" s="129"/>
      <c r="WHE1" s="129"/>
      <c r="WHF1" s="129"/>
      <c r="WHG1" s="129"/>
      <c r="WHH1" s="129"/>
      <c r="WHI1" s="129"/>
      <c r="WHJ1" s="129"/>
      <c r="WHK1" s="129"/>
      <c r="WHL1" s="129"/>
      <c r="WHM1" s="129"/>
      <c r="WHN1" s="129"/>
      <c r="WHO1" s="129"/>
      <c r="WHP1" s="129"/>
      <c r="WHQ1" s="129"/>
      <c r="WHR1" s="129"/>
      <c r="WHS1" s="129"/>
      <c r="WHT1" s="129"/>
      <c r="WHU1" s="129"/>
      <c r="WHV1" s="129"/>
      <c r="WHW1" s="129"/>
      <c r="WHX1" s="129"/>
      <c r="WHY1" s="129"/>
      <c r="WHZ1" s="129"/>
      <c r="WIA1" s="129"/>
      <c r="WIB1" s="129"/>
      <c r="WIC1" s="129"/>
      <c r="WID1" s="129"/>
      <c r="WIE1" s="129"/>
      <c r="WIF1" s="129"/>
      <c r="WIG1" s="129"/>
      <c r="WIH1" s="129"/>
      <c r="WII1" s="129"/>
      <c r="WIJ1" s="129"/>
      <c r="WIK1" s="129"/>
      <c r="WIL1" s="129"/>
      <c r="WIM1" s="129"/>
      <c r="WIN1" s="129"/>
      <c r="WIO1" s="129"/>
      <c r="WIP1" s="129"/>
      <c r="WIQ1" s="129"/>
      <c r="WIR1" s="129"/>
      <c r="WIS1" s="129"/>
      <c r="WIT1" s="129"/>
      <c r="WIU1" s="129"/>
      <c r="WIV1" s="129"/>
      <c r="WIW1" s="129"/>
      <c r="WIX1" s="129"/>
      <c r="WIY1" s="129"/>
      <c r="WIZ1" s="129"/>
      <c r="WJA1" s="129"/>
      <c r="WJB1" s="129"/>
      <c r="WJC1" s="129"/>
      <c r="WJD1" s="129"/>
      <c r="WJE1" s="129"/>
      <c r="WJF1" s="129"/>
      <c r="WJG1" s="129"/>
      <c r="WJH1" s="129"/>
      <c r="WJI1" s="129"/>
      <c r="WJJ1" s="129"/>
      <c r="WJK1" s="129"/>
      <c r="WJL1" s="129"/>
      <c r="WJM1" s="129"/>
      <c r="WJN1" s="129"/>
      <c r="WJO1" s="129"/>
      <c r="WJP1" s="129"/>
      <c r="WJQ1" s="129"/>
      <c r="WJR1" s="129"/>
      <c r="WJS1" s="129"/>
      <c r="WJT1" s="129"/>
      <c r="WJU1" s="129"/>
      <c r="WJV1" s="129"/>
      <c r="WJW1" s="129"/>
      <c r="WJX1" s="129"/>
      <c r="WJY1" s="129"/>
      <c r="WJZ1" s="129"/>
      <c r="WKA1" s="129"/>
      <c r="WKB1" s="129"/>
      <c r="WKC1" s="129"/>
      <c r="WKD1" s="129"/>
      <c r="WKE1" s="129"/>
      <c r="WKF1" s="129"/>
      <c r="WKG1" s="129"/>
      <c r="WKH1" s="129"/>
      <c r="WKI1" s="129"/>
      <c r="WKJ1" s="129"/>
      <c r="WKK1" s="129"/>
      <c r="WKL1" s="129"/>
      <c r="WKM1" s="129"/>
      <c r="WKN1" s="129"/>
      <c r="WKO1" s="129"/>
      <c r="WKP1" s="129"/>
      <c r="WKQ1" s="129"/>
      <c r="WKR1" s="129"/>
      <c r="WKS1" s="129"/>
      <c r="WKT1" s="129"/>
      <c r="WKU1" s="129"/>
      <c r="WKV1" s="129"/>
      <c r="WKW1" s="129"/>
      <c r="WKX1" s="129"/>
      <c r="WKY1" s="129"/>
      <c r="WKZ1" s="129"/>
      <c r="WLA1" s="129"/>
      <c r="WLB1" s="129"/>
      <c r="WLC1" s="129"/>
      <c r="WLD1" s="129"/>
      <c r="WLE1" s="129"/>
      <c r="WLF1" s="129"/>
      <c r="WLG1" s="129"/>
      <c r="WLH1" s="129"/>
      <c r="WLI1" s="129"/>
      <c r="WLJ1" s="129"/>
      <c r="WLK1" s="129"/>
      <c r="WLL1" s="129"/>
      <c r="WLM1" s="129"/>
      <c r="WLN1" s="129"/>
      <c r="WLO1" s="129"/>
      <c r="WLP1" s="129"/>
      <c r="WLQ1" s="129"/>
      <c r="WLR1" s="129"/>
      <c r="WLS1" s="129"/>
      <c r="WLT1" s="129"/>
      <c r="WLU1" s="129"/>
      <c r="WLV1" s="129"/>
      <c r="WLW1" s="129"/>
      <c r="WLX1" s="129"/>
      <c r="WLY1" s="129"/>
      <c r="WLZ1" s="129"/>
      <c r="WMA1" s="129"/>
      <c r="WMB1" s="129"/>
      <c r="WMC1" s="129"/>
      <c r="WMD1" s="129"/>
      <c r="WME1" s="129"/>
      <c r="WMF1" s="129"/>
      <c r="WMG1" s="129"/>
      <c r="WMH1" s="129"/>
      <c r="WMI1" s="129"/>
      <c r="WMJ1" s="129"/>
      <c r="WMK1" s="129"/>
      <c r="WML1" s="129"/>
      <c r="WMM1" s="129"/>
      <c r="WMN1" s="129"/>
      <c r="WMO1" s="129"/>
      <c r="WMP1" s="129"/>
      <c r="WMQ1" s="129"/>
      <c r="WMR1" s="129"/>
      <c r="WMS1" s="129"/>
      <c r="WMT1" s="129"/>
      <c r="WMU1" s="129"/>
      <c r="WMV1" s="129"/>
      <c r="WMW1" s="129"/>
      <c r="WMX1" s="129"/>
      <c r="WMY1" s="129"/>
      <c r="WMZ1" s="129"/>
      <c r="WNA1" s="129"/>
      <c r="WNB1" s="129"/>
      <c r="WNC1" s="129"/>
      <c r="WND1" s="129"/>
      <c r="WNE1" s="129"/>
      <c r="WNF1" s="129"/>
      <c r="WNG1" s="129"/>
      <c r="WNH1" s="129"/>
      <c r="WNI1" s="129"/>
      <c r="WNJ1" s="129"/>
      <c r="WNK1" s="129"/>
      <c r="WNL1" s="129"/>
      <c r="WNM1" s="129"/>
      <c r="WNN1" s="129"/>
      <c r="WNO1" s="129"/>
      <c r="WNP1" s="129"/>
      <c r="WNQ1" s="129"/>
      <c r="WNR1" s="129"/>
      <c r="WNS1" s="129"/>
      <c r="WNT1" s="129"/>
      <c r="WNU1" s="129"/>
      <c r="WNV1" s="129"/>
      <c r="WNW1" s="129"/>
      <c r="WNX1" s="129"/>
      <c r="WNY1" s="129"/>
      <c r="WNZ1" s="129"/>
      <c r="WOA1" s="129"/>
      <c r="WOB1" s="129"/>
      <c r="WOC1" s="129"/>
      <c r="WOD1" s="129"/>
      <c r="WOE1" s="129"/>
      <c r="WOF1" s="129"/>
      <c r="WOG1" s="129"/>
      <c r="WOH1" s="129"/>
      <c r="WOI1" s="129"/>
      <c r="WOJ1" s="129"/>
      <c r="WOK1" s="129"/>
      <c r="WOL1" s="129"/>
      <c r="WOM1" s="129"/>
      <c r="WON1" s="129"/>
      <c r="WOO1" s="129"/>
      <c r="WOP1" s="129"/>
      <c r="WOQ1" s="129"/>
      <c r="WOR1" s="129"/>
      <c r="WOS1" s="129"/>
      <c r="WOT1" s="129"/>
      <c r="WOU1" s="129"/>
      <c r="WOV1" s="129"/>
      <c r="WOW1" s="129"/>
      <c r="WOX1" s="129"/>
      <c r="WOY1" s="129"/>
      <c r="WOZ1" s="129"/>
      <c r="WPA1" s="129"/>
      <c r="WPB1" s="129"/>
      <c r="WPC1" s="129"/>
      <c r="WPD1" s="129"/>
      <c r="WPE1" s="129"/>
      <c r="WPF1" s="129"/>
      <c r="WPG1" s="129"/>
      <c r="WPH1" s="129"/>
      <c r="WPI1" s="129"/>
      <c r="WPJ1" s="129"/>
      <c r="WPK1" s="129"/>
      <c r="WPL1" s="129"/>
      <c r="WPM1" s="129"/>
      <c r="WPN1" s="129"/>
      <c r="WPO1" s="129"/>
      <c r="WPP1" s="129"/>
      <c r="WPQ1" s="129"/>
      <c r="WPR1" s="129"/>
      <c r="WPS1" s="129"/>
      <c r="WPT1" s="129"/>
      <c r="WPU1" s="129"/>
      <c r="WPV1" s="129"/>
      <c r="WPW1" s="129"/>
      <c r="WPX1" s="129"/>
      <c r="WPY1" s="129"/>
      <c r="WPZ1" s="129"/>
      <c r="WQA1" s="129"/>
      <c r="WQB1" s="129"/>
      <c r="WQC1" s="129"/>
      <c r="WQD1" s="129"/>
      <c r="WQE1" s="129"/>
      <c r="WQF1" s="129"/>
      <c r="WQG1" s="129"/>
      <c r="WQH1" s="129"/>
      <c r="WQI1" s="129"/>
      <c r="WQJ1" s="129"/>
      <c r="WQK1" s="129"/>
      <c r="WQL1" s="129"/>
      <c r="WQM1" s="129"/>
      <c r="WQN1" s="129"/>
      <c r="WQO1" s="129"/>
      <c r="WQP1" s="129"/>
      <c r="WQQ1" s="129"/>
      <c r="WQR1" s="129"/>
      <c r="WQS1" s="129"/>
      <c r="WQT1" s="129"/>
      <c r="WQU1" s="129"/>
      <c r="WQV1" s="129"/>
      <c r="WQW1" s="129"/>
      <c r="WQX1" s="129"/>
      <c r="WQY1" s="129"/>
      <c r="WQZ1" s="129"/>
      <c r="WRA1" s="129"/>
      <c r="WRB1" s="129"/>
      <c r="WRC1" s="129"/>
      <c r="WRD1" s="129"/>
      <c r="WRE1" s="129"/>
      <c r="WRF1" s="129"/>
      <c r="WRG1" s="129"/>
      <c r="WRH1" s="129"/>
      <c r="WRI1" s="129"/>
      <c r="WRJ1" s="129"/>
      <c r="WRK1" s="129"/>
      <c r="WRL1" s="129"/>
      <c r="WRM1" s="129"/>
      <c r="WRN1" s="129"/>
      <c r="WRO1" s="129"/>
      <c r="WRP1" s="129"/>
      <c r="WRQ1" s="129"/>
      <c r="WRR1" s="129"/>
      <c r="WRS1" s="129"/>
      <c r="WRT1" s="129"/>
      <c r="WRU1" s="129"/>
      <c r="WRV1" s="129"/>
      <c r="WRW1" s="129"/>
      <c r="WRX1" s="129"/>
      <c r="WRY1" s="129"/>
      <c r="WRZ1" s="129"/>
      <c r="WSA1" s="129"/>
      <c r="WSB1" s="129"/>
      <c r="WSC1" s="129"/>
      <c r="WSD1" s="129"/>
      <c r="WSE1" s="129"/>
      <c r="WSF1" s="129"/>
      <c r="WSG1" s="129"/>
      <c r="WSH1" s="129"/>
      <c r="WSI1" s="129"/>
      <c r="WSJ1" s="129"/>
      <c r="WSK1" s="129"/>
      <c r="WSL1" s="129"/>
      <c r="WSM1" s="129"/>
      <c r="WSN1" s="129"/>
      <c r="WSO1" s="129"/>
      <c r="WSP1" s="129"/>
      <c r="WSQ1" s="129"/>
      <c r="WSR1" s="129"/>
      <c r="WSS1" s="129"/>
      <c r="WST1" s="129"/>
      <c r="WSU1" s="129"/>
      <c r="WSV1" s="129"/>
      <c r="WSW1" s="129"/>
      <c r="WSX1" s="129"/>
      <c r="WSY1" s="129"/>
      <c r="WSZ1" s="129"/>
      <c r="WTA1" s="129"/>
      <c r="WTB1" s="129"/>
      <c r="WTC1" s="129"/>
      <c r="WTD1" s="129"/>
      <c r="WTE1" s="129"/>
      <c r="WTF1" s="129"/>
      <c r="WTG1" s="129"/>
      <c r="WTH1" s="129"/>
      <c r="WTI1" s="129"/>
      <c r="WTJ1" s="129"/>
      <c r="WTK1" s="129"/>
      <c r="WTL1" s="129"/>
      <c r="WTM1" s="129"/>
      <c r="WTN1" s="129"/>
      <c r="WTO1" s="129"/>
      <c r="WTP1" s="129"/>
      <c r="WTQ1" s="129"/>
      <c r="WTR1" s="129"/>
      <c r="WTS1" s="129"/>
      <c r="WTT1" s="129"/>
      <c r="WTU1" s="129"/>
      <c r="WTV1" s="129"/>
      <c r="WTW1" s="129"/>
      <c r="WTX1" s="129"/>
      <c r="WTY1" s="129"/>
      <c r="WTZ1" s="129"/>
      <c r="WUA1" s="129"/>
      <c r="WUB1" s="129"/>
      <c r="WUC1" s="129"/>
      <c r="WUD1" s="129"/>
      <c r="WUE1" s="129"/>
      <c r="WUF1" s="129"/>
      <c r="WUG1" s="129"/>
      <c r="WUH1" s="129"/>
      <c r="WUI1" s="129"/>
      <c r="WUJ1" s="129"/>
      <c r="WUK1" s="129"/>
      <c r="WUL1" s="129"/>
      <c r="WUM1" s="129"/>
      <c r="WUN1" s="129"/>
      <c r="WUO1" s="129"/>
      <c r="WUP1" s="129"/>
      <c r="WUQ1" s="129"/>
      <c r="WUR1" s="129"/>
      <c r="WUS1" s="129"/>
      <c r="WUT1" s="129"/>
      <c r="WUU1" s="129"/>
      <c r="WUV1" s="129"/>
      <c r="WUW1" s="129"/>
      <c r="WUX1" s="129"/>
      <c r="WUY1" s="129"/>
      <c r="WUZ1" s="129"/>
      <c r="WVA1" s="129"/>
      <c r="WVB1" s="129"/>
      <c r="WVC1" s="129"/>
      <c r="WVD1" s="129"/>
      <c r="WVE1" s="129"/>
      <c r="WVF1" s="129"/>
      <c r="WVG1" s="129"/>
      <c r="WVH1" s="129"/>
      <c r="WVI1" s="129"/>
      <c r="WVJ1" s="129"/>
      <c r="WVK1" s="129"/>
      <c r="WVL1" s="129"/>
      <c r="WVM1" s="129"/>
      <c r="WVN1" s="129"/>
      <c r="WVO1" s="129"/>
      <c r="WVP1" s="129"/>
      <c r="WVQ1" s="129"/>
      <c r="WVR1" s="129"/>
      <c r="WVS1" s="129"/>
      <c r="WVT1" s="129"/>
      <c r="WVU1" s="129"/>
      <c r="WVV1" s="129"/>
      <c r="WVW1" s="129"/>
      <c r="WVX1" s="129"/>
      <c r="WVY1" s="129"/>
      <c r="WVZ1" s="129"/>
      <c r="WWA1" s="129"/>
      <c r="WWB1" s="129"/>
      <c r="WWC1" s="129"/>
      <c r="WWD1" s="129"/>
      <c r="WWE1" s="129"/>
      <c r="WWF1" s="129"/>
      <c r="WWG1" s="129"/>
      <c r="WWH1" s="129"/>
      <c r="WWI1" s="129"/>
      <c r="WWJ1" s="129"/>
      <c r="WWK1" s="129"/>
      <c r="WWL1" s="129"/>
      <c r="WWM1" s="129"/>
      <c r="WWN1" s="129"/>
      <c r="WWO1" s="129"/>
      <c r="WWP1" s="129"/>
      <c r="WWQ1" s="129"/>
      <c r="WWR1" s="129"/>
      <c r="WWS1" s="129"/>
      <c r="WWT1" s="129"/>
      <c r="WWU1" s="129"/>
      <c r="WWV1" s="129"/>
      <c r="WWW1" s="129"/>
      <c r="WWX1" s="129"/>
      <c r="WWY1" s="129"/>
      <c r="WWZ1" s="129"/>
      <c r="WXA1" s="129"/>
      <c r="WXB1" s="129"/>
      <c r="WXC1" s="129"/>
      <c r="WXD1" s="129"/>
      <c r="WXE1" s="129"/>
      <c r="WXF1" s="129"/>
      <c r="WXG1" s="129"/>
      <c r="WXH1" s="129"/>
      <c r="WXI1" s="129"/>
      <c r="WXJ1" s="129"/>
      <c r="WXK1" s="129"/>
      <c r="WXL1" s="129"/>
      <c r="WXM1" s="129"/>
      <c r="WXN1" s="129"/>
      <c r="WXO1" s="129"/>
      <c r="WXP1" s="129"/>
      <c r="WXQ1" s="129"/>
      <c r="WXR1" s="129"/>
      <c r="WXS1" s="129"/>
      <c r="WXT1" s="129"/>
      <c r="WXU1" s="129"/>
      <c r="WXV1" s="129"/>
      <c r="WXW1" s="129"/>
      <c r="WXX1" s="129"/>
      <c r="WXY1" s="129"/>
      <c r="WXZ1" s="129"/>
      <c r="WYA1" s="129"/>
      <c r="WYB1" s="129"/>
      <c r="WYC1" s="129"/>
      <c r="WYD1" s="129"/>
      <c r="WYE1" s="129"/>
      <c r="WYF1" s="129"/>
      <c r="WYG1" s="129"/>
      <c r="WYH1" s="129"/>
      <c r="WYI1" s="129"/>
      <c r="WYJ1" s="129"/>
      <c r="WYK1" s="129"/>
      <c r="WYL1" s="129"/>
      <c r="WYM1" s="129"/>
      <c r="WYN1" s="129"/>
      <c r="WYO1" s="129"/>
      <c r="WYP1" s="129"/>
      <c r="WYQ1" s="129"/>
      <c r="WYR1" s="129"/>
      <c r="WYS1" s="129"/>
      <c r="WYT1" s="129"/>
      <c r="WYU1" s="129"/>
      <c r="WYV1" s="129"/>
      <c r="WYW1" s="129"/>
      <c r="WYX1" s="129"/>
      <c r="WYY1" s="129"/>
      <c r="WYZ1" s="129"/>
      <c r="WZA1" s="129"/>
      <c r="WZB1" s="129"/>
      <c r="WZC1" s="129"/>
      <c r="WZD1" s="129"/>
      <c r="WZE1" s="129"/>
      <c r="WZF1" s="129"/>
      <c r="WZG1" s="129"/>
      <c r="WZH1" s="129"/>
      <c r="WZI1" s="129"/>
      <c r="WZJ1" s="129"/>
      <c r="WZK1" s="129"/>
      <c r="WZL1" s="129"/>
      <c r="WZM1" s="129"/>
      <c r="WZN1" s="129"/>
      <c r="WZO1" s="129"/>
      <c r="WZP1" s="129"/>
      <c r="WZQ1" s="129"/>
      <c r="WZR1" s="129"/>
      <c r="WZS1" s="129"/>
      <c r="WZT1" s="129"/>
      <c r="WZU1" s="129"/>
      <c r="WZV1" s="129"/>
      <c r="WZW1" s="129"/>
      <c r="WZX1" s="129"/>
      <c r="WZY1" s="129"/>
      <c r="WZZ1" s="129"/>
      <c r="XAA1" s="129"/>
      <c r="XAB1" s="129"/>
      <c r="XAC1" s="129"/>
      <c r="XAD1" s="129"/>
      <c r="XAE1" s="129"/>
      <c r="XAF1" s="129"/>
      <c r="XAG1" s="129"/>
      <c r="XAH1" s="129"/>
      <c r="XAI1" s="129"/>
      <c r="XAJ1" s="129"/>
      <c r="XAK1" s="129"/>
      <c r="XAL1" s="129"/>
      <c r="XAM1" s="129"/>
      <c r="XAN1" s="129"/>
      <c r="XAO1" s="129"/>
      <c r="XAP1" s="129"/>
      <c r="XAQ1" s="129"/>
      <c r="XAR1" s="129"/>
      <c r="XAS1" s="129"/>
      <c r="XAT1" s="129"/>
      <c r="XAU1" s="129"/>
      <c r="XAV1" s="129"/>
      <c r="XAW1" s="129"/>
      <c r="XAX1" s="129"/>
      <c r="XAY1" s="129"/>
      <c r="XAZ1" s="129"/>
      <c r="XBA1" s="129"/>
      <c r="XBB1" s="129"/>
      <c r="XBC1" s="129"/>
      <c r="XBD1" s="129"/>
      <c r="XBE1" s="129"/>
      <c r="XBF1" s="129"/>
      <c r="XBG1" s="129"/>
      <c r="XBH1" s="129"/>
      <c r="XBI1" s="129"/>
      <c r="XBJ1" s="129"/>
      <c r="XBK1" s="129"/>
      <c r="XBL1" s="129"/>
      <c r="XBM1" s="129"/>
      <c r="XBN1" s="129"/>
      <c r="XBO1" s="129"/>
      <c r="XBP1" s="129"/>
      <c r="XBQ1" s="129"/>
      <c r="XBR1" s="129"/>
      <c r="XBS1" s="129"/>
      <c r="XBT1" s="129"/>
      <c r="XBU1" s="129"/>
      <c r="XBV1" s="129"/>
      <c r="XBW1" s="129"/>
      <c r="XBX1" s="129"/>
      <c r="XBY1" s="129"/>
      <c r="XBZ1" s="129"/>
      <c r="XCA1" s="129"/>
      <c r="XCB1" s="129"/>
      <c r="XCC1" s="129"/>
      <c r="XCD1" s="129"/>
      <c r="XCE1" s="129"/>
      <c r="XCF1" s="129"/>
      <c r="XCG1" s="129"/>
      <c r="XCH1" s="129"/>
      <c r="XCI1" s="129"/>
      <c r="XCJ1" s="129"/>
      <c r="XCK1" s="129"/>
      <c r="XCL1" s="129"/>
      <c r="XCM1" s="129"/>
      <c r="XCN1" s="129"/>
      <c r="XCO1" s="129"/>
      <c r="XCP1" s="129"/>
      <c r="XCQ1" s="129"/>
      <c r="XCR1" s="129"/>
      <c r="XCS1" s="129"/>
      <c r="XCT1" s="129"/>
      <c r="XCU1" s="129"/>
      <c r="XCV1" s="129"/>
      <c r="XCW1" s="129"/>
      <c r="XCX1" s="129"/>
      <c r="XCY1" s="129"/>
      <c r="XCZ1" s="129"/>
      <c r="XDA1" s="129"/>
      <c r="XDB1" s="129"/>
      <c r="XDC1" s="129"/>
      <c r="XDD1" s="129"/>
      <c r="XDE1" s="129"/>
      <c r="XDF1" s="129"/>
      <c r="XDG1" s="129"/>
      <c r="XDH1" s="129"/>
      <c r="XDI1" s="129"/>
      <c r="XDJ1" s="129"/>
      <c r="XDK1" s="129"/>
      <c r="XDL1" s="129"/>
      <c r="XDM1" s="129"/>
      <c r="XDN1" s="129"/>
      <c r="XDO1" s="129"/>
      <c r="XDP1" s="129"/>
      <c r="XDQ1" s="129"/>
      <c r="XDR1" s="129"/>
      <c r="XDS1" s="129"/>
      <c r="XDT1" s="129"/>
      <c r="XDU1" s="129"/>
      <c r="XDV1" s="129"/>
      <c r="XDW1" s="129"/>
      <c r="XDX1" s="129"/>
      <c r="XDY1" s="129"/>
      <c r="XDZ1" s="129"/>
      <c r="XEA1" s="129"/>
      <c r="XEB1" s="129"/>
      <c r="XEC1" s="129"/>
      <c r="XED1" s="129"/>
      <c r="XEE1" s="129"/>
      <c r="XEF1" s="129"/>
      <c r="XEG1" s="129"/>
      <c r="XEH1" s="129"/>
      <c r="XEI1" s="129"/>
      <c r="XEJ1" s="129"/>
      <c r="XEK1" s="129"/>
      <c r="XEL1" s="129"/>
      <c r="XEM1" s="129"/>
      <c r="XEN1" s="129"/>
      <c r="XEO1" s="129"/>
      <c r="XEP1" s="129"/>
      <c r="XEQ1" s="129"/>
      <c r="XER1" s="129"/>
      <c r="XES1" s="129"/>
      <c r="XET1" s="129"/>
      <c r="XEU1" s="129"/>
      <c r="XEV1" s="129"/>
      <c r="XEW1" s="129"/>
      <c r="XEX1" s="129"/>
      <c r="XEY1" s="129"/>
      <c r="XEZ1" s="129"/>
      <c r="XFA1" s="129"/>
      <c r="XFB1" s="129"/>
      <c r="XFC1" s="129"/>
      <c r="XFD1" s="177"/>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96D97-DA5C-4BAA-9931-646BF6867DA6}">
  <dimension ref="A3:AB19"/>
  <sheetViews>
    <sheetView workbookViewId="0">
      <selection activeCell="K17" sqref="K17"/>
    </sheetView>
  </sheetViews>
  <sheetFormatPr defaultRowHeight="14.4" x14ac:dyDescent="0.3"/>
  <sheetData>
    <row r="3" spans="1:28" x14ac:dyDescent="0.3">
      <c r="A3" s="49" t="s">
        <v>17959</v>
      </c>
      <c r="D3" s="49" t="s">
        <v>338</v>
      </c>
      <c r="E3" s="49"/>
      <c r="F3" s="49"/>
      <c r="G3" s="49"/>
      <c r="H3" s="49"/>
      <c r="I3" s="49"/>
      <c r="J3" s="49"/>
      <c r="K3" s="49" t="s">
        <v>813</v>
      </c>
      <c r="L3" s="49"/>
      <c r="M3" s="49"/>
      <c r="N3" s="49"/>
      <c r="O3" s="49"/>
      <c r="P3" s="49"/>
      <c r="Q3" s="49"/>
      <c r="R3" s="49"/>
      <c r="S3" s="49"/>
      <c r="T3" s="49"/>
      <c r="U3" s="49" t="s">
        <v>727</v>
      </c>
    </row>
    <row r="4" spans="1:28" x14ac:dyDescent="0.3">
      <c r="C4" s="126" t="s">
        <v>17964</v>
      </c>
      <c r="D4" s="126" t="s">
        <v>17965</v>
      </c>
      <c r="E4" s="126" t="s">
        <v>17966</v>
      </c>
      <c r="F4" s="126" t="s">
        <v>17967</v>
      </c>
      <c r="G4" s="126" t="s">
        <v>17968</v>
      </c>
      <c r="H4" s="126" t="s">
        <v>17969</v>
      </c>
      <c r="I4" s="126" t="s">
        <v>17970</v>
      </c>
      <c r="J4" s="126"/>
      <c r="K4" s="126"/>
      <c r="L4" s="126" t="s">
        <v>17964</v>
      </c>
      <c r="M4" s="126" t="s">
        <v>17965</v>
      </c>
      <c r="N4" s="126" t="s">
        <v>17966</v>
      </c>
      <c r="O4" s="126" t="s">
        <v>17967</v>
      </c>
      <c r="P4" s="126" t="s">
        <v>17968</v>
      </c>
      <c r="Q4" s="126" t="s">
        <v>17969</v>
      </c>
      <c r="R4" s="126" t="s">
        <v>17970</v>
      </c>
      <c r="S4" s="126"/>
      <c r="T4" s="126"/>
      <c r="U4" s="126" t="s">
        <v>17964</v>
      </c>
      <c r="V4" s="126" t="s">
        <v>17965</v>
      </c>
      <c r="W4" s="126" t="s">
        <v>17966</v>
      </c>
      <c r="X4" s="126" t="s">
        <v>17967</v>
      </c>
      <c r="Y4" s="126" t="s">
        <v>17968</v>
      </c>
      <c r="Z4" s="126" t="s">
        <v>17969</v>
      </c>
      <c r="AA4" s="126" t="s">
        <v>17970</v>
      </c>
      <c r="AB4" s="126"/>
    </row>
    <row r="5" spans="1:28" x14ac:dyDescent="0.3">
      <c r="B5" s="44" t="s">
        <v>17971</v>
      </c>
      <c r="C5">
        <f>COUNTIFS(Tabula1[City],"Rīga",Tabula1[Dzimtā valoda(s): '[Latviešu']],"Jā",Tabula1[Dzimtā valoda(s): '[Krievu  ']],"Nē",Tabula1[Dzimtā valoda(s): '[Ukraiņu ']],"Nē",Tabula1[Dzimtā valoda(s): '[Angļu']],"Nē",Tabula1[Dzimtā valoda(s): '[Poļu']],"Nē",Tabula1[Cik bieži izmantojat latviešu valodu šajos kontekstos?  '[Ģimenē']],"(Gandrīz) katru dienu")</f>
        <v>59</v>
      </c>
      <c r="D5">
        <f>COUNTIFS(Tabula1[City],"Rīga",Tabula1[Dzimtā valoda(s): '[Latviešu']],"Jā",Tabula1[Dzimtā valoda(s): '[Krievu  ']],"Nē",Tabula1[Dzimtā valoda(s): '[Ukraiņu ']],"Nē",Tabula1[Dzimtā valoda(s): '[Angļu']],"Nē",Tabula1[Dzimtā valoda(s): '[Poļu']],"Nē",Tabula1[Cik bieži izmantojat latviešu valodu šajos kontekstos?  '[Skolā (ārpus nodarbībām)']],"(Gandrīz) katru dienu")</f>
        <v>58</v>
      </c>
      <c r="E5">
        <f>COUNTIFS(Tabula1[City],"Rīga",Tabula1[Dzimtā valoda(s): '[Latviešu']],"Jā",Tabula1[Dzimtā valoda(s): '[Krievu  ']],"Nē",Tabula1[Dzimtā valoda(s): '[Ukraiņu ']],"Nē",Tabula1[Dzimtā valoda(s): '[Angļu']],"Nē",Tabula1[Dzimtā valoda(s): '[Poļu']],"Nē",Tabula1[Cik bieži izmantojat latviešu valodu šajos kontekstos?  '[Darbā']],"(Gandrīz) katru dienu")</f>
        <v>57</v>
      </c>
      <c r="F5">
        <f>COUNTIFS(Tabula1[City],"Rīga",Tabula1[Dzimtā valoda(s): '[Latviešu']],"Jā",Tabula1[Dzimtā valoda(s): '[Krievu  ']],"Nē",Tabula1[Dzimtā valoda(s): '[Ukraiņu ']],"Nē",Tabula1[Dzimtā valoda(s): '[Angļu']],"Nē",Tabula1[Dzimtā valoda(s): '[Poļu']],"Nē",Tabula1[Cik bieži izmantojat latviešu valodu šajos kontekstos?  '[Ar draugiem']],"(Gandrīz) katru dienu")</f>
        <v>56</v>
      </c>
      <c r="G5">
        <f>COUNTIFS(Tabula1[City],"Rīga",Tabula1[Dzimtā valoda(s): '[Latviešu']],"Jā",Tabula1[Dzimtā valoda(s): '[Krievu  ']],"Nē",Tabula1[Dzimtā valoda(s): '[Ukraiņu ']],"Nē",Tabula1[Dzimtā valoda(s): '[Angļu']],"Nē",Tabula1[Dzimtā valoda(s): '[Poļu']],"Nē",Tabula1[Cik bieži izmantojat latviešu valodu šajos kontekstos?  '[Sportā']],"(Gandrīz) katru dienu")</f>
        <v>57</v>
      </c>
      <c r="H5">
        <f>COUNTIFS(Tabula1[City],"Rīga",Tabula1[Dzimtā valoda(s): '[Latviešu']],"Jā",Tabula1[Dzimtā valoda(s): '[Krievu  ']],"Nē",Tabula1[Dzimtā valoda(s): '[Ukraiņu ']],"Nē",Tabula1[Dzimtā valoda(s): '[Angļu']],"Nē",Tabula1[Dzimtā valoda(s): '[Poļu']],"Nē",Tabula1[Cik bieži izmantojat latviešu valodu šajos kontekstos?  '[Hobijos / citās interešu grupās']],"(Gandrīz) katru dienu")</f>
        <v>56</v>
      </c>
      <c r="I5">
        <f>COUNTIFS(Tabula1[City],"Rīga",Tabula1[Dzimtā valoda(s): '[Latviešu']],"Jā",Tabula1[Dzimtā valoda(s): '[Krievu  ']],"Nē",Tabula1[Dzimtā valoda(s): '[Ukraiņu ']],"Nē",Tabula1[Dzimtā valoda(s): '[Angļu']],"Nē",Tabula1[Dzimtā valoda(s): '[Poļu']],"Nē",Tabula1[Cik bieži izmantojat latviešu valodu šajos kontekstos?  '[Uz ielas / veikalā utt.']],"(Gandrīz) katru dienu")</f>
        <v>57</v>
      </c>
      <c r="K5" s="44" t="s">
        <v>17971</v>
      </c>
      <c r="L5">
        <f>COUNTIFS(Tabula1[City],"Daugavpils",Tabula1[Dzimtā valoda(s): '[Latviešu']],"Jā",Tabula1[Dzimtā valoda(s): '[Krievu  ']],"Nē",Tabula1[Dzimtā valoda(s): '[Ukraiņu ']],"Nē",Tabula1[Dzimtā valoda(s): '[Angļu']],"Nē",Tabula1[Dzimtā valoda(s): '[Poļu']],"Nē",Tabula1[Cik bieži izmantojat latviešu valodu šajos kontekstos?  '[Ģimenē']],"(Gandrīz) katru dienu")</f>
        <v>10</v>
      </c>
      <c r="M5">
        <f>COUNTIFS(Tabula1[City],"Daugavpils",Tabula1[Dzimtā valoda(s): '[Latviešu']],"Jā",Tabula1[Dzimtā valoda(s): '[Krievu  ']],"Nē",Tabula1[Dzimtā valoda(s): '[Ukraiņu ']],"Nē",Tabula1[Dzimtā valoda(s): '[Angļu']],"Nē",Tabula1[Dzimtā valoda(s): '[Poļu']],"Nē",Tabula1[Cik bieži izmantojat latviešu valodu šajos kontekstos?  '[Skolā (ārpus nodarbībām)']],"(Gandrīz) katru dienu")</f>
        <v>11</v>
      </c>
      <c r="N5">
        <f>COUNTIFS(Tabula1[City],"Daugavpils",Tabula1[Dzimtā valoda(s): '[Latviešu']],"Jā",Tabula1[Dzimtā valoda(s): '[Krievu  ']],"Nē",Tabula1[Dzimtā valoda(s): '[Ukraiņu ']],"Nē",Tabula1[Dzimtā valoda(s): '[Angļu']],"Nē",Tabula1[Dzimtā valoda(s): '[Poļu']],"Nē",Tabula1[Cik bieži izmantojat latviešu valodu šajos kontekstos?  '[Darbā']],"(Gandrīz) katru dienu")</f>
        <v>7</v>
      </c>
      <c r="O5">
        <f>COUNTIFS(Tabula1[City],"Daugavpils",Tabula1[Dzimtā valoda(s): '[Latviešu']],"Jā",Tabula1[Dzimtā valoda(s): '[Krievu  ']],"Nē",Tabula1[Dzimtā valoda(s): '[Ukraiņu ']],"Nē",Tabula1[Dzimtā valoda(s): '[Angļu']],"Nē",Tabula1[Dzimtā valoda(s): '[Poļu']],"Nē",Tabula1[Cik bieži izmantojat latviešu valodu šajos kontekstos?  '[Ar draugiem']],"(Gandrīz) katru dienu")</f>
        <v>10</v>
      </c>
      <c r="P5">
        <f>COUNTIFS(Tabula1[City],"Daugavpils",Tabula1[Dzimtā valoda(s): '[Latviešu']],"Jā",Tabula1[Dzimtā valoda(s): '[Krievu  ']],"Nē",Tabula1[Dzimtā valoda(s): '[Ukraiņu ']],"Nē",Tabula1[Dzimtā valoda(s): '[Angļu']],"Nē",Tabula1[Dzimtā valoda(s): '[Poļu']],"Nē",Tabula1[Cik bieži izmantojat latviešu valodu šajos kontekstos?  '[Sportā']],"(Gandrīz) katru dienu")</f>
        <v>9</v>
      </c>
      <c r="Q5">
        <f>COUNTIFS(Tabula1[City],"Daugavpils",Tabula1[Dzimtā valoda(s): '[Latviešu']],"Jā",Tabula1[Dzimtā valoda(s): '[Krievu  ']],"Nē",Tabula1[Dzimtā valoda(s): '[Ukraiņu ']],"Nē",Tabula1[Dzimtā valoda(s): '[Angļu']],"Nē",Tabula1[Dzimtā valoda(s): '[Poļu']],"Nē",Tabula1[Cik bieži izmantojat latviešu valodu šajos kontekstos?  '[Hobijos / citās interešu grupās']],"(Gandrīz) katru dienu")</f>
        <v>8</v>
      </c>
      <c r="R5">
        <f>COUNTIFS(Tabula1[City],"Daugavpils",Tabula1[Dzimtā valoda(s): '[Latviešu']],"Jā",Tabula1[Dzimtā valoda(s): '[Krievu  ']],"Nē",Tabula1[Dzimtā valoda(s): '[Ukraiņu ']],"Nē",Tabula1[Dzimtā valoda(s): '[Angļu']],"Nē",Tabula1[Dzimtā valoda(s): '[Poļu']],"Nē",Tabula1[Cik bieži izmantojat latviešu valodu šajos kontekstos?  '[Uz ielas / veikalā utt.']],"(Gandrīz) katru dienu")</f>
        <v>9</v>
      </c>
      <c r="T5" s="44" t="s">
        <v>17971</v>
      </c>
      <c r="U5">
        <f>COUNTIFS(Tabula1[City],"Liepāja",Tabula1[Dzimtā valoda(s): '[Latviešu']],"Jā",Tabula1[Dzimtā valoda(s): '[Krievu  ']],"Nē",Tabula1[Dzimtā valoda(s): '[Ukraiņu ']],"Nē",Tabula1[Dzimtā valoda(s): '[Angļu']],"Nē",Tabula1[Dzimtā valoda(s): '[Poļu']],"Nē",Tabula1[Cik bieži izmantojat latviešu valodu šajos kontekstos?  '[Ģimenē']],"(Gandrīz) katru dienu")</f>
        <v>50</v>
      </c>
      <c r="V5">
        <f>COUNTIFS(Tabula1[City],"Liepāja",Tabula1[Dzimtā valoda(s): '[Latviešu']],"Jā",Tabula1[Dzimtā valoda(s): '[Krievu  ']],"Nē",Tabula1[Dzimtā valoda(s): '[Ukraiņu ']],"Nē",Tabula1[Dzimtā valoda(s): '[Angļu']],"Nē",Tabula1[Dzimtā valoda(s): '[Poļu']],"Nē",Tabula1[Cik bieži izmantojat latviešu valodu šajos kontekstos?  '[Skolā (ārpus nodarbībām)']],"(Gandrīz) katru dienu")</f>
        <v>47</v>
      </c>
      <c r="W5">
        <f>COUNTIFS(Tabula1[City],"Liepāja",Tabula1[Dzimtā valoda(s): '[Latviešu']],"Jā",Tabula1[Dzimtā valoda(s): '[Krievu  ']],"Nē",Tabula1[Dzimtā valoda(s): '[Ukraiņu ']],"Nē",Tabula1[Dzimtā valoda(s): '[Angļu']],"Nē",Tabula1[Dzimtā valoda(s): '[Poļu']],"Nē",Tabula1[Cik bieži izmantojat latviešu valodu šajos kontekstos?  '[Darbā']],"(Gandrīz) katru dienu")</f>
        <v>45</v>
      </c>
      <c r="X5">
        <f>COUNTIFS(Tabula1[City],"Liepāja",Tabula1[Dzimtā valoda(s): '[Latviešu']],"Jā",Tabula1[Dzimtā valoda(s): '[Krievu  ']],"Nē",Tabula1[Dzimtā valoda(s): '[Ukraiņu ']],"Nē",Tabula1[Dzimtā valoda(s): '[Angļu']],"Nē",Tabula1[Dzimtā valoda(s): '[Poļu']],"Nē",Tabula1[Cik bieži izmantojat latviešu valodu šajos kontekstos?  '[Ar draugiem']],"(Gandrīz) katru dienu")</f>
        <v>43</v>
      </c>
      <c r="Y5">
        <f>COUNTIFS(Tabula1[City],"Liepāja",Tabula1[Dzimtā valoda(s): '[Latviešu']],"Jā",Tabula1[Dzimtā valoda(s): '[Krievu  ']],"Nē",Tabula1[Dzimtā valoda(s): '[Ukraiņu ']],"Nē",Tabula1[Dzimtā valoda(s): '[Angļu']],"Nē",Tabula1[Dzimtā valoda(s): '[Poļu']],"Nē",Tabula1[Cik bieži izmantojat latviešu valodu šajos kontekstos?  '[Sportā']],"(Gandrīz) katru dienu")</f>
        <v>46</v>
      </c>
      <c r="Z5">
        <f>COUNTIFS(Tabula1[City],"Liepāja",Tabula1[Dzimtā valoda(s): '[Latviešu']],"Jā",Tabula1[Dzimtā valoda(s): '[Krievu  ']],"Nē",Tabula1[Dzimtā valoda(s): '[Ukraiņu ']],"Nē",Tabula1[Dzimtā valoda(s): '[Angļu']],"Nē",Tabula1[Dzimtā valoda(s): '[Poļu']],"Nē",Tabula1[Cik bieži izmantojat latviešu valodu šajos kontekstos?  '[Hobijos / citās interešu grupās']],"(Gandrīz) katru dienu")</f>
        <v>41</v>
      </c>
      <c r="AA5">
        <f>COUNTIFS(Tabula1[City],"Liepāja",Tabula1[Dzimtā valoda(s): '[Latviešu']],"Jā",Tabula1[Dzimtā valoda(s): '[Krievu  ']],"Nē",Tabula1[Dzimtā valoda(s): '[Ukraiņu ']],"Nē",Tabula1[Dzimtā valoda(s): '[Angļu']],"Nē",Tabula1[Dzimtā valoda(s): '[Poļu']],"Nē",Tabula1[Cik bieži izmantojat latviešu valodu šajos kontekstos?  '[Uz ielas / veikalā utt.']],"(Gandrīz) katru dienu")</f>
        <v>49</v>
      </c>
    </row>
    <row r="6" spans="1:28" x14ac:dyDescent="0.3">
      <c r="B6" s="44" t="s">
        <v>17972</v>
      </c>
      <c r="C6">
        <f>COUNTIFS(Tabula1[City],"Rīga",Tabula1[Dzimtā valoda(s): '[Latviešu']],"Jā",Tabula1[Dzimtā valoda(s): '[Krievu  ']],"Nē",Tabula1[Dzimtā valoda(s): '[Ukraiņu ']],"Nē",Tabula1[Dzimtā valoda(s): '[Angļu']],"Nē",Tabula1[Dzimtā valoda(s): '[Poļu']],"Nē",Tabula1[Cik bieži izmantojat latviešu valodu šajos kontekstos?  '[Ģimenē']],"Pāris reižu nedēļā")</f>
        <v>0</v>
      </c>
      <c r="D6">
        <f>COUNTIFS(Tabula1[City],"Rīga",Tabula1[Dzimtā valoda(s): '[Latviešu']],"Jā",Tabula1[Dzimtā valoda(s): '[Krievu  ']],"Nē",Tabula1[Dzimtā valoda(s): '[Ukraiņu ']],"Nē",Tabula1[Dzimtā valoda(s): '[Angļu']],"Nē",Tabula1[Dzimtā valoda(s): '[Poļu']],"Nē",Tabula1[Cik bieži izmantojat latviešu valodu šajos kontekstos?  '[Skolā (ārpus nodarbībām)']],"Pāris reižu nedēļā")</f>
        <v>1</v>
      </c>
      <c r="E6">
        <f>COUNTIFS(Tabula1[City],"Rīga",Tabula1[Dzimtā valoda(s): '[Latviešu']],"Jā",Tabula1[Dzimtā valoda(s): '[Krievu  ']],"Nē",Tabula1[Dzimtā valoda(s): '[Ukraiņu ']],"Nē",Tabula1[Dzimtā valoda(s): '[Angļu']],"Nē",Tabula1[Dzimtā valoda(s): '[Poļu']],"Nē",Tabula1[Cik bieži izmantojat latviešu valodu šajos kontekstos?  '[Darbā']],"Pāris reižu nedēļā")</f>
        <v>1</v>
      </c>
      <c r="F6">
        <f>COUNTIFS(Tabula1[City],"Rīga",Tabula1[Dzimtā valoda(s): '[Latviešu']],"Jā",Tabula1[Dzimtā valoda(s): '[Krievu  ']],"Nē",Tabula1[Dzimtā valoda(s): '[Ukraiņu ']],"Nē",Tabula1[Dzimtā valoda(s): '[Angļu']],"Nē",Tabula1[Dzimtā valoda(s): '[Poļu']],"Nē",Tabula1[Cik bieži izmantojat latviešu valodu šajos kontekstos?  '[Ar draugiem']],"Pāris reižu nedēļā")</f>
        <v>3</v>
      </c>
      <c r="G6">
        <f>COUNTIFS(Tabula1[City],"Rīga",Tabula1[Dzimtā valoda(s): '[Latviešu']],"Jā",Tabula1[Dzimtā valoda(s): '[Krievu  ']],"Nē",Tabula1[Dzimtā valoda(s): '[Ukraiņu ']],"Nē",Tabula1[Dzimtā valoda(s): '[Angļu']],"Nē",Tabula1[Dzimtā valoda(s): '[Poļu']],"Nē",Tabula1[Cik bieži izmantojat latviešu valodu šajos kontekstos?  '[Sportā']],"Pāris reižu nedēļā")</f>
        <v>2</v>
      </c>
      <c r="H6">
        <f>COUNTIFS(Tabula1[City],"Rīga",Tabula1[Dzimtā valoda(s): '[Latviešu']],"Jā",Tabula1[Dzimtā valoda(s): '[Krievu  ']],"Nē",Tabula1[Dzimtā valoda(s): '[Ukraiņu ']],"Nē",Tabula1[Dzimtā valoda(s): '[Angļu']],"Nē",Tabula1[Dzimtā valoda(s): '[Poļu']],"Nē",Tabula1[Cik bieži izmantojat latviešu valodu šajos kontekstos?  '[Hobijos / citās interešu grupās']],"Pāris reižu nedēļā")</f>
        <v>2</v>
      </c>
      <c r="I6">
        <f>COUNTIFS(Tabula1[City],"Rīga",Tabula1[Dzimtā valoda(s): '[Latviešu']],"Jā",Tabula1[Dzimtā valoda(s): '[Krievu  ']],"Nē",Tabula1[Dzimtā valoda(s): '[Ukraiņu ']],"Nē",Tabula1[Dzimtā valoda(s): '[Angļu']],"Nē",Tabula1[Dzimtā valoda(s): '[Poļu']],"Nē",Tabula1[Cik bieži izmantojat latviešu valodu šajos kontekstos?  '[Uz ielas / veikalā utt.']],"Pāris reižu nedēļā")</f>
        <v>1</v>
      </c>
      <c r="K6" s="44" t="s">
        <v>17972</v>
      </c>
      <c r="L6">
        <f>COUNTIFS(Tabula1[City],"Daugavpils",Tabula1[Dzimtā valoda(s): '[Latviešu']],"Jā",Tabula1[Dzimtā valoda(s): '[Krievu  ']],"Nē",Tabula1[Dzimtā valoda(s): '[Ukraiņu ']],"Nē",Tabula1[Dzimtā valoda(s): '[Angļu']],"Nē",Tabula1[Dzimtā valoda(s): '[Poļu']],"Nē",Tabula1[Cik bieži izmantojat latviešu valodu šajos kontekstos?  '[Ģimenē']],"Pāris reižu nedēļā")</f>
        <v>1</v>
      </c>
      <c r="M6">
        <f>COUNTIFS(Tabula1[City],"Daugavpils",Tabula1[Dzimtā valoda(s): '[Latviešu']],"Jā",Tabula1[Dzimtā valoda(s): '[Krievu  ']],"Nē",Tabula1[Dzimtā valoda(s): '[Ukraiņu ']],"Nē",Tabula1[Dzimtā valoda(s): '[Angļu']],"Nē",Tabula1[Dzimtā valoda(s): '[Poļu']],"Nē",Tabula1[Cik bieži izmantojat latviešu valodu šajos kontekstos?  '[Skolā (ārpus nodarbībām)']],"Pāris reižu nedēļā")</f>
        <v>0</v>
      </c>
      <c r="N6">
        <f>COUNTIFS(Tabula1[City],"Daugavpils",Tabula1[Dzimtā valoda(s): '[Latviešu']],"Jā",Tabula1[Dzimtā valoda(s): '[Krievu  ']],"Nē",Tabula1[Dzimtā valoda(s): '[Ukraiņu ']],"Nē",Tabula1[Dzimtā valoda(s): '[Angļu']],"Nē",Tabula1[Dzimtā valoda(s): '[Poļu']],"Nē",Tabula1[Cik bieži izmantojat latviešu valodu šajos kontekstos?  '[Darbā']],"Pāris reižu nedēļā")</f>
        <v>0</v>
      </c>
      <c r="O6">
        <f>COUNTIFS(Tabula1[City],"Daugavpils",Tabula1[Dzimtā valoda(s): '[Latviešu']],"Jā",Tabula1[Dzimtā valoda(s): '[Krievu  ']],"Nē",Tabula1[Dzimtā valoda(s): '[Ukraiņu ']],"Nē",Tabula1[Dzimtā valoda(s): '[Angļu']],"Nē",Tabula1[Dzimtā valoda(s): '[Poļu']],"Nē",Tabula1[Cik bieži izmantojat latviešu valodu šajos kontekstos?  '[Ar draugiem']],"Pāris reižu nedēļā")</f>
        <v>1</v>
      </c>
      <c r="P6">
        <f>COUNTIFS(Tabula1[City],"Daugavpils",Tabula1[Dzimtā valoda(s): '[Latviešu']],"Jā",Tabula1[Dzimtā valoda(s): '[Krievu  ']],"Nē",Tabula1[Dzimtā valoda(s): '[Ukraiņu ']],"Nē",Tabula1[Dzimtā valoda(s): '[Angļu']],"Nē",Tabula1[Dzimtā valoda(s): '[Poļu']],"Nē",Tabula1[Cik bieži izmantojat latviešu valodu šajos kontekstos?  '[Sportā']],"Pāris reižu nedēļā")</f>
        <v>1</v>
      </c>
      <c r="Q6">
        <f>COUNTIFS(Tabula1[City],"Daugavpils",Tabula1[Dzimtā valoda(s): '[Latviešu']],"Jā",Tabula1[Dzimtā valoda(s): '[Krievu  ']],"Nē",Tabula1[Dzimtā valoda(s): '[Ukraiņu ']],"Nē",Tabula1[Dzimtā valoda(s): '[Angļu']],"Nē",Tabula1[Dzimtā valoda(s): '[Poļu']],"Nē",Tabula1[Cik bieži izmantojat latviešu valodu šajos kontekstos?  '[Hobijos / citās interešu grupās']],"Pāris reižu nedēļā")</f>
        <v>0</v>
      </c>
      <c r="R6">
        <f>COUNTIFS(Tabula1[City],"Daugavpils",Tabula1[Dzimtā valoda(s): '[Latviešu']],"Jā",Tabula1[Dzimtā valoda(s): '[Krievu  ']],"Nē",Tabula1[Dzimtā valoda(s): '[Ukraiņu ']],"Nē",Tabula1[Dzimtā valoda(s): '[Angļu']],"Nē",Tabula1[Dzimtā valoda(s): '[Poļu']],"Nē",Tabula1[Cik bieži izmantojat latviešu valodu šajos kontekstos?  '[Uz ielas / veikalā utt.']],"Pāris reižu nedēļā")</f>
        <v>1</v>
      </c>
      <c r="T6" s="44" t="s">
        <v>17972</v>
      </c>
      <c r="U6">
        <f>COUNTIFS(Tabula1[City],"Liepāja",Tabula1[Dzimtā valoda(s): '[Latviešu']],"Jā",Tabula1[Dzimtā valoda(s): '[Krievu  ']],"Nē",Tabula1[Dzimtā valoda(s): '[Ukraiņu ']],"Nē",Tabula1[Dzimtā valoda(s): '[Angļu']],"Nē",Tabula1[Dzimtā valoda(s): '[Poļu']],"Nē",Tabula1[Cik bieži izmantojat latviešu valodu šajos kontekstos?  '[Ģimenē']],"Pāris reižu nedēļā")</f>
        <v>1</v>
      </c>
      <c r="V6">
        <f>COUNTIFS(Tabula1[City],"Liepāja",Tabula1[Dzimtā valoda(s): '[Latviešu']],"Jā",Tabula1[Dzimtā valoda(s): '[Krievu  ']],"Nē",Tabula1[Dzimtā valoda(s): '[Ukraiņu ']],"Nē",Tabula1[Dzimtā valoda(s): '[Angļu']],"Nē",Tabula1[Dzimtā valoda(s): '[Poļu']],"Nē",Tabula1[Cik bieži izmantojat latviešu valodu šajos kontekstos?  '[Skolā (ārpus nodarbībām)']],"Pāris reižu nedēļā")</f>
        <v>6</v>
      </c>
      <c r="W6">
        <f>COUNTIFS(Tabula1[City],"Liepāja",Tabula1[Dzimtā valoda(s): '[Latviešu']],"Jā",Tabula1[Dzimtā valoda(s): '[Krievu  ']],"Nē",Tabula1[Dzimtā valoda(s): '[Ukraiņu ']],"Nē",Tabula1[Dzimtā valoda(s): '[Angļu']],"Nē",Tabula1[Dzimtā valoda(s): '[Poļu']],"Nē",Tabula1[Cik bieži izmantojat latviešu valodu šajos kontekstos?  '[Darbā']],"Pāris reižu nedēļā")</f>
        <v>2</v>
      </c>
      <c r="X6">
        <f>COUNTIFS(Tabula1[City],"Liepāja",Tabula1[Dzimtā valoda(s): '[Latviešu']],"Jā",Tabula1[Dzimtā valoda(s): '[Krievu  ']],"Nē",Tabula1[Dzimtā valoda(s): '[Ukraiņu ']],"Nē",Tabula1[Dzimtā valoda(s): '[Angļu']],"Nē",Tabula1[Dzimtā valoda(s): '[Poļu']],"Nē",Tabula1[Cik bieži izmantojat latviešu valodu šajos kontekstos?  '[Ar draugiem']],"Pāris reižu nedēļā")</f>
        <v>5</v>
      </c>
      <c r="Y6">
        <f>COUNTIFS(Tabula1[City],"Liepāja",Tabula1[Dzimtā valoda(s): '[Latviešu']],"Jā",Tabula1[Dzimtā valoda(s): '[Krievu  ']],"Nē",Tabula1[Dzimtā valoda(s): '[Ukraiņu ']],"Nē",Tabula1[Dzimtā valoda(s): '[Angļu']],"Nē",Tabula1[Dzimtā valoda(s): '[Poļu']],"Nē",Tabula1[Cik bieži izmantojat latviešu valodu šajos kontekstos?  '[Sportā']],"Pāris reižu nedēļā")</f>
        <v>1</v>
      </c>
      <c r="Z6">
        <f>COUNTIFS(Tabula1[City],"Liepāja",Tabula1[Dzimtā valoda(s): '[Latviešu']],"Jā",Tabula1[Dzimtā valoda(s): '[Krievu  ']],"Nē",Tabula1[Dzimtā valoda(s): '[Ukraiņu ']],"Nē",Tabula1[Dzimtā valoda(s): '[Angļu']],"Nē",Tabula1[Dzimtā valoda(s): '[Poļu']],"Nē",Tabula1[Cik bieži izmantojat latviešu valodu šajos kontekstos?  '[Hobijos / citās interešu grupās']],"Pāris reižu nedēļā")</f>
        <v>4</v>
      </c>
      <c r="AA6">
        <f>COUNTIFS(Tabula1[City],"Liepāja",Tabula1[Dzimtā valoda(s): '[Latviešu']],"Jā",Tabula1[Dzimtā valoda(s): '[Krievu  ']],"Nē",Tabula1[Dzimtā valoda(s): '[Ukraiņu ']],"Nē",Tabula1[Dzimtā valoda(s): '[Angļu']],"Nē",Tabula1[Dzimtā valoda(s): '[Poļu']],"Nē",Tabula1[Cik bieži izmantojat latviešu valodu šajos kontekstos?  '[Uz ielas / veikalā utt.']],"Pāris reižu nedēļā")</f>
        <v>3</v>
      </c>
    </row>
    <row r="7" spans="1:28" x14ac:dyDescent="0.3">
      <c r="B7" s="44" t="s">
        <v>17973</v>
      </c>
      <c r="C7">
        <v>0</v>
      </c>
      <c r="D7">
        <v>0</v>
      </c>
      <c r="E7">
        <f>COUNTIFS(Tabula1[City],"Rīga",Tabula1[Dzimtā valoda(s): '[Latviešu']],"Jā",Tabula1[Dzimtā valoda(s): '[Krievu  ']],"Nē",Tabula1[Dzimtā valoda(s): '[Ukraiņu ']],"Nē",Tabula1[Dzimtā valoda(s): '[Angļu']],"Nē",Tabula1[Dzimtā valoda(s): '[Poļu']],"Nē",Tabula1[Cik bieži izmantojat latviešu valodu šajos kontekstos?  '[Darbā']],"Reizi nedēļā")</f>
        <v>0</v>
      </c>
      <c r="F7">
        <v>0</v>
      </c>
      <c r="G7">
        <v>0</v>
      </c>
      <c r="H7">
        <f>COUNTIFS(Tabula1[City],"Rīga",Tabula1[Dzimtā valoda(s): '[Latviešu']],"Jā",Tabula1[Dzimtā valoda(s): '[Krievu  ']],"Nē",Tabula1[Dzimtā valoda(s): '[Ukraiņu ']],"Nē",Tabula1[Dzimtā valoda(s): '[Angļu']],"Nē",Tabula1[Dzimtā valoda(s): '[Poļu']],"Nē",Tabula1[Cik bieži izmantojat latviešu valodu šajos kontekstos?  '[Hobijos / citās interešu grupās']],"Reizi nedēļā")</f>
        <v>0</v>
      </c>
      <c r="I7">
        <f>COUNTIFS(Tabula1[City],"Rīga",Tabula1[Dzimtā valoda(s): '[Latviešu']],"Jā",Tabula1[Dzimtā valoda(s): '[Krievu  ']],"Nē",Tabula1[Dzimtā valoda(s): '[Ukraiņu ']],"Nē",Tabula1[Dzimtā valoda(s): '[Angļu']],"Nē",Tabula1[Dzimtā valoda(s): '[Poļu']],"Nē",Tabula1[Cik bieži izmantojat latviešu valodu šajos kontekstos?  '[Uz ielas / veikalā utt.']],"Reizi nedēļā")</f>
        <v>1</v>
      </c>
      <c r="K7" s="44" t="s">
        <v>17973</v>
      </c>
      <c r="L7">
        <f>COUNTIFS(Tabula1[City],"Daugavpils",Tabula1[Dzimtā valoda(s): '[Latviešu']],"Jā",Tabula1[Dzimtā valoda(s): '[Krievu  ']],"Nē",Tabula1[Dzimtā valoda(s): '[Ukraiņu ']],"Nē",Tabula1[Dzimtā valoda(s): '[Angļu']],"Nē",Tabula1[Dzimtā valoda(s): '[Poļu']],"Nē",Tabula1[Cik bieži izmantojat latviešu valodu šajos kontekstos?  '[Ģimenē']],"Reizi nedēļā")</f>
        <v>0</v>
      </c>
      <c r="M7">
        <f>COUNTIFS(Tabula1[City],"Daugavpils",Tabula1[Dzimtā valoda(s): '[Latviešu']],"Jā",Tabula1[Dzimtā valoda(s): '[Krievu  ']],"Nē",Tabula1[Dzimtā valoda(s): '[Ukraiņu ']],"Nē",Tabula1[Dzimtā valoda(s): '[Angļu']],"Nē",Tabula1[Dzimtā valoda(s): '[Poļu']],"Nē",Tabula1[Cik bieži izmantojat latviešu valodu šajos kontekstos?  '[Skolā (ārpus nodarbībām)']],"Reizi nedēļā")</f>
        <v>0</v>
      </c>
      <c r="N7">
        <f>COUNTIFS(Tabula1[City],"Daugavpils",Tabula1[Dzimtā valoda(s): '[Latviešu']],"Jā",Tabula1[Dzimtā valoda(s): '[Krievu  ']],"Nē",Tabula1[Dzimtā valoda(s): '[Ukraiņu ']],"Nē",Tabula1[Dzimtā valoda(s): '[Angļu']],"Nē",Tabula1[Dzimtā valoda(s): '[Poļu']],"Nē",Tabula1[Cik bieži izmantojat latviešu valodu šajos kontekstos?  '[Darbā']],"Reizi nedēļā")</f>
        <v>0</v>
      </c>
      <c r="O7">
        <v>0</v>
      </c>
      <c r="P7">
        <f>COUNTIFS(Tabula1[City],"Daugavpils",Tabula1[Dzimtā valoda(s): '[Latviešu']],"Jā",Tabula1[Dzimtā valoda(s): '[Krievu  ']],"Nē",Tabula1[Dzimtā valoda(s): '[Ukraiņu ']],"Nē",Tabula1[Dzimtā valoda(s): '[Angļu']],"Nē",Tabula1[Dzimtā valoda(s): '[Poļu']],"Nē",Tabula1[Cik bieži izmantojat latviešu valodu šajos kontekstos?  '[Ar draugiem']],"Reizi nedēļā")</f>
        <v>0</v>
      </c>
      <c r="Q7">
        <f>COUNTIFS(Tabula1[City],"Daugavpils",Tabula1[Dzimtā valoda(s): '[Latviešu']],"Jā",Tabula1[Dzimtā valoda(s): '[Krievu  ']],"Nē",Tabula1[Dzimtā valoda(s): '[Ukraiņu ']],"Nē",Tabula1[Dzimtā valoda(s): '[Angļu']],"Nē",Tabula1[Dzimtā valoda(s): '[Poļu']],"Nē",Tabula1[Cik bieži izmantojat latviešu valodu šajos kontekstos?  '[Hobijos / citās interešu grupās']],"Reizi nedēļā")</f>
        <v>0</v>
      </c>
      <c r="R7">
        <f>COUNTIFS(Tabula1[City],"Daugavpils",Tabula1[Dzimtā valoda(s): '[Latviešu']],"Jā",Tabula1[Dzimtā valoda(s): '[Krievu  ']],"Nē",Tabula1[Dzimtā valoda(s): '[Ukraiņu ']],"Nē",Tabula1[Dzimtā valoda(s): '[Angļu']],"Nē",Tabula1[Dzimtā valoda(s): '[Poļu']],"Nē",Tabula1[Cik bieži izmantojat latviešu valodu šajos kontekstos?  '[Uz ielas / veikalā utt.']],"Reizi nedēļā")</f>
        <v>0</v>
      </c>
      <c r="T7" s="44" t="s">
        <v>17973</v>
      </c>
      <c r="U7">
        <f>COUNTIFS(Tabula1[City],"Liepāja",Tabula1[Dzimtā valoda(s): '[Latviešu']],"Jā",Tabula1[Dzimtā valoda(s): '[Krievu  ']],"Nē",Tabula1[Dzimtā valoda(s): '[Ukraiņu ']],"Nē",Tabula1[Dzimtā valoda(s): '[Angļu']],"Nē",Tabula1[Dzimtā valoda(s): '[Poļu']],"Nē",Tabula1[Cik bieži izmantojat latviešu valodu šajos kontekstos?  '[Ģimenē']],"Reizi nedēļā")</f>
        <v>1</v>
      </c>
      <c r="V7">
        <f>COUNTIFS(Tabula1[City],"Liepāja",Tabula1[Dzimtā valoda(s): '[Latviešu']],"Jā",Tabula1[Dzimtā valoda(s): '[Krievu  ']],"Nē",Tabula1[Dzimtā valoda(s): '[Ukraiņu ']],"Nē",Tabula1[Dzimtā valoda(s): '[Angļu']],"Nē",Tabula1[Dzimtā valoda(s): '[Poļu']],"Nē",Tabula1[Cik bieži izmantojat latviešu valodu šajos kontekstos?  '[Skolā (ārpus nodarbībām)']],"Reizi nedēļā")</f>
        <v>0</v>
      </c>
      <c r="W7">
        <f>COUNTIFS(Tabula1[City],"Liepāja",Tabula1[Dzimtā valoda(s): '[Latviešu']],"Jā",Tabula1[Dzimtā valoda(s): '[Krievu  ']],"Nē",Tabula1[Dzimtā valoda(s): '[Ukraiņu ']],"Nē",Tabula1[Dzimtā valoda(s): '[Angļu']],"Nē",Tabula1[Dzimtā valoda(s): '[Poļu']],"Nē",Tabula1[Cik bieži izmantojat latviešu valodu šajos kontekstos?  '[Darbā']],"Reizi nedēļā")</f>
        <v>1</v>
      </c>
      <c r="X7">
        <f>COUNTIFS(Tabula1[City],"Liepāja",Tabula1[Dzimtā valoda(s): '[Latviešu']],"Jā",Tabula1[Dzimtā valoda(s): '[Krievu  ']],"Nē",Tabula1[Dzimtā valoda(s): '[Ukraiņu ']],"Nē",Tabula1[Dzimtā valoda(s): '[Angļu']],"Nē",Tabula1[Dzimtā valoda(s): '[Poļu']],"Nē",Tabula1[Cik bieži izmantojat latviešu valodu šajos kontekstos?  '[Ar draugiem']],"Reizi nedēļā")</f>
        <v>1</v>
      </c>
      <c r="Y7">
        <f>COUNTIFS(Tabula1[City],"Liepāja",Tabula1[Dzimtā valoda(s): '[Latviešu']],"Jā",Tabula1[Dzimtā valoda(s): '[Krievu  ']],"Nē",Tabula1[Dzimtā valoda(s): '[Ukraiņu ']],"Nē",Tabula1[Dzimtā valoda(s): '[Angļu']],"Nē",Tabula1[Dzimtā valoda(s): '[Poļu']],"Nē",Tabula1[Cik bieži izmantojat latviešu valodu šajos kontekstos?  '[Sportā']],"Reizi nedēļā")</f>
        <v>1</v>
      </c>
      <c r="Z7">
        <f>COUNTIFS(Tabula1[City],"Liepāja",Tabula1[Dzimtā valoda(s): '[Latviešu']],"Jā",Tabula1[Dzimtā valoda(s): '[Krievu  ']],"Nē",Tabula1[Dzimtā valoda(s): '[Ukraiņu ']],"Nē",Tabula1[Dzimtā valoda(s): '[Angļu']],"Nē",Tabula1[Dzimtā valoda(s): '[Poļu']],"Nē",Tabula1[Cik bieži izmantojat latviešu valodu šajos kontekstos?  '[Hobijos / citās interešu grupās']],"Reizi nedēļā")</f>
        <v>2</v>
      </c>
      <c r="AA7">
        <f>COUNTIFS(Tabula1[City],"Liepāja",Tabula1[Dzimtā valoda(s): '[Latviešu']],"Jā",Tabula1[Dzimtā valoda(s): '[Krievu  ']],"Nē",Tabula1[Dzimtā valoda(s): '[Ukraiņu ']],"Nē",Tabula1[Dzimtā valoda(s): '[Angļu']],"Nē",Tabula1[Dzimtā valoda(s): '[Poļu']],"Nē",Tabula1[Cik bieži izmantojat latviešu valodu šajos kontekstos?  '[Uz ielas / veikalā utt.']],"Reizi nedēļā")</f>
        <v>0</v>
      </c>
    </row>
    <row r="8" spans="1:28" x14ac:dyDescent="0.3">
      <c r="B8" s="44" t="s">
        <v>17974</v>
      </c>
      <c r="C8">
        <v>0</v>
      </c>
      <c r="D8">
        <v>0</v>
      </c>
      <c r="E8">
        <f>COUNTIFS(Tabula1[City],"Rīga",Tabula1[Dzimtā valoda(s): '[Latviešu']],"Jā",Tabula1[Dzimtā valoda(s): '[Krievu  ']],"Nē",Tabula1[Dzimtā valoda(s): '[Ukraiņu ']],"Nē",Tabula1[Dzimtā valoda(s): '[Angļu']],"Nē",Tabula1[Dzimtā valoda(s): '[Poļu']],"Nē",Tabula1[Cik bieži izmantojat latviešu valodu šajos kontekstos?  '[Darbā']],"Pāris reižu mēnesī")</f>
        <v>0</v>
      </c>
      <c r="F8">
        <v>0</v>
      </c>
      <c r="G8">
        <v>0</v>
      </c>
      <c r="H8">
        <f>COUNTIFS(Tabula1[City],"Rīga",Tabula1[Dzimtā valoda(s): '[Latviešu']],"Jā",Tabula1[Dzimtā valoda(s): '[Krievu  ']],"Nē",Tabula1[Dzimtā valoda(s): '[Ukraiņu ']],"Nē",Tabula1[Dzimtā valoda(s): '[Angļu']],"Nē",Tabula1[Dzimtā valoda(s): '[Poļu']],"Nē",Tabula1[Cik bieži izmantojat latviešu valodu šajos kontekstos?  '[Hobijos / citās interešu grupās']],"Pāris reižu mēnesī")</f>
        <v>0</v>
      </c>
      <c r="I8">
        <v>0</v>
      </c>
      <c r="K8" s="44" t="s">
        <v>17974</v>
      </c>
      <c r="L8">
        <f>COUNTIFS(Tabula1[City],"Daugavpils",Tabula1[Dzimtā valoda(s): '[Latviešu']],"Jā",Tabula1[Dzimtā valoda(s): '[Krievu  ']],"Nē",Tabula1[Dzimtā valoda(s): '[Ukraiņu ']],"Nē",Tabula1[Dzimtā valoda(s): '[Angļu']],"Nē",Tabula1[Dzimtā valoda(s): '[Poļu']],"Nē",Tabula1[Cik bieži izmantojat latviešu valodu šajos kontekstos?  '[Darbā']],"Pāris reižu mēnesī")</f>
        <v>0</v>
      </c>
      <c r="M8">
        <f>COUNTIFS(Tabula1[City],"Daugavpils",Tabula1[Dzimtā valoda(s): '[Latviešu']],"Jā",Tabula1[Dzimtā valoda(s): '[Krievu  ']],"Nē",Tabula1[Dzimtā valoda(s): '[Ukraiņu ']],"Nē",Tabula1[Dzimtā valoda(s): '[Angļu']],"Nē",Tabula1[Dzimtā valoda(s): '[Poļu']],"Nē",Tabula1[Cik bieži izmantojat latviešu valodu šajos kontekstos?  '[Skolā (ārpus nodarbībām)']],"Pāris reižu mēnesī")</f>
        <v>0</v>
      </c>
      <c r="N8">
        <f>COUNTIFS(Tabula1[City],"Daugavpils",Tabula1[Dzimtā valoda(s): '[Latviešu']],"Jā",Tabula1[Dzimtā valoda(s): '[Krievu  ']],"Nē",Tabula1[Dzimtā valoda(s): '[Ukraiņu ']],"Nē",Tabula1[Dzimtā valoda(s): '[Angļu']],"Nē",Tabula1[Dzimtā valoda(s): '[Poļu']],"Nē",Tabula1[Cik bieži izmantojat latviešu valodu šajos kontekstos?  '[Darbā']],"Pāris reižu mēnesī")</f>
        <v>0</v>
      </c>
      <c r="O8">
        <v>0</v>
      </c>
      <c r="P8">
        <f>COUNTIFS(Tabula1[City],"Daugavpils",Tabula1[Dzimtā valoda(s): '[Latviešu']],"Jā",Tabula1[Dzimtā valoda(s): '[Krievu  ']],"Nē",Tabula1[Dzimtā valoda(s): '[Ukraiņu ']],"Nē",Tabula1[Dzimtā valoda(s): '[Angļu']],"Nē",Tabula1[Dzimtā valoda(s): '[Poļu']],"Nē",Tabula1[Cik bieži izmantojat latviešu valodu šajos kontekstos?  '[Sportā']],"Pāris reižu mēnesī")</f>
        <v>1</v>
      </c>
      <c r="Q8">
        <f>COUNTIFS(Tabula1[City],"Daugavpils",Tabula1[Dzimtā valoda(s): '[Latviešu']],"Jā",Tabula1[Dzimtā valoda(s): '[Krievu  ']],"Nē",Tabula1[Dzimtā valoda(s): '[Ukraiņu ']],"Nē",Tabula1[Dzimtā valoda(s): '[Angļu']],"Nē",Tabula1[Dzimtā valoda(s): '[Poļu']],"Nē",Tabula1[Cik bieži izmantojat latviešu valodu šajos kontekstos?  '[Hobijos / citās interešu grupās']],"Pāris reižu mēnesī")</f>
        <v>0</v>
      </c>
      <c r="R8">
        <f>COUNTIFS(Tabula1[City],"Daugavpils",Tabula1[Dzimtā valoda(s): '[Latviešu']],"Jā",Tabula1[Dzimtā valoda(s): '[Krievu  ']],"Nē",Tabula1[Dzimtā valoda(s): '[Ukraiņu ']],"Nē",Tabula1[Dzimtā valoda(s): '[Angļu']],"Nē",Tabula1[Dzimtā valoda(s): '[Poļu']],"Nē",Tabula1[Cik bieži izmantojat latviešu valodu šajos kontekstos?  '[Uz ielas / veikalā utt.']],"Pāris reižu mēnesī")</f>
        <v>1</v>
      </c>
      <c r="T8" s="44" t="s">
        <v>17974</v>
      </c>
      <c r="U8">
        <f>COUNTIFS(Tabula1[City],"Liepāja",Tabula1[Dzimtā valoda(s): '[Latviešu']],"Jā",Tabula1[Dzimtā valoda(s): '[Krievu  ']],"Nē",Tabula1[Dzimtā valoda(s): '[Ukraiņu ']],"Nē",Tabula1[Dzimtā valoda(s): '[Angļu']],"Nē",Tabula1[Dzimtā valoda(s): '[Poļu']],"Nē",Tabula1[Cik bieži izmantojat latviešu valodu šajos kontekstos?  '[Ģimenē']],"Pāris reižu mēnesī")</f>
        <v>0</v>
      </c>
      <c r="V8">
        <f>COUNTIFS(Tabula1[City],"Liepāja",Tabula1[Dzimtā valoda(s): '[Latviešu']],"Jā",Tabula1[Dzimtā valoda(s): '[Krievu  ']],"Nē",Tabula1[Dzimtā valoda(s): '[Ukraiņu ']],"Nē",Tabula1[Dzimtā valoda(s): '[Angļu']],"Nē",Tabula1[Dzimtā valoda(s): '[Poļu']],"Nē",Tabula1[Cik bieži izmantojat latviešu valodu šajos kontekstos?  '[Skolā (ārpus nodarbībām)']],"Pāris reižu mēnesī")</f>
        <v>0</v>
      </c>
      <c r="W8">
        <f>COUNTIFS(Tabula1[City],"Liepāja",Tabula1[Dzimtā valoda(s): '[Latviešu']],"Jā",Tabula1[Dzimtā valoda(s): '[Krievu  ']],"Nē",Tabula1[Dzimtā valoda(s): '[Ukraiņu ']],"Nē",Tabula1[Dzimtā valoda(s): '[Angļu']],"Nē",Tabula1[Dzimtā valoda(s): '[Poļu']],"Nē",Tabula1[Cik bieži izmantojat latviešu valodu šajos kontekstos?  '[Darbā']],"Pāris reižu mēnesī")</f>
        <v>1</v>
      </c>
      <c r="X8">
        <f>COUNTIFS(Tabula1[City],"Liepāja",Tabula1[Dzimtā valoda(s): '[Latviešu']],"Jā",Tabula1[Dzimtā valoda(s): '[Krievu  ']],"Nē",Tabula1[Dzimtā valoda(s): '[Ukraiņu ']],"Nē",Tabula1[Dzimtā valoda(s): '[Angļu']],"Nē",Tabula1[Dzimtā valoda(s): '[Poļu']],"Nē",Tabula1[Cik bieži izmantojat latviešu valodu šajos kontekstos?  '[Ar draugiem']],"Pāris reižu mēnesī")</f>
        <v>2</v>
      </c>
      <c r="Y8">
        <f>COUNTIFS(Tabula1[City],"Liepāja",Tabula1[Dzimtā valoda(s): '[Latviešu']],"Jā",Tabula1[Dzimtā valoda(s): '[Krievu  ']],"Nē",Tabula1[Dzimtā valoda(s): '[Ukraiņu ']],"Nē",Tabula1[Dzimtā valoda(s): '[Angļu']],"Nē",Tabula1[Dzimtā valoda(s): '[Poļu']],"Nē",Tabula1[Cik bieži izmantojat latviešu valodu šajos kontekstos?  '[Sportā']],"Pāris reižu mēnesī")</f>
        <v>2</v>
      </c>
      <c r="Z8">
        <f>COUNTIFS(Tabula1[City],"Liepāja",Tabula1[Dzimtā valoda(s): '[Latviešu']],"Jā",Tabula1[Dzimtā valoda(s): '[Krievu  ']],"Nē",Tabula1[Dzimtā valoda(s): '[Ukraiņu ']],"Nē",Tabula1[Dzimtā valoda(s): '[Angļu']],"Nē",Tabula1[Dzimtā valoda(s): '[Poļu']],"Nē",Tabula1[Cik bieži izmantojat latviešu valodu šajos kontekstos?  '[Hobijos / citās interešu grupās']],"Pāris reižu mēnesī")</f>
        <v>1</v>
      </c>
      <c r="AA8">
        <f>COUNTIFS(Tabula1[City],"Liepāja",Tabula1[Dzimtā valoda(s): '[Latviešu']],"Jā",Tabula1[Dzimtā valoda(s): '[Krievu  ']],"Nē",Tabula1[Dzimtā valoda(s): '[Ukraiņu ']],"Nē",Tabula1[Dzimtā valoda(s): '[Angļu']],"Nē",Tabula1[Dzimtā valoda(s): '[Poļu']],"Nē",Tabula1[Cik bieži izmantojat latviešu valodu šajos kontekstos?  '[Uz ielas / veikalā utt.']],"Pāris reižu mēnesī")</f>
        <v>0</v>
      </c>
    </row>
    <row r="9" spans="1:28" x14ac:dyDescent="0.3">
      <c r="B9" s="44" t="s">
        <v>17975</v>
      </c>
      <c r="C9">
        <v>0</v>
      </c>
      <c r="D9">
        <v>0</v>
      </c>
      <c r="E9">
        <f>COUNTIFS(Tabula1[City],"Rīga",Tabula1[Dzimtā valoda(s): '[Latviešu']],"Jā",Tabula1[Dzimtā valoda(s): '[Krievu  ']],"Nē",Tabula1[Dzimtā valoda(s): '[Ukraiņu ']],"Nē",Tabula1[Dzimtā valoda(s): '[Angļu']],"Nē",Tabula1[Dzimtā valoda(s): '[Poļu']],"Nē",Tabula1[Cik bieži izmantojat latviešu valodu šajos kontekstos?  '[Darbā']],"(Gandrīz) nekad")</f>
        <v>1</v>
      </c>
      <c r="F9">
        <v>0</v>
      </c>
      <c r="G9">
        <v>0</v>
      </c>
      <c r="H9">
        <f>COUNTIFS(Tabula1[City],"Rīga",Tabula1[Dzimtā valoda(s): '[Latviešu']],"Jā",Tabula1[Dzimtā valoda(s): '[Krievu  ']],"Nē",Tabula1[Dzimtā valoda(s): '[Ukraiņu ']],"Nē",Tabula1[Dzimtā valoda(s): '[Angļu']],"Nē",Tabula1[Dzimtā valoda(s): '[Poļu']],"Nē",Tabula1[Cik bieži izmantojat latviešu valodu šajos kontekstos?  '[Hobijos / citās interešu grupās']],"(Gandrīz) nekad")</f>
        <v>1</v>
      </c>
      <c r="I9">
        <v>0</v>
      </c>
      <c r="K9" s="44" t="s">
        <v>17975</v>
      </c>
      <c r="L9">
        <f>COUNTIFS(Tabula1[City],"Daugavpils",Tabula1[Dzimtā valoda(s): '[Latviešu']],"Jā",Tabula1[Dzimtā valoda(s): '[Krievu  ']],"Nē",Tabula1[Dzimtā valoda(s): '[Ukraiņu ']],"Nē",Tabula1[Dzimtā valoda(s): '[Angļu']],"Nē",Tabula1[Dzimtā valoda(s): '[Poļu']],"Nē",Tabula1[Cik bieži izmantojat latviešu valodu šajos kontekstos?  '[Ģimenē']],"(Gandrīz) nekad")</f>
        <v>0</v>
      </c>
      <c r="M9">
        <f>COUNTIFS(Tabula1[City],"Daugavpils",Tabula1[Dzimtā valoda(s): '[Latviešu']],"Jā",Tabula1[Dzimtā valoda(s): '[Krievu  ']],"Nē",Tabula1[Dzimtā valoda(s): '[Ukraiņu ']],"Nē",Tabula1[Dzimtā valoda(s): '[Angļu']],"Nē",Tabula1[Dzimtā valoda(s): '[Poļu']],"Nē",Tabula1[Cik bieži izmantojat latviešu valodu šajos kontekstos?  '[Skolā (ārpus nodarbībām)']],"(Gandrīz) nekad")</f>
        <v>0</v>
      </c>
      <c r="N9">
        <f>COUNTIFS(Tabula1[City],"Daugavpils",Tabula1[Dzimtā valoda(s): '[Latviešu']],"Jā",Tabula1[Dzimtā valoda(s): '[Krievu  ']],"Nē",Tabula1[Dzimtā valoda(s): '[Ukraiņu ']],"Nē",Tabula1[Dzimtā valoda(s): '[Angļu']],"Nē",Tabula1[Dzimtā valoda(s): '[Poļu']],"Nē",Tabula1[Cik bieži izmantojat latviešu valodu šajos kontekstos?  '[Darbā']],"(Gandrīz) nekad")</f>
        <v>4</v>
      </c>
      <c r="O9">
        <v>0</v>
      </c>
      <c r="P9">
        <v>0</v>
      </c>
      <c r="Q9">
        <f>COUNTIFS(Tabula1[City],"Daugavpils",Tabula1[Dzimtā valoda(s): '[Latviešu']],"Jā",Tabula1[Dzimtā valoda(s): '[Krievu  ']],"Nē",Tabula1[Dzimtā valoda(s): '[Ukraiņu ']],"Nē",Tabula1[Dzimtā valoda(s): '[Angļu']],"Nē",Tabula1[Dzimtā valoda(s): '[Poļu']],"Nē",Tabula1[Cik bieži izmantojat latviešu valodu šajos kontekstos?  '[Hobijos / citās interešu grupās']],"(Gandrīz) nekad")</f>
        <v>3</v>
      </c>
      <c r="R9">
        <v>0</v>
      </c>
      <c r="T9" s="44" t="s">
        <v>17975</v>
      </c>
      <c r="U9">
        <f>COUNTIFS(Tabula1[City],"Liepāja",Tabula1[Dzimtā valoda(s): '[Latviešu']],"Jā",Tabula1[Dzimtā valoda(s): '[Krievu  ']],"Nē",Tabula1[Dzimtā valoda(s): '[Ukraiņu ']],"Nē",Tabula1[Dzimtā valoda(s): '[Angļu']],"Nē",Tabula1[Dzimtā valoda(s): '[Poļu']],"Nē",Tabula1[Cik bieži izmantojat latviešu valodu šajos kontekstos?  '[Ģimenē']],"(Gandrīz) nekad")</f>
        <v>2</v>
      </c>
      <c r="V9">
        <f>COUNTIFS(Tabula1[City],"Liepāja",Tabula1[Dzimtā valoda(s): '[Latviešu']],"Jā",Tabula1[Dzimtā valoda(s): '[Krievu  ']],"Nē",Tabula1[Dzimtā valoda(s): '[Ukraiņu ']],"Nē",Tabula1[Dzimtā valoda(s): '[Angļu']],"Nē",Tabula1[Dzimtā valoda(s): '[Poļu']],"Nē",Tabula1[Cik bieži izmantojat latviešu valodu šajos kontekstos?  '[Skolā (ārpus nodarbībām)']], "(Gandrīz) nekad")</f>
        <v>1</v>
      </c>
      <c r="W9">
        <f>COUNTIFS(Tabula1[City],"Liepāja",Tabula1[Dzimtā valoda(s): '[Latviešu']],"Jā",Tabula1[Dzimtā valoda(s): '[Krievu  ']],"Nē",Tabula1[Dzimtā valoda(s): '[Ukraiņu ']],"Nē",Tabula1[Dzimtā valoda(s): '[Angļu']],"Nē",Tabula1[Dzimtā valoda(s): '[Poļu']],"Nē",Tabula1[Cik bieži izmantojat latviešu valodu šajos kontekstos?  '[Darbā']],"(Gandrīz) nekad")</f>
        <v>5</v>
      </c>
      <c r="X9">
        <f>COUNTIFS(Tabula1[City],"Liepāja",Tabula1[Dzimtā valoda(s): '[Latviešu']],"Jā",Tabula1[Dzimtā valoda(s): '[Krievu  ']],"Nē",Tabula1[Dzimtā valoda(s): '[Ukraiņu ']],"Nē",Tabula1[Dzimtā valoda(s): '[Angļu']],"Nē",Tabula1[Dzimtā valoda(s): '[Poļu']],"Nē",Tabula1[Cik bieži izmantojat latviešu valodu šajos kontekstos?  '[Ar draugiem']],"(Gandrīz) nekad")</f>
        <v>3</v>
      </c>
      <c r="Y9">
        <f>COUNTIFS(Tabula1[City],"Liepāja",Tabula1[Dzimtā valoda(s): '[Latviešu']],"Jā",Tabula1[Dzimtā valoda(s): '[Krievu  ']],"Nē",Tabula1[Dzimtā valoda(s): '[Ukraiņu ']],"Nē",Tabula1[Dzimtā valoda(s): '[Angļu']],"Nē",Tabula1[Dzimtā valoda(s): '[Poļu']],"Nē",Tabula1[Cik bieži izmantojat latviešu valodu šajos kontekstos?  '[Sportā']],"(Gandrīz) Nekad")</f>
        <v>4</v>
      </c>
      <c r="Z9">
        <f>COUNTIFS(Tabula1[City],"Liepāja",Tabula1[Dzimtā valoda(s): '[Latviešu']],"Jā",Tabula1[Dzimtā valoda(s): '[Krievu  ']],"Nē",Tabula1[Dzimtā valoda(s): '[Ukraiņu ']],"Nē",Tabula1[Dzimtā valoda(s): '[Angļu']],"Nē",Tabula1[Dzimtā valoda(s): '[Poļu']],"Nē",Tabula1[Cik bieži izmantojat latviešu valodu šajos kontekstos?  '[Hobijos / citās interešu grupās']],"(Gandrīz) nekad")</f>
        <v>6</v>
      </c>
      <c r="AA9">
        <f>COUNTIFS(Tabula1[City],"Liepāja",Tabula1[Dzimtā valoda(s): '[Latviešu']],"Jā",Tabula1[Dzimtā valoda(s): '[Krievu  ']],"Nē",Tabula1[Dzimtā valoda(s): '[Ukraiņu ']],"Nē",Tabula1[Dzimtā valoda(s): '[Angļu']],"Nē",Tabula1[Dzimtā valoda(s): '[Poļu']],"Nē",Tabula1[Cik bieži izmantojat latviešu valodu šajos kontekstos?  '[Uz ielas / veikalā utt.']],"(Gandrīz) nekad")</f>
        <v>2</v>
      </c>
    </row>
    <row r="13" spans="1:28" x14ac:dyDescent="0.3">
      <c r="A13" s="49" t="s">
        <v>17960</v>
      </c>
      <c r="D13" s="49" t="s">
        <v>338</v>
      </c>
      <c r="E13" s="49"/>
      <c r="F13" s="49"/>
      <c r="G13" s="49"/>
      <c r="H13" s="49"/>
      <c r="I13" s="49"/>
      <c r="J13" s="49"/>
      <c r="K13" s="49" t="s">
        <v>813</v>
      </c>
      <c r="L13" s="49"/>
      <c r="M13" s="49"/>
      <c r="N13" s="49"/>
      <c r="O13" s="49"/>
      <c r="P13" s="49"/>
      <c r="Q13" s="49"/>
      <c r="R13" s="49"/>
      <c r="S13" s="49"/>
      <c r="T13" s="49"/>
      <c r="U13" s="49" t="s">
        <v>727</v>
      </c>
    </row>
    <row r="14" spans="1:28" x14ac:dyDescent="0.3">
      <c r="C14" s="126" t="s">
        <v>17964</v>
      </c>
      <c r="D14" s="126" t="s">
        <v>17965</v>
      </c>
      <c r="E14" s="126" t="s">
        <v>17966</v>
      </c>
      <c r="F14" s="126" t="s">
        <v>17967</v>
      </c>
      <c r="G14" s="126" t="s">
        <v>17968</v>
      </c>
      <c r="H14" s="126" t="s">
        <v>17969</v>
      </c>
      <c r="I14" s="126" t="s">
        <v>17970</v>
      </c>
      <c r="J14" s="126"/>
      <c r="K14" s="126"/>
      <c r="L14" s="126" t="s">
        <v>17964</v>
      </c>
      <c r="M14" s="126" t="s">
        <v>17965</v>
      </c>
      <c r="N14" s="126" t="s">
        <v>17966</v>
      </c>
      <c r="O14" s="126" t="s">
        <v>17967</v>
      </c>
      <c r="P14" s="126" t="s">
        <v>17968</v>
      </c>
      <c r="Q14" s="126" t="s">
        <v>17969</v>
      </c>
      <c r="R14" s="126" t="s">
        <v>17970</v>
      </c>
      <c r="S14" s="126"/>
      <c r="T14" s="126"/>
      <c r="U14" s="126" t="s">
        <v>17964</v>
      </c>
      <c r="V14" s="126" t="s">
        <v>17965</v>
      </c>
      <c r="W14" s="126" t="s">
        <v>17966</v>
      </c>
      <c r="X14" s="126" t="s">
        <v>17967</v>
      </c>
      <c r="Y14" s="126" t="s">
        <v>17968</v>
      </c>
      <c r="Z14" s="126" t="s">
        <v>17969</v>
      </c>
      <c r="AA14" s="126" t="s">
        <v>17970</v>
      </c>
      <c r="AB14" s="126"/>
    </row>
    <row r="15" spans="1:28" x14ac:dyDescent="0.3">
      <c r="B15" s="44" t="s">
        <v>17971</v>
      </c>
      <c r="C15">
        <f>COUNTIFS(Tabula1[City],"Rīga",Tabula1[Dzimtā valoda(s): '[Latviešu']],"Jā",Tabula1[Dzimtā valoda(s): '[Krievu  ']],"Nē",Tabula1[Dzimtā valoda(s): '[Ukraiņu ']],"Nē",Tabula1[Dzimtā valoda(s): '[Angļu']],"Nē",Tabula1[Dzimtā valoda(s): '[Poļu']],"Nē",Tabula1[Cik bieži izmantojat krievu valodu šajos kontekstos?  '[Ģimenē']],"(Gandrīz) katru dienu")</f>
        <v>4</v>
      </c>
      <c r="D15">
        <f>COUNTIFS(Tabula1[City],"Rīga",Tabula1[Dzimtā valoda(s): '[Latviešu']],"Jā",Tabula1[Dzimtā valoda(s): '[Krievu  ']],"Nē",Tabula1[Dzimtā valoda(s): '[Ukraiņu ']],"Nē",Tabula1[Dzimtā valoda(s): '[Angļu']],"Nē",Tabula1[Dzimtā valoda(s): '[Poļu']],"Nē",Tabula1[Cik bieži izmantojat krievu valodu šajos kontekstos?  '[Skolā (ārpus nodarbībām)']],"(Gandrīz) katru dienu")</f>
        <v>6</v>
      </c>
      <c r="E15">
        <f>COUNTIFS(Tabula1[City],"Rīga",Tabula1[Dzimtā valoda(s): '[Latviešu']],"Jā",Tabula1[Dzimtā valoda(s): '[Krievu  ']],"Nē",Tabula1[Dzimtā valoda(s): '[Ukraiņu ']],"Nē",Tabula1[Dzimtā valoda(s): '[Angļu']],"Nē",Tabula1[Dzimtā valoda(s): '[Poļu']],"Nē",Tabula1[Cik bieži izmantojat krievu valodu šajos kontekstos?  '[Darbā']],"(Gandrīz) katru dienu")</f>
        <v>6</v>
      </c>
      <c r="F15">
        <f>COUNTIFS(Tabula1[City],"Rīga",Tabula1[Dzimtā valoda(s): '[Latviešu']],"Jā",Tabula1[Dzimtā valoda(s): '[Krievu  ']],"Nē",Tabula1[Dzimtā valoda(s): '[Ukraiņu ']],"Nē",Tabula1[Dzimtā valoda(s): '[Angļu']],"Nē",Tabula1[Dzimtā valoda(s): '[Poļu']],"Nē",Tabula1[Cik bieži izmantojat krievu valodu šajos kontekstos?  '[Ar draugiem']],"(Gandrīz) katru dienu")</f>
        <v>6</v>
      </c>
      <c r="G15">
        <f>COUNTIFS(Tabula1[City],"Rīga",Tabula1[Dzimtā valoda(s): '[Latviešu']],"Jā",Tabula1[Dzimtā valoda(s): '[Krievu  ']],"Nē",Tabula1[Dzimtā valoda(s): '[Ukraiņu ']],"Nē",Tabula1[Dzimtā valoda(s): '[Angļu']],"Nē",Tabula1[Dzimtā valoda(s): '[Poļu']],"Nē",Tabula1[Cik bieži izmantojat krievu valodu šajos kontekstos?  '[Sportā']],"(Gandrīz) katru dienu")</f>
        <v>3</v>
      </c>
      <c r="H15">
        <f>COUNTIFS(Tabula1[City],"Rīga",Tabula1[Dzimtā valoda(s): '[Latviešu']],"Jā",Tabula1[Dzimtā valoda(s): '[Krievu  ']],"Nē",Tabula1[Dzimtā valoda(s): '[Ukraiņu ']],"Nē",Tabula1[Dzimtā valoda(s): '[Angļu']],"Nē",Tabula1[Dzimtā valoda(s): '[Poļu']],"Nē",Tabula1[Cik bieži izmantojat krievu valodu šajos kontekstos?  '[Hobijos / citās interešu grupās']],"(Gandrīz) katru dienu")</f>
        <v>3</v>
      </c>
      <c r="I15">
        <f>COUNTIFS(Tabula1[City],"Rīga",Tabula1[Dzimtā valoda(s): '[Latviešu']],"Jā",Tabula1[Dzimtā valoda(s): '[Krievu  ']],"Nē",Tabula1[Dzimtā valoda(s): '[Ukraiņu ']],"Nē",Tabula1[Dzimtā valoda(s): '[Angļu']],"Nē",Tabula1[Dzimtā valoda(s): '[Poļu']],"Nē",Tabula1[Cik bieži izmantojat krievu valodu šajos kontekstos?  '[Uz ielas / veikalā utt.']],"(Gandrīz) katru dienu")</f>
        <v>4</v>
      </c>
      <c r="K15" s="44" t="s">
        <v>17971</v>
      </c>
      <c r="L15">
        <f>COUNTIFS(Tabula1[City],"Daugavpils",Tabula1[Dzimtā valoda(s): '[Latviešu']],"Jā",Tabula1[Dzimtā valoda(s): '[Krievu  ']],"Nē",Tabula1[Dzimtā valoda(s): '[Ukraiņu ']],"Nē",Tabula1[Dzimtā valoda(s): '[Angļu']],"Nē",Tabula1[Dzimtā valoda(s): '[Poļu']],"Nē",Tabula1[Cik bieži izmantojat krievu valodu šajos kontekstos?  '[Ģimenē']],"(Gandrīz) katru dienu")</f>
        <v>0</v>
      </c>
      <c r="M15">
        <f>COUNTIFS(Tabula1[City],"Daugavpils",Tabula1[Dzimtā valoda(s): '[Latviešu']],"Jā",Tabula1[Dzimtā valoda(s): '[Krievu  ']],"Nē",Tabula1[Dzimtā valoda(s): '[Ukraiņu ']],"Nē",Tabula1[Dzimtā valoda(s): '[Angļu']],"Nē",Tabula1[Dzimtā valoda(s): '[Poļu']],"Nē",Tabula1[Cik bieži izmantojat krievu valodu šajos kontekstos?  '[Skolā (ārpus nodarbībām)']],"(Gandrīz) katru dienu")</f>
        <v>2</v>
      </c>
      <c r="N15">
        <f>COUNTIFS(Tabula1[City],"Daugavpils",Tabula1[Dzimtā valoda(s): '[Latviešu']],"Jā",Tabula1[Dzimtā valoda(s): '[Krievu  ']],"Nē",Tabula1[Dzimtā valoda(s): '[Ukraiņu ']],"Nē",Tabula1[Dzimtā valoda(s): '[Angļu']],"Nē",Tabula1[Dzimtā valoda(s): '[Poļu']],"Nē",Tabula1[Cik bieži izmantojat krievu valodu šajos kontekstos?  '[Darbā']],"(Gandrīz) katru dienu")</f>
        <v>0</v>
      </c>
      <c r="O15">
        <f>COUNTIFS(Tabula1[City],"Daugavpils",Tabula1[Dzimtā valoda(s): '[Latviešu']],"Jā",Tabula1[Dzimtā valoda(s): '[Krievu  ']],"Nē",Tabula1[Dzimtā valoda(s): '[Ukraiņu ']],"Nē",Tabula1[Dzimtā valoda(s): '[Angļu']],"Nē",Tabula1[Dzimtā valoda(s): '[Poļu']],"Nē",Tabula1[Cik bieži izmantojat krievu valodu šajos kontekstos?  '[Ar draugiem']],"(Gandrīz) katru dienu")</f>
        <v>2</v>
      </c>
      <c r="P15">
        <f>COUNTIFS(Tabula1[City],"Daugavpils",Tabula1[Dzimtā valoda(s): '[Latviešu']],"Jā",Tabula1[Dzimtā valoda(s): '[Krievu  ']],"Nē",Tabula1[Dzimtā valoda(s): '[Ukraiņu ']],"Nē",Tabula1[Dzimtā valoda(s): '[Angļu']],"Nē",Tabula1[Dzimtā valoda(s): '[Poļu']],"Nē",Tabula1[Cik bieži izmantojat krievu valodu šajos kontekstos?  '[Sportā']],"(Gandrīz) katru dienu")</f>
        <v>2</v>
      </c>
      <c r="Q15">
        <f>COUNTIFS(Tabula1[City],"Daugavpils",Tabula1[Dzimtā valoda(s): '[Latviešu']],"Jā",Tabula1[Dzimtā valoda(s): '[Krievu  ']],"Nē",Tabula1[Dzimtā valoda(s): '[Ukraiņu ']],"Nē",Tabula1[Dzimtā valoda(s): '[Angļu']],"Nē",Tabula1[Dzimtā valoda(s): '[Poļu']],"Nē",Tabula1[Cik bieži izmantojat krievu valodu šajos kontekstos?  '[Hobijos / citās interešu grupās']],"(Gandrīz) katru dienu")</f>
        <v>1</v>
      </c>
      <c r="R15">
        <f>COUNTIFS(Tabula1[City],"Daugavpils",Tabula1[Dzimtā valoda(s): '[Latviešu']],"Jā",Tabula1[Dzimtā valoda(s): '[Krievu  ']],"Nē",Tabula1[Dzimtā valoda(s): '[Ukraiņu ']],"Nē",Tabula1[Dzimtā valoda(s): '[Angļu']],"Nē",Tabula1[Dzimtā valoda(s): '[Poļu']],"Nē",Tabula1[Cik bieži izmantojat krievu valodu šajos kontekstos?  '[Uz ielas / veikalā utt.']],"(Gandrīz) katru dienu")</f>
        <v>1</v>
      </c>
      <c r="T15" s="44" t="s">
        <v>17971</v>
      </c>
      <c r="U15">
        <f>COUNTIFS(Tabula1[City],"Liepāja",Tabula1[Dzimtā valoda(s): '[Latviešu']],"Jā",Tabula1[Dzimtā valoda(s): '[Krievu  ']],"Nē",Tabula1[Dzimtā valoda(s): '[Ukraiņu ']],"Nē",Tabula1[Dzimtā valoda(s): '[Angļu']],"Nē",Tabula1[Dzimtā valoda(s): '[Poļu']],"Nē",Tabula1[Cik bieži izmantojat krievu valodu šajos kontekstos?  '[Ģimenē']],"(Gandrīz) katru dienu")</f>
        <v>1</v>
      </c>
      <c r="V15">
        <f>COUNTIFS(Tabula1[City],"Liepāja",Tabula1[Dzimtā valoda(s): '[Latviešu']],"Jā",Tabula1[Dzimtā valoda(s): '[Krievu  ']],"Nē",Tabula1[Dzimtā valoda(s): '[Ukraiņu ']],"Nē",Tabula1[Dzimtā valoda(s): '[Angļu']],"Nē",Tabula1[Dzimtā valoda(s): '[Poļu']],"Nē",Tabula1[Cik bieži izmantojat krievu valodu šajos kontekstos?  '[Skolā (ārpus nodarbībām)']],"(Gandrīz) katru dienu")</f>
        <v>2</v>
      </c>
      <c r="W15">
        <f>COUNTIFS(Tabula1[City],"Liepāja",Tabula1[Dzimtā valoda(s): '[Latviešu']],"Jā",Tabula1[Dzimtā valoda(s): '[Krievu  ']],"Nē",Tabula1[Dzimtā valoda(s): '[Ukraiņu ']],"Nē",Tabula1[Dzimtā valoda(s): '[Angļu']],"Nē",Tabula1[Dzimtā valoda(s): '[Poļu']],"Nē",Tabula1[Cik bieži izmantojat krievu valodu šajos kontekstos?  '[Darbā']],"(Gandrīz) katru dienu")</f>
        <v>4</v>
      </c>
      <c r="X15">
        <f>COUNTIFS(Tabula1[City],"Liepāja",Tabula1[Dzimtā valoda(s): '[Latviešu']],"Jā",Tabula1[Dzimtā valoda(s): '[Krievu  ']],"Nē",Tabula1[Dzimtā valoda(s): '[Ukraiņu ']],"Nē",Tabula1[Dzimtā valoda(s): '[Angļu']],"Nē",Tabula1[Dzimtā valoda(s): '[Poļu']],"Nē",Tabula1[Cik bieži izmantojat krievu valodu šajos kontekstos?  '[Ar draugiem']],"(Gandrīz) katru dienu")</f>
        <v>2</v>
      </c>
      <c r="Y15">
        <f>COUNTIFS(Tabula1[City],"Liepāja",Tabula1[Dzimtā valoda(s): '[Latviešu']],"Jā",Tabula1[Dzimtā valoda(s): '[Krievu  ']],"Nē",Tabula1[Dzimtā valoda(s): '[Ukraiņu ']],"Nē",Tabula1[Dzimtā valoda(s): '[Angļu']],"Nē",Tabula1[Dzimtā valoda(s): '[Poļu']],"Nē",Tabula1[Cik bieži izmantojat krievu valodu šajos kontekstos?  '[Sportā']],"(Gandrīz) katru dienu")</f>
        <v>2</v>
      </c>
      <c r="Z15">
        <f>COUNTIFS(Tabula1[City],"Liepāja",Tabula1[Dzimtā valoda(s): '[Latviešu']],"Jā",Tabula1[Dzimtā valoda(s): '[Krievu  ']],"Nē",Tabula1[Dzimtā valoda(s): '[Ukraiņu ']],"Nē",Tabula1[Dzimtā valoda(s): '[Angļu']],"Nē",Tabula1[Dzimtā valoda(s): '[Poļu']],"Nē",Tabula1[Cik bieži izmantojat krievu valodu šajos kontekstos?  '[Hobijos / citās interešu grupās']],"(Gandrīz) katru dienu")</f>
        <v>1</v>
      </c>
      <c r="AA15">
        <f>COUNTIFS(Tabula1[City],"Liepāja",Tabula1[Dzimtā valoda(s): '[Latviešu']],"Jā",Tabula1[Dzimtā valoda(s): '[Krievu  ']],"Nē",Tabula1[Dzimtā valoda(s): '[Ukraiņu ']],"Nē",Tabula1[Dzimtā valoda(s): '[Angļu']],"Nē",Tabula1[Dzimtā valoda(s): '[Poļu']],"Nē",Tabula1[Cik bieži izmantojat krievu valodu šajos kontekstos?  '[Uz ielas / veikalā utt.']],"(Gandrīz) katru dienu")</f>
        <v>1</v>
      </c>
    </row>
    <row r="16" spans="1:28" x14ac:dyDescent="0.3">
      <c r="B16" s="44" t="s">
        <v>17972</v>
      </c>
      <c r="C16">
        <f>COUNTIFS(Tabula1[City],"Rīga",Tabula1[Dzimtā valoda(s): '[Latviešu']],"Jā",Tabula1[Dzimtā valoda(s): '[Krievu  ']],"Nē",Tabula1[Dzimtā valoda(s): '[Ukraiņu ']],"Nē",Tabula1[Dzimtā valoda(s): '[Angļu']],"Nē",Tabula1[Dzimtā valoda(s): '[Poļu']],"Nē",Tabula1[Cik bieži izmantojat krievu valodu šajos kontekstos?  '[Ģimenē']],"Pāris reižu nedēļā")</f>
        <v>2</v>
      </c>
      <c r="D16">
        <f>COUNTIFS(Tabula1[City],"Rīga",Tabula1[Dzimtā valoda(s): '[Latviešu']],"Jā",Tabula1[Dzimtā valoda(s): '[Krievu  ']],"Nē",Tabula1[Dzimtā valoda(s): '[Ukraiņu ']],"Nē",Tabula1[Dzimtā valoda(s): '[Angļu']],"Nē",Tabula1[Dzimtā valoda(s): '[Poļu']],"Nē",Tabula1[Cik bieži izmantojat krievu valodu šajos kontekstos?  '[Skolā (ārpus nodarbībām)']],"Pāris reižu nedēļā")</f>
        <v>6</v>
      </c>
      <c r="E16">
        <f>COUNTIFS(Tabula1[City],"Rīga",Tabula1[Dzimtā valoda(s): '[Latviešu']],"Jā",Tabula1[Dzimtā valoda(s): '[Krievu  ']],"Nē",Tabula1[Dzimtā valoda(s): '[Ukraiņu ']],"Nē",Tabula1[Dzimtā valoda(s): '[Angļu']],"Nē",Tabula1[Dzimtā valoda(s): '[Poļu']],"Nē",Tabula1[Cik bieži izmantojat krievu valodu šajos kontekstos?  '[Darbā']],"Pāris reižu nedēļā")</f>
        <v>6</v>
      </c>
      <c r="F16">
        <f>COUNTIFS(Tabula1[City],"Rīga",Tabula1[Dzimtā valoda(s): '[Latviešu']],"Jā",Tabula1[Dzimtā valoda(s): '[Krievu  ']],"Nē",Tabula1[Dzimtā valoda(s): '[Ukraiņu ']],"Nē",Tabula1[Dzimtā valoda(s): '[Angļu']],"Nē",Tabula1[Dzimtā valoda(s): '[Poļu']],"Nē",Tabula1[Cik bieži izmantojat krievu valodu šajos kontekstos?  '[Ar draugiem']],"Pāris reižu nedēļā")</f>
        <v>5</v>
      </c>
      <c r="G16">
        <f>COUNTIFS(Tabula1[City],"Rīga",Tabula1[Dzimtā valoda(s): '[Latviešu']],"Jā",Tabula1[Dzimtā valoda(s): '[Krievu  ']],"Nē",Tabula1[Dzimtā valoda(s): '[Ukraiņu ']],"Nē",Tabula1[Dzimtā valoda(s): '[Angļu']],"Nē",Tabula1[Dzimtā valoda(s): '[Poļu']],"Nē",Tabula1[Cik bieži izmantojat krievu valodu šajos kontekstos?  '[Sportā']],"Pāris reižu nedēļā")</f>
        <v>3</v>
      </c>
      <c r="H16">
        <f>COUNTIFS(Tabula1[City],"Rīga",Tabula1[Dzimtā valoda(s): '[Latviešu']],"Jā",Tabula1[Dzimtā valoda(s): '[Krievu  ']],"Nē",Tabula1[Dzimtā valoda(s): '[Ukraiņu ']],"Nē",Tabula1[Dzimtā valoda(s): '[Angļu']],"Nē",Tabula1[Dzimtā valoda(s): '[Poļu']],"Nē",Tabula1[Cik bieži izmantojat krievu valodu šajos kontekstos?  '[Hobijos / citās interešu grupās']],"Pāris reižu nedēļā")</f>
        <v>3</v>
      </c>
      <c r="I16">
        <f>COUNTIFS(Tabula1[City],"Rīga",Tabula1[Dzimtā valoda(s): '[Latviešu']],"Jā",Tabula1[Dzimtā valoda(s): '[Krievu  ']],"Nē",Tabula1[Dzimtā valoda(s): '[Ukraiņu ']],"Nē",Tabula1[Dzimtā valoda(s): '[Angļu']],"Nē",Tabula1[Dzimtā valoda(s): '[Poļu']],"Nē",Tabula1[Cik bieži izmantojat krievu valodu šajos kontekstos?  '[Uz ielas / veikalā utt.']],"Pāris reižu nedēļā")</f>
        <v>4</v>
      </c>
      <c r="K16" s="44" t="s">
        <v>17972</v>
      </c>
      <c r="L16">
        <f>COUNTIFS(Tabula1[City],"Daugavpils",Tabula1[Dzimtā valoda(s): '[Latviešu']],"Jā",Tabula1[Dzimtā valoda(s): '[Krievu  ']],"Nē",Tabula1[Dzimtā valoda(s): '[Ukraiņu ']],"Nē",Tabula1[Dzimtā valoda(s): '[Angļu']],"Nē",Tabula1[Dzimtā valoda(s): '[Poļu']],"Nē",Tabula1[Cik bieži izmantojat krievu valodu šajos kontekstos?  '[Ģimenē']],"Pāris reižu nedēļā")</f>
        <v>2</v>
      </c>
      <c r="M16">
        <f>COUNTIFS(Tabula1[City],"Daugavpils",Tabula1[Dzimtā valoda(s): '[Latviešu']],"Jā",Tabula1[Dzimtā valoda(s): '[Krievu  ']],"Nē",Tabula1[Dzimtā valoda(s): '[Ukraiņu ']],"Nē",Tabula1[Dzimtā valoda(s): '[Angļu']],"Nē",Tabula1[Dzimtā valoda(s): '[Poļu']],"Nē",Tabula1[Cik bieži izmantojat krievu valodu šajos kontekstos?  '[Skolā (ārpus nodarbībām)']],"Pāris reižu nedēļā")</f>
        <v>2</v>
      </c>
      <c r="N16">
        <f>COUNTIFS(Tabula1[City],"Daugavpils",Tabula1[Dzimtā valoda(s): '[Latviešu']],"Jā",Tabula1[Dzimtā valoda(s): '[Krievu  ']],"Nē",Tabula1[Dzimtā valoda(s): '[Ukraiņu ']],"Nē",Tabula1[Dzimtā valoda(s): '[Angļu']],"Nē",Tabula1[Dzimtā valoda(s): '[Poļu']],"Nē",Tabula1[Cik bieži izmantojat krievu valodu šajos kontekstos?  '[Darbā']],"Pāris reižu nedēļā")</f>
        <v>3</v>
      </c>
      <c r="O16">
        <f>COUNTIFS(Tabula1[City],"Daugavpils",Tabula1[Dzimtā valoda(s): '[Latviešu']],"Jā",Tabula1[Dzimtā valoda(s): '[Krievu  ']],"Nē",Tabula1[Dzimtā valoda(s): '[Ukraiņu ']],"Nē",Tabula1[Dzimtā valoda(s): '[Angļu']],"Nē",Tabula1[Dzimtā valoda(s): '[Poļu']],"Nē",Tabula1[Cik bieži izmantojat krievu valodu šajos kontekstos?  '[Ar draugiem']],"Pāris reižu nedēļā")</f>
        <v>3</v>
      </c>
      <c r="P16">
        <f>COUNTIFS(Tabula1[City],"Daugavpils",Tabula1[Dzimtā valoda(s): '[Latviešu']],"Jā",Tabula1[Dzimtā valoda(s): '[Krievu  ']],"Nē",Tabula1[Dzimtā valoda(s): '[Ukraiņu ']],"Nē",Tabula1[Dzimtā valoda(s): '[Angļu']],"Nē",Tabula1[Dzimtā valoda(s): '[Poļu']],"Nē",Tabula1[Cik bieži izmantojat krievu valodu šajos kontekstos?  '[Sportā']],"Pāris reižu nedēļā")</f>
        <v>2</v>
      </c>
      <c r="Q16">
        <f>COUNTIFS(Tabula1[City],"Daugavpils",Tabula1[Dzimtā valoda(s): '[Latviešu']],"Jā",Tabula1[Dzimtā valoda(s): '[Krievu  ']],"Nē",Tabula1[Dzimtā valoda(s): '[Ukraiņu ']],"Nē",Tabula1[Dzimtā valoda(s): '[Angļu']],"Nē",Tabula1[Dzimtā valoda(s): '[Poļu']],"Nē",Tabula1[Cik bieži izmantojat krievu valodu šajos kontekstos?  '[Hobijos / citās interešu grupās']],"Pāris reižu nedēļā")</f>
        <v>4</v>
      </c>
      <c r="R16">
        <f>COUNTIFS(Tabula1[City],"Daugavpils",Tabula1[Dzimtā valoda(s): '[Latviešu']],"Jā",Tabula1[Dzimtā valoda(s): '[Krievu  ']],"Nē",Tabula1[Dzimtā valoda(s): '[Ukraiņu ']],"Nē",Tabula1[Dzimtā valoda(s): '[Angļu']],"Nē",Tabula1[Dzimtā valoda(s): '[Poļu']],"Nē",Tabula1[Cik bieži izmantojat krievu valodu šajos kontekstos?  '[Uz ielas / veikalā utt.']],"Pāris reižu nedēļā")</f>
        <v>3</v>
      </c>
      <c r="T16" s="44" t="s">
        <v>17972</v>
      </c>
      <c r="U16">
        <f>COUNTIFS(Tabula1[City],"Liepāja",Tabula1[Dzimtā valoda(s): '[Latviešu']],"Jā",Tabula1[Dzimtā valoda(s): '[Krievu  ']],"Nē",Tabula1[Dzimtā valoda(s): '[Ukraiņu ']],"Nē",Tabula1[Dzimtā valoda(s): '[Angļu']],"Nē",Tabula1[Dzimtā valoda(s): '[Poļu']],"Nē",Tabula1[Cik bieži izmantojat krievu valodu šajos kontekstos?  '[Ģimenē']],"Pāris reižu nedēļā")</f>
        <v>4</v>
      </c>
      <c r="V16">
        <f>COUNTIFS(Tabula1[City],"Liepāja",Tabula1[Dzimtā valoda(s): '[Latviešu']],"Jā",Tabula1[Dzimtā valoda(s): '[Krievu  ']],"Nē",Tabula1[Dzimtā valoda(s): '[Ukraiņu ']],"Nē",Tabula1[Dzimtā valoda(s): '[Angļu']],"Nē",Tabula1[Dzimtā valoda(s): '[Poļu']],"Nē",Tabula1[Cik bieži izmantojat krievu valodu šajos kontekstos?  '[Skolā (ārpus nodarbībām)']],"Pāris reižu nedēļā")</f>
        <v>8</v>
      </c>
      <c r="W16">
        <f>COUNTIFS(Tabula1[City],"Liepāja",Tabula1[Dzimtā valoda(s): '[Latviešu']],"Jā",Tabula1[Dzimtā valoda(s): '[Krievu  ']],"Nē",Tabula1[Dzimtā valoda(s): '[Ukraiņu ']],"Nē",Tabula1[Dzimtā valoda(s): '[Angļu']],"Nē",Tabula1[Dzimtā valoda(s): '[Poļu']],"Nē",Tabula1[Cik bieži izmantojat krievu valodu šajos kontekstos?  '[Darbā']],"Pāris reižu nedēļā")</f>
        <v>4</v>
      </c>
      <c r="X16">
        <f>COUNTIFS(Tabula1[City],"Liepāja",Tabula1[Dzimtā valoda(s): '[Latviešu']],"Jā",Tabula1[Dzimtā valoda(s): '[Krievu  ']],"Nē",Tabula1[Dzimtā valoda(s): '[Ukraiņu ']],"Nē",Tabula1[Dzimtā valoda(s): '[Angļu']],"Nē",Tabula1[Dzimtā valoda(s): '[Poļu']],"Nē",Tabula1[Cik bieži izmantojat krievu valodu šajos kontekstos?  '[Ar draugiem']],"Pāris reižu nedēļā")</f>
        <v>9</v>
      </c>
      <c r="Y16">
        <f>COUNTIFS(Tabula1[City],"Liepāja",Tabula1[Dzimtā valoda(s): '[Latviešu']],"Jā",Tabula1[Dzimtā valoda(s): '[Krievu  ']],"Nē",Tabula1[Dzimtā valoda(s): '[Ukraiņu ']],"Nē",Tabula1[Dzimtā valoda(s): '[Angļu']],"Nē",Tabula1[Dzimtā valoda(s): '[Poļu']],"Nē",Tabula1[Cik bieži izmantojat krievu valodu šajos kontekstos?  '[Sportā']],"Pāris reižu nedēļā")</f>
        <v>1</v>
      </c>
      <c r="Z16">
        <f>COUNTIFS(Tabula1[City],"Liepāja",Tabula1[Dzimtā valoda(s): '[Latviešu']],"Jā",Tabula1[Dzimtā valoda(s): '[Krievu  ']],"Nē",Tabula1[Dzimtā valoda(s): '[Ukraiņu ']],"Nē",Tabula1[Dzimtā valoda(s): '[Angļu']],"Nē",Tabula1[Dzimtā valoda(s): '[Poļu']],"Nē",Tabula1[Cik bieži izmantojat krievu valodu šajos kontekstos?  '[Hobijos / citās interešu grupās']],"Pāris reižu nedēļā")</f>
        <v>1</v>
      </c>
      <c r="AA16">
        <f>COUNTIFS(Tabula1[City],"Liepāja",Tabula1[Dzimtā valoda(s): '[Latviešu']],"Jā",Tabula1[Dzimtā valoda(s): '[Krievu  ']],"Nē",Tabula1[Dzimtā valoda(s): '[Ukraiņu ']],"Nē",Tabula1[Dzimtā valoda(s): '[Angļu']],"Nē",Tabula1[Dzimtā valoda(s): '[Poļu']],"Nē",Tabula1[Cik bieži izmantojat krievu valodu šajos kontekstos?  '[Uz ielas / veikalā utt.']],"Pāris reižu nedēļā")</f>
        <v>5</v>
      </c>
    </row>
    <row r="17" spans="2:27" x14ac:dyDescent="0.3">
      <c r="B17" s="44" t="s">
        <v>17973</v>
      </c>
      <c r="C17">
        <f>COUNTIFS(Tabula1[City],"Rīga",Tabula1[Dzimtā valoda(s): '[Latviešu']],"Jā",Tabula1[Dzimtā valoda(s): '[Krievu  ']],"Nē",Tabula1[Dzimtā valoda(s): '[Ukraiņu ']],"Nē",Tabula1[Dzimtā valoda(s): '[Angļu']],"Nē",Tabula1[Dzimtā valoda(s): '[Poļu']],"Nē",Tabula1[Cik bieži izmantojat krievu valodu šajos kontekstos?  '[Ģimenē']],"Reizi nedēļā")</f>
        <v>1</v>
      </c>
      <c r="D17">
        <f>COUNTIFS(Tabula1[City],"Rīga",Tabula1[Dzimtā valoda(s): '[Latviešu']],"Jā",Tabula1[Dzimtā valoda(s): '[Krievu  ']],"Nē",Tabula1[Dzimtā valoda(s): '[Ukraiņu ']],"Nē",Tabula1[Dzimtā valoda(s): '[Angļu']],"Nē",Tabula1[Dzimtā valoda(s): '[Poļu']],"Nē",Tabula1[Cik bieži izmantojat krievu valodu šajos kontekstos?  '[Skolā (ārpus nodarbībām)']],"Reizi nedēļā")</f>
        <v>12</v>
      </c>
      <c r="E17">
        <f>COUNTIFS(Tabula1[City],"Rīga",Tabula1[Dzimtā valoda(s): '[Latviešu']],"Jā",Tabula1[Dzimtā valoda(s): '[Krievu  ']],"Nē",Tabula1[Dzimtā valoda(s): '[Ukraiņu ']],"Nē",Tabula1[Dzimtā valoda(s): '[Angļu']],"Nē",Tabula1[Dzimtā valoda(s): '[Poļu']],"Nē",Tabula1[Cik bieži izmantojat krievu valodu šajos kontekstos?  '[Darbā']],"Reizi nedēļā")</f>
        <v>0</v>
      </c>
      <c r="F17">
        <f>COUNTIFS(Tabula1[City],"Rīga",Tabula1[Dzimtā valoda(s): '[Latviešu']],"Jā",Tabula1[Dzimtā valoda(s): '[Krievu  ']],"Nē",Tabula1[Dzimtā valoda(s): '[Ukraiņu ']],"Nē",Tabula1[Dzimtā valoda(s): '[Angļu']],"Nē",Tabula1[Dzimtā valoda(s): '[Poļu']],"Nē",Tabula1[Cik bieži izmantojat krievu valodu šajos kontekstos?  '[Ar draugiem']],"Reizi nedēļā")</f>
        <v>5</v>
      </c>
      <c r="G17">
        <f>COUNTIFS(Tabula1[City],"Rīga",Tabula1[Dzimtā valoda(s): '[Latviešu']],"Jā",Tabula1[Dzimtā valoda(s): '[Krievu  ']],"Nē",Tabula1[Dzimtā valoda(s): '[Ukraiņu ']],"Nē",Tabula1[Dzimtā valoda(s): '[Angļu']],"Nē",Tabula1[Dzimtā valoda(s): '[Poļu']],"Nē",Tabula1[Cik bieži izmantojat krievu valodu šajos kontekstos?  '[Sportā']],"Reizi nedēļā")</f>
        <v>3</v>
      </c>
      <c r="H17">
        <f>COUNTIFS(Tabula1[City],"Rīga",Tabula1[Dzimtā valoda(s): '[Latviešu']],"Jā",Tabula1[Dzimtā valoda(s): '[Krievu  ']],"Nē",Tabula1[Dzimtā valoda(s): '[Ukraiņu ']],"Nē",Tabula1[Dzimtā valoda(s): '[Angļu']],"Nē",Tabula1[Dzimtā valoda(s): '[Poļu']],"Nē",Tabula1[Cik bieži izmantojat krievu valodu šajos kontekstos?  '[Hobijos / citās interešu grupās']],"Reizi nedēļā")</f>
        <v>2</v>
      </c>
      <c r="I17">
        <f>COUNTIFS(Tabula1[City],"Rīga",Tabula1[Dzimtā valoda(s): '[Latviešu']],"Jā",Tabula1[Dzimtā valoda(s): '[Krievu  ']],"Nē",Tabula1[Dzimtā valoda(s): '[Ukraiņu ']],"Nē",Tabula1[Dzimtā valoda(s): '[Angļu']],"Nē",Tabula1[Dzimtā valoda(s): '[Poļu']],"Nē",Tabula1[Cik bieži izmantojat krievu valodu šajos kontekstos?  '[Uz ielas / veikalā utt.']],"Reizi nedēļā")</f>
        <v>5</v>
      </c>
      <c r="K17" s="44" t="s">
        <v>17973</v>
      </c>
      <c r="L17">
        <f>COUNTIFS(Tabula1[City],"Daugavpils",Tabula1[Dzimtā valoda(s): '[Latviešu']],"Jā",Tabula1[Dzimtā valoda(s): '[Krievu  ']],"Nē",Tabula1[Dzimtā valoda(s): '[Ukraiņu ']],"Nē",Tabula1[Dzimtā valoda(s): '[Angļu']],"Nē",Tabula1[Dzimtā valoda(s): '[Poļu']],"Nē",Tabula1[Cik bieži izmantojat krievu valodu šajos kontekstos?  '[Ģimenē']],"Reizi nedēļā")</f>
        <v>1</v>
      </c>
      <c r="M17">
        <f>COUNTIFS(Tabula1[City],"Daugavpils",Tabula1[Dzimtā valoda(s): '[Latviešu']],"Jā",Tabula1[Dzimtā valoda(s): '[Krievu  ']],"Nē",Tabula1[Dzimtā valoda(s): '[Ukraiņu ']],"Nē",Tabula1[Dzimtā valoda(s): '[Angļu']],"Nē",Tabula1[Dzimtā valoda(s): '[Poļu']],"Nē",Tabula1[Cik bieži izmantojat krievu valodu šajos kontekstos?  '[Skolā (ārpus nodarbībām)']],"Reizi nedēļā")</f>
        <v>1</v>
      </c>
      <c r="N17">
        <f>COUNTIFS(Tabula1[City],"Daugavpils",Tabula1[Dzimtā valoda(s): '[Latviešu']],"Jā",Tabula1[Dzimtā valoda(s): '[Krievu  ']],"Nē",Tabula1[Dzimtā valoda(s): '[Ukraiņu ']],"Nē",Tabula1[Dzimtā valoda(s): '[Angļu']],"Nē",Tabula1[Dzimtā valoda(s): '[Poļu']],"Nē",Tabula1[Cik bieži izmantojat krievu valodu šajos kontekstos?  '[Darbā']],"Reizi nedēļā")</f>
        <v>0</v>
      </c>
      <c r="O17">
        <f>COUNTIFS(Tabula1[City],"Daugavpils",Tabula1[Dzimtā valoda(s): '[Latviešu']],"Jā",Tabula1[Dzimtā valoda(s): '[Krievu  ']],"Nē",Tabula1[Dzimtā valoda(s): '[Ukraiņu ']],"Nē",Tabula1[Dzimtā valoda(s): '[Angļu']],"Nē",Tabula1[Dzimtā valoda(s): '[Poļu']],"Nē",Tabula1[Cik bieži izmantojat krievu valodu šajos kontekstos?  '[Ar draugiem']],"Reizi nedēļā")</f>
        <v>0</v>
      </c>
      <c r="P17">
        <f>COUNTIFS(Tabula1[City],"Daugavpils",Tabula1[Dzimtā valoda(s): '[Latviešu']],"Jā",Tabula1[Dzimtā valoda(s): '[Krievu  ']],"Nē",Tabula1[Dzimtā valoda(s): '[Ukraiņu ']],"Nē",Tabula1[Dzimtā valoda(s): '[Angļu']],"Nē",Tabula1[Dzimtā valoda(s): '[Poļu']],"Nē",Tabula1[Cik bieži izmantojat krievu valodu šajos kontekstos?  '[Sportā']],"Reizi nedēļā")</f>
        <v>0</v>
      </c>
      <c r="Q17">
        <f>COUNTIFS(Tabula1[City],"Daugavpils",Tabula1[Dzimtā valoda(s): '[Latviešu']],"Jā",Tabula1[Dzimtā valoda(s): '[Krievu  ']],"Nē",Tabula1[Dzimtā valoda(s): '[Ukraiņu ']],"Nē",Tabula1[Dzimtā valoda(s): '[Angļu']],"Nē",Tabula1[Dzimtā valoda(s): '[Poļu']],"Nē",Tabula1[Cik bieži izmantojat krievu valodu šajos kontekstos?  '[Hobijos / citās interešu grupās']],"Reizi nedēļā")</f>
        <v>0</v>
      </c>
      <c r="R17">
        <f>COUNTIFS(Tabula1[City],"Daugavpils",Tabula1[Dzimtā valoda(s): '[Latviešu']],"Jā",Tabula1[Dzimtā valoda(s): '[Krievu  ']],"Nē",Tabula1[Dzimtā valoda(s): '[Ukraiņu ']],"Nē",Tabula1[Dzimtā valoda(s): '[Angļu']],"Nē",Tabula1[Dzimtā valoda(s): '[Poļu']],"Nē",Tabula1[Cik bieži izmantojat krievu valodu šajos kontekstos?  '[Uz ielas / veikalā utt.']],"Reizi nedēļā")</f>
        <v>0</v>
      </c>
      <c r="T17" s="44" t="s">
        <v>17973</v>
      </c>
      <c r="U17">
        <f>COUNTIFS(Tabula1[City],"Liepāja",Tabula1[Dzimtā valoda(s): '[Latviešu']],"Jā",Tabula1[Dzimtā valoda(s): '[Krievu  ']],"Nē",Tabula1[Dzimtā valoda(s): '[Ukraiņu ']],"Nē",Tabula1[Dzimtā valoda(s): '[Angļu']],"Nē",Tabula1[Dzimtā valoda(s): '[Poļu']],"Nē",Tabula1[Cik bieži izmantojat krievu valodu šajos kontekstos?  '[Ģimenē']],"Reizi nedēļā")</f>
        <v>6</v>
      </c>
      <c r="V17">
        <f>COUNTIFS(Tabula1[City],"Liepāja",Tabula1[Dzimtā valoda(s): '[Latviešu']],"Jā",Tabula1[Dzimtā valoda(s): '[Krievu  ']],"Nē",Tabula1[Dzimtā valoda(s): '[Ukraiņu ']],"Nē",Tabula1[Dzimtā valoda(s): '[Angļu']],"Nē",Tabula1[Dzimtā valoda(s): '[Poļu']],"Nē",Tabula1[Cik bieži izmantojat krievu valodu šajos kontekstos?  '[Skolā (ārpus nodarbībām)']],"Reizi nedēļā")</f>
        <v>5</v>
      </c>
      <c r="W17">
        <f>COUNTIFS(Tabula1[City],"Liepāja",Tabula1[Dzimtā valoda(s): '[Latviešu']],"Jā",Tabula1[Dzimtā valoda(s): '[Krievu  ']],"Nē",Tabula1[Dzimtā valoda(s): '[Ukraiņu ']],"Nē",Tabula1[Dzimtā valoda(s): '[Angļu']],"Nē",Tabula1[Dzimtā valoda(s): '[Poļu']],"Nē",Tabula1[Cik bieži izmantojat krievu valodu šajos kontekstos?  '[Darbā']],"Reizi nedēļā")</f>
        <v>1</v>
      </c>
      <c r="X17">
        <f>COUNTIFS(Tabula1[City],"Liepāja",Tabula1[Dzimtā valoda(s): '[Latviešu']],"Jā",Tabula1[Dzimtā valoda(s): '[Krievu  ']],"Nē",Tabula1[Dzimtā valoda(s): '[Ukraiņu ']],"Nē",Tabula1[Dzimtā valoda(s): '[Angļu']],"Nē",Tabula1[Dzimtā valoda(s): '[Poļu']],"Nē",Tabula1[Cik bieži izmantojat krievu valodu šajos kontekstos?  '[Ar draugiem']],"Reizi nedēļā")</f>
        <v>2</v>
      </c>
      <c r="Y17">
        <f>COUNTIFS(Tabula1[City],"Liepāja",Tabula1[Dzimtā valoda(s): '[Latviešu']],"Jā",Tabula1[Dzimtā valoda(s): '[Krievu  ']],"Nē",Tabula1[Dzimtā valoda(s): '[Ukraiņu ']],"Nē",Tabula1[Dzimtā valoda(s): '[Angļu']],"Nē",Tabula1[Dzimtā valoda(s): '[Poļu']],"Nē",Tabula1[Cik bieži izmantojat krievu valodu šajos kontekstos?  '[Sportā']],"Reizi nedēļā")</f>
        <v>0</v>
      </c>
      <c r="Z17">
        <f>COUNTIFS(Tabula1[City],"Liepāja",Tabula1[Dzimtā valoda(s): '[Latviešu']],"Jā",Tabula1[Dzimtā valoda(s): '[Krievu  ']],"Nē",Tabula1[Dzimtā valoda(s): '[Ukraiņu ']],"Nē",Tabula1[Dzimtā valoda(s): '[Angļu']],"Nē",Tabula1[Dzimtā valoda(s): '[Poļu']],"Nē",Tabula1[Cik bieži izmantojat krievu valodu šajos kontekstos?  '[Hobijos / citās interešu grupās']],"Reizi nedēļā")</f>
        <v>3</v>
      </c>
      <c r="AA17">
        <f>COUNTIFS(Tabula1[City],"Liepāja",Tabula1[Dzimtā valoda(s): '[Latviešu']],"Jā",Tabula1[Dzimtā valoda(s): '[Krievu  ']],"Nē",Tabula1[Dzimtā valoda(s): '[Ukraiņu ']],"Nē",Tabula1[Dzimtā valoda(s): '[Angļu']],"Nē",Tabula1[Dzimtā valoda(s): '[Poļu']],"Nē",Tabula1[Cik bieži izmantojat krievu valodu šajos kontekstos?  '[Uz ielas / veikalā utt.']],"Reizi nedēļā")</f>
        <v>3</v>
      </c>
    </row>
    <row r="18" spans="2:27" x14ac:dyDescent="0.3">
      <c r="B18" s="44" t="s">
        <v>17974</v>
      </c>
      <c r="C18">
        <f>COUNTIFS(Tabula1[City],"Rīga",Tabula1[Dzimtā valoda(s): '[Latviešu']],"Jā",Tabula1[Dzimtā valoda(s): '[Krievu  ']],"Nē",Tabula1[Dzimtā valoda(s): '[Ukraiņu ']],"Nē",Tabula1[Dzimtā valoda(s): '[Angļu']],"Nē",Tabula1[Dzimtā valoda(s): '[Poļu']],"Nē",Tabula1[Cik bieži izmantojat krievu valodu šajos kontekstos?  '[Ģimenē']],"Pāris reižu mēnesī")</f>
        <v>7</v>
      </c>
      <c r="D18">
        <f>COUNTIFS(Tabula1[City],"Rīga",Tabula1[Dzimtā valoda(s): '[Latviešu']],"Jā",Tabula1[Dzimtā valoda(s): '[Krievu  ']],"Nē",Tabula1[Dzimtā valoda(s): '[Ukraiņu ']],"Nē",Tabula1[Dzimtā valoda(s): '[Angļu']],"Nē",Tabula1[Dzimtā valoda(s): '[Poļu']],"Nē",Tabula1[Cik bieži izmantojat krievu valodu šajos kontekstos?  '[Skolā (ārpus nodarbībām)']],"Pāris reižu mēnesī")</f>
        <v>5</v>
      </c>
      <c r="E18">
        <f>COUNTIFS(Tabula1[City],"Rīga",Tabula1[Dzimtā valoda(s): '[Latviešu']],"Jā",Tabula1[Dzimtā valoda(s): '[Krievu  ']],"Nē",Tabula1[Dzimtā valoda(s): '[Ukraiņu ']],"Nē",Tabula1[Dzimtā valoda(s): '[Angļu']],"Nē",Tabula1[Dzimtā valoda(s): '[Poļu']],"Nē",Tabula1[Cik bieži izmantojat krievu valodu šajos kontekstos?  '[Darbā']],"Pāris reižu mēnesī")</f>
        <v>2</v>
      </c>
      <c r="F18">
        <f>COUNTIFS(Tabula1[City],"Rīga",Tabula1[Dzimtā valoda(s): '[Latviešu']],"Jā",Tabula1[Dzimtā valoda(s): '[Krievu  ']],"Nē",Tabula1[Dzimtā valoda(s): '[Ukraiņu ']],"Nē",Tabula1[Dzimtā valoda(s): '[Angļu']],"Nē",Tabula1[Dzimtā valoda(s): '[Poļu']],"Nē",Tabula1[Cik bieži izmantojat krievu valodu šajos kontekstos?  '[Ar draugiem']],"Pāris reižu mēnesī")</f>
        <v>9</v>
      </c>
      <c r="G18">
        <f>COUNTIFS(Tabula1[City],"Rīga",Tabula1[Dzimtā valoda(s): '[Latviešu']],"Jā",Tabula1[Dzimtā valoda(s): '[Krievu  ']],"Nē",Tabula1[Dzimtā valoda(s): '[Ukraiņu ']],"Nē",Tabula1[Dzimtā valoda(s): '[Angļu']],"Nē",Tabula1[Dzimtā valoda(s): '[Poļu']],"Nē",Tabula1[Cik bieži izmantojat krievu valodu šajos kontekstos?  '[Sportā']],"Pāris reižu mēnesī")</f>
        <v>3</v>
      </c>
      <c r="H18">
        <f>COUNTIFS(Tabula1[City],"Rīga",Tabula1[Dzimtā valoda(s): '[Latviešu']],"Jā",Tabula1[Dzimtā valoda(s): '[Krievu  ']],"Nē",Tabula1[Dzimtā valoda(s): '[Ukraiņu ']],"Nē",Tabula1[Dzimtā valoda(s): '[Angļu']],"Nē",Tabula1[Dzimtā valoda(s): '[Poļu']],"Nē",Tabula1[Cik bieži izmantojat krievu valodu šajos kontekstos?  '[Hobijos / citās interešu grupās']],"Pāris reižu mēnesī")</f>
        <v>5</v>
      </c>
      <c r="I18">
        <f>COUNTIFS(Tabula1[City],"Rīga",Tabula1[Dzimtā valoda(s): '[Latviešu']],"Jā",Tabula1[Dzimtā valoda(s): '[Krievu  ']],"Nē",Tabula1[Dzimtā valoda(s): '[Ukraiņu ']],"Nē",Tabula1[Dzimtā valoda(s): '[Angļu']],"Nē",Tabula1[Dzimtā valoda(s): '[Poļu']],"Nē",Tabula1[Cik bieži izmantojat krievu valodu šajos kontekstos?  '[Uz ielas / veikalā utt.']],"Pāris reižu mēnesī")</f>
        <v>13</v>
      </c>
      <c r="K18" s="44" t="s">
        <v>17974</v>
      </c>
      <c r="L18">
        <f>COUNTIFS(Tabula1[City],"Daugavpils",Tabula1[Dzimtā valoda(s): '[Latviešu']],"Jā",Tabula1[Dzimtā valoda(s): '[Krievu  ']],"Nē",Tabula1[Dzimtā valoda(s): '[Ukraiņu ']],"Nē",Tabula1[Dzimtā valoda(s): '[Angļu']],"Nē",Tabula1[Dzimtā valoda(s): '[Poļu']],"Nē",Tabula1[Cik bieži izmantojat krievu valodu šajos kontekstos?  '[Ģimenē']],"Pāris reižu mēnesī")</f>
        <v>0</v>
      </c>
      <c r="M18">
        <f>COUNTIFS(Tabula1[City],"Daugavpils",Tabula1[Dzimtā valoda(s): '[Latviešu']],"Jā",Tabula1[Dzimtā valoda(s): '[Krievu  ']],"Nē",Tabula1[Dzimtā valoda(s): '[Ukraiņu ']],"Nē",Tabula1[Dzimtā valoda(s): '[Angļu']],"Nē",Tabula1[Dzimtā valoda(s): '[Poļu']],"Nē",Tabula1[Cik bieži izmantojat krievu valodu šajos kontekstos?  '[Skolā (ārpus nodarbībām)']],"Pāris reižu mēnesī")</f>
        <v>3</v>
      </c>
      <c r="N18">
        <f>COUNTIFS(Tabula1[City],"Daugavpils",Tabula1[Dzimtā valoda(s): '[Latviešu']],"Jā",Tabula1[Dzimtā valoda(s): '[Krievu  ']],"Nē",Tabula1[Dzimtā valoda(s): '[Ukraiņu ']],"Nē",Tabula1[Dzimtā valoda(s): '[Angļu']],"Nē",Tabula1[Dzimtā valoda(s): '[Poļu']],"Nē",Tabula1[Cik bieži izmantojat krievu valodu šajos kontekstos?  '[Darbā']],"Pāris reižu mēnesī")</f>
        <v>1</v>
      </c>
      <c r="O18">
        <f>COUNTIFS(Tabula1[City],"Daugavpils",Tabula1[Dzimtā valoda(s): '[Latviešu']],"Jā",Tabula1[Dzimtā valoda(s): '[Krievu  ']],"Nē",Tabula1[Dzimtā valoda(s): '[Ukraiņu ']],"Nē",Tabula1[Dzimtā valoda(s): '[Angļu']],"Nē",Tabula1[Dzimtā valoda(s): '[Poļu']],"Nē",Tabula1[Cik bieži izmantojat krievu valodu šajos kontekstos?  '[Ar draugiem']],"Pāris reižu mēnesī")</f>
        <v>1</v>
      </c>
      <c r="P18">
        <f>COUNTIFS(Tabula1[City],"Daugavpils",Tabula1[Dzimtā valoda(s): '[Latviešu']],"Jā",Tabula1[Dzimtā valoda(s): '[Krievu  ']],"Nē",Tabula1[Dzimtā valoda(s): '[Ukraiņu ']],"Nē",Tabula1[Dzimtā valoda(s): '[Angļu']],"Nē",Tabula1[Dzimtā valoda(s): '[Poļu']],"Nē",Tabula1[Cik bieži izmantojat krievu valodu šajos kontekstos?  '[Sportā']],"Pāris reižu mēnesī")</f>
        <v>0</v>
      </c>
      <c r="Q18">
        <f>COUNTIFS(Tabula1[City],"Daugavpils",Tabula1[Dzimtā valoda(s): '[Latviešu']],"Jā",Tabula1[Dzimtā valoda(s): '[Krievu  ']],"Nē",Tabula1[Dzimtā valoda(s): '[Ukraiņu ']],"Nē",Tabula1[Dzimtā valoda(s): '[Angļu']],"Nē",Tabula1[Dzimtā valoda(s): '[Poļu']],"Nē",Tabula1[Cik bieži izmantojat krievu valodu šajos kontekstos?  '[Hobijos / citās interešu grupās']],"Pāris reižu mēnesī")</f>
        <v>1</v>
      </c>
      <c r="R18">
        <f>COUNTIFS(Tabula1[City],"Daugavpils",Tabula1[Dzimtā valoda(s): '[Latviešu']],"Jā",Tabula1[Dzimtā valoda(s): '[Krievu  ']],"Nē",Tabula1[Dzimtā valoda(s): '[Ukraiņu ']],"Nē",Tabula1[Dzimtā valoda(s): '[Angļu']],"Nē",Tabula1[Dzimtā valoda(s): '[Poļu']],"Nē",Tabula1[Cik bieži izmantojat krievu valodu šajos kontekstos?  '[Uz ielas / veikalā utt.']],"Pāris reižu mēnesī")</f>
        <v>2</v>
      </c>
      <c r="T18" s="44" t="s">
        <v>17974</v>
      </c>
      <c r="U18">
        <f>COUNTIFS(Tabula1[City],"Liepāja",Tabula1[Dzimtā valoda(s): '[Latviešu']],"Jā",Tabula1[Dzimtā valoda(s): '[Krievu  ']],"Nē",Tabula1[Dzimtā valoda(s): '[Ukraiņu ']],"Nē",Tabula1[Dzimtā valoda(s): '[Angļu']],"Nē",Tabula1[Dzimtā valoda(s): '[Poļu']],"Nē",Tabula1[Cik bieži izmantojat krievu valodu šajos kontekstos?  '[Ģimenē']],"Pāris reižu mēnesī")</f>
        <v>7</v>
      </c>
      <c r="V18">
        <f>COUNTIFS(Tabula1[City],"Liepāja",Tabula1[Dzimtā valoda(s): '[Latviešu']],"Jā",Tabula1[Dzimtā valoda(s): '[Krievu  ']],"Nē",Tabula1[Dzimtā valoda(s): '[Ukraiņu ']],"Nē",Tabula1[Dzimtā valoda(s): '[Angļu']],"Nē",Tabula1[Dzimtā valoda(s): '[Poļu']],"Nē",Tabula1[Cik bieži izmantojat krievu valodu šajos kontekstos?  '[Skolā (ārpus nodarbībām)']],"Pāris reižu mēnesī")</f>
        <v>9</v>
      </c>
      <c r="W18">
        <f>COUNTIFS(Tabula1[City],"Liepāja",Tabula1[Dzimtā valoda(s): '[Latviešu']],"Jā",Tabula1[Dzimtā valoda(s): '[Krievu  ']],"Nē",Tabula1[Dzimtā valoda(s): '[Ukraiņu ']],"Nē",Tabula1[Dzimtā valoda(s): '[Angļu']],"Nē",Tabula1[Dzimtā valoda(s): '[Poļu']],"Nē",Tabula1[Cik bieži izmantojat krievu valodu šajos kontekstos?  '[Darbā']],"Pāris reižu mēnesī")</f>
        <v>3</v>
      </c>
      <c r="X18">
        <f>COUNTIFS(Tabula1[City],"Liepāja",Tabula1[Dzimtā valoda(s): '[Latviešu']],"Jā",Tabula1[Dzimtā valoda(s): '[Krievu  ']],"Nē",Tabula1[Dzimtā valoda(s): '[Ukraiņu ']],"Nē",Tabula1[Dzimtā valoda(s): '[Angļu']],"Nē",Tabula1[Dzimtā valoda(s): '[Poļu']],"Nē",Tabula1[Cik bieži izmantojat krievu valodu šajos kontekstos?  '[Ar draugiem']],"Pāris reižu mēnesī")</f>
        <v>8</v>
      </c>
      <c r="Y18">
        <f>COUNTIFS(Tabula1[City],"Liepāja",Tabula1[Dzimtā valoda(s): '[Latviešu']],"Jā",Tabula1[Dzimtā valoda(s): '[Krievu  ']],"Nē",Tabula1[Dzimtā valoda(s): '[Ukraiņu ']],"Nē",Tabula1[Dzimtā valoda(s): '[Angļu']],"Nē",Tabula1[Dzimtā valoda(s): '[Poļu']],"Nē",Tabula1[Cik bieži izmantojat krievu valodu šajos kontekstos?  '[Sportā']],"Pāris reižu mēnesī")</f>
        <v>5</v>
      </c>
      <c r="Z18">
        <f>COUNTIFS(Tabula1[City],"Liepāja",Tabula1[Dzimtā valoda(s): '[Latviešu']],"Jā",Tabula1[Dzimtā valoda(s): '[Krievu  ']],"Nē",Tabula1[Dzimtā valoda(s): '[Ukraiņu ']],"Nē",Tabula1[Dzimtā valoda(s): '[Angļu']],"Nē",Tabula1[Dzimtā valoda(s): '[Poļu']],"Nē",Tabula1[Cik bieži izmantojat krievu valodu šajos kontekstos?  '[Hobijos / citās interešu grupās']],"Pāris reižu mēnesī")</f>
        <v>10</v>
      </c>
      <c r="AA18">
        <f>COUNTIFS(Tabula1[City],"Liepāja",Tabula1[Dzimtā valoda(s): '[Latviešu']],"Jā",Tabula1[Dzimtā valoda(s): '[Krievu  ']],"Nē",Tabula1[Dzimtā valoda(s): '[Ukraiņu ']],"Nē",Tabula1[Dzimtā valoda(s): '[Angļu']],"Nē",Tabula1[Dzimtā valoda(s): '[Poļu']],"Nē",Tabula1[Cik bieži izmantojat krievu valodu šajos kontekstos?  '[Uz ielas / veikalā utt.']],"Pāris reižu mēnesī")</f>
        <v>18</v>
      </c>
    </row>
    <row r="19" spans="2:27" x14ac:dyDescent="0.3">
      <c r="B19" s="44" t="s">
        <v>17975</v>
      </c>
      <c r="C19">
        <f>COUNTIFS(Tabula1[City],"Rīga",Tabula1[Dzimtā valoda(s): '[Latviešu']],"Jā",Tabula1[Dzimtā valoda(s): '[Krievu  ']],"Nē",Tabula1[Dzimtā valoda(s): '[Ukraiņu ']],"Nē",Tabula1[Dzimtā valoda(s): '[Angļu']],"Nē",Tabula1[Dzimtā valoda(s): '[Poļu']],"Nē",Tabula1[Cik bieži izmantojat krievu valodu šajos kontekstos?  '[Ģimenē']],"(Gandrīz) nekad")</f>
        <v>45</v>
      </c>
      <c r="D19">
        <f>COUNTIFS(Tabula1[City],"Rīga",Tabula1[Dzimtā valoda(s): '[Latviešu']],"Jā",Tabula1[Dzimtā valoda(s): '[Krievu  ']],"Nē",Tabula1[Dzimtā valoda(s): '[Ukraiņu ']],"Nē",Tabula1[Dzimtā valoda(s): '[Angļu']],"Nē",Tabula1[Dzimtā valoda(s): '[Poļu']],"Nē",Tabula1[Cik bieži izmantojat krievu valodu šajos kontekstos?  '[Skolā (ārpus nodarbībām)']],"(Gandrīz) nekad")</f>
        <v>30</v>
      </c>
      <c r="E19">
        <f>COUNTIFS(Tabula1[City],"Rīga",Tabula1[Dzimtā valoda(s): '[Latviešu']],"Jā",Tabula1[Dzimtā valoda(s): '[Krievu  ']],"Nē",Tabula1[Dzimtā valoda(s): '[Ukraiņu ']],"Nē",Tabula1[Dzimtā valoda(s): '[Angļu']],"Nē",Tabula1[Dzimtā valoda(s): '[Poļu']],"Nē",Tabula1[Cik bieži izmantojat krievu valodu šajos kontekstos?  '[Darbā']],"(Gandrīz) nekad")</f>
        <v>45</v>
      </c>
      <c r="F19">
        <f>COUNTIFS(Tabula1[City],"Rīga",Tabula1[Dzimtā valoda(s): '[Latviešu']],"Jā",Tabula1[Dzimtā valoda(s): '[Krievu  ']],"Nē",Tabula1[Dzimtā valoda(s): '[Ukraiņu ']],"Nē",Tabula1[Dzimtā valoda(s): '[Angļu']],"Nē",Tabula1[Dzimtā valoda(s): '[Poļu']],"Nē",Tabula1[Cik bieži izmantojat krievu valodu šajos kontekstos?  '[Ar draugiem']],"(Gandrīz) nekad")</f>
        <v>34</v>
      </c>
      <c r="G19">
        <f>COUNTIFS(Tabula1[City],"Rīga",Tabula1[Dzimtā valoda(s): '[Latviešu']],"Jā",Tabula1[Dzimtā valoda(s): '[Krievu  ']],"Nē",Tabula1[Dzimtā valoda(s): '[Ukraiņu ']],"Nē",Tabula1[Dzimtā valoda(s): '[Angļu']],"Nē",Tabula1[Dzimtā valoda(s): '[Poļu']],"Nē",Tabula1[Cik bieži izmantojat krievu valodu šajos kontekstos?  '[Sportā']],"(Gandrīz) nekad")</f>
        <v>47</v>
      </c>
      <c r="H19">
        <f>COUNTIFS(Tabula1[City],"Rīga",Tabula1[Dzimtā valoda(s): '[Latviešu']],"Jā",Tabula1[Dzimtā valoda(s): '[Krievu  ']],"Nē",Tabula1[Dzimtā valoda(s): '[Ukraiņu ']],"Nē",Tabula1[Dzimtā valoda(s): '[Angļu']],"Nē",Tabula1[Dzimtā valoda(s): '[Poļu']],"Nē",Tabula1[Cik bieži izmantojat krievu valodu šajos kontekstos?  '[Hobijos / citās interešu grupās']],"(Gandrīz) nekad")</f>
        <v>46</v>
      </c>
      <c r="I19">
        <f>COUNTIFS(Tabula1[City],"Rīga",Tabula1[Dzimtā valoda(s): '[Latviešu']],"Jā",Tabula1[Dzimtā valoda(s): '[Krievu  ']],"Nē",Tabula1[Dzimtā valoda(s): '[Ukraiņu ']],"Nē",Tabula1[Dzimtā valoda(s): '[Angļu']],"Nē",Tabula1[Dzimtā valoda(s): '[Poļu']],"Nē",Tabula1[Cik bieži izmantojat krievu valodu šajos kontekstos?  '[Uz ielas / veikalā utt.']],"(Gandrīz) nekad")</f>
        <v>33</v>
      </c>
      <c r="K19" s="44" t="s">
        <v>17975</v>
      </c>
      <c r="L19">
        <f>COUNTIFS(Tabula1[City],"Daugavpils",Tabula1[Dzimtā valoda(s): '[Latviešu']],"Jā",Tabula1[Dzimtā valoda(s): '[Krievu  ']],"Nē",Tabula1[Dzimtā valoda(s): '[Ukraiņu ']],"Nē",Tabula1[Dzimtā valoda(s): '[Angļu']],"Nē",Tabula1[Dzimtā valoda(s): '[Poļu']],"Nē",Tabula1[Cik bieži izmantojat krievu valodu šajos kontekstos?  '[Ģimenē']],"(Gandrīz) nekad")</f>
        <v>8</v>
      </c>
      <c r="M19">
        <f>COUNTIFS(Tabula1[City],"Daugavpils",Tabula1[Dzimtā valoda(s): '[Latviešu']],"Jā",Tabula1[Dzimtā valoda(s): '[Krievu  ']],"Nē",Tabula1[Dzimtā valoda(s): '[Ukraiņu ']],"Nē",Tabula1[Dzimtā valoda(s): '[Angļu']],"Nē",Tabula1[Dzimtā valoda(s): '[Poļu']],"Nē",Tabula1[Cik bieži izmantojat krievu valodu šajos kontekstos?  '[Skolā (ārpus nodarbībām)']],"(Gandrīz) nekad")</f>
        <v>3</v>
      </c>
      <c r="N19">
        <f>COUNTIFS(Tabula1[City],"Daugavpils",Tabula1[Dzimtā valoda(s): '[Latviešu']],"Jā",Tabula1[Dzimtā valoda(s): '[Krievu  ']],"Nē",Tabula1[Dzimtā valoda(s): '[Ukraiņu ']],"Nē",Tabula1[Dzimtā valoda(s): '[Angļu']],"Nē",Tabula1[Dzimtā valoda(s): '[Poļu']],"Nē",Tabula1[Cik bieži izmantojat krievu valodu šajos kontekstos?  '[Darbā']],"(Gandrīz) nekad")</f>
        <v>7</v>
      </c>
      <c r="O19">
        <f>COUNTIFS(Tabula1[City],"Daugavpils",Tabula1[Dzimtā valoda(s): '[Latviešu']],"Jā",Tabula1[Dzimtā valoda(s): '[Krievu  ']],"Nē",Tabula1[Dzimtā valoda(s): '[Ukraiņu ']],"Nē",Tabula1[Dzimtā valoda(s): '[Angļu']],"Nē",Tabula1[Dzimtā valoda(s): '[Poļu']],"Nē",Tabula1[Cik bieži izmantojat krievu valodu šajos kontekstos?  '[Ar draugiem']],"(Gandrīz) nekad")</f>
        <v>5</v>
      </c>
      <c r="P19">
        <f>COUNTIFS(Tabula1[City],"Daugavpils",Tabula1[Dzimtā valoda(s): '[Latviešu']],"Jā",Tabula1[Dzimtā valoda(s): '[Krievu  ']],"Nē",Tabula1[Dzimtā valoda(s): '[Ukraiņu ']],"Nē",Tabula1[Dzimtā valoda(s): '[Angļu']],"Nē",Tabula1[Dzimtā valoda(s): '[Poļu']],"Nē",Tabula1[Cik bieži izmantojat krievu valodu šajos kontekstos?  '[Sportā']],"(Gandrīz) nekad")</f>
        <v>7</v>
      </c>
      <c r="Q19">
        <f>COUNTIFS(Tabula1[City],"Daugavpils",Tabula1[Dzimtā valoda(s): '[Latviešu']],"Jā",Tabula1[Dzimtā valoda(s): '[Krievu  ']],"Nē",Tabula1[Dzimtā valoda(s): '[Ukraiņu ']],"Nē",Tabula1[Dzimtā valoda(s): '[Angļu']],"Nē",Tabula1[Dzimtā valoda(s): '[Poļu']],"Nē",Tabula1[Cik bieži izmantojat krievu valodu šajos kontekstos?  '[Hobijos / citās interešu grupās']],"(Gandrīz) nekad")</f>
        <v>5</v>
      </c>
      <c r="R19">
        <f>COUNTIFS(Tabula1[City],"Daugavpils",Tabula1[Dzimtā valoda(s): '[Latviešu']],"Jā",Tabula1[Dzimtā valoda(s): '[Krievu  ']],"Nē",Tabula1[Dzimtā valoda(s): '[Ukraiņu ']],"Nē",Tabula1[Dzimtā valoda(s): '[Angļu']],"Nē",Tabula1[Dzimtā valoda(s): '[Poļu']],"Nē",Tabula1[Cik bieži izmantojat krievu valodu šajos kontekstos?  '[Uz ielas / veikalā utt.']],"(Gandrīz) nekad")</f>
        <v>5</v>
      </c>
      <c r="T19" s="44" t="s">
        <v>17975</v>
      </c>
      <c r="U19">
        <f>COUNTIFS(Tabula1[City],"Liepāja",Tabula1[Dzimtā valoda(s): '[Latviešu']],"Jā",Tabula1[Dzimtā valoda(s): '[Krievu  ']],"Nē",Tabula1[Dzimtā valoda(s): '[Ukraiņu ']],"Nē",Tabula1[Dzimtā valoda(s): '[Angļu']],"Nē",Tabula1[Dzimtā valoda(s): '[Poļu']],"Nē",Tabula1[Cik bieži izmantojat krievu valodu šajos kontekstos?  '[Ģimenē']],"(Gandrīz) nekad")</f>
        <v>36</v>
      </c>
      <c r="V19">
        <f>COUNTIFS(Tabula1[City],"Liepāja",Tabula1[Dzimtā valoda(s): '[Latviešu']],"Jā",Tabula1[Dzimtā valoda(s): '[Krievu  ']],"Nē",Tabula1[Dzimtā valoda(s): '[Ukraiņu ']],"Nē",Tabula1[Dzimtā valoda(s): '[Angļu']],"Nē",Tabula1[Dzimtā valoda(s): '[Poļu']],"Nē",Tabula1[Cik bieži izmantojat krievu valodu šajos kontekstos?  '[Skolā (ārpus nodarbībām)']], "(Gandrīz) nekad")</f>
        <v>30</v>
      </c>
      <c r="W19">
        <f>COUNTIFS(Tabula1[City],"Liepāja",Tabula1[Dzimtā valoda(s): '[Latviešu']],"Jā",Tabula1[Dzimtā valoda(s): '[Krievu  ']],"Nē",Tabula1[Dzimtā valoda(s): '[Ukraiņu ']],"Nē",Tabula1[Dzimtā valoda(s): '[Angļu']],"Nē",Tabula1[Dzimtā valoda(s): '[Poļu']],"Nē",Tabula1[Cik bieži izmantojat krievu valodu šajos kontekstos?  '[Darbā']],"(Gandrīz) nekad")</f>
        <v>42</v>
      </c>
      <c r="X19">
        <f>COUNTIFS(Tabula1[City],"Liepāja",Tabula1[Dzimtā valoda(s): '[Latviešu']],"Jā",Tabula1[Dzimtā valoda(s): '[Krievu  ']],"Nē",Tabula1[Dzimtā valoda(s): '[Ukraiņu ']],"Nē",Tabula1[Dzimtā valoda(s): '[Angļu']],"Nē",Tabula1[Dzimtā valoda(s): '[Poļu']],"Nē",Tabula1[Cik bieži izmantojat krievu valodu šajos kontekstos?  '[Ar draugiem']],"(Gandrīz) nekad")</f>
        <v>33</v>
      </c>
      <c r="Y19">
        <f>COUNTIFS(Tabula1[City],"Liepāja",Tabula1[Dzimtā valoda(s): '[Latviešu']],"Jā",Tabula1[Dzimtā valoda(s): '[Krievu  ']],"Nē",Tabula1[Dzimtā valoda(s): '[Ukraiņu ']],"Nē",Tabula1[Dzimtā valoda(s): '[Angļu']],"Nē",Tabula1[Dzimtā valoda(s): '[Poļu']],"Nē",Tabula1[Cik bieži izmantojat krievu valodu šajos kontekstos?  '[Sportā']],"(Gandrīz) Nekad")</f>
        <v>46</v>
      </c>
      <c r="Z19">
        <f>COUNTIFS(Tabula1[City],"Liepāja",Tabula1[Dzimtā valoda(s): '[Latviešu']],"Jā",Tabula1[Dzimtā valoda(s): '[Krievu  ']],"Nē",Tabula1[Dzimtā valoda(s): '[Ukraiņu ']],"Nē",Tabula1[Dzimtā valoda(s): '[Angļu']],"Nē",Tabula1[Dzimtā valoda(s): '[Poļu']],"Nē",Tabula1[Cik bieži izmantojat krievu valodu šajos kontekstos?  '[Hobijos / citās interešu grupās']],"(Gandrīz) nekad")</f>
        <v>39</v>
      </c>
      <c r="AA19">
        <f>COUNTIFS(Tabula1[City],"Liepāja",Tabula1[Dzimtā valoda(s): '[Latviešu']],"Jā",Tabula1[Dzimtā valoda(s): '[Krievu  ']],"Nē",Tabula1[Dzimtā valoda(s): '[Ukraiņu ']],"Nē",Tabula1[Dzimtā valoda(s): '[Angļu']],"Nē",Tabula1[Dzimtā valoda(s): '[Poļu']],"Nē",Tabula1[Cik bieži izmantojat krievu valodu šajos kontekstos?  '[Uz ielas / veikalā utt.']],"(Gandrīz) nekad")</f>
        <v>27</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E994-5B41-4BB1-919F-A4A03FCD5DE3}">
  <dimension ref="A3:AB19"/>
  <sheetViews>
    <sheetView workbookViewId="0">
      <selection activeCell="L17" sqref="L17"/>
    </sheetView>
  </sheetViews>
  <sheetFormatPr defaultRowHeight="14.4" x14ac:dyDescent="0.3"/>
  <sheetData>
    <row r="3" spans="1:28" x14ac:dyDescent="0.3">
      <c r="A3" s="49" t="s">
        <v>17959</v>
      </c>
      <c r="D3" s="49" t="s">
        <v>338</v>
      </c>
      <c r="E3" s="49"/>
      <c r="F3" s="49"/>
      <c r="G3" s="49"/>
      <c r="H3" s="49"/>
      <c r="I3" s="49"/>
      <c r="J3" s="49"/>
      <c r="K3" s="49" t="s">
        <v>813</v>
      </c>
      <c r="L3" s="49"/>
      <c r="M3" s="49"/>
      <c r="N3" s="49"/>
      <c r="O3" s="49"/>
      <c r="P3" s="49"/>
      <c r="Q3" s="49"/>
      <c r="R3" s="49"/>
      <c r="S3" s="49"/>
      <c r="T3" s="49"/>
      <c r="U3" s="49" t="s">
        <v>727</v>
      </c>
    </row>
    <row r="4" spans="1:28" x14ac:dyDescent="0.3">
      <c r="C4" s="126" t="s">
        <v>17964</v>
      </c>
      <c r="D4" s="126" t="s">
        <v>17965</v>
      </c>
      <c r="E4" s="126" t="s">
        <v>17966</v>
      </c>
      <c r="F4" s="126" t="s">
        <v>17967</v>
      </c>
      <c r="G4" s="126" t="s">
        <v>17968</v>
      </c>
      <c r="H4" s="126" t="s">
        <v>17969</v>
      </c>
      <c r="I4" s="126" t="s">
        <v>17970</v>
      </c>
      <c r="J4" s="126"/>
      <c r="K4" s="126"/>
      <c r="L4" s="126" t="s">
        <v>17964</v>
      </c>
      <c r="M4" s="126" t="s">
        <v>17965</v>
      </c>
      <c r="N4" s="126" t="s">
        <v>17966</v>
      </c>
      <c r="O4" s="126" t="s">
        <v>17967</v>
      </c>
      <c r="P4" s="126" t="s">
        <v>17968</v>
      </c>
      <c r="Q4" s="126" t="s">
        <v>17969</v>
      </c>
      <c r="R4" s="126" t="s">
        <v>17970</v>
      </c>
      <c r="S4" s="126"/>
      <c r="T4" s="126"/>
      <c r="U4" s="126" t="s">
        <v>17964</v>
      </c>
      <c r="V4" s="126" t="s">
        <v>17965</v>
      </c>
      <c r="W4" s="126" t="s">
        <v>17966</v>
      </c>
      <c r="X4" s="126" t="s">
        <v>17967</v>
      </c>
      <c r="Y4" s="126" t="s">
        <v>17968</v>
      </c>
      <c r="Z4" s="126" t="s">
        <v>17969</v>
      </c>
      <c r="AA4" s="126" t="s">
        <v>17970</v>
      </c>
      <c r="AB4" s="126"/>
    </row>
    <row r="5" spans="1:28" x14ac:dyDescent="0.3">
      <c r="B5" s="44" t="s">
        <v>17971</v>
      </c>
      <c r="C5">
        <f>COUNTIFS(Tabula1[City],"Rīga",Tabula1[Dzimtā valoda(s): '[Latviešu']],"Nē",Tabula1[Dzimtā valoda(s): '[Krievu  ']],"Jā",Tabula1[Dzimtā valoda(s): '[Ukraiņu ']],"Nē",Tabula1[Dzimtā valoda(s): '[Angļu']],"Nē",Tabula1[Dzimtā valoda(s): '[Poļu']],"Nē",Tabula1[Cik bieži izmantojat latviešu valodu šajos kontekstos?  '[Ģimenē']],"(Gandrīz) katru dienu")</f>
        <v>2</v>
      </c>
      <c r="D5">
        <f>COUNTIFS(Tabula1[City],"Rīga",Tabula1[Dzimtā valoda(s): '[Latviešu']],"Nē",Tabula1[Dzimtā valoda(s): '[Krievu  ']],"Jā",Tabula1[Dzimtā valoda(s): '[Ukraiņu ']],"Nē",Tabula1[Dzimtā valoda(s): '[Angļu']],"Nē",Tabula1[Dzimtā valoda(s): '[Poļu']],"Nē",Tabula1[Cik bieži izmantojat latviešu valodu šajos kontekstos?  '[Skolā (ārpus nodarbībām)']],"(Gandrīz) katru dienu")</f>
        <v>14</v>
      </c>
      <c r="E5">
        <f>COUNTIFS(Tabula1[City],"Rīga",Tabula1[Dzimtā valoda(s): '[Latviešu']],"Nē",Tabula1[Dzimtā valoda(s): '[Krievu  ']],"Jā",Tabula1[Dzimtā valoda(s): '[Ukraiņu ']],"Nē",Tabula1[Dzimtā valoda(s): '[Angļu']],"Nē",Tabula1[Dzimtā valoda(s): '[Poļu']],"Nē",Tabula1[Cik bieži izmantojat latviešu valodu šajos kontekstos?  '[Darbā']],"(Gandrīz) katru dienu")</f>
        <v>16</v>
      </c>
      <c r="F5">
        <f>COUNTIFS(Tabula1[City],"Rīga",Tabula1[Dzimtā valoda(s): '[Latviešu']],"Nē",Tabula1[Dzimtā valoda(s): '[Krievu  ']],"Jā",Tabula1[Dzimtā valoda(s): '[Ukraiņu ']],"Nē",Tabula1[Dzimtā valoda(s): '[Angļu']],"Nē",Tabula1[Dzimtā valoda(s): '[Poļu']],"Nē",Tabula1[Cik bieži izmantojat latviešu valodu šajos kontekstos?  '[Ar draugiem']],"(Gandrīz) katru dienu")</f>
        <v>5</v>
      </c>
      <c r="G5">
        <f>COUNTIFS(Tabula1[City],"Rīga",Tabula1[Dzimtā valoda(s): '[Latviešu']],"Nē",Tabula1[Dzimtā valoda(s): '[Krievu  ']],"Jā",Tabula1[Dzimtā valoda(s): '[Ukraiņu ']],"Nē",Tabula1[Dzimtā valoda(s): '[Angļu']],"Nē",Tabula1[Dzimtā valoda(s): '[Poļu']],"Nē",Tabula1[Cik bieži izmantojat latviešu valodu šajos kontekstos?  '[Sportā']],"(Gandrīz) katru dienu")</f>
        <v>6</v>
      </c>
      <c r="H5">
        <f>COUNTIFS(Tabula1[City],"Rīga",Tabula1[Dzimtā valoda(s): '[Latviešu']],"Nē",Tabula1[Dzimtā valoda(s): '[Krievu  ']],"Jā",Tabula1[Dzimtā valoda(s): '[Ukraiņu ']],"Nē",Tabula1[Dzimtā valoda(s): '[Angļu']],"Nē",Tabula1[Dzimtā valoda(s): '[Poļu']],"Nē",Tabula1[Cik bieži izmantojat latviešu valodu šajos kontekstos?  '[Hobijos / citās interešu grupās']],"(Gandrīz) katru dienu")</f>
        <v>6</v>
      </c>
      <c r="I5">
        <f>COUNTIFS(Tabula1[City],"Rīga",Tabula1[Dzimtā valoda(s): '[Latviešu']],"Nē",Tabula1[Dzimtā valoda(s): '[Krievu  ']],"Jā",Tabula1[Dzimtā valoda(s): '[Ukraiņu ']],"Nē",Tabula1[Dzimtā valoda(s): '[Angļu']],"Nē",Tabula1[Dzimtā valoda(s): '[Poļu']],"Nē",Tabula1[Cik bieži izmantojat latviešu valodu šajos kontekstos?  '[Uz ielas / veikalā utt.']],"(Gandrīz) katru dienu")</f>
        <v>19</v>
      </c>
      <c r="K5" s="44" t="s">
        <v>17971</v>
      </c>
      <c r="L5">
        <f>COUNTIFS(Tabula1[City],"Daugavpils",Tabula1[Dzimtā valoda(s): '[Latviešu']],"Nē",Tabula1[Dzimtā valoda(s): '[Krievu  ']],"Jā",Tabula1[Dzimtā valoda(s): '[Ukraiņu ']],"Nē",Tabula1[Dzimtā valoda(s): '[Angļu']],"Nē",Tabula1[Dzimtā valoda(s): '[Poļu']],"Nē",Tabula1[Cik bieži izmantojat latviešu valodu šajos kontekstos?  '[Ģimenē']],"(Gandrīz) katru dienu")</f>
        <v>1</v>
      </c>
      <c r="M5">
        <f>COUNTIFS(Tabula1[City],"Daugavpils",Tabula1[Dzimtā valoda(s): '[Latviešu']],"Nē",Tabula1[Dzimtā valoda(s): '[Krievu  ']],"Jā",Tabula1[Dzimtā valoda(s): '[Ukraiņu ']],"Nē",Tabula1[Dzimtā valoda(s): '[Angļu']],"Nē",Tabula1[Dzimtā valoda(s): '[Poļu']],"Nē",Tabula1[Cik bieži izmantojat latviešu valodu šajos kontekstos?  '[Skolā (ārpus nodarbībām)']],"(Gandrīz) katru dienu")</f>
        <v>18</v>
      </c>
      <c r="N5">
        <f>COUNTIFS(Tabula1[City],"Daugavpils",Tabula1[Dzimtā valoda(s): '[Latviešu']],"Nē",Tabula1[Dzimtā valoda(s): '[Krievu  ']],"Jā",Tabula1[Dzimtā valoda(s): '[Ukraiņu ']],"Nē",Tabula1[Dzimtā valoda(s): '[Angļu']],"Nē",Tabula1[Dzimtā valoda(s): '[Poļu']],"Nē",Tabula1[Cik bieži izmantojat latviešu valodu šajos kontekstos?  '[Darbā']],"(Gandrīz) katru dienu")</f>
        <v>11</v>
      </c>
      <c r="O5">
        <f>COUNTIFS(Tabula1[City],"Daugavpils",Tabula1[Dzimtā valoda(s): '[Latviešu']],"Nē",Tabula1[Dzimtā valoda(s): '[Krievu  ']],"Jā",Tabula1[Dzimtā valoda(s): '[Ukraiņu ']],"Nē",Tabula1[Dzimtā valoda(s): '[Angļu']],"Nē",Tabula1[Dzimtā valoda(s): '[Poļu']],"Nē",Tabula1[Cik bieži izmantojat latviešu valodu šajos kontekstos?  '[Ar draugiem']],"(Gandrīz) katru dienu")</f>
        <v>3</v>
      </c>
      <c r="P5">
        <f>COUNTIFS(Tabula1[City],"Daugavpils",Tabula1[Dzimtā valoda(s): '[Latviešu']],"Nē",Tabula1[Dzimtā valoda(s): '[Krievu  ']],"Jā",Tabula1[Dzimtā valoda(s): '[Ukraiņu ']],"Nē",Tabula1[Dzimtā valoda(s): '[Angļu']],"Nē",Tabula1[Dzimtā valoda(s): '[Poļu']],"Nē",Tabula1[Cik bieži izmantojat latviešu valodu šajos kontekstos?  '[Sportā']],"(Gandrīz) katru dienu")</f>
        <v>1</v>
      </c>
      <c r="Q5">
        <f>COUNTIFS(Tabula1[City],"Daugavpils",Tabula1[Dzimtā valoda(s): '[Latviešu']],"Nē",Tabula1[Dzimtā valoda(s): '[Krievu  ']],"Jā",Tabula1[Dzimtā valoda(s): '[Ukraiņu ']],"Nē",Tabula1[Dzimtā valoda(s): '[Angļu']],"Nē",Tabula1[Dzimtā valoda(s): '[Poļu']],"Nē",Tabula1[Cik bieži izmantojat latviešu valodu šajos kontekstos?  '[Hobijos / citās interešu grupās']],"(Gandrīz) katru dienu")</f>
        <v>2</v>
      </c>
      <c r="R5">
        <f>COUNTIFS(Tabula1[City],"Daugavpils",Tabula1[Dzimtā valoda(s): '[Latviešu']],"Nē",Tabula1[Dzimtā valoda(s): '[Krievu  ']],"Jā",Tabula1[Dzimtā valoda(s): '[Ukraiņu ']],"Nē",Tabula1[Dzimtā valoda(s): '[Angļu']],"Nē",Tabula1[Dzimtā valoda(s): '[Poļu']],"Nē",Tabula1[Cik bieži izmantojat latviešu valodu šajos kontekstos?  '[Uz ielas / veikalā utt.']],"(Gandrīz) katru dienu")</f>
        <v>1</v>
      </c>
      <c r="T5" s="44" t="s">
        <v>17971</v>
      </c>
      <c r="U5">
        <f>COUNTIFS(Tabula1[City],"Liepāja",Tabula1[Dzimtā valoda(s): '[Latviešu']],"Nē",Tabula1[Dzimtā valoda(s): '[Krievu  ']],"Jā",Tabula1[Dzimtā valoda(s): '[Ukraiņu ']],"Nē",Tabula1[Dzimtā valoda(s): '[Angļu']],"Nē",Tabula1[Dzimtā valoda(s): '[Poļu']],"Nē",Tabula1[Cik bieži izmantojat latviešu valodu šajos kontekstos?  '[Ģimenē']],"(Gandrīz) katru dienu")</f>
        <v>4</v>
      </c>
      <c r="V5">
        <f>COUNTIFS(Tabula1[City],"Liepāja",Tabula1[Dzimtā valoda(s): '[Latviešu']],"Nē",Tabula1[Dzimtā valoda(s): '[Krievu  ']],"Jā",Tabula1[Dzimtā valoda(s): '[Ukraiņu ']],"Nē",Tabula1[Dzimtā valoda(s): '[Angļu']],"Nē",Tabula1[Dzimtā valoda(s): '[Poļu']],"Nē",Tabula1[Cik bieži izmantojat latviešu valodu šajos kontekstos?  '[Skolā (ārpus nodarbībām)']],"(Gandrīz) katru dienu")</f>
        <v>11</v>
      </c>
      <c r="W5">
        <f>COUNTIFS(Tabula1[City],"Liepāja",Tabula1[Dzimtā valoda(s): '[Latviešu']],"Nē",Tabula1[Dzimtā valoda(s): '[Krievu  ']],"Jā",Tabula1[Dzimtā valoda(s): '[Ukraiņu ']],"Nē",Tabula1[Dzimtā valoda(s): '[Angļu']],"Nē",Tabula1[Dzimtā valoda(s): '[Poļu']],"Nē",Tabula1[Cik bieži izmantojat latviešu valodu šajos kontekstos?  '[Darbā']],"(Gandrīz) katru dienu")</f>
        <v>5</v>
      </c>
      <c r="X5">
        <f>COUNTIFS(Tabula1[City],"Liepāja",Tabula1[Dzimtā valoda(s): '[Latviešu']],"Nē",Tabula1[Dzimtā valoda(s): '[Krievu  ']],"Jā",Tabula1[Dzimtā valoda(s): '[Ukraiņu ']],"Nē",Tabula1[Dzimtā valoda(s): '[Angļu']],"Nē",Tabula1[Dzimtā valoda(s): '[Poļu']],"Nē",Tabula1[Cik bieži izmantojat latviešu valodu šajos kontekstos?  '[Ar draugiem']],"(Gandrīz) katru dienu")</f>
        <v>5</v>
      </c>
      <c r="Y5">
        <f>COUNTIFS(Tabula1[City],"Liepāja",Tabula1[Dzimtā valoda(s): '[Latviešu']],"Nē",Tabula1[Dzimtā valoda(s): '[Krievu  ']],"Jā",Tabula1[Dzimtā valoda(s): '[Ukraiņu ']],"Nē",Tabula1[Dzimtā valoda(s): '[Angļu']],"Nē",Tabula1[Dzimtā valoda(s): '[Poļu']],"Nē",Tabula1[Cik bieži izmantojat latviešu valodu šajos kontekstos?  '[Sportā']],"(Gandrīz) katru dienu")</f>
        <v>2</v>
      </c>
      <c r="Z5">
        <f>COUNTIFS(Tabula1[City],"Liepāja",Tabula1[Dzimtā valoda(s): '[Latviešu']],"Nē",Tabula1[Dzimtā valoda(s): '[Krievu  ']],"Jā",Tabula1[Dzimtā valoda(s): '[Ukraiņu ']],"Nē",Tabula1[Dzimtā valoda(s): '[Angļu']],"Nē",Tabula1[Dzimtā valoda(s): '[Poļu']],"Nē",Tabula1[Cik bieži izmantojat latviešu valodu šajos kontekstos?  '[Hobijos / citās interešu grupās']],"(Gandrīz) katru dienu")</f>
        <v>2</v>
      </c>
      <c r="AA5">
        <f>COUNTIFS(Tabula1[City],"Liepāja",Tabula1[Dzimtā valoda(s): '[Latviešu']],"Nē",Tabula1[Dzimtā valoda(s): '[Krievu  ']],"Jā",Tabula1[Dzimtā valoda(s): '[Ukraiņu ']],"Nē",Tabula1[Dzimtā valoda(s): '[Angļu']],"Nē",Tabula1[Dzimtā valoda(s): '[Poļu']],"Nē",Tabula1[Cik bieži izmantojat latviešu valodu šajos kontekstos?  '[Uz ielas / veikalā utt.']],"(Gandrīz) katru dienu")</f>
        <v>10</v>
      </c>
    </row>
    <row r="6" spans="1:28" x14ac:dyDescent="0.3">
      <c r="B6" s="44" t="s">
        <v>17972</v>
      </c>
      <c r="C6">
        <f>COUNTIFS(Tabula1[City],"Rīga",Tabula1[Dzimtā valoda(s): '[Latviešu']],"Nē",Tabula1[Dzimtā valoda(s): '[Krievu  ']],"Jā",Tabula1[Dzimtā valoda(s): '[Ukraiņu ']],"Nē",Tabula1[Dzimtā valoda(s): '[Angļu']],"Nē",Tabula1[Dzimtā valoda(s): '[Poļu']],"Nē",Tabula1[Cik bieži izmantojat latviešu valodu šajos kontekstos?  '[Ģimenē']],"Pāris reižu nedēļā")</f>
        <v>5</v>
      </c>
      <c r="D6">
        <f>COUNTIFS(Tabula1[City],"Rīga",Tabula1[Dzimtā valoda(s): '[Latviešu']],"Nē",Tabula1[Dzimtā valoda(s): '[Krievu  ']],"Jā",Tabula1[Dzimtā valoda(s): '[Ukraiņu ']],"Nē",Tabula1[Dzimtā valoda(s): '[Angļu']],"Nē",Tabula1[Dzimtā valoda(s): '[Poļu']],"Nē",Tabula1[Cik bieži izmantojat latviešu valodu šajos kontekstos?  '[Skolā (ārpus nodarbībām)']],"Pāris reižu nedēļā")</f>
        <v>13</v>
      </c>
      <c r="E6">
        <f>COUNTIFS(Tabula1[City],"Rīga",Tabula1[Dzimtā valoda(s): '[Latviešu']],"Nē",Tabula1[Dzimtā valoda(s): '[Krievu  ']],"Jā",Tabula1[Dzimtā valoda(s): '[Ukraiņu ']],"Nē",Tabula1[Dzimtā valoda(s): '[Angļu']],"Nē",Tabula1[Dzimtā valoda(s): '[Poļu']],"Nē",Tabula1[Cik bieži izmantojat latviešu valodu šajos kontekstos?  '[Darbā']],"Pāris reižu nedēļā")</f>
        <v>7</v>
      </c>
      <c r="F6">
        <f>COUNTIFS(Tabula1[City],"Rīga",Tabula1[Dzimtā valoda(s): '[Latviešu']],"Nē",Tabula1[Dzimtā valoda(s): '[Krievu  ']],"Jā",Tabula1[Dzimtā valoda(s): '[Ukraiņu ']],"Nē",Tabula1[Dzimtā valoda(s): '[Angļu']],"Nē",Tabula1[Dzimtā valoda(s): '[Poļu']],"Nē",Tabula1[Cik bieži izmantojat latviešu valodu šajos kontekstos?  '[Ar draugiem']],"Pāris reižu nedēļā")</f>
        <v>8</v>
      </c>
      <c r="G6">
        <f>COUNTIFS(Tabula1[City],"Rīga",Tabula1[Dzimtā valoda(s): '[Latviešu']],"Nē",Tabula1[Dzimtā valoda(s): '[Krievu  ']],"Jā",Tabula1[Dzimtā valoda(s): '[Ukraiņu ']],"Nē",Tabula1[Dzimtā valoda(s): '[Angļu']],"Nē",Tabula1[Dzimtā valoda(s): '[Poļu']],"Nē",Tabula1[Cik bieži izmantojat latviešu valodu šajos kontekstos?  '[Sportā']],"Pāris reižu nedēļā")</f>
        <v>6</v>
      </c>
      <c r="H6">
        <f>COUNTIFS(Tabula1[City],"Rīga",Tabula1[Dzimtā valoda(s): '[Latviešu']],"Nē",Tabula1[Dzimtā valoda(s): '[Krievu  ']],"Jā",Tabula1[Dzimtā valoda(s): '[Ukraiņu ']],"Nē",Tabula1[Dzimtā valoda(s): '[Angļu']],"Nē",Tabula1[Dzimtā valoda(s): '[Poļu']],"Nē",Tabula1[Cik bieži izmantojat latviešu valodu šajos kontekstos?  '[Hobijos / citās interešu grupās']],"Pāris reižu nedēļā")</f>
        <v>6</v>
      </c>
      <c r="I6">
        <f>COUNTIFS(Tabula1[City],"Rīga",Tabula1[Dzimtā valoda(s): '[Latviešu']],"Nē",Tabula1[Dzimtā valoda(s): '[Krievu  ']],"Jā",Tabula1[Dzimtā valoda(s): '[Ukraiņu ']],"Nē",Tabula1[Dzimtā valoda(s): '[Angļu']],"Nē",Tabula1[Dzimtā valoda(s): '[Poļu']],"Nē",Tabula1[Cik bieži izmantojat latviešu valodu šajos kontekstos?  '[Uz ielas / veikalā utt.']],"Pāris reižu nedēļā")</f>
        <v>14</v>
      </c>
      <c r="K6" s="44" t="s">
        <v>17972</v>
      </c>
      <c r="L6">
        <f>COUNTIFS(Tabula1[City],"Daugavpils",Tabula1[Dzimtā valoda(s): '[Latviešu']],"Nē",Tabula1[Dzimtā valoda(s): '[Krievu  ']],"Jā",Tabula1[Dzimtā valoda(s): '[Ukraiņu ']],"Nē",Tabula1[Dzimtā valoda(s): '[Angļu']],"Nē",Tabula1[Dzimtā valoda(s): '[Poļu']],"Nē",Tabula1[Cik bieži izmantojat latviešu valodu šajos kontekstos?  '[Ģimenē']],"Pāris reižu nedēļā")</f>
        <v>4</v>
      </c>
      <c r="M6">
        <f>COUNTIFS(Tabula1[City],"Daugavpils",Tabula1[Dzimtā valoda(s): '[Latviešu']],"Nē",Tabula1[Dzimtā valoda(s): '[Krievu  ']],"Jā",Tabula1[Dzimtā valoda(s): '[Ukraiņu ']],"Nē",Tabula1[Dzimtā valoda(s): '[Angļu']],"Nē",Tabula1[Dzimtā valoda(s): '[Poļu']],"Nē",Tabula1[Cik bieži izmantojat latviešu valodu šajos kontekstos?  '[Skolā (ārpus nodarbībām)']],"Pāris reižu nedēļā")</f>
        <v>5</v>
      </c>
      <c r="N6">
        <f>COUNTIFS(Tabula1[City],"Daugavpils",Tabula1[Dzimtā valoda(s): '[Latviešu']],"Nē",Tabula1[Dzimtā valoda(s): '[Krievu  ']],"Jā",Tabula1[Dzimtā valoda(s): '[Ukraiņu ']],"Nē",Tabula1[Dzimtā valoda(s): '[Angļu']],"Nē",Tabula1[Dzimtā valoda(s): '[Poļu']],"Nē",Tabula1[Cik bieži izmantojat latviešu valodu šajos kontekstos?  '[Darbā']],"Pāris reižu nedēļā")</f>
        <v>5</v>
      </c>
      <c r="O6">
        <f>COUNTIFS(Tabula1[City],"Daugavpils",Tabula1[Dzimtā valoda(s): '[Latviešu']],"Nē",Tabula1[Dzimtā valoda(s): '[Krievu  ']],"Jā",Tabula1[Dzimtā valoda(s): '[Ukraiņu ']],"Nē",Tabula1[Dzimtā valoda(s): '[Angļu']],"Nē",Tabula1[Dzimtā valoda(s): '[Poļu']],"Nē",Tabula1[Cik bieži izmantojat latviešu valodu šajos kontekstos?  '[Ar draugiem']],"Pāris reižu nedēļā")</f>
        <v>4</v>
      </c>
      <c r="P6">
        <f>COUNTIFS(Tabula1[City],"Daugavpils",Tabula1[Dzimtā valoda(s): '[Latviešu']],"Nē",Tabula1[Dzimtā valoda(s): '[Krievu  ']],"Jā",Tabula1[Dzimtā valoda(s): '[Ukraiņu ']],"Nē",Tabula1[Dzimtā valoda(s): '[Angļu']],"Nē",Tabula1[Dzimtā valoda(s): '[Poļu']],"Nē",Tabula1[Cik bieži izmantojat latviešu valodu šajos kontekstos?  '[Sportā']],"Pāris reižu nedēļā")</f>
        <v>3</v>
      </c>
      <c r="Q6">
        <f>COUNTIFS(Tabula1[City],"Daugavpils",Tabula1[Dzimtā valoda(s): '[Latviešu']],"Nē",Tabula1[Dzimtā valoda(s): '[Krievu  ']],"Jā",Tabula1[Dzimtā valoda(s): '[Ukraiņu ']],"Nē",Tabula1[Dzimtā valoda(s): '[Angļu']],"Nē",Tabula1[Dzimtā valoda(s): '[Poļu']],"Nē",Tabula1[Cik bieži izmantojat latviešu valodu šajos kontekstos?  '[Hobijos / citās interešu grupās']],"Pāris reižu nedēļā")</f>
        <v>2</v>
      </c>
      <c r="R6">
        <f>COUNTIFS(Tabula1[City],"Daugavpils",Tabula1[Dzimtā valoda(s): '[Latviešu']],"Nē",Tabula1[Dzimtā valoda(s): '[Krievu  ']],"Jā",Tabula1[Dzimtā valoda(s): '[Ukraiņu ']],"Nē",Tabula1[Dzimtā valoda(s): '[Angļu']],"Nē",Tabula1[Dzimtā valoda(s): '[Poļu']],"Nē",Tabula1[Cik bieži izmantojat latviešu valodu šajos kontekstos?  '[Uz ielas / veikalā utt.']],"Pāris reižu nedēļā")</f>
        <v>9</v>
      </c>
      <c r="T6" s="44" t="s">
        <v>17972</v>
      </c>
      <c r="U6">
        <f>COUNTIFS(Tabula1[City],"Liepāja",Tabula1[Dzimtā valoda(s): '[Latviešu']],"Nē",Tabula1[Dzimtā valoda(s): '[Krievu  ']],"Jā",Tabula1[Dzimtā valoda(s): '[Ukraiņu ']],"Nē",Tabula1[Dzimtā valoda(s): '[Angļu']],"Nē",Tabula1[Dzimtā valoda(s): '[Poļu']],"Nē",Tabula1[Cik bieži izmantojat latviešu valodu šajos kontekstos?  '[Ģimenē']],"Pāris reižu nedēļā")</f>
        <v>0</v>
      </c>
      <c r="V6">
        <f>COUNTIFS(Tabula1[City],"Liepāja",Tabula1[Dzimtā valoda(s): '[Latviešu']],"Nē",Tabula1[Dzimtā valoda(s): '[Krievu  ']],"Jā",Tabula1[Dzimtā valoda(s): '[Ukraiņu ']],"Nē",Tabula1[Dzimtā valoda(s): '[Angļu']],"Nē",Tabula1[Dzimtā valoda(s): '[Poļu']],"Nē",Tabula1[Cik bieži izmantojat latviešu valodu šajos kontekstos?  '[Skolā (ārpus nodarbībām)']],"Pāris reižu nedēļā")</f>
        <v>4</v>
      </c>
      <c r="W6">
        <f>COUNTIFS(Tabula1[City],"Liepāja",Tabula1[Dzimtā valoda(s): '[Latviešu']],"Nē",Tabula1[Dzimtā valoda(s): '[Krievu  ']],"Jā",Tabula1[Dzimtā valoda(s): '[Ukraiņu ']],"Nē",Tabula1[Dzimtā valoda(s): '[Angļu']],"Nē",Tabula1[Dzimtā valoda(s): '[Poļu']],"Nē",Tabula1[Cik bieži izmantojat latviešu valodu šajos kontekstos?  '[Darbā']],"Pāris reižu nedēļā")</f>
        <v>3</v>
      </c>
      <c r="X6">
        <f>COUNTIFS(Tabula1[City],"Liepāja",Tabula1[Dzimtā valoda(s): '[Latviešu']],"Nē",Tabula1[Dzimtā valoda(s): '[Krievu  ']],"Jā",Tabula1[Dzimtā valoda(s): '[Ukraiņu ']],"Nē",Tabula1[Dzimtā valoda(s): '[Angļu']],"Nē",Tabula1[Dzimtā valoda(s): '[Poļu']],"Nē",Tabula1[Cik bieži izmantojat latviešu valodu šajos kontekstos?  '[Ar draugiem']],"Pāris reižu nedēļā")</f>
        <v>3</v>
      </c>
      <c r="Y6">
        <f>COUNTIFS(Tabula1[City],"Liepāja",Tabula1[Dzimtā valoda(s): '[Latviešu']],"Nē",Tabula1[Dzimtā valoda(s): '[Krievu  ']],"Jā",Tabula1[Dzimtā valoda(s): '[Ukraiņu ']],"Nē",Tabula1[Dzimtā valoda(s): '[Angļu']],"Nē",Tabula1[Dzimtā valoda(s): '[Poļu']],"Nē",Tabula1[Cik bieži izmantojat latviešu valodu šajos kontekstos?  '[Sportā']],"Pāris reižu nedēļā")</f>
        <v>3</v>
      </c>
      <c r="Z6">
        <f>COUNTIFS(Tabula1[City],"Liepāja",Tabula1[Dzimtā valoda(s): '[Latviešu']],"Nē",Tabula1[Dzimtā valoda(s): '[Krievu  ']],"Jā",Tabula1[Dzimtā valoda(s): '[Ukraiņu ']],"Nē",Tabula1[Dzimtā valoda(s): '[Angļu']],"Nē",Tabula1[Dzimtā valoda(s): '[Poļu']],"Nē",Tabula1[Cik bieži izmantojat latviešu valodu šajos kontekstos?  '[Hobijos / citās interešu grupās']],"Pāris reižu nedēļā")</f>
        <v>2</v>
      </c>
      <c r="AA6">
        <f>COUNTIFS(Tabula1[City],"Liepāja",Tabula1[Dzimtā valoda(s): '[Latviešu']],"Nē",Tabula1[Dzimtā valoda(s): '[Krievu  ']],"Jā",Tabula1[Dzimtā valoda(s): '[Ukraiņu ']],"Nē",Tabula1[Dzimtā valoda(s): '[Angļu']],"Nē",Tabula1[Dzimtā valoda(s): '[Poļu']],"Nē",Tabula1[Cik bieži izmantojat latviešu valodu šajos kontekstos?  '[Uz ielas / veikalā utt.']],"Pāris reižu nedēļā")</f>
        <v>7</v>
      </c>
    </row>
    <row r="7" spans="1:28" x14ac:dyDescent="0.3">
      <c r="B7" s="44" t="s">
        <v>17973</v>
      </c>
      <c r="C7">
        <f>COUNTIFS(Tabula1[City],"Rīga",Tabula1[Dzimtā valoda(s): '[Latviešu']],"Nē",Tabula1[Dzimtā valoda(s): '[Krievu  ']],"Jā",Tabula1[Dzimtā valoda(s): '[Ukraiņu ']],"Nē",Tabula1[Dzimtā valoda(s): '[Angļu']],"Nē",Tabula1[Dzimtā valoda(s): '[Poļu']],"Nē",Tabula1[Cik bieži izmantojat latviešu valodu šajos kontekstos?  '[Ģimenē']],"Reizi nedēļā")</f>
        <v>3</v>
      </c>
      <c r="D7">
        <f>COUNTIFS(Tabula1[City],"Rīga",Tabula1[Dzimtā valoda(s): '[Latviešu']],"Nē",Tabula1[Dzimtā valoda(s): '[Krievu  ']],"Jā",Tabula1[Dzimtā valoda(s): '[Ukraiņu ']],"Nē",Tabula1[Dzimtā valoda(s): '[Angļu']],"Nē",Tabula1[Dzimtā valoda(s): '[Poļu']],"Nē",Tabula1[Cik bieži izmantojat latviešu valodu šajos kontekstos?  '[Skolā (ārpus nodarbībām)']],"Reizi nedēļā")</f>
        <v>2</v>
      </c>
      <c r="E7">
        <f>COUNTIFS(Tabula1[City],"Rīga",Tabula1[Dzimtā valoda(s): '[Latviešu']],"Nē",Tabula1[Dzimtā valoda(s): '[Krievu  ']],"Jā",Tabula1[Dzimtā valoda(s): '[Ukraiņu ']],"Nē",Tabula1[Dzimtā valoda(s): '[Angļu']],"Nē",Tabula1[Dzimtā valoda(s): '[Poļu']],"Nē",Tabula1[Cik bieži izmantojat latviešu valodu šajos kontekstos?  '[Darbā']],"Reizi nedēļā")</f>
        <v>2</v>
      </c>
      <c r="F7">
        <f>COUNTIFS(Tabula1[City],"Rīga",Tabula1[Dzimtā valoda(s): '[Latviešu']],"Nē",Tabula1[Dzimtā valoda(s): '[Krievu  ']],"Jā",Tabula1[Dzimtā valoda(s): '[Ukraiņu ']],"Nē",Tabula1[Dzimtā valoda(s): '[Angļu']],"Nē",Tabula1[Dzimtā valoda(s): '[Poļu']],"Nē",Tabula1[Cik bieži izmantojat latviešu valodu šajos kontekstos?  '[Ar draugiem']],"Reizi nedēļā")</f>
        <v>3</v>
      </c>
      <c r="G7">
        <f>COUNTIFS(Tabula1[City],"Rīga",Tabula1[Dzimtā valoda(s): '[Latviešu']],"Nē",Tabula1[Dzimtā valoda(s): '[Krievu  ']],"Jā",Tabula1[Dzimtā valoda(s): '[Ukraiņu ']],"Nē",Tabula1[Dzimtā valoda(s): '[Angļu']],"Nē",Tabula1[Dzimtā valoda(s): '[Poļu']],"Nē",Tabula1[Cik bieži izmantojat latviešu valodu šajos kontekstos?  '[Sportā']],"Reizi nedēļā")</f>
        <v>2</v>
      </c>
      <c r="H7">
        <f>COUNTIFS(Tabula1[City],"Rīga",Tabula1[Dzimtā valoda(s): '[Latviešu']],"Nē",Tabula1[Dzimtā valoda(s): '[Krievu  ']],"Jā",Tabula1[Dzimtā valoda(s): '[Ukraiņu ']],"Nē",Tabula1[Dzimtā valoda(s): '[Angļu']],"Nē",Tabula1[Dzimtā valoda(s): '[Poļu']],"Nē",Tabula1[Cik bieži izmantojat latviešu valodu šajos kontekstos?  '[Hobijos / citās interešu grupās']],"Reizi nedēļā")</f>
        <v>5</v>
      </c>
      <c r="I7">
        <f>COUNTIFS(Tabula1[City],"Rīga",Tabula1[Dzimtā valoda(s): '[Latviešu']],"Nē",Tabula1[Dzimtā valoda(s): '[Krievu  ']],"Jā",Tabula1[Dzimtā valoda(s): '[Ukraiņu ']],"Nē",Tabula1[Dzimtā valoda(s): '[Angļu']],"Nē",Tabula1[Dzimtā valoda(s): '[Poļu']],"Nē",Tabula1[Cik bieži izmantojat latviešu valodu šajos kontekstos?  '[Uz ielas / veikalā utt.']],"Reizi nedēļā")</f>
        <v>4</v>
      </c>
      <c r="K7" s="44" t="s">
        <v>17973</v>
      </c>
      <c r="L7">
        <f>COUNTIFS(Tabula1[City],"Daugavpils",Tabula1[Dzimtā valoda(s): '[Latviešu']],"Nē",Tabula1[Dzimtā valoda(s): '[Krievu  ']],"Jā",Tabula1[Dzimtā valoda(s): '[Ukraiņu ']],"Nē",Tabula1[Dzimtā valoda(s): '[Angļu']],"Nē",Tabula1[Dzimtā valoda(s): '[Poļu']],"Nē",Tabula1[Cik bieži izmantojat latviešu valodu šajos kontekstos?  '[Ģimenē']],"Reizi nedēļā")</f>
        <v>1</v>
      </c>
      <c r="M7">
        <f>COUNTIFS(Tabula1[City],"Daugavpils",Tabula1[Dzimtā valoda(s): '[Latviešu']],"Nē",Tabula1[Dzimtā valoda(s): '[Krievu  ']],"Jā",Tabula1[Dzimtā valoda(s): '[Ukraiņu ']],"Nē",Tabula1[Dzimtā valoda(s): '[Angļu']],"Nē",Tabula1[Dzimtā valoda(s): '[Poļu']],"Nē",Tabula1[Cik bieži izmantojat latviešu valodu šajos kontekstos?  '[Skolā (ārpus nodarbībām)']],"Reizi nedēļā")</f>
        <v>2</v>
      </c>
      <c r="N7">
        <f>COUNTIFS(Tabula1[City],"Daugavpils",Tabula1[Dzimtā valoda(s): '[Latviešu']],"Nē",Tabula1[Dzimtā valoda(s): '[Krievu  ']],"Jā",Tabula1[Dzimtā valoda(s): '[Ukraiņu ']],"Nē",Tabula1[Dzimtā valoda(s): '[Angļu']],"Nē",Tabula1[Dzimtā valoda(s): '[Poļu']],"Nē",Tabula1[Cik bieži izmantojat latviešu valodu šajos kontekstos?  '[Darbā']],"Reizi nedēļā")</f>
        <v>2</v>
      </c>
      <c r="O7">
        <f>COUNTIFS(Tabula1[City],"Daugavpils",Tabula1[Dzimtā valoda(s): '[Latviešu']],"Nē",Tabula1[Dzimtā valoda(s): '[Krievu  ']],"Jā",Tabula1[Dzimtā valoda(s): '[Ukraiņu ']],"Nē",Tabula1[Dzimtā valoda(s): '[Angļu']],"Nē",Tabula1[Dzimtā valoda(s): '[Poļu']],"Nē",Tabula1[Cik bieži izmantojat latviešu valodu šajos kontekstos?  '[Ar draugiem']],"Reizi nedēļā")</f>
        <v>3</v>
      </c>
      <c r="P7">
        <f>COUNTIFS(Tabula1[City],"Daugavpils",Tabula1[Dzimtā valoda(s): '[Latviešu']],"Nē",Tabula1[Dzimtā valoda(s): '[Krievu  ']],"Jā",Tabula1[Dzimtā valoda(s): '[Ukraiņu ']],"Nē",Tabula1[Dzimtā valoda(s): '[Angļu']],"Nē",Tabula1[Dzimtā valoda(s): '[Poļu']],"Nē",Tabula1[Cik bieži izmantojat latviešu valodu šajos kontekstos?  '[Sportā']],"Reizi nedēļā")</f>
        <v>1</v>
      </c>
      <c r="Q7">
        <f>COUNTIFS(Tabula1[City],"Daugavpils",Tabula1[Dzimtā valoda(s): '[Latviešu']],"Nē",Tabula1[Dzimtā valoda(s): '[Krievu  ']],"Jā",Tabula1[Dzimtā valoda(s): '[Ukraiņu ']],"Nē",Tabula1[Dzimtā valoda(s): '[Angļu']],"Nē",Tabula1[Dzimtā valoda(s): '[Poļu']],"Nē",Tabula1[Cik bieži izmantojat latviešu valodu šajos kontekstos?  '[Hobijos / citās interešu grupās']],"Reizi nedēļā")</f>
        <v>1</v>
      </c>
      <c r="R7">
        <f>COUNTIFS(Tabula1[City],"Daugavpils",Tabula1[Dzimtā valoda(s): '[Latviešu']],"Nē",Tabula1[Dzimtā valoda(s): '[Krievu  ']],"Jā",Tabula1[Dzimtā valoda(s): '[Ukraiņu ']],"Nē",Tabula1[Dzimtā valoda(s): '[Angļu']],"Nē",Tabula1[Dzimtā valoda(s): '[Poļu']],"Nē",Tabula1[Cik bieži izmantojat latviešu valodu šajos kontekstos?  '[Uz ielas / veikalā utt.']],"Reizi nedēļā")</f>
        <v>6</v>
      </c>
      <c r="T7" s="44" t="s">
        <v>17973</v>
      </c>
      <c r="U7">
        <f>COUNTIFS(Tabula1[City],"Liepāja",Tabula1[Dzimtā valoda(s): '[Latviešu']],"Nē",Tabula1[Dzimtā valoda(s): '[Krievu  ']],"Jā",Tabula1[Dzimtā valoda(s): '[Ukraiņu ']],"Nē",Tabula1[Dzimtā valoda(s): '[Angļu']],"Nē",Tabula1[Dzimtā valoda(s): '[Poļu']],"Nē",Tabula1[Cik bieži izmantojat latviešu valodu šajos kontekstos?  '[Ģimenē']],"Reizi nedēļā")</f>
        <v>3</v>
      </c>
      <c r="V7">
        <f>COUNTIFS(Tabula1[City],"Liepāja",Tabula1[Dzimtā valoda(s): '[Latviešu']],"Nē",Tabula1[Dzimtā valoda(s): '[Krievu  ']],"Jā",Tabula1[Dzimtā valoda(s): '[Ukraiņu ']],"Nē",Tabula1[Dzimtā valoda(s): '[Angļu']],"Nē",Tabula1[Dzimtā valoda(s): '[Poļu']],"Nē",Tabula1[Cik bieži izmantojat latviešu valodu šajos kontekstos?  '[Skolā (ārpus nodarbībām)']],"Reizi nedēļā")</f>
        <v>2</v>
      </c>
      <c r="W7">
        <f>COUNTIFS(Tabula1[City],"Liepāja",Tabula1[Dzimtā valoda(s): '[Latviešu']],"Nē",Tabula1[Dzimtā valoda(s): '[Krievu  ']],"Jā",Tabula1[Dzimtā valoda(s): '[Ukraiņu ']],"Nē",Tabula1[Dzimtā valoda(s): '[Angļu']],"Nē",Tabula1[Dzimtā valoda(s): '[Poļu']],"Nē",Tabula1[Cik bieži izmantojat latviešu valodu šajos kontekstos?  '[Darbā']],"Reizi nedēļā")</f>
        <v>0</v>
      </c>
      <c r="X7">
        <f>COUNTIFS(Tabula1[City],"Liepāja",Tabula1[Dzimtā valoda(s): '[Latviešu']],"Nē",Tabula1[Dzimtā valoda(s): '[Krievu  ']],"Jā",Tabula1[Dzimtā valoda(s): '[Ukraiņu ']],"Nē",Tabula1[Dzimtā valoda(s): '[Angļu']],"Nē",Tabula1[Dzimtā valoda(s): '[Poļu']],"Nē",Tabula1[Cik bieži izmantojat latviešu valodu šajos kontekstos?  '[Ar draugiem']],"Reizi nedēļā")</f>
        <v>1</v>
      </c>
      <c r="Y7">
        <f>COUNTIFS(Tabula1[City],"Liepāja",Tabula1[Dzimtā valoda(s): '[Latviešu']],"Nē",Tabula1[Dzimtā valoda(s): '[Krievu  ']],"Jā",Tabula1[Dzimtā valoda(s): '[Ukraiņu ']],"Nē",Tabula1[Dzimtā valoda(s): '[Angļu']],"Nē",Tabula1[Dzimtā valoda(s): '[Poļu']],"Nē",Tabula1[Cik bieži izmantojat latviešu valodu šajos kontekstos?  '[Sportā']],"Reizi nedēļā")</f>
        <v>0</v>
      </c>
      <c r="Z7">
        <f>COUNTIFS(Tabula1[City],"Liepāja",Tabula1[Dzimtā valoda(s): '[Latviešu']],"Nē",Tabula1[Dzimtā valoda(s): '[Krievu  ']],"Jā",Tabula1[Dzimtā valoda(s): '[Ukraiņu ']],"Nē",Tabula1[Dzimtā valoda(s): '[Angļu']],"Nē",Tabula1[Dzimtā valoda(s): '[Poļu']],"Nē",Tabula1[Cik bieži izmantojat latviešu valodu šajos kontekstos?  '[Hobijos / citās interešu grupās']],"Reizi nedēļā")</f>
        <v>2</v>
      </c>
      <c r="AA7">
        <f>COUNTIFS(Tabula1[City],"Liepāja",Tabula1[Dzimtā valoda(s): '[Latviešu']],"Nē",Tabula1[Dzimtā valoda(s): '[Krievu  ']],"Jā",Tabula1[Dzimtā valoda(s): '[Ukraiņu ']],"Nē",Tabula1[Dzimtā valoda(s): '[Angļu']],"Nē",Tabula1[Dzimtā valoda(s): '[Poļu']],"Nē",Tabula1[Cik bieži izmantojat latviešu valodu šajos kontekstos?  '[Uz ielas / veikalā utt.']],"Reizi nedēļā")</f>
        <v>4</v>
      </c>
    </row>
    <row r="8" spans="1:28" x14ac:dyDescent="0.3">
      <c r="B8" s="44" t="s">
        <v>17974</v>
      </c>
      <c r="C8">
        <f>COUNTIFS(Tabula1[City],"Rīga",Tabula1[Dzimtā valoda(s): '[Latviešu']],"Nē",Tabula1[Dzimtā valoda(s): '[Krievu  ']],"Jā",Tabula1[Dzimtā valoda(s): '[Ukraiņu ']],"Nē",Tabula1[Dzimtā valoda(s): '[Angļu']],"Nē",Tabula1[Dzimtā valoda(s): '[Poļu']],"Nē",Tabula1[Cik bieži izmantojat latviešu valodu šajos kontekstos?  '[Ģimenē']],"Pāris reižu mēnesī")</f>
        <v>2</v>
      </c>
      <c r="D8">
        <f>COUNTIFS(Tabula1[City],"Rīga",Tabula1[Dzimtā valoda(s): '[Latviešu']],"Nē",Tabula1[Dzimtā valoda(s): '[Krievu  ']],"Jā",Tabula1[Dzimtā valoda(s): '[Ukraiņu ']],"Nē",Tabula1[Dzimtā valoda(s): '[Angļu']],"Nē",Tabula1[Dzimtā valoda(s): '[Poļu']],"Nē",Tabula1[Cik bieži izmantojat latviešu valodu šajos kontekstos?  '[Skolā (ārpus nodarbībām)']],"Pāris reižu mēnesī")</f>
        <v>4</v>
      </c>
      <c r="E8">
        <f>COUNTIFS(Tabula1[City],"Rīga",Tabula1[Dzimtā valoda(s): '[Latviešu']],"Nē",Tabula1[Dzimtā valoda(s): '[Krievu  ']],"Jā",Tabula1[Dzimtā valoda(s): '[Ukraiņu ']],"Nē",Tabula1[Dzimtā valoda(s): '[Angļu']],"Nē",Tabula1[Dzimtā valoda(s): '[Poļu']],"Nē",Tabula1[Cik bieži izmantojat latviešu valodu šajos kontekstos?  '[Darbā']],"Pāris reižu mēnesī")</f>
        <v>0</v>
      </c>
      <c r="F8">
        <f>COUNTIFS(Tabula1[City],"Rīga",Tabula1[Dzimtā valoda(s): '[Latviešu']],"Nē",Tabula1[Dzimtā valoda(s): '[Krievu  ']],"Jā",Tabula1[Dzimtā valoda(s): '[Ukraiņu ']],"Nē",Tabula1[Dzimtā valoda(s): '[Angļu']],"Nē",Tabula1[Dzimtā valoda(s): '[Poļu']],"Nē",Tabula1[Cik bieži izmantojat latviešu valodu šajos kontekstos?  '[Ar draugiem']],"Pāris reižu mēnesī")</f>
        <v>5</v>
      </c>
      <c r="G8">
        <f>COUNTIFS(Tabula1[City],"Rīga",Tabula1[Dzimtā valoda(s): '[Latviešu']],"Nē",Tabula1[Dzimtā valoda(s): '[Krievu  ']],"Jā",Tabula1[Dzimtā valoda(s): '[Ukraiņu ']],"Nē",Tabula1[Dzimtā valoda(s): '[Angļu']],"Nē",Tabula1[Dzimtā valoda(s): '[Poļu']],"Nē",Tabula1[Cik bieži izmantojat latviešu valodu šajos kontekstos?  '[Sportā']],"Pāris reižu mēnesī")</f>
        <v>4</v>
      </c>
      <c r="H8">
        <f>COUNTIFS(Tabula1[City],"Rīga",Tabula1[Dzimtā valoda(s): '[Latviešu']],"Nē",Tabula1[Dzimtā valoda(s): '[Krievu  ']],"Jā",Tabula1[Dzimtā valoda(s): '[Ukraiņu ']],"Nē",Tabula1[Dzimtā valoda(s): '[Angļu']],"Nē",Tabula1[Dzimtā valoda(s): '[Poļu']],"Nē",Tabula1[Cik bieži izmantojat latviešu valodu šajos kontekstos?  '[Hobijos / citās interešu grupās']],"Pāris reižu mēnesī")</f>
        <v>2</v>
      </c>
      <c r="I8">
        <f>COUNTIFS(Tabula1[City],"Rīga",Tabula1[Dzimtā valoda(s): '[Latviešu']],"Nē",Tabula1[Dzimtā valoda(s): '[Krievu  ']],"Jā",Tabula1[Dzimtā valoda(s): '[Ukraiņu ']],"Nē",Tabula1[Dzimtā valoda(s): '[Angļu']],"Nē",Tabula1[Dzimtā valoda(s): '[Poļu']],"Nē",Tabula1[Cik bieži izmantojat latviešu valodu šajos kontekstos?  '[Uz ielas / veikalā utt.']],"Pāris reižu mēnesī")</f>
        <v>1</v>
      </c>
      <c r="K8" s="44" t="s">
        <v>17974</v>
      </c>
      <c r="L8">
        <f>COUNTIFS(Tabula1[City],"Daugavpils",Tabula1[Dzimtā valoda(s): '[Latviešu']],"Nē",Tabula1[Dzimtā valoda(s): '[Krievu  ']],"Jā",Tabula1[Dzimtā valoda(s): '[Ukraiņu ']],"Nē",Tabula1[Dzimtā valoda(s): '[Angļu']],"Nē",Tabula1[Dzimtā valoda(s): '[Poļu']],"Nē",Tabula1[Cik bieži izmantojat latviešu valodu šajos kontekstos?  '[Ģimenē']],"Pāris reižu mēnesī")</f>
        <v>4</v>
      </c>
      <c r="M8">
        <f>COUNTIFS(Tabula1[City],"Daugavpils",Tabula1[Dzimtā valoda(s): '[Latviešu']],"Nē",Tabula1[Dzimtā valoda(s): '[Krievu  ']],"Jā",Tabula1[Dzimtā valoda(s): '[Ukraiņu ']],"Nē",Tabula1[Dzimtā valoda(s): '[Angļu']],"Nē",Tabula1[Dzimtā valoda(s): '[Poļu']],"Nē",Tabula1[Cik bieži izmantojat latviešu valodu šajos kontekstos?  '[Skolā (ārpus nodarbībām)']],"Pāris reižu mēnesī")</f>
        <v>4</v>
      </c>
      <c r="N8">
        <f>COUNTIFS(Tabula1[City],"Daugavpils",Tabula1[Dzimtā valoda(s): '[Latviešu']],"Nē",Tabula1[Dzimtā valoda(s): '[Krievu  ']],"Jā",Tabula1[Dzimtā valoda(s): '[Ukraiņu ']],"Nē",Tabula1[Dzimtā valoda(s): '[Angļu']],"Nē",Tabula1[Dzimtā valoda(s): '[Poļu']],"Nē",Tabula1[Cik bieži izmantojat latviešu valodu šajos kontekstos?  '[Darbā']],"Pāris reižu mēnesī")</f>
        <v>2</v>
      </c>
      <c r="O8">
        <f>COUNTIFS(Tabula1[City],"Daugavpils",Tabula1[Dzimtā valoda(s): '[Latviešu']],"Nē",Tabula1[Dzimtā valoda(s): '[Krievu  ']],"Jā",Tabula1[Dzimtā valoda(s): '[Ukraiņu ']],"Nē",Tabula1[Dzimtā valoda(s): '[Angļu']],"Nē",Tabula1[Dzimtā valoda(s): '[Poļu']],"Nē",Tabula1[Cik bieži izmantojat latviešu valodu šajos kontekstos?  '[Ar draugiem']],"Pāris reižu mēnesī")</f>
        <v>7</v>
      </c>
      <c r="P8">
        <f>COUNTIFS(Tabula1[City],"Daugavpils",Tabula1[Dzimtā valoda(s): '[Latviešu']],"Nē",Tabula1[Dzimtā valoda(s): '[Krievu  ']],"Jā",Tabula1[Dzimtā valoda(s): '[Ukraiņu ']],"Nē",Tabula1[Dzimtā valoda(s): '[Angļu']],"Nē",Tabula1[Dzimtā valoda(s): '[Poļu']],"Nē",Tabula1[Cik bieži izmantojat latviešu valodu šajos kontekstos?  '[Sportā']],"Pāris reižu mēnesī")</f>
        <v>5</v>
      </c>
      <c r="Q8">
        <f>COUNTIFS(Tabula1[City],"Daugavpils",Tabula1[Dzimtā valoda(s): '[Latviešu']],"Nē",Tabula1[Dzimtā valoda(s): '[Krievu  ']],"Jā",Tabula1[Dzimtā valoda(s): '[Ukraiņu ']],"Nē",Tabula1[Dzimtā valoda(s): '[Angļu']],"Nē",Tabula1[Dzimtā valoda(s): '[Poļu']],"Nē",Tabula1[Cik bieži izmantojat latviešu valodu šajos kontekstos?  '[Hobijos / citās interešu grupās']],"Pāris reižu mēnesī")</f>
        <v>4</v>
      </c>
      <c r="R8">
        <f>COUNTIFS(Tabula1[City],"Daugavpils",Tabula1[Dzimtā valoda(s): '[Latviešu']],"Nē",Tabula1[Dzimtā valoda(s): '[Krievu  ']],"Jā",Tabula1[Dzimtā valoda(s): '[Ukraiņu ']],"Nē",Tabula1[Dzimtā valoda(s): '[Angļu']],"Nē",Tabula1[Dzimtā valoda(s): '[Poļu']],"Nē",Tabula1[Cik bieži izmantojat latviešu valodu šajos kontekstos?  '[Uz ielas / veikalā utt.']],"Pāris reižu mēnesī")</f>
        <v>18</v>
      </c>
      <c r="T8" s="44" t="s">
        <v>17974</v>
      </c>
      <c r="U8">
        <f>COUNTIFS(Tabula1[City],"Liepāja",Tabula1[Dzimtā valoda(s): '[Latviešu']],"Nē",Tabula1[Dzimtā valoda(s): '[Krievu  ']],"Jā",Tabula1[Dzimtā valoda(s): '[Ukraiņu ']],"Nē",Tabula1[Dzimtā valoda(s): '[Angļu']],"Nē",Tabula1[Dzimtā valoda(s): '[Poļu']],"Nē",Tabula1[Cik bieži izmantojat latviešu valodu šajos kontekstos?  '[Ģimenē']],"Pāris reižu mēnesī")</f>
        <v>0</v>
      </c>
      <c r="V8">
        <f>COUNTIFS(Tabula1[City],"Liepāja",Tabula1[Dzimtā valoda(s): '[Latviešu']],"Nē",Tabula1[Dzimtā valoda(s): '[Krievu  ']],"Jā",Tabula1[Dzimtā valoda(s): '[Ukraiņu ']],"Nē",Tabula1[Dzimtā valoda(s): '[Angļu']],"Nē",Tabula1[Dzimtā valoda(s): '[Poļu']],"Nē",Tabula1[Cik bieži izmantojat latviešu valodu šajos kontekstos?  '[Skolā (ārpus nodarbībām)']],"Pāris reižu mēnesī")</f>
        <v>2</v>
      </c>
      <c r="W8">
        <f>COUNTIFS(Tabula1[City],"Liepāja",Tabula1[Dzimtā valoda(s): '[Latviešu']],"Nē",Tabula1[Dzimtā valoda(s): '[Krievu  ']],"Jā",Tabula1[Dzimtā valoda(s): '[Ukraiņu ']],"Nē",Tabula1[Dzimtā valoda(s): '[Angļu']],"Nē",Tabula1[Dzimtā valoda(s): '[Poļu']],"Nē",Tabula1[Cik bieži izmantojat latviešu valodu šajos kontekstos?  '[Darbā']],"Pāris reižu mēnesī")</f>
        <v>0</v>
      </c>
      <c r="X8">
        <f>COUNTIFS(Tabula1[City],"Liepāja",Tabula1[Dzimtā valoda(s): '[Latviešu']],"Nē",Tabula1[Dzimtā valoda(s): '[Krievu  ']],"Jā",Tabula1[Dzimtā valoda(s): '[Ukraiņu ']],"Nē",Tabula1[Dzimtā valoda(s): '[Angļu']],"Nē",Tabula1[Dzimtā valoda(s): '[Poļu']],"Nē",Tabula1[Cik bieži izmantojat latviešu valodu šajos kontekstos?  '[Ar draugiem']],"Pāris reižu mēnesī")</f>
        <v>5</v>
      </c>
      <c r="Y8">
        <f>COUNTIFS(Tabula1[City],"Liepāja",Tabula1[Dzimtā valoda(s): '[Latviešu']],"Nē",Tabula1[Dzimtā valoda(s): '[Krievu  ']],"Jā",Tabula1[Dzimtā valoda(s): '[Ukraiņu ']],"Nē",Tabula1[Dzimtā valoda(s): '[Angļu']],"Nē",Tabula1[Dzimtā valoda(s): '[Poļu']],"Nē",Tabula1[Cik bieži izmantojat latviešu valodu šajos kontekstos?  '[Sportā']],"Pāris reižu mēnesī")</f>
        <v>6</v>
      </c>
      <c r="Z8">
        <f>COUNTIFS(Tabula1[City],"Liepāja",Tabula1[Dzimtā valoda(s): '[Latviešu']],"Nē",Tabula1[Dzimtā valoda(s): '[Krievu  ']],"Jā",Tabula1[Dzimtā valoda(s): '[Ukraiņu ']],"Nē",Tabula1[Dzimtā valoda(s): '[Angļu']],"Nē",Tabula1[Dzimtā valoda(s): '[Poļu']],"Nē",Tabula1[Cik bieži izmantojat latviešu valodu šajos kontekstos?  '[Hobijos / citās interešu grupās']],"Pāris reižu mēnesī")</f>
        <v>2</v>
      </c>
      <c r="AA8">
        <f>COUNTIFS(Tabula1[City],"Liepāja",Tabula1[Dzimtā valoda(s): '[Latviešu']],"Nē",Tabula1[Dzimtā valoda(s): '[Krievu  ']],"Jā",Tabula1[Dzimtā valoda(s): '[Ukraiņu ']],"Nē",Tabula1[Dzimtā valoda(s): '[Angļu']],"Nē",Tabula1[Dzimtā valoda(s): '[Poļu']],"Nē",Tabula1[Cik bieži izmantojat latviešu valodu šajos kontekstos?  '[Uz ielas / veikalā utt.']],"Pāris reižu mēnesī")</f>
        <v>2</v>
      </c>
    </row>
    <row r="9" spans="1:28" x14ac:dyDescent="0.3">
      <c r="B9" s="44" t="s">
        <v>17975</v>
      </c>
      <c r="C9">
        <f>COUNTIFS(Tabula1[City],"Rīga",Tabula1[Dzimtā valoda(s): '[Latviešu']],"Nē",Tabula1[Dzimtā valoda(s): '[Krievu  ']],"Jā",Tabula1[Dzimtā valoda(s): '[Ukraiņu ']],"Nē",Tabula1[Dzimtā valoda(s): '[Angļu']],"Nē",Tabula1[Dzimtā valoda(s): '[Poļu']],"Nē",Tabula1[Cik bieži izmantojat latviešu valodu šajos kontekstos?  '[Ģimenē']],"(Gandrīz) nekad")</f>
        <v>27</v>
      </c>
      <c r="D9">
        <f>COUNTIFS(Tabula1[City],"Rīga",Tabula1[Dzimtā valoda(s): '[Latviešu']],"Nē",Tabula1[Dzimtā valoda(s): '[Krievu  ']],"Jā",Tabula1[Dzimtā valoda(s): '[Ukraiņu ']],"Nē",Tabula1[Dzimtā valoda(s): '[Angļu']],"Nē",Tabula1[Dzimtā valoda(s): '[Poļu']],"Nē",Tabula1[Cik bieži izmantojat latviešu valodu šajos kontekstos?  '[Skolā (ārpus nodarbībām)']],"(Gandrīz) nekad")</f>
        <v>6</v>
      </c>
      <c r="E9">
        <f>COUNTIFS(Tabula1[City],"Rīga",Tabula1[Dzimtā valoda(s): '[Latviešu']],"Nē",Tabula1[Dzimtā valoda(s): '[Krievu  ']],"Jā",Tabula1[Dzimtā valoda(s): '[Ukraiņu ']],"Nē",Tabula1[Dzimtā valoda(s): '[Angļu']],"Nē",Tabula1[Dzimtā valoda(s): '[Poļu']],"Nē",Tabula1[Cik bieži izmantojat latviešu valodu šajos kontekstos?  '[Darbā']],"(Gandrīz) nekad")</f>
        <v>14</v>
      </c>
      <c r="F9">
        <f>COUNTIFS(Tabula1[City],"Rīga",Tabula1[Dzimtā valoda(s): '[Latviešu']],"Nē",Tabula1[Dzimtā valoda(s): '[Krievu  ']],"Jā",Tabula1[Dzimtā valoda(s): '[Ukraiņu ']],"Nē",Tabula1[Dzimtā valoda(s): '[Angļu']],"Nē",Tabula1[Dzimtā valoda(s): '[Poļu']],"Nē",Tabula1[Cik bieži izmantojat latviešu valodu šajos kontekstos?  '[Ar draugiem']],"(Gandrīz) nekad")</f>
        <v>18</v>
      </c>
      <c r="G9">
        <f>COUNTIFS(Tabula1[City],"Rīga",Tabula1[Dzimtā valoda(s): '[Latviešu']],"Nē",Tabula1[Dzimtā valoda(s): '[Krievu  ']],"Jā",Tabula1[Dzimtā valoda(s): '[Ukraiņu ']],"Nē",Tabula1[Dzimtā valoda(s): '[Angļu']],"Nē",Tabula1[Dzimtā valoda(s): '[Poļu']],"Nē",Tabula1[Cik bieži izmantojat latviešu valodu šajos kontekstos?  '[Sportā']],"(Gandrīz) nekad")</f>
        <v>21</v>
      </c>
      <c r="H9">
        <f>COUNTIFS(Tabula1[City],"Rīga",Tabula1[Dzimtā valoda(s): '[Latviešu']],"Nē",Tabula1[Dzimtā valoda(s): '[Krievu  ']],"Jā",Tabula1[Dzimtā valoda(s): '[Ukraiņu ']],"Nē",Tabula1[Dzimtā valoda(s): '[Angļu']],"Nē",Tabula1[Dzimtā valoda(s): '[Poļu']],"Nē",Tabula1[Cik bieži izmantojat latviešu valodu šajos kontekstos?  '[Hobijos / citās interešu grupās']],"(Gandrīz) nekad")</f>
        <v>20</v>
      </c>
      <c r="I9">
        <f>COUNTIFS(Tabula1[City],"Rīga",Tabula1[Dzimtā valoda(s): '[Latviešu']],"Nē",Tabula1[Dzimtā valoda(s): '[Krievu  ']],"Jā",Tabula1[Dzimtā valoda(s): '[Ukraiņu ']],"Nē",Tabula1[Dzimtā valoda(s): '[Angļu']],"Nē",Tabula1[Dzimtā valoda(s): '[Poļu']],"Nē",Tabula1[Cik bieži izmantojat latviešu valodu šajos kontekstos?  '[Uz ielas / veikalā utt.']],"(Gandrīz) nekad")</f>
        <v>1</v>
      </c>
      <c r="K9" s="44" t="s">
        <v>17975</v>
      </c>
      <c r="L9">
        <f>COUNTIFS(Tabula1[City],"Daugavpils",Tabula1[Dzimtā valoda(s): '[Latviešu']],"Nē",Tabula1[Dzimtā valoda(s): '[Krievu  ']],"Jā",Tabula1[Dzimtā valoda(s): '[Ukraiņu ']],"Nē",Tabula1[Dzimtā valoda(s): '[Angļu']],"Nē",Tabula1[Dzimtā valoda(s): '[Poļu']],"Nē",Tabula1[Cik bieži izmantojat latviešu valodu šajos kontekstos?  '[Ģimenē']],"(Gandrīz) nekad")</f>
        <v>37</v>
      </c>
      <c r="M9">
        <f>COUNTIFS(Tabula1[City],"Daugavpils",Tabula1[Dzimtā valoda(s): '[Latviešu']],"Nē",Tabula1[Dzimtā valoda(s): '[Krievu  ']],"Jā",Tabula1[Dzimtā valoda(s): '[Ukraiņu ']],"Nē",Tabula1[Dzimtā valoda(s): '[Angļu']],"Nē",Tabula1[Dzimtā valoda(s): '[Poļu']],"Nē",Tabula1[Cik bieži izmantojat latviešu valodu šajos kontekstos?  '[Skolā (ārpus nodarbībām)']],"(Gandrīz) nekad")</f>
        <v>18</v>
      </c>
      <c r="N9">
        <f>COUNTIFS(Tabula1[City],"Daugavpils",Tabula1[Dzimtā valoda(s): '[Latviešu']],"Nē",Tabula1[Dzimtā valoda(s): '[Krievu  ']],"Jā",Tabula1[Dzimtā valoda(s): '[Ukraiņu ']],"Nē",Tabula1[Dzimtā valoda(s): '[Angļu']],"Nē",Tabula1[Dzimtā valoda(s): '[Poļu']],"Nē",Tabula1[Cik bieži izmantojat latviešu valodu šajos kontekstos?  '[Darbā']],"(Gandrīz) nekad")</f>
        <v>27</v>
      </c>
      <c r="O9">
        <f>COUNTIFS(Tabula1[City],"Daugavpils",Tabula1[Dzimtā valoda(s): '[Latviešu']],"Nē",Tabula1[Dzimtā valoda(s): '[Krievu  ']],"Jā",Tabula1[Dzimtā valoda(s): '[Ukraiņu ']],"Nē",Tabula1[Dzimtā valoda(s): '[Angļu']],"Nē",Tabula1[Dzimtā valoda(s): '[Poļu']],"Nē",Tabula1[Cik bieži izmantojat latviešu valodu šajos kontekstos?  '[Ar draugiem']],"(Gandrīz) nekad")</f>
        <v>30</v>
      </c>
      <c r="P9">
        <f>COUNTIFS(Tabula1[City],"Daugavpils",Tabula1[Dzimtā valoda(s): '[Latviešu']],"Nē",Tabula1[Dzimtā valoda(s): '[Krievu  ']],"Jā",Tabula1[Dzimtā valoda(s): '[Ukraiņu ']],"Nē",Tabula1[Dzimtā valoda(s): '[Angļu']],"Nē",Tabula1[Dzimtā valoda(s): '[Poļu']],"Nē",Tabula1[Cik bieži izmantojat latviešu valodu šajos kontekstos?  '[Sportā']],"(Gandrīz) nekad")</f>
        <v>37</v>
      </c>
      <c r="Q9">
        <f>COUNTIFS(Tabula1[City],"Daugavpils",Tabula1[Dzimtā valoda(s): '[Latviešu']],"Nē",Tabula1[Dzimtā valoda(s): '[Krievu  ']],"Jā",Tabula1[Dzimtā valoda(s): '[Ukraiņu ']],"Nē",Tabula1[Dzimtā valoda(s): '[Angļu']],"Nē",Tabula1[Dzimtā valoda(s): '[Poļu']],"Nē",Tabula1[Cik bieži izmantojat latviešu valodu šajos kontekstos?  '[Hobijos / citās interešu grupās']],"(Gandrīz) nekad")</f>
        <v>38</v>
      </c>
      <c r="R9">
        <f>COUNTIFS(Tabula1[City],"Daugavpils",Tabula1[Dzimtā valoda(s): '[Latviešu']],"Nē",Tabula1[Dzimtā valoda(s): '[Krievu  ']],"Jā",Tabula1[Dzimtā valoda(s): '[Ukraiņu ']],"Nē",Tabula1[Dzimtā valoda(s): '[Angļu']],"Nē",Tabula1[Dzimtā valoda(s): '[Poļu']],"Nē",Tabula1[Cik bieži izmantojat latviešu valodu šajos kontekstos?  '[Uz ielas / veikalā utt.']],"(Gandrīz) nekad")</f>
        <v>13</v>
      </c>
      <c r="T9" s="44" t="s">
        <v>17975</v>
      </c>
      <c r="U9">
        <f>COUNTIFS(Tabula1[City],"Liepāja",Tabula1[Dzimtā valoda(s): '[Latviešu']],"Nē",Tabula1[Dzimtā valoda(s): '[Krievu  ']],"Jā",Tabula1[Dzimtā valoda(s): '[Ukraiņu ']],"Nē",Tabula1[Dzimtā valoda(s): '[Angļu']],"Nē",Tabula1[Dzimtā valoda(s): '[Poļu']],"Nē",Tabula1[Cik bieži izmantojat latviešu valodu šajos kontekstos?  '[Ģimenē']],"(Gandrīz) nekad")</f>
        <v>18</v>
      </c>
      <c r="V9">
        <f>COUNTIFS(Tabula1[City],"Liepāja",Tabula1[Dzimtā valoda(s): '[Latviešu']],"Nē",Tabula1[Dzimtā valoda(s): '[Krievu  ']],"Jā",Tabula1[Dzimtā valoda(s): '[Ukraiņu ']],"Nē",Tabula1[Dzimtā valoda(s): '[Angļu']],"Nē",Tabula1[Dzimtā valoda(s): '[Poļu']],"Nē",Tabula1[Cik bieži izmantojat latviešu valodu šajos kontekstos?  '[Skolā (ārpus nodarbībām)']],"(Gandrīz) nekad")</f>
        <v>6</v>
      </c>
      <c r="W9">
        <f>COUNTIFS(Tabula1[City],"Liepāja",Tabula1[Dzimtā valoda(s): '[Latviešu']],"Nē",Tabula1[Dzimtā valoda(s): '[Krievu  ']],"Jā",Tabula1[Dzimtā valoda(s): '[Ukraiņu ']],"Nē",Tabula1[Dzimtā valoda(s): '[Angļu']],"Nē",Tabula1[Dzimtā valoda(s): '[Poļu']],"Nē",Tabula1[Cik bieži izmantojat latviešu valodu šajos kontekstos?  '[Darbā']],"(Gandrīz) nekad")</f>
        <v>17</v>
      </c>
      <c r="X9">
        <f>COUNTIFS(Tabula1[City],"Liepāja",Tabula1[Dzimtā valoda(s): '[Latviešu']],"Nē",Tabula1[Dzimtā valoda(s): '[Krievu  ']],"Jā",Tabula1[Dzimtā valoda(s): '[Ukraiņu ']],"Nē",Tabula1[Dzimtā valoda(s): '[Angļu']],"Nē",Tabula1[Dzimtā valoda(s): '[Poļu']],"Nē",Tabula1[Cik bieži izmantojat latviešu valodu šajos kontekstos?  '[Ar draugiem']],"(Gandrīz) nekad")</f>
        <v>11</v>
      </c>
      <c r="Y9">
        <f>COUNTIFS(Tabula1[City],"Liepāja",Tabula1[Dzimtā valoda(s): '[Latviešu']],"Nē",Tabula1[Dzimtā valoda(s): '[Krievu  ']],"Jā",Tabula1[Dzimtā valoda(s): '[Ukraiņu ']],"Nē",Tabula1[Dzimtā valoda(s): '[Angļu']],"Nē",Tabula1[Dzimtā valoda(s): '[Poļu']],"Nē",Tabula1[Cik bieži izmantojat latviešu valodu šajos kontekstos?  '[Sportā']],"(Gandrīz) nekad")</f>
        <v>14</v>
      </c>
      <c r="Z9">
        <f>COUNTIFS(Tabula1[City],"Liepāja",Tabula1[Dzimtā valoda(s): '[Latviešu']],"Nē",Tabula1[Dzimtā valoda(s): '[Krievu  ']],"Jā",Tabula1[Dzimtā valoda(s): '[Ukraiņu ']],"Nē",Tabula1[Dzimtā valoda(s): '[Angļu']],"Nē",Tabula1[Dzimtā valoda(s): '[Poļu']],"Nē",Tabula1[Cik bieži izmantojat latviešu valodu šajos kontekstos?  '[Hobijos / citās interešu grupās']],"(Gandrīz) nekad")</f>
        <v>17</v>
      </c>
      <c r="AA9">
        <f>COUNTIFS(Tabula1[City],"Liepāja",Tabula1[Dzimtā valoda(s): '[Latviešu']],"Nē",Tabula1[Dzimtā valoda(s): '[Krievu  ']],"Jā",Tabula1[Dzimtā valoda(s): '[Ukraiņu ']],"Nē",Tabula1[Dzimtā valoda(s): '[Angļu']],"Nē",Tabula1[Dzimtā valoda(s): '[Poļu']],"Nē",Tabula1[Cik bieži izmantojat latviešu valodu šajos kontekstos?  '[Uz ielas / veikalā utt.']],"(Gandrīz) nekad")</f>
        <v>2</v>
      </c>
    </row>
    <row r="13" spans="1:28" x14ac:dyDescent="0.3">
      <c r="A13" s="49" t="s">
        <v>17960</v>
      </c>
      <c r="D13" s="49" t="s">
        <v>338</v>
      </c>
      <c r="E13" s="49"/>
      <c r="F13" s="49"/>
      <c r="G13" s="49"/>
      <c r="H13" s="49"/>
      <c r="I13" s="49"/>
      <c r="J13" s="49"/>
      <c r="K13" s="49" t="s">
        <v>813</v>
      </c>
      <c r="L13" s="49"/>
      <c r="M13" s="49"/>
      <c r="N13" s="49"/>
      <c r="O13" s="49"/>
      <c r="P13" s="49"/>
      <c r="Q13" s="49"/>
      <c r="R13" s="49"/>
      <c r="S13" s="49"/>
      <c r="T13" s="49"/>
      <c r="U13" s="49" t="s">
        <v>727</v>
      </c>
    </row>
    <row r="14" spans="1:28" x14ac:dyDescent="0.3">
      <c r="C14" s="126" t="s">
        <v>17964</v>
      </c>
      <c r="D14" s="126" t="s">
        <v>17965</v>
      </c>
      <c r="E14" s="126" t="s">
        <v>17966</v>
      </c>
      <c r="F14" s="126" t="s">
        <v>17967</v>
      </c>
      <c r="G14" s="126" t="s">
        <v>17968</v>
      </c>
      <c r="H14" s="126" t="s">
        <v>17969</v>
      </c>
      <c r="I14" s="126" t="s">
        <v>17970</v>
      </c>
      <c r="J14" s="126"/>
      <c r="K14" s="126"/>
      <c r="L14" s="126" t="s">
        <v>17964</v>
      </c>
      <c r="M14" s="126" t="s">
        <v>17965</v>
      </c>
      <c r="N14" s="126" t="s">
        <v>17966</v>
      </c>
      <c r="O14" s="126" t="s">
        <v>17967</v>
      </c>
      <c r="P14" s="126" t="s">
        <v>17968</v>
      </c>
      <c r="Q14" s="126" t="s">
        <v>17969</v>
      </c>
      <c r="R14" s="126" t="s">
        <v>17970</v>
      </c>
      <c r="S14" s="126"/>
      <c r="T14" s="126"/>
      <c r="U14" s="126" t="s">
        <v>17964</v>
      </c>
      <c r="V14" s="126" t="s">
        <v>17965</v>
      </c>
      <c r="W14" s="126" t="s">
        <v>17966</v>
      </c>
      <c r="X14" s="126" t="s">
        <v>17967</v>
      </c>
      <c r="Y14" s="126" t="s">
        <v>17968</v>
      </c>
      <c r="Z14" s="126" t="s">
        <v>17969</v>
      </c>
      <c r="AA14" s="126" t="s">
        <v>17970</v>
      </c>
      <c r="AB14" s="126"/>
    </row>
    <row r="15" spans="1:28" x14ac:dyDescent="0.3">
      <c r="B15" s="44" t="s">
        <v>17971</v>
      </c>
      <c r="C15">
        <f>COUNTIFS(Tabula1[City],"Rīga",Tabula1[Dzimtā valoda(s): '[Latviešu']],"Nē",Tabula1[Dzimtā valoda(s): '[Krievu  ']],"Jā",Tabula1[Dzimtā valoda(s): '[Ukraiņu ']],"Nē",Tabula1[Dzimtā valoda(s): '[Angļu']],"Nē",Tabula1[Dzimtā valoda(s): '[Poļu']],"Nē",Tabula1[Cik bieži izmantojat krievu valodu šajos kontekstos?  '[Ģimenē']],"(Gandrīz) katru dienu")</f>
        <v>37</v>
      </c>
      <c r="D15">
        <f>COUNTIFS(Tabula1[City],"Rīga",Tabula1[Dzimtā valoda(s): '[Latviešu']],"Nē",Tabula1[Dzimtā valoda(s): '[Krievu  ']],"Jā",Tabula1[Dzimtā valoda(s): '[Ukraiņu ']],"Nē",Tabula1[Dzimtā valoda(s): '[Angļu']],"Nē",Tabula1[Dzimtā valoda(s): '[Poļu']],"Nē",Tabula1[Cik bieži izmantojat krievu valodu šajos kontekstos?  '[Skolā (ārpus nodarbībām)']],"(Gandrīz) katru dienu")</f>
        <v>36</v>
      </c>
      <c r="E15">
        <f>COUNTIFS(Tabula1[City],"Rīga",Tabula1[Dzimtā valoda(s): '[Latviešu']],"Nē",Tabula1[Dzimtā valoda(s): '[Krievu  ']],"Jā",Tabula1[Dzimtā valoda(s): '[Ukraiņu ']],"Nē",Tabula1[Dzimtā valoda(s): '[Angļu']],"Nē",Tabula1[Dzimtā valoda(s): '[Poļu']],"Nē",Tabula1[Cik bieži izmantojat krievu valodu šajos kontekstos?  '[Darbā']],"(Gandrīz) katru dienu")</f>
        <v>26</v>
      </c>
      <c r="F15">
        <f>COUNTIFS(Tabula1[City],"Rīga",Tabula1[Dzimtā valoda(s): '[Latviešu']],"Nē",Tabula1[Dzimtā valoda(s): '[Krievu  ']],"Jā",Tabula1[Dzimtā valoda(s): '[Ukraiņu ']],"Nē",Tabula1[Dzimtā valoda(s): '[Angļu']],"Nē",Tabula1[Dzimtā valoda(s): '[Poļu']],"Nē",Tabula1[Cik bieži izmantojat krievu valodu šajos kontekstos?  '[Ar draugiem']],"(Gandrīz) katru dienu")</f>
        <v>36</v>
      </c>
      <c r="G15">
        <f>COUNTIFS(Tabula1[City],"Rīga",Tabula1[Dzimtā valoda(s): '[Latviešu']],"Nē",Tabula1[Dzimtā valoda(s): '[Krievu  ']],"Jā",Tabula1[Dzimtā valoda(s): '[Ukraiņu ']],"Nē",Tabula1[Dzimtā valoda(s): '[Angļu']],"Nē",Tabula1[Dzimtā valoda(s): '[Poļu']],"Nē",Tabula1[Cik bieži izmantojat krievu valodu šajos kontekstos?  '[Sportā']],"(Gandrīz) katru dienu")</f>
        <v>30</v>
      </c>
      <c r="H15">
        <f>COUNTIFS(Tabula1[City],"Rīga",Tabula1[Dzimtā valoda(s): '[Latviešu']],"Nē",Tabula1[Dzimtā valoda(s): '[Krievu  ']],"Jā",Tabula1[Dzimtā valoda(s): '[Ukraiņu ']],"Nē",Tabula1[Dzimtā valoda(s): '[Angļu']],"Nē",Tabula1[Dzimtā valoda(s): '[Poļu']],"Nē",Tabula1[Cik bieži izmantojat krievu valodu šajos kontekstos?  '[Hobijos / citās interešu grupās']],"(Gandrīz) katru dienu")</f>
        <v>35</v>
      </c>
      <c r="I15">
        <f>COUNTIFS(Tabula1[City],"Rīga",Tabula1[Dzimtā valoda(s): '[Latviešu']],"Nē",Tabula1[Dzimtā valoda(s): '[Krievu  ']],"Jā",Tabula1[Dzimtā valoda(s): '[Ukraiņu ']],"Nē",Tabula1[Dzimtā valoda(s): '[Angļu']],"Nē",Tabula1[Dzimtā valoda(s): '[Poļu']],"Nē",Tabula1[Cik bieži izmantojat krievu valodu šajos kontekstos?  '[Uz ielas / veikalā utt.']],"(Gandrīz) katru dienu")</f>
        <v>24</v>
      </c>
      <c r="K15" s="44" t="s">
        <v>17971</v>
      </c>
      <c r="L15">
        <f>COUNTIFS(Tabula1[City],"Daugavpils",Tabula1[Dzimtā valoda(s): '[Latviešu']],"Nē",Tabula1[Dzimtā valoda(s): '[Krievu  ']],"Jā",Tabula1[Dzimtā valoda(s): '[Ukraiņu ']],"Nē",Tabula1[Dzimtā valoda(s): '[Angļu']],"Nē",Tabula1[Dzimtā valoda(s): '[Poļu']],"Nē",Tabula1[Cik bieži izmantojat krievu valodu šajos kontekstos?  '[Ģimenē']],"(Gandrīz) katru dienu")</f>
        <v>45</v>
      </c>
      <c r="M15">
        <f>COUNTIFS(Tabula1[City],"Daugavpils",Tabula1[Dzimtā valoda(s): '[Latviešu']],"Nē",Tabula1[Dzimtā valoda(s): '[Krievu  ']],"Jā",Tabula1[Dzimtā valoda(s): '[Ukraiņu ']],"Nē",Tabula1[Dzimtā valoda(s): '[Angļu']],"Nē",Tabula1[Dzimtā valoda(s): '[Poļu']],"Nē",Tabula1[Cik bieži izmantojat krievu valodu šajos kontekstos?  '[Skolā (ārpus nodarbībām)']],"(Gandrīz) katru dienu")</f>
        <v>42</v>
      </c>
      <c r="N15">
        <f>COUNTIFS(Tabula1[City],"Daugavpils",Tabula1[Dzimtā valoda(s): '[Latviešu']],"Nē",Tabula1[Dzimtā valoda(s): '[Krievu  ']],"Jā",Tabula1[Dzimtā valoda(s): '[Ukraiņu ']],"Nē",Tabula1[Dzimtā valoda(s): '[Angļu']],"Nē",Tabula1[Dzimtā valoda(s): '[Poļu']],"Nē",Tabula1[Cik bieži izmantojat krievu valodu šajos kontekstos?  '[Darbā']],"(Gandrīz) katru dienu")</f>
        <v>34</v>
      </c>
      <c r="O15">
        <f>COUNTIFS(Tabula1[City],"Daugavpils",Tabula1[Dzimtā valoda(s): '[Latviešu']],"Nē",Tabula1[Dzimtā valoda(s): '[Krievu  ']],"Jā",Tabula1[Dzimtā valoda(s): '[Ukraiņu ']],"Nē",Tabula1[Dzimtā valoda(s): '[Angļu']],"Nē",Tabula1[Dzimtā valoda(s): '[Poļu']],"Nē",Tabula1[Cik bieži izmantojat krievu valodu šajos kontekstos?  '[Ar draugiem']],"(Gandrīz) katru dienu")</f>
        <v>43</v>
      </c>
      <c r="P15">
        <f>COUNTIFS(Tabula1[City],"Daugavpils",Tabula1[Dzimtā valoda(s): '[Latviešu']],"Nē",Tabula1[Dzimtā valoda(s): '[Krievu  ']],"Jā",Tabula1[Dzimtā valoda(s): '[Ukraiņu ']],"Nē",Tabula1[Dzimtā valoda(s): '[Angļu']],"Nē",Tabula1[Dzimtā valoda(s): '[Poļu']],"Nē",Tabula1[Cik bieži izmantojat krievu valodu šajos kontekstos?  '[Sportā']],"(Gandrīz) katru dienu")</f>
        <v>39</v>
      </c>
      <c r="Q15">
        <f>COUNTIFS(Tabula1[City],"Daugavpils",Tabula1[Dzimtā valoda(s): '[Latviešu']],"Nē",Tabula1[Dzimtā valoda(s): '[Krievu  ']],"Jā",Tabula1[Dzimtā valoda(s): '[Ukraiņu ']],"Nē",Tabula1[Dzimtā valoda(s): '[Angļu']],"Nē",Tabula1[Dzimtā valoda(s): '[Poļu']],"Nē",Tabula1[Cik bieži izmantojat krievu valodu šajos kontekstos?  '[Hobijos / citās interešu grupās']],"(Gandrīz) katru dienu")</f>
        <v>43</v>
      </c>
      <c r="R15">
        <f>COUNTIFS(Tabula1[City],"Daugavpils",Tabula1[Dzimtā valoda(s): '[Latviešu']],"Nē",Tabula1[Dzimtā valoda(s): '[Krievu  ']],"Jā",Tabula1[Dzimtā valoda(s): '[Ukraiņu ']],"Nē",Tabula1[Dzimtā valoda(s): '[Angļu']],"Nē",Tabula1[Dzimtā valoda(s): '[Poļu']],"Nē",Tabula1[Cik bieži izmantojat krievu valodu šajos kontekstos?  '[Uz ielas / veikalā utt.']],"(Gandrīz) katru dienu")</f>
        <v>39</v>
      </c>
      <c r="T15" s="44" t="s">
        <v>17971</v>
      </c>
      <c r="U15">
        <f>COUNTIFS(Tabula1[City],"Liepāja",Tabula1[Dzimtā valoda(s): '[Latviešu']],"Nē",Tabula1[Dzimtā valoda(s): '[Krievu  ']],"Jā",Tabula1[Dzimtā valoda(s): '[Ukraiņu ']],"Nē",Tabula1[Dzimtā valoda(s): '[Angļu']],"Nē",Tabula1[Dzimtā valoda(s): '[Poļu']],"Nē",Tabula1[Cik bieži izmantojat krievu valodu šajos kontekstos?  '[Ģimenē']],"(Gandrīz) katru dienu")</f>
        <v>25</v>
      </c>
      <c r="V15">
        <f>COUNTIFS(Tabula1[City],"Liepāja",Tabula1[Dzimtā valoda(s): '[Latviešu']],"Nē",Tabula1[Dzimtā valoda(s): '[Krievu  ']],"Jā",Tabula1[Dzimtā valoda(s): '[Ukraiņu ']],"Nē",Tabula1[Dzimtā valoda(s): '[Angļu']],"Nē",Tabula1[Dzimtā valoda(s): '[Poļu']],"Nē",Tabula1[Cik bieži izmantojat krievu valodu šajos kontekstos?  '[Skolā (ārpus nodarbībām)']],"(Gandrīz) katru dienu")</f>
        <v>23</v>
      </c>
      <c r="W15">
        <f>COUNTIFS(Tabula1[City],"Liepāja",Tabula1[Dzimtā valoda(s): '[Latviešu']],"Nē",Tabula1[Dzimtā valoda(s): '[Krievu  ']],"Jā",Tabula1[Dzimtā valoda(s): '[Ukraiņu ']],"Nē",Tabula1[Dzimtā valoda(s): '[Angļu']],"Nē",Tabula1[Dzimtā valoda(s): '[Poļu']],"Nē",Tabula1[Cik bieži izmantojat krievu valodu šajos kontekstos?  '[Darbā']],"(Gandrīz) katru dienu")</f>
        <v>10</v>
      </c>
      <c r="X15">
        <f>COUNTIFS(Tabula1[City],"Liepāja",Tabula1[Dzimtā valoda(s): '[Latviešu']],"Nē",Tabula1[Dzimtā valoda(s): '[Krievu  ']],"Jā",Tabula1[Dzimtā valoda(s): '[Ukraiņu ']],"Nē",Tabula1[Dzimtā valoda(s): '[Angļu']],"Nē",Tabula1[Dzimtā valoda(s): '[Poļu']],"Nē",Tabula1[Cik bieži izmantojat krievu valodu šajos kontekstos?  '[Ar draugiem']],"(Gandrīz) katru dienu")</f>
        <v>25</v>
      </c>
      <c r="Y15">
        <f>COUNTIFS(Tabula1[City],"Liepāja",Tabula1[Dzimtā valoda(s): '[Latviešu']],"Nē",Tabula1[Dzimtā valoda(s): '[Krievu  ']],"Jā",Tabula1[Dzimtā valoda(s): '[Ukraiņu ']],"Nē",Tabula1[Dzimtā valoda(s): '[Angļu']],"Nē",Tabula1[Dzimtā valoda(s): '[Poļu']],"Nē",Tabula1[Cik bieži izmantojat krievu valodu šajos kontekstos?  '[Sportā']],"(Gandrīz) katru dienu")</f>
        <v>19</v>
      </c>
      <c r="Z15">
        <f>COUNTIFS(Tabula1[City],"Liepāja",Tabula1[Dzimtā valoda(s): '[Latviešu']],"Nē",Tabula1[Dzimtā valoda(s): '[Krievu  ']],"Jā",Tabula1[Dzimtā valoda(s): '[Ukraiņu ']],"Nē",Tabula1[Dzimtā valoda(s): '[Angļu']],"Nē",Tabula1[Dzimtā valoda(s): '[Poļu']],"Nē",Tabula1[Cik bieži izmantojat krievu valodu šajos kontekstos?  '[Hobijos / citās interešu grupās']],"(Gandrīz) katru dienu")</f>
        <v>23</v>
      </c>
      <c r="AA15">
        <f>COUNTIFS(Tabula1[City],"Liepāja",Tabula1[Dzimtā valoda(s): '[Latviešu']],"Nē",Tabula1[Dzimtā valoda(s): '[Krievu  ']],"Jā",Tabula1[Dzimtā valoda(s): '[Ukraiņu ']],"Nē",Tabula1[Dzimtā valoda(s): '[Angļu']],"Nē",Tabula1[Dzimtā valoda(s): '[Poļu']],"Nē",Tabula1[Cik bieži izmantojat krievu valodu šajos kontekstos?  '[Uz ielas / veikalā utt.']],"(Gandrīz) katru dienu")</f>
        <v>19</v>
      </c>
    </row>
    <row r="16" spans="1:28" x14ac:dyDescent="0.3">
      <c r="B16" s="44" t="s">
        <v>17972</v>
      </c>
      <c r="C16">
        <f>COUNTIFS(Tabula1[City],"Rīga",Tabula1[Dzimtā valoda(s): '[Latviešu']],"Nē",Tabula1[Dzimtā valoda(s): '[Krievu  ']],"Jā",Tabula1[Dzimtā valoda(s): '[Ukraiņu ']],"Nē",Tabula1[Dzimtā valoda(s): '[Angļu']],"Nē",Tabula1[Dzimtā valoda(s): '[Poļu']],"Nē",Tabula1[Cik bieži izmantojat krievu valodu šajos kontekstos?  '[Ģimenē']],"Pāris reižu nedēļā")</f>
        <v>1</v>
      </c>
      <c r="D16">
        <f>COUNTIFS(Tabula1[City],"Rīga",Tabula1[Dzimtā valoda(s): '[Latviešu']],"Nē",Tabula1[Dzimtā valoda(s): '[Krievu  ']],"Jā",Tabula1[Dzimtā valoda(s): '[Ukraiņu ']],"Nē",Tabula1[Dzimtā valoda(s): '[Angļu']],"Nē",Tabula1[Dzimtā valoda(s): '[Poļu']],"Nē",Tabula1[Cik bieži izmantojat krievu valodu šajos kontekstos?  '[Skolā (ārpus nodarbībām)']],"Pāris reižu nedēļā")</f>
        <v>2</v>
      </c>
      <c r="E16">
        <f>COUNTIFS(Tabula1[City],"Rīga",Tabula1[Dzimtā valoda(s): '[Latviešu']],"Nē",Tabula1[Dzimtā valoda(s): '[Krievu  ']],"Jā",Tabula1[Dzimtā valoda(s): '[Ukraiņu ']],"Nē",Tabula1[Dzimtā valoda(s): '[Angļu']],"Nē",Tabula1[Dzimtā valoda(s): '[Poļu']],"Nē",Tabula1[Cik bieži izmantojat krievu valodu šajos kontekstos?  '[Darbā']],"Pāris reižu nedēļā")</f>
        <v>3</v>
      </c>
      <c r="F16">
        <f>COUNTIFS(Tabula1[City],"Rīga",Tabula1[Dzimtā valoda(s): '[Latviešu']],"Nē",Tabula1[Dzimtā valoda(s): '[Krievu  ']],"Jā",Tabula1[Dzimtā valoda(s): '[Ukraiņu ']],"Nē",Tabula1[Dzimtā valoda(s): '[Angļu']],"Nē",Tabula1[Dzimtā valoda(s): '[Poļu']],"Nē",Tabula1[Cik bieži izmantojat krievu valodu šajos kontekstos?  '[Ar draugiem']],"Pāris reižu nedēļā")</f>
        <v>1</v>
      </c>
      <c r="G16">
        <f>COUNTIFS(Tabula1[City],"Rīga",Tabula1[Dzimtā valoda(s): '[Latviešu']],"Nē",Tabula1[Dzimtā valoda(s): '[Krievu  ']],"Jā",Tabula1[Dzimtā valoda(s): '[Ukraiņu ']],"Nē",Tabula1[Dzimtā valoda(s): '[Angļu']],"Nē",Tabula1[Dzimtā valoda(s): '[Poļu']],"Nē",Tabula1[Cik bieži izmantojat krievu valodu šajos kontekstos?  '[Sportā']],"Pāris reižu nedēļā")</f>
        <v>5</v>
      </c>
      <c r="H16">
        <f>COUNTIFS(Tabula1[City],"Rīga",Tabula1[Dzimtā valoda(s): '[Latviešu']],"Nē",Tabula1[Dzimtā valoda(s): '[Krievu  ']],"Jā",Tabula1[Dzimtā valoda(s): '[Ukraiņu ']],"Nē",Tabula1[Dzimtā valoda(s): '[Angļu']],"Nē",Tabula1[Dzimtā valoda(s): '[Poļu']],"Nē",Tabula1[Cik bieži izmantojat krievu valodu šajos kontekstos?  '[Hobijos / citās interešu grupās']],"Pāris reižu nedēļā")</f>
        <v>3</v>
      </c>
      <c r="I16">
        <f>COUNTIFS(Tabula1[City],"Rīga",Tabula1[Dzimtā valoda(s): '[Latviešu']],"Nē",Tabula1[Dzimtā valoda(s): '[Krievu  ']],"Jā",Tabula1[Dzimtā valoda(s): '[Ukraiņu ']],"Nē",Tabula1[Dzimtā valoda(s): '[Angļu']],"Nē",Tabula1[Dzimtā valoda(s): '[Poļu']],"Nē",Tabula1[Cik bieži izmantojat krievu valodu šajos kontekstos?  '[Uz ielas / veikalā utt.']],"Pāris reižu nedēļā")</f>
        <v>9</v>
      </c>
      <c r="K16" s="44" t="s">
        <v>17972</v>
      </c>
      <c r="L16">
        <f>COUNTIFS(Tabula1[City],"Daugavpils",Tabula1[Dzimtā valoda(s): '[Latviešu']],"Nē",Tabula1[Dzimtā valoda(s): '[Krievu  ']],"Jā",Tabula1[Dzimtā valoda(s): '[Ukraiņu ']],"Nē",Tabula1[Dzimtā valoda(s): '[Angļu']],"Nē",Tabula1[Dzimtā valoda(s): '[Poļu']],"Nē",Tabula1[Cik bieži izmantojat krievu valodu šajos kontekstos?  '[Ģimenē']],"Pāris reižu nedēļā")</f>
        <v>0</v>
      </c>
      <c r="M16">
        <f>COUNTIFS(Tabula1[City],"Daugavpils",Tabula1[Dzimtā valoda(s): '[Latviešu']],"Nē",Tabula1[Dzimtā valoda(s): '[Krievu  ']],"Jā",Tabula1[Dzimtā valoda(s): '[Ukraiņu ']],"Nē",Tabula1[Dzimtā valoda(s): '[Angļu']],"Nē",Tabula1[Dzimtā valoda(s): '[Poļu']],"Nē",Tabula1[Cik bieži izmantojat krievu valodu šajos kontekstos?  '[Skolā (ārpus nodarbībām)']],"Pāris reižu nedēļā")</f>
        <v>2</v>
      </c>
      <c r="N16">
        <f>COUNTIFS(Tabula1[City],"Daugavpils",Tabula1[Dzimtā valoda(s): '[Latviešu']],"Nē",Tabula1[Dzimtā valoda(s): '[Krievu  ']],"Jā",Tabula1[Dzimtā valoda(s): '[Ukraiņu ']],"Nē",Tabula1[Dzimtā valoda(s): '[Angļu']],"Nē",Tabula1[Dzimtā valoda(s): '[Poļu']],"Nē",Tabula1[Cik bieži izmantojat krievu valodu šajos kontekstos?  '[Darbā']],"Pāris reižu nedēļā")</f>
        <v>2</v>
      </c>
      <c r="O16">
        <f>COUNTIFS(Tabula1[City],"Daugavpils",Tabula1[Dzimtā valoda(s): '[Latviešu']],"Nē",Tabula1[Dzimtā valoda(s): '[Krievu  ']],"Jā",Tabula1[Dzimtā valoda(s): '[Ukraiņu ']],"Nē",Tabula1[Dzimtā valoda(s): '[Angļu']],"Nē",Tabula1[Dzimtā valoda(s): '[Poļu']],"Nē",Tabula1[Cik bieži izmantojat krievu valodu šajos kontekstos?  '[Ar draugiem']],"Pāris reižu nedēļā")</f>
        <v>3</v>
      </c>
      <c r="P16">
        <f>COUNTIFS(Tabula1[City],"Daugavpils",Tabula1[Dzimtā valoda(s): '[Latviešu']],"Nē",Tabula1[Dzimtā valoda(s): '[Krievu  ']],"Jā",Tabula1[Dzimtā valoda(s): '[Ukraiņu ']],"Nē",Tabula1[Dzimtā valoda(s): '[Angļu']],"Nē",Tabula1[Dzimtā valoda(s): '[Poļu']],"Nē",Tabula1[Cik bieži izmantojat krievu valodu šajos kontekstos?  '[Sportā']],"Pāris reižu nedēļā")</f>
        <v>2</v>
      </c>
      <c r="Q16">
        <f>COUNTIFS(Tabula1[City],"Daugavpils",Tabula1[Dzimtā valoda(s): '[Latviešu']],"Nē",Tabula1[Dzimtā valoda(s): '[Krievu  ']],"Jā",Tabula1[Dzimtā valoda(s): '[Ukraiņu ']],"Nē",Tabula1[Dzimtā valoda(s): '[Angļu']],"Nē",Tabula1[Dzimtā valoda(s): '[Poļu']],"Nē",Tabula1[Cik bieži izmantojat krievu valodu šajos kontekstos?  '[Hobijos / citās interešu grupās']],"Pāris reižu nedēļā")</f>
        <v>1</v>
      </c>
      <c r="R16">
        <f>COUNTIFS(Tabula1[City],"Daugavpils",Tabula1[Dzimtā valoda(s): '[Latviešu']],"Nē",Tabula1[Dzimtā valoda(s): '[Krievu  ']],"Jā",Tabula1[Dzimtā valoda(s): '[Ukraiņu ']],"Nē",Tabula1[Dzimtā valoda(s): '[Angļu']],"Nē",Tabula1[Dzimtā valoda(s): '[Poļu']],"Nē",Tabula1[Cik bieži izmantojat krievu valodu šajos kontekstos?  '[Uz ielas / veikalā utt.']],"Pāris reižu nedēļā")</f>
        <v>5</v>
      </c>
      <c r="T16" s="44" t="s">
        <v>17972</v>
      </c>
      <c r="U16">
        <f>COUNTIFS(Tabula1[City],"Liepāja",Tabula1[Dzimtā valoda(s): '[Latviešu']],"Nē",Tabula1[Dzimtā valoda(s): '[Krievu  ']],"Jā",Tabula1[Dzimtā valoda(s): '[Ukraiņu ']],"Nē",Tabula1[Dzimtā valoda(s): '[Angļu']],"Nē",Tabula1[Dzimtā valoda(s): '[Poļu']],"Nē",Tabula1[Cik bieži izmantojat krievu valodu šajos kontekstos?  '[Ģimenē']],"Pāris reižu nedēļā")</f>
        <v>0</v>
      </c>
      <c r="V16">
        <f>COUNTIFS(Tabula1[City],"Liepāja",Tabula1[Dzimtā valoda(s): '[Latviešu']],"Nē",Tabula1[Dzimtā valoda(s): '[Krievu  ']],"Jā",Tabula1[Dzimtā valoda(s): '[Ukraiņu ']],"Nē",Tabula1[Dzimtā valoda(s): '[Angļu']],"Nē",Tabula1[Dzimtā valoda(s): '[Poļu']],"Nē",Tabula1[Cik bieži izmantojat krievu valodu šajos kontekstos?  '[Skolā (ārpus nodarbībām)']],"Pāris reižu nedēļā")</f>
        <v>2</v>
      </c>
      <c r="W16">
        <f>COUNTIFS(Tabula1[City],"Liepāja",Tabula1[Dzimtā valoda(s): '[Latviešu']],"Nē",Tabula1[Dzimtā valoda(s): '[Krievu  ']],"Jā",Tabula1[Dzimtā valoda(s): '[Ukraiņu ']],"Nē",Tabula1[Dzimtā valoda(s): '[Angļu']],"Nē",Tabula1[Dzimtā valoda(s): '[Poļu']],"Nē",Tabula1[Cik bieži izmantojat krievu valodu šajos kontekstos?  '[Darbā']],"Pāris reižu nedēļā")</f>
        <v>1</v>
      </c>
      <c r="X16">
        <f>COUNTIFS(Tabula1[City],"Liepāja",Tabula1[Dzimtā valoda(s): '[Latviešu']],"Nē",Tabula1[Dzimtā valoda(s): '[Krievu  ']],"Jā",Tabula1[Dzimtā valoda(s): '[Ukraiņu ']],"Nē",Tabula1[Dzimtā valoda(s): '[Angļu']],"Nē",Tabula1[Dzimtā valoda(s): '[Poļu']],"Nē",Tabula1[Cik bieži izmantojat krievu valodu šajos kontekstos?  '[Ar draugiem']],"Pāris reižu nedēļā")</f>
        <v>0</v>
      </c>
      <c r="Y16">
        <f>COUNTIFS(Tabula1[City],"Liepāja",Tabula1[Dzimtā valoda(s): '[Latviešu']],"Nē",Tabula1[Dzimtā valoda(s): '[Krievu  ']],"Jā",Tabula1[Dzimtā valoda(s): '[Ukraiņu ']],"Nē",Tabula1[Dzimtā valoda(s): '[Angļu']],"Nē",Tabula1[Dzimtā valoda(s): '[Poļu']],"Nē",Tabula1[Cik bieži izmantojat krievu valodu šajos kontekstos?  '[Sportā']],"Pāris reižu nedēļā")</f>
        <v>2</v>
      </c>
      <c r="Z16">
        <f>COUNTIFS(Tabula1[City],"Liepāja",Tabula1[Dzimtā valoda(s): '[Latviešu']],"Nē",Tabula1[Dzimtā valoda(s): '[Krievu  ']],"Jā",Tabula1[Dzimtā valoda(s): '[Ukraiņu ']],"Nē",Tabula1[Dzimtā valoda(s): '[Angļu']],"Nē",Tabula1[Dzimtā valoda(s): '[Poļu']],"Nē",Tabula1[Cik bieži izmantojat krievu valodu šajos kontekstos?  '[Hobijos / citās interešu grupās']],"Pāris reižu nedēļā")</f>
        <v>2</v>
      </c>
      <c r="AA16">
        <f>COUNTIFS(Tabula1[City],"Liepāja",Tabula1[Dzimtā valoda(s): '[Latviešu']],"Nē",Tabula1[Dzimtā valoda(s): '[Krievu  ']],"Jā",Tabula1[Dzimtā valoda(s): '[Ukraiņu ']],"Nē",Tabula1[Dzimtā valoda(s): '[Angļu']],"Nē",Tabula1[Dzimtā valoda(s): '[Poļu']],"Nē",Tabula1[Cik bieži izmantojat krievu valodu šajos kontekstos?  '[Uz ielas / veikalā utt.']],"Pāris reižu nedēļā")</f>
        <v>1</v>
      </c>
    </row>
    <row r="17" spans="2:27" x14ac:dyDescent="0.3">
      <c r="B17" s="44" t="s">
        <v>17973</v>
      </c>
      <c r="C17">
        <f>COUNTIFS(Tabula1[City],"Rīga",Tabula1[Dzimtā valoda(s): '[Latviešu']],"Nē",Tabula1[Dzimtā valoda(s): '[Krievu  ']],"Jā",Tabula1[Dzimtā valoda(s): '[Ukraiņu ']],"Nē",Tabula1[Dzimtā valoda(s): '[Angļu']],"Nē",Tabula1[Dzimtā valoda(s): '[Poļu']],"Nē",Tabula1[Cik bieži izmantojat krievu valodu šajos kontekstos?  '[Ģimenē']],"Reizi nedēļā")</f>
        <v>0</v>
      </c>
      <c r="D17">
        <f>COUNTIFS(Tabula1[City],"Rīga",Tabula1[Dzimtā valoda(s): '[Latviešu']],"Nē",Tabula1[Dzimtā valoda(s): '[Krievu  ']],"Jā",Tabula1[Dzimtā valoda(s): '[Ukraiņu ']],"Nē",Tabula1[Dzimtā valoda(s): '[Angļu']],"Nē",Tabula1[Dzimtā valoda(s): '[Poļu']],"Nē",Tabula1[Cik bieži izmantojat krievu valodu šajos kontekstos?  '[Skolā (ārpus nodarbībām)']],"Reizi nedēļā")</f>
        <v>0</v>
      </c>
      <c r="E17">
        <f>COUNTIFS(Tabula1[City],"Rīga",Tabula1[Dzimtā valoda(s): '[Latviešu']],"Nē",Tabula1[Dzimtā valoda(s): '[Krievu  ']],"Jā",Tabula1[Dzimtā valoda(s): '[Ukraiņu ']],"Nē",Tabula1[Dzimtā valoda(s): '[Angļu']],"Nē",Tabula1[Dzimtā valoda(s): '[Poļu']],"Nē",Tabula1[Cik bieži izmantojat krievu valodu šajos kontekstos?  '[Darbā']],"Reizi nedēļā")</f>
        <v>4</v>
      </c>
      <c r="F17">
        <f>COUNTIFS(Tabula1[City],"Rīga",Tabula1[Dzimtā valoda(s): '[Latviešu']],"Nē",Tabula1[Dzimtā valoda(s): '[Krievu  ']],"Jā",Tabula1[Dzimtā valoda(s): '[Ukraiņu ']],"Nē",Tabula1[Dzimtā valoda(s): '[Angļu']],"Nē",Tabula1[Dzimtā valoda(s): '[Poļu']],"Nē",Tabula1[Cik bieži izmantojat krievu valodu šajos kontekstos?  '[Ar draugiem']],"Reizi nedēļā")</f>
        <v>1</v>
      </c>
      <c r="G17">
        <f>COUNTIFS(Tabula1[City],"Rīga",Tabula1[Dzimtā valoda(s): '[Latviešu']],"Nē",Tabula1[Dzimtā valoda(s): '[Krievu  ']],"Jā",Tabula1[Dzimtā valoda(s): '[Ukraiņu ']],"Nē",Tabula1[Dzimtā valoda(s): '[Angļu']],"Nē",Tabula1[Dzimtā valoda(s): '[Poļu']],"Nē",Tabula1[Cik bieži izmantojat krievu valodu šajos kontekstos?  '[Sportā']],"Reizi nedēļā")</f>
        <v>1</v>
      </c>
      <c r="H17">
        <f>COUNTIFS(Tabula1[City],"Rīga",Tabula1[Dzimtā valoda(s): '[Latviešu']],"Nē",Tabula1[Dzimtā valoda(s): '[Krievu  ']],"Jā",Tabula1[Dzimtā valoda(s): '[Ukraiņu ']],"Nē",Tabula1[Dzimtā valoda(s): '[Angļu']],"Nē",Tabula1[Dzimtā valoda(s): '[Poļu']],"Nē",Tabula1[Cik bieži izmantojat krievu valodu šajos kontekstos?  '[Hobijos / citās interešu grupās']],"Reizi nedēļā")</f>
        <v>0</v>
      </c>
      <c r="I17">
        <f>COUNTIFS(Tabula1[City],"Rīga",Tabula1[Dzimtā valoda(s): '[Latviešu']],"Nē",Tabula1[Dzimtā valoda(s): '[Krievu  ']],"Jā",Tabula1[Dzimtā valoda(s): '[Ukraiņu ']],"Nē",Tabula1[Dzimtā valoda(s): '[Angļu']],"Nē",Tabula1[Dzimtā valoda(s): '[Poļu']],"Nē",Tabula1[Cik bieži izmantojat krievu valodu šajos kontekstos?  '[Uz ielas / veikalā utt.']],"Reizi nedēļā")</f>
        <v>2</v>
      </c>
      <c r="K17" s="44" t="s">
        <v>17973</v>
      </c>
      <c r="L17">
        <f>COUNTIFS(Tabula1[City],"Daugavpils",Tabula1[Dzimtā valoda(s): '[Latviešu']],"Nē",Tabula1[Dzimtā valoda(s): '[Krievu  ']],"Jā",Tabula1[Dzimtā valoda(s): '[Ukraiņu ']],"Nē",Tabula1[Dzimtā valoda(s): '[Angļu']],"Nē",Tabula1[Dzimtā valoda(s): '[Poļu']],"Nē",Tabula1[Cik bieži izmantojat krievu valodu šajos kontekstos?  '[Ģimenē']],"Reizi nedēļā")</f>
        <v>0</v>
      </c>
      <c r="M17">
        <f>COUNTIFS(Tabula1[City],"Daugavpils",Tabula1[Dzimtā valoda(s): '[Latviešu']],"Nē",Tabula1[Dzimtā valoda(s): '[Krievu  ']],"Jā",Tabula1[Dzimtā valoda(s): '[Ukraiņu ']],"Nē",Tabula1[Dzimtā valoda(s): '[Angļu']],"Nē",Tabula1[Dzimtā valoda(s): '[Poļu']],"Nē",Tabula1[Cik bieži izmantojat krievu valodu šajos kontekstos?  '[Skolā (ārpus nodarbībām)']],"Reizi nedēļā")</f>
        <v>0</v>
      </c>
      <c r="N17">
        <f>COUNTIFS(Tabula1[City],"Daugavpils",Tabula1[Dzimtā valoda(s): '[Latviešu']],"Nē",Tabula1[Dzimtā valoda(s): '[Krievu  ']],"Jā",Tabula1[Dzimtā valoda(s): '[Ukraiņu ']],"Nē",Tabula1[Dzimtā valoda(s): '[Angļu']],"Nē",Tabula1[Dzimtā valoda(s): '[Poļu']],"Nē",Tabula1[Cik bieži izmantojat krievu valodu šajos kontekstos?  '[Darbā']],"Reizi nedēļā")</f>
        <v>1</v>
      </c>
      <c r="O17">
        <f>COUNTIFS(Tabula1[City],"Daugavpils",Tabula1[Dzimtā valoda(s): '[Latviešu']],"Nē",Tabula1[Dzimtā valoda(s): '[Krievu  ']],"Jā",Tabula1[Dzimtā valoda(s): '[Ukraiņu ']],"Nē",Tabula1[Dzimtā valoda(s): '[Angļu']],"Nē",Tabula1[Dzimtā valoda(s): '[Poļu']],"Nē",Tabula1[Cik bieži izmantojat krievu valodu šajos kontekstos?  '[Ar draugiem']],"Reizi nedēļā")</f>
        <v>0</v>
      </c>
      <c r="P17">
        <f>COUNTIFS(Tabula1[City],"Daugavpils",Tabula1[Dzimtā valoda(s): '[Latviešu']],"Nē",Tabula1[Dzimtā valoda(s): '[Krievu  ']],"Jā",Tabula1[Dzimtā valoda(s): '[Ukraiņu ']],"Nē",Tabula1[Dzimtā valoda(s): '[Angļu']],"Nē",Tabula1[Dzimtā valoda(s): '[Poļu']],"Nē",Tabula1[Cik bieži izmantojat krievu valodu šajos kontekstos?  '[Sportā']],"Reizi nedēļā")</f>
        <v>1</v>
      </c>
      <c r="Q17">
        <f>COUNTIFS(Tabula1[City],"Daugavpils",Tabula1[Dzimtā valoda(s): '[Latviešu']],"Nē",Tabula1[Dzimtā valoda(s): '[Krievu  ']],"Jā",Tabula1[Dzimtā valoda(s): '[Ukraiņu ']],"Nē",Tabula1[Dzimtā valoda(s): '[Angļu']],"Nē",Tabula1[Dzimtā valoda(s): '[Poļu']],"Nē",Tabula1[Cik bieži izmantojat krievu valodu šajos kontekstos?  '[Hobijos / citās interešu grupās']],"Reizi nedēļā")</f>
        <v>1</v>
      </c>
      <c r="R17">
        <f>COUNTIFS(Tabula1[City],"Daugavpils",Tabula1[Dzimtā valoda(s): '[Latviešu']],"Nē",Tabula1[Dzimtā valoda(s): '[Krievu  ']],"Jā",Tabula1[Dzimtā valoda(s): '[Ukraiņu ']],"Nē",Tabula1[Dzimtā valoda(s): '[Angļu']],"Nē",Tabula1[Dzimtā valoda(s): '[Poļu']],"Nē",Tabula1[Cik bieži izmantojat krievu valodu šajos kontekstos?  '[Uz ielas / veikalā utt.']],"Reizi nedēļā")</f>
        <v>1</v>
      </c>
      <c r="T17" s="44" t="s">
        <v>17973</v>
      </c>
      <c r="U17">
        <f>COUNTIFS(Tabula1[City],"Liepāja",Tabula1[Dzimtā valoda(s): '[Latviešu']],"Nē",Tabula1[Dzimtā valoda(s): '[Krievu  ']],"Jā",Tabula1[Dzimtā valoda(s): '[Ukraiņu ']],"Nē",Tabula1[Dzimtā valoda(s): '[Angļu']],"Nē",Tabula1[Dzimtā valoda(s): '[Poļu']],"Nē",Tabula1[Cik bieži izmantojat krievu valodu šajos kontekstos?  '[Ģimenē']],"Reizi nedēļā")</f>
        <v>0</v>
      </c>
      <c r="V17">
        <f>COUNTIFS(Tabula1[City],"Liepāja",Tabula1[Dzimtā valoda(s): '[Latviešu']],"Nē",Tabula1[Dzimtā valoda(s): '[Krievu  ']],"Jā",Tabula1[Dzimtā valoda(s): '[Ukraiņu ']],"Nē",Tabula1[Dzimtā valoda(s): '[Angļu']],"Nē",Tabula1[Dzimtā valoda(s): '[Poļu']],"Nē",Tabula1[Cik bieži izmantojat krievu valodu šajos kontekstos?  '[Skolā (ārpus nodarbībām)']],"Reizi nedēļā")</f>
        <v>0</v>
      </c>
      <c r="W17">
        <f>COUNTIFS(Tabula1[City],"Liepāja",Tabula1[Dzimtā valoda(s): '[Latviešu']],"Nē",Tabula1[Dzimtā valoda(s): '[Krievu  ']],"Jā",Tabula1[Dzimtā valoda(s): '[Ukraiņu ']],"Nē",Tabula1[Dzimtā valoda(s): '[Angļu']],"Nē",Tabula1[Dzimtā valoda(s): '[Poļu']],"Nē",Tabula1[Cik bieži izmantojat krievu valodu šajos kontekstos?  '[Darbā']],"Reizi nedēļā")</f>
        <v>0</v>
      </c>
      <c r="X17">
        <v>0</v>
      </c>
      <c r="Y17">
        <f>COUNTIFS(Tabula1[City],"Liepāja",Tabula1[Dzimtā valoda(s): '[Latviešu']],"Nē",Tabula1[Dzimtā valoda(s): '[Krievu  ']],"Jā",Tabula1[Dzimtā valoda(s): '[Ukraiņu ']],"Nē",Tabula1[Dzimtā valoda(s): '[Angļu']],"Nē",Tabula1[Dzimtā valoda(s): '[Poļu']],"Nē",Tabula1[Cik bieži izmantojat krievu valodu šajos kontekstos?  '[Sportā']],"Reizi nedēļā")</f>
        <v>0</v>
      </c>
      <c r="Z17">
        <f>COUNTIFS(Tabula1[City],"Liepāja",Tabula1[Dzimtā valoda(s): '[Latviešu']],"Nē",Tabula1[Dzimtā valoda(s): '[Krievu  ']],"Jā",Tabula1[Dzimtā valoda(s): '[Ukraiņu ']],"Nē",Tabula1[Dzimtā valoda(s): '[Angļu']],"Nē",Tabula1[Dzimtā valoda(s): '[Poļu']],"Nē",Tabula1[Cik bieži izmantojat krievu valodu šajos kontekstos?  '[Hobijos / citās interešu grupās']],"Reizi nedēļā")</f>
        <v>0</v>
      </c>
      <c r="AA17">
        <f>COUNTIFS(Tabula1[City],"Liepāja",Tabula1[Dzimtā valoda(s): '[Latviešu']],"Nē",Tabula1[Dzimtā valoda(s): '[Krievu  ']],"Jā",Tabula1[Dzimtā valoda(s): '[Ukraiņu ']],"Nē",Tabula1[Dzimtā valoda(s): '[Angļu']],"Nē",Tabula1[Dzimtā valoda(s): '[Poļu']],"Nē",Tabula1[Cik bieži izmantojat krievu valodu šajos kontekstos?  '[Uz ielas / veikalā utt.']],"Reizi nedēļā")</f>
        <v>0</v>
      </c>
    </row>
    <row r="18" spans="2:27" x14ac:dyDescent="0.3">
      <c r="B18" s="44" t="s">
        <v>17974</v>
      </c>
      <c r="C18">
        <f>COUNTIFS(Tabula1[City],"Rīga",Tabula1[Dzimtā valoda(s): '[Latviešu']],"Nē",Tabula1[Dzimtā valoda(s): '[Krievu  ']],"Jā",Tabula1[Dzimtā valoda(s): '[Ukraiņu ']],"Nē",Tabula1[Dzimtā valoda(s): '[Angļu']],"Nē",Tabula1[Dzimtā valoda(s): '[Poļu']],"Nē",Tabula1[Cik bieži izmantojat krievu valodu šajos kontekstos?  '[Ģimenē']],"Pāris reižu mēnesī")</f>
        <v>0</v>
      </c>
      <c r="D18">
        <f>COUNTIFS(Tabula1[City],"Rīga",Tabula1[Dzimtā valoda(s): '[Latviešu']],"Nē",Tabula1[Dzimtā valoda(s): '[Krievu  ']],"Jā",Tabula1[Dzimtā valoda(s): '[Ukraiņu ']],"Nē",Tabula1[Dzimtā valoda(s): '[Angļu']],"Nē",Tabula1[Dzimtā valoda(s): '[Poļu']],"Nē",Tabula1[Cik bieži izmantojat krievu valodu šajos kontekstos?  '[Skolā (ārpus nodarbībām)']],"Pāris reižu mēnesī")</f>
        <v>0</v>
      </c>
      <c r="E18">
        <f>COUNTIFS(Tabula1[City],"Rīga",Tabula1[Dzimtā valoda(s): '[Latviešu']],"Nē",Tabula1[Dzimtā valoda(s): '[Krievu  ']],"Jā",Tabula1[Dzimtā valoda(s): '[Ukraiņu ']],"Nē",Tabula1[Dzimtā valoda(s): '[Angļu']],"Nē",Tabula1[Dzimtā valoda(s): '[Poļu']],"Nē",Tabula1[Cik bieži izmantojat krievu valodu šajos kontekstos?  '[Darbā']],"Pāris reižu mēnesī")</f>
        <v>1</v>
      </c>
      <c r="F18">
        <f>COUNTIFS(Tabula1[City],"Rīga",Tabula1[Dzimtā valoda(s): '[Latviešu']],"Nē",Tabula1[Dzimtā valoda(s): '[Krievu  ']],"Jā",Tabula1[Dzimtā valoda(s): '[Ukraiņu ']],"Nē",Tabula1[Dzimtā valoda(s): '[Angļu']],"Nē",Tabula1[Dzimtā valoda(s): '[Poļu']],"Nē",Tabula1[Cik bieži izmantojat krievu valodu šajos kontekstos?  '[Ar draugiem']],"Pāris reižu mēnesī")</f>
        <v>0</v>
      </c>
      <c r="G18">
        <f>COUNTIFS(Tabula1[City],"Rīga",Tabula1[Dzimtā valoda(s): '[Latviešu']],"Nē",Tabula1[Dzimtā valoda(s): '[Krievu  ']],"Jā",Tabula1[Dzimtā valoda(s): '[Ukraiņu ']],"Nē",Tabula1[Dzimtā valoda(s): '[Angļu']],"Nē",Tabula1[Dzimtā valoda(s): '[Poļu']],"Nē",Tabula1[Cik bieži izmantojat krievu valodu šajos kontekstos?  '[Sportā']],"Pāris reižu mēnesī")</f>
        <v>0</v>
      </c>
      <c r="H18">
        <f>COUNTIFS(Tabula1[City],"Rīga",Tabula1[Dzimtā valoda(s): '[Latviešu']],"Nē",Tabula1[Dzimtā valoda(s): '[Krievu  ']],"Jā",Tabula1[Dzimtā valoda(s): '[Ukraiņu ']],"Nē",Tabula1[Dzimtā valoda(s): '[Angļu']],"Nē",Tabula1[Dzimtā valoda(s): '[Poļu']],"Nē",Tabula1[Cik bieži izmantojat krievu valodu šajos kontekstos?  '[Hobijos / citās interešu grupās']],"Pāris reižu mēnesī")</f>
        <v>0</v>
      </c>
      <c r="I18">
        <f>COUNTIFS(Tabula1[City],"Rīga",Tabula1[Dzimtā valoda(s): '[Latviešu']],"Nē",Tabula1[Dzimtā valoda(s): '[Krievu  ']],"Jā",Tabula1[Dzimtā valoda(s): '[Ukraiņu ']],"Nē",Tabula1[Dzimtā valoda(s): '[Angļu']],"Nē",Tabula1[Dzimtā valoda(s): '[Poļu']],"Nē",Tabula1[Cik bieži izmantojat krievu valodu šajos kontekstos?  '[Uz ielas / veikalā utt.']],"Pāris reižu mēnesī")</f>
        <v>1</v>
      </c>
      <c r="K18" s="44" t="s">
        <v>17974</v>
      </c>
      <c r="L18">
        <f>COUNTIFS(Tabula1[City],"Daugavpils",Tabula1[Dzimtā valoda(s): '[Latviešu']],"Nē",Tabula1[Dzimtā valoda(s): '[Krievu  ']],"Jā",Tabula1[Dzimtā valoda(s): '[Ukraiņu ']],"Nē",Tabula1[Dzimtā valoda(s): '[Angļu']],"Nē",Tabula1[Dzimtā valoda(s): '[Poļu']],"Nē",Tabula1[Cik bieži izmantojat krievu valodu šajos kontekstos?  '[Ģimenē']],"Pāris reižu mēnesī")</f>
        <v>0</v>
      </c>
      <c r="M18">
        <f>COUNTIFS(Tabula1[City],"Daugavpils",Tabula1[Dzimtā valoda(s): '[Latviešu']],"Nē",Tabula1[Dzimtā valoda(s): '[Krievu  ']],"Jā",Tabula1[Dzimtā valoda(s): '[Ukraiņu ']],"Nē",Tabula1[Dzimtā valoda(s): '[Angļu']],"Nē",Tabula1[Dzimtā valoda(s): '[Poļu']],"Nē",Tabula1[Cik bieži izmantojat krievu valodu šajos kontekstos?  '[Skolā (ārpus nodarbībām)']],"Pāris reižu mēnesī")</f>
        <v>1</v>
      </c>
      <c r="N18">
        <f>COUNTIFS(Tabula1[City],"Daugavpils",Tabula1[Dzimtā valoda(s): '[Latviešu']],"Nē",Tabula1[Dzimtā valoda(s): '[Krievu  ']],"Jā",Tabula1[Dzimtā valoda(s): '[Ukraiņu ']],"Nē",Tabula1[Dzimtā valoda(s): '[Angļu']],"Nē",Tabula1[Dzimtā valoda(s): '[Poļu']],"Nē",Tabula1[Cik bieži izmantojat krievu valodu šajos kontekstos?  '[Darbā']],"Pāris reižu mēnesī")</f>
        <v>0</v>
      </c>
      <c r="O18">
        <f>COUNTIFS(Tabula1[City],"Daugavpils",Tabula1[Dzimtā valoda(s): '[Latviešu']],"Nē",Tabula1[Dzimtā valoda(s): '[Krievu  ']],"Jā",Tabula1[Dzimtā valoda(s): '[Ukraiņu ']],"Nē",Tabula1[Dzimtā valoda(s): '[Angļu']],"Nē",Tabula1[Dzimtā valoda(s): '[Poļu']],"Nē",Tabula1[Cik bieži izmantojat krievu valodu šajos kontekstos?  '[Ar draugiem']],"Pāris reižu mēnesī")</f>
        <v>0</v>
      </c>
      <c r="P18">
        <f>COUNTIFS(Tabula1[City],"Daugavpils",Tabula1[Dzimtā valoda(s): '[Latviešu']],"Nē",Tabula1[Dzimtā valoda(s): '[Krievu  ']],"Jā",Tabula1[Dzimtā valoda(s): '[Ukraiņu ']],"Nē",Tabula1[Dzimtā valoda(s): '[Angļu']],"Nē",Tabula1[Dzimtā valoda(s): '[Poļu']],"Nē",Tabula1[Cik bieži izmantojat krievu valodu šajos kontekstos?  '[Sportā']],"Pāris reižu mēnesī")</f>
        <v>1</v>
      </c>
      <c r="Q18">
        <f>COUNTIFS(Tabula1[City],"Daugavpils",Tabula1[Dzimtā valoda(s): '[Latviešu']],"Nē",Tabula1[Dzimtā valoda(s): '[Krievu  ']],"Jā",Tabula1[Dzimtā valoda(s): '[Ukraiņu ']],"Nē",Tabula1[Dzimtā valoda(s): '[Angļu']],"Nē",Tabula1[Dzimtā valoda(s): '[Poļu']],"Nē",Tabula1[Cik bieži izmantojat krievu valodu šajos kontekstos?  '[Hobijos / citās interešu grupās']],"Pāris reižu mēnesī")</f>
        <v>1</v>
      </c>
      <c r="R18">
        <f>COUNTIFS(Tabula1[City],"Daugavpils",Tabula1[Dzimtā valoda(s): '[Latviešu']],"Nē",Tabula1[Dzimtā valoda(s): '[Krievu  ']],"Jā",Tabula1[Dzimtā valoda(s): '[Ukraiņu ']],"Nē",Tabula1[Dzimtā valoda(s): '[Angļu']],"Nē",Tabula1[Dzimtā valoda(s): '[Poļu']],"Nē",Tabula1[Cik bieži izmantojat krievu valodu šajos kontekstos?  '[Uz ielas / veikalā utt.']],"Pāris reižu mēnesī")</f>
        <v>2</v>
      </c>
      <c r="T18" s="44" t="s">
        <v>17974</v>
      </c>
      <c r="U18">
        <f>COUNTIFS(Tabula1[City],"Liepāja",Tabula1[Dzimtā valoda(s): '[Latviešu']],"Nē",Tabula1[Dzimtā valoda(s): '[Krievu  ']],"Jā",Tabula1[Dzimtā valoda(s): '[Ukraiņu ']],"Nē",Tabula1[Dzimtā valoda(s): '[Angļu']],"Nē",Tabula1[Dzimtā valoda(s): '[Poļu']],"Nē",Tabula1[Cik bieži izmantojat krievu valodu šajos kontekstos?  '[Ģimenē']],"Pāris reižu mēnesī")</f>
        <v>0</v>
      </c>
      <c r="V18">
        <f>COUNTIFS(Tabula1[City],"Liepāja",Tabula1[Dzimtā valoda(s): '[Latviešu']],"Nē",Tabula1[Dzimtā valoda(s): '[Krievu  ']],"Jā",Tabula1[Dzimtā valoda(s): '[Ukraiņu ']],"Nē",Tabula1[Dzimtā valoda(s): '[Angļu']],"Nē",Tabula1[Dzimtā valoda(s): '[Poļu']],"Nē",Tabula1[Cik bieži izmantojat krievu valodu šajos kontekstos?  '[Skolā (ārpus nodarbībām)']],"Pāris reižu mēnesī")</f>
        <v>0</v>
      </c>
      <c r="W18">
        <f>COUNTIFS(Tabula1[City],"Liepāja",Tabula1[Dzimtā valoda(s): '[Latviešu']],"Nē",Tabula1[Dzimtā valoda(s): '[Krievu  ']],"Jā",Tabula1[Dzimtā valoda(s): '[Ukraiņu ']],"Nē",Tabula1[Dzimtā valoda(s): '[Angļu']],"Nē",Tabula1[Dzimtā valoda(s): '[Poļu']],"Nē",Tabula1[Cik bieži izmantojat krievu valodu šajos kontekstos?  '[Darbā']],"Pāris reižu mēnesī")</f>
        <v>1</v>
      </c>
      <c r="X18">
        <v>0</v>
      </c>
      <c r="Y18">
        <f>COUNTIFS(Tabula1[City],"Liepāja",Tabula1[Dzimtā valoda(s): '[Latviešu']],"Nē",Tabula1[Dzimtā valoda(s): '[Krievu  ']],"Jā",Tabula1[Dzimtā valoda(s): '[Ukraiņu ']],"Nē",Tabula1[Dzimtā valoda(s): '[Angļu']],"Nē",Tabula1[Dzimtā valoda(s): '[Poļu']],"Nē",Tabula1[Cik bieži izmantojat krievu valodu šajos kontekstos?  '[Sportā']],"Pāris reižu mēnesī")</f>
        <v>1</v>
      </c>
      <c r="Z18">
        <f>COUNTIFS(Tabula1[City],"Liepāja",Tabula1[Dzimtā valoda(s): '[Latviešu']],"Nē",Tabula1[Dzimtā valoda(s): '[Krievu  ']],"Jā",Tabula1[Dzimtā valoda(s): '[Ukraiņu ']],"Nē",Tabula1[Dzimtā valoda(s): '[Angļu']],"Nē",Tabula1[Dzimtā valoda(s): '[Poļu']],"Nē",Tabula1[Cik bieži izmantojat krievu valodu šajos kontekstos?  '[Hobijos / citās interešu grupās']],"Pāris reižu mēnesī")</f>
        <v>0</v>
      </c>
      <c r="AA18">
        <f>COUNTIFS(Tabula1[City],"Liepāja",Tabula1[Dzimtā valoda(s): '[Latviešu']],"Nē",Tabula1[Dzimtā valoda(s): '[Krievu  ']],"Jā",Tabula1[Dzimtā valoda(s): '[Ukraiņu ']],"Nē",Tabula1[Dzimtā valoda(s): '[Angļu']],"Nē",Tabula1[Dzimtā valoda(s): '[Poļu']],"Nē",Tabula1[Cik bieži izmantojat krievu valodu šajos kontekstos?  '[Uz ielas / veikalā utt.']],"Pāris reižu mēnesī")</f>
        <v>3</v>
      </c>
    </row>
    <row r="19" spans="2:27" x14ac:dyDescent="0.3">
      <c r="B19" s="44" t="s">
        <v>17975</v>
      </c>
      <c r="C19">
        <f>COUNTIFS(Tabula1[City],"Rīga",Tabula1[Dzimtā valoda(s): '[Latviešu']],"Nē",Tabula1[Dzimtā valoda(s): '[Krievu  ']],"Jā",Tabula1[Dzimtā valoda(s): '[Ukraiņu ']],"Nē",Tabula1[Dzimtā valoda(s): '[Angļu']],"Nē",Tabula1[Dzimtā valoda(s): '[Poļu']],"Nē",Tabula1[Cik bieži izmantojat krievu valodu šajos kontekstos?  '[Ģimenē']],"(Gandrīz) nekad")</f>
        <v>1</v>
      </c>
      <c r="D19">
        <f>COUNTIFS(Tabula1[City],"Rīga",Tabula1[Dzimtā valoda(s): '[Latviešu']],"Nē",Tabula1[Dzimtā valoda(s): '[Krievu  ']],"Jā",Tabula1[Dzimtā valoda(s): '[Ukraiņu ']],"Nē",Tabula1[Dzimtā valoda(s): '[Angļu']],"Nē",Tabula1[Dzimtā valoda(s): '[Poļu']],"Nē",Tabula1[Cik bieži izmantojat krievu valodu šajos kontekstos?  '[Skolā (ārpus nodarbībām)']],"(Gandrīz) nekad")</f>
        <v>1</v>
      </c>
      <c r="E19">
        <f>COUNTIFS(Tabula1[City],"Rīga",Tabula1[Dzimtā valoda(s): '[Latviešu']],"Nē",Tabula1[Dzimtā valoda(s): '[Krievu  ']],"Jā",Tabula1[Dzimtā valoda(s): '[Ukraiņu ']],"Nē",Tabula1[Dzimtā valoda(s): '[Angļu']],"Nē",Tabula1[Dzimtā valoda(s): '[Poļu']],"Nē",Tabula1[Cik bieži izmantojat krievu valodu šajos kontekstos?  '[Darbā']],"(Gandrīz) nekad")</f>
        <v>5</v>
      </c>
      <c r="F19">
        <f>COUNTIFS(Tabula1[City],"Rīga",Tabula1[Dzimtā valoda(s): '[Latviešu']],"Nē",Tabula1[Dzimtā valoda(s): '[Krievu  ']],"Jā",Tabula1[Dzimtā valoda(s): '[Ukraiņu ']],"Nē",Tabula1[Dzimtā valoda(s): '[Angļu']],"Nē",Tabula1[Dzimtā valoda(s): '[Poļu']],"Nē",Tabula1[Cik bieži izmantojat krievu valodu šajos kontekstos?  '[Ar draugiem']],"(Gandrīz) nekad")</f>
        <v>1</v>
      </c>
      <c r="G19">
        <f>COUNTIFS(Tabula1[City],"Rīga",Tabula1[Dzimtā valoda(s): '[Latviešu']],"Nē",Tabula1[Dzimtā valoda(s): '[Krievu  ']],"Jā",Tabula1[Dzimtā valoda(s): '[Ukraiņu ']],"Nē",Tabula1[Dzimtā valoda(s): '[Angļu']],"Nē",Tabula1[Dzimtā valoda(s): '[Poļu']],"Nē",Tabula1[Cik bieži izmantojat krievu valodu šajos kontekstos?  '[Sportā']],"(Gandrīz) nekad")</f>
        <v>3</v>
      </c>
      <c r="H19">
        <f>COUNTIFS(Tabula1[City],"Rīga",Tabula1[Dzimtā valoda(s): '[Latviešu']],"Nē",Tabula1[Dzimtā valoda(s): '[Krievu  ']],"Jā",Tabula1[Dzimtā valoda(s): '[Ukraiņu ']],"Nē",Tabula1[Dzimtā valoda(s): '[Angļu']],"Nē",Tabula1[Dzimtā valoda(s): '[Poļu']],"Nē",Tabula1[Cik bieži izmantojat krievu valodu šajos kontekstos?  '[Hobijos / citās interešu grupās']],"(Gandrīz) nekad")</f>
        <v>1</v>
      </c>
      <c r="I19">
        <f>COUNTIFS(Tabula1[City],"Rīga",Tabula1[Dzimtā valoda(s): '[Latviešu']],"Nē",Tabula1[Dzimtā valoda(s): '[Krievu  ']],"Jā",Tabula1[Dzimtā valoda(s): '[Ukraiņu ']],"Nē",Tabula1[Dzimtā valoda(s): '[Angļu']],"Nē",Tabula1[Dzimtā valoda(s): '[Poļu']],"Nē",Tabula1[Cik bieži izmantojat krievu valodu šajos kontekstos?  '[Uz ielas / veikalā utt.']],"(Gandrīz) nekad")</f>
        <v>3</v>
      </c>
      <c r="K19" s="44" t="s">
        <v>17975</v>
      </c>
      <c r="L19">
        <f>COUNTIFS(Tabula1[City],"Daugavpils",Tabula1[Dzimtā valoda(s): '[Latviešu']],"Nē",Tabula1[Dzimtā valoda(s): '[Krievu  ']],"Jā",Tabula1[Dzimtā valoda(s): '[Ukraiņu ']],"Nē",Tabula1[Dzimtā valoda(s): '[Angļu']],"Nē",Tabula1[Dzimtā valoda(s): '[Poļu']],"Nē",Tabula1[Cik bieži izmantojat krievu valodu šajos kontekstos?  '[Ģimenē']],"(Gandrīz) nekad")</f>
        <v>2</v>
      </c>
      <c r="M19">
        <f>COUNTIFS(Tabula1[City],"Daugavpils",Tabula1[Dzimtā valoda(s): '[Latviešu']],"Nē",Tabula1[Dzimtā valoda(s): '[Krievu  ']],"Jā",Tabula1[Dzimtā valoda(s): '[Ukraiņu ']],"Nē",Tabula1[Dzimtā valoda(s): '[Angļu']],"Nē",Tabula1[Dzimtā valoda(s): '[Poļu']],"Nē",Tabula1[Cik bieži izmantojat krievu valodu šajos kontekstos?  '[Skolā (ārpus nodarbībām)']],"(Gandrīz) nekad")</f>
        <v>2</v>
      </c>
      <c r="N19">
        <f>COUNTIFS(Tabula1[City],"Daugavpils",Tabula1[Dzimtā valoda(s): '[Latviešu']],"Nē",Tabula1[Dzimtā valoda(s): '[Krievu  ']],"Jā",Tabula1[Dzimtā valoda(s): '[Ukraiņu ']],"Nē",Tabula1[Dzimtā valoda(s): '[Angļu']],"Nē",Tabula1[Dzimtā valoda(s): '[Poļu']],"Nē",Tabula1[Cik bieži izmantojat krievu valodu šajos kontekstos?  '[Darbā']],"(Gandrīz) nekad")</f>
        <v>10</v>
      </c>
      <c r="O19">
        <f>COUNTIFS(Tabula1[City],"Daugavpils",Tabula1[Dzimtā valoda(s): '[Latviešu']],"Nē",Tabula1[Dzimtā valoda(s): '[Krievu  ']],"Jā",Tabula1[Dzimtā valoda(s): '[Ukraiņu ']],"Nē",Tabula1[Dzimtā valoda(s): '[Angļu']],"Nē",Tabula1[Dzimtā valoda(s): '[Poļu']],"Nē",Tabula1[Cik bieži izmantojat krievu valodu šajos kontekstos?  '[Ar draugiem']],"(Gandrīz) nekad")</f>
        <v>1</v>
      </c>
      <c r="P19">
        <f>COUNTIFS(Tabula1[City],"Daugavpils",Tabula1[Dzimtā valoda(s): '[Latviešu']],"Nē",Tabula1[Dzimtā valoda(s): '[Krievu  ']],"Jā",Tabula1[Dzimtā valoda(s): '[Ukraiņu ']],"Nē",Tabula1[Dzimtā valoda(s): '[Angļu']],"Nē",Tabula1[Dzimtā valoda(s): '[Poļu']],"Nē",Tabula1[Cik bieži izmantojat krievu valodu šajos kontekstos?  '[Sportā']],"(Gandrīz) nekad")</f>
        <v>4</v>
      </c>
      <c r="Q19">
        <f>COUNTIFS(Tabula1[City],"Daugavpils",Tabula1[Dzimtā valoda(s): '[Latviešu']],"Nē",Tabula1[Dzimtā valoda(s): '[Krievu  ']],"Jā",Tabula1[Dzimtā valoda(s): '[Ukraiņu ']],"Nē",Tabula1[Dzimtā valoda(s): '[Angļu']],"Nē",Tabula1[Dzimtā valoda(s): '[Poļu']],"Nē",Tabula1[Cik bieži izmantojat krievu valodu šajos kontekstos?  '[Hobijos / citās interešu grupās']],"(Gandrīz) nekad")</f>
        <v>1</v>
      </c>
      <c r="R19">
        <f>COUNTIFS(Tabula1[City],"Daugavpils",Tabula1[Dzimtā valoda(s): '[Latviešu']],"Nē",Tabula1[Dzimtā valoda(s): '[Krievu  ']],"Jā",Tabula1[Dzimtā valoda(s): '[Ukraiņu ']],"Nē",Tabula1[Dzimtā valoda(s): '[Angļu']],"Nē",Tabula1[Dzimtā valoda(s): '[Poļu']],"Nē",Tabula1[Cik bieži izmantojat krievu valodu šajos kontekstos?  '[Uz ielas / veikalā utt.']],"(Gandrīz) nekad")</f>
        <v>0</v>
      </c>
      <c r="T19" s="44" t="s">
        <v>17975</v>
      </c>
      <c r="U19">
        <f>COUNTIFS(Tabula1[City],"Liepāja",Tabula1[Dzimtā valoda(s): '[Latviešu']],"Nē",Tabula1[Dzimtā valoda(s): '[Krievu  ']],"Jā",Tabula1[Dzimtā valoda(s): '[Ukraiņu ']],"Nē",Tabula1[Dzimtā valoda(s): '[Angļu']],"Nē",Tabula1[Dzimtā valoda(s): '[Poļu']],"Nē",Tabula1[Cik bieži izmantojat krievu valodu šajos kontekstos?  '[Ģimenē']],"(Gandrīz) nekad")</f>
        <v>0</v>
      </c>
      <c r="V19">
        <f>COUNTIFS(Tabula1[City],"Liepāja",Tabula1[Dzimtā valoda(s): '[Latviešu']],"Nē",Tabula1[Dzimtā valoda(s): '[Krievu  ']],"Jā",Tabula1[Dzimtā valoda(s): '[Ukraiņu ']],"Nē",Tabula1[Dzimtā valoda(s): '[Angļu']],"Nē",Tabula1[Dzimtā valoda(s): '[Poļu']],"Nē",Tabula1[Cik bieži izmantojat krievu valodu šajos kontekstos?  '[Skolā (ārpus nodarbībām)']],"(Gandrīz) nekad")</f>
        <v>0</v>
      </c>
      <c r="W19">
        <f>COUNTIFS(Tabula1[City],"Liepāja",Tabula1[Dzimtā valoda(s): '[Latviešu']],"Nē",Tabula1[Dzimtā valoda(s): '[Krievu  ']],"Jā",Tabula1[Dzimtā valoda(s): '[Ukraiņu ']],"Nē",Tabula1[Dzimtā valoda(s): '[Angļu']],"Nē",Tabula1[Dzimtā valoda(s): '[Poļu']],"Nē",Tabula1[Cik bieži izmantojat krievu valodu šajos kontekstos?  '[Darbā']],"(Gandrīz) nekad")</f>
        <v>13</v>
      </c>
      <c r="X19">
        <v>0</v>
      </c>
      <c r="Y19">
        <f>COUNTIFS(Tabula1[City],"Liepāja",Tabula1[Dzimtā valoda(s): '[Latviešu']],"Nē",Tabula1[Dzimtā valoda(s): '[Krievu  ']],"Jā",Tabula1[Dzimtā valoda(s): '[Ukraiņu ']],"Nē",Tabula1[Dzimtā valoda(s): '[Angļu']],"Nē",Tabula1[Dzimtā valoda(s): '[Poļu']],"Nē",Tabula1[Cik bieži izmantojat krievu valodu šajos kontekstos?  '[Sportā']],"(Gandrīz) nekad")</f>
        <v>3</v>
      </c>
      <c r="Z19">
        <v>0</v>
      </c>
      <c r="AA19">
        <f>COUNTIFS(Tabula1[City],"Liepāja",Tabula1[Dzimtā valoda(s): '[Latviešu']],"Nē",Tabula1[Dzimtā valoda(s): '[Krievu  ']],"Jā",Tabula1[Dzimtā valoda(s): '[Ukraiņu ']],"Nē",Tabula1[Dzimtā valoda(s): '[Angļu']],"Nē",Tabula1[Dzimtā valoda(s): '[Poļu']],"Nē",Tabula1[Cik bieži izmantojat krievu valodu šajos kontekstos?  '[Uz ielas / veikalā utt.']],"(Gandrīz) nekad")</f>
        <v>2</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90A25-5C84-4BF0-88C8-EBBFEF45A540}">
  <dimension ref="A2:I17"/>
  <sheetViews>
    <sheetView tabSelected="1" workbookViewId="0">
      <selection activeCell="L10" sqref="L10"/>
    </sheetView>
  </sheetViews>
  <sheetFormatPr defaultRowHeight="14.4" x14ac:dyDescent="0.3"/>
  <sheetData>
    <row r="2" spans="1:9" x14ac:dyDescent="0.3">
      <c r="A2" s="120" t="s">
        <v>17970</v>
      </c>
    </row>
    <row r="3" spans="1:9" x14ac:dyDescent="0.3">
      <c r="A3" s="121" t="s">
        <v>18206</v>
      </c>
      <c r="H3" s="121" t="s">
        <v>18207</v>
      </c>
    </row>
    <row r="4" spans="1:9" x14ac:dyDescent="0.3">
      <c r="A4" s="120" t="s">
        <v>18085</v>
      </c>
      <c r="B4">
        <f>COUNTIFS(Kopējie!M2:M340,"Jā",Kopējie!N2:N340,"Nē",Kopējie!O2:O340,"Nē",Kopējie!P2:P340,"Nē",Kopējie!Q2:Q340,"Nē",Kopējie!DD2:DD340,"Bieži")</f>
        <v>16</v>
      </c>
      <c r="H4" s="120" t="s">
        <v>18085</v>
      </c>
      <c r="I4">
        <f>COUNTIFS(Kopējie!M2:M340,"Nē",Kopējie!N2:N340,"Jā",Kopējie!O2:O340,"Nē",Kopējie!P2:P340,"Nē",Kopējie!Q2:Q340,"Nē",Kopējie!DI2:DI340,"Bieži")</f>
        <v>20</v>
      </c>
    </row>
    <row r="5" spans="1:9" x14ac:dyDescent="0.3">
      <c r="A5" s="120" t="s">
        <v>18084</v>
      </c>
      <c r="B5">
        <f>COUNTIFS(Kopējie!M2:M340,"Jā",Kopējie!N2:N340,"Nē",Kopējie!O2:O340,"Nē",Kopējie!P2:P340,"Nē",Kopējie!Q2:Q340,"Nē",Kopējie!DD2:DD340,"Dažreiz")</f>
        <v>25</v>
      </c>
      <c r="H5" s="120" t="s">
        <v>18084</v>
      </c>
      <c r="I5">
        <f>COUNTIFS(Kopējie!M2:M340,"Nē",Kopējie!N2:N340,"Jā",Kopējie!O2:O340,"Nē",Kopējie!P2:P340,"Nē",Kopējie!Q2:Q340,"Nē",Kopējie!DI2:DI340,"Dažreiz")</f>
        <v>27</v>
      </c>
    </row>
    <row r="6" spans="1:9" x14ac:dyDescent="0.3">
      <c r="A6" s="120" t="s">
        <v>18083</v>
      </c>
      <c r="B6">
        <f>COUNTIFS(Kopējie!M2:M340,"Jā",Kopējie!N2:N340,"Nē",Kopējie!O2:O340,"Nē",Kopējie!P2:P340,"Nē",Kopējie!Q2:Q340,"Nē",Kopējie!DD2:DD340,"Reti")</f>
        <v>20</v>
      </c>
      <c r="H6" s="120" t="s">
        <v>18083</v>
      </c>
      <c r="I6">
        <f>COUNTIFS(Kopējie!M2:M340,"Nē",Kopējie!N2:N340,"Jā",Kopējie!O2:O340,"Nē",Kopējie!P2:P340,"Nē",Kopējie!Q2:Q340,"Nē",Kopējie!DI2:DI340,"Reti")</f>
        <v>24</v>
      </c>
    </row>
    <row r="7" spans="1:9" x14ac:dyDescent="0.3">
      <c r="A7" s="120" t="s">
        <v>18082</v>
      </c>
      <c r="B7">
        <f>COUNTIFS(Kopējie!M2:M340,"Jā",Kopējie!N2:N340,"Nē",Kopējie!O2:O340,"Nē",Kopējie!P2:P340,"Nē",Kopējie!Q2:Q340,"Nē",Kopējie!DD2:DD340,"(Gandrīz) nekad")</f>
        <v>58</v>
      </c>
      <c r="H7" s="120" t="s">
        <v>18082</v>
      </c>
      <c r="I7">
        <f>COUNTIFS(Kopējie!M2:M340,"Nē",Kopējie!N2:N340,"Jā",Kopējie!O2:O340,"Nē",Kopējie!P2:P340,"Nē",Kopējie!Q2:Q340,"Nē",Kopējie!DI2:DI340,"(Gandrīz) nekad")</f>
        <v>38</v>
      </c>
    </row>
    <row r="8" spans="1:9" x14ac:dyDescent="0.3">
      <c r="A8" s="120" t="s">
        <v>17988</v>
      </c>
      <c r="B8">
        <v>6</v>
      </c>
      <c r="H8" s="120" t="s">
        <v>17988</v>
      </c>
      <c r="I8">
        <f>COUNTIFS(Kopējie!M2:M340,"Nē",Kopējie!N2:N340,"Jā",Kopējie!O2:O340,"Nē",Kopējie!P2:P340,"Nē",Kopējie!Q2:Q340,"Nē",Kopējie!DI2:DI340,"Nezinu")</f>
        <v>1</v>
      </c>
    </row>
    <row r="11" spans="1:9" x14ac:dyDescent="0.3">
      <c r="A11" s="120" t="s">
        <v>18208</v>
      </c>
    </row>
    <row r="12" spans="1:9" x14ac:dyDescent="0.3">
      <c r="A12" s="121" t="s">
        <v>18206</v>
      </c>
      <c r="H12" s="121" t="s">
        <v>18207</v>
      </c>
    </row>
    <row r="13" spans="1:9" x14ac:dyDescent="0.3">
      <c r="A13" s="120" t="s">
        <v>18085</v>
      </c>
      <c r="B13">
        <f>COUNTIFS(Kopējie!M2:M349,"Jā",Kopējie!N2:N349,"Nē",Kopējie!O2:O349,"Nē",Kopējie!P2:P349,"Nē",Kopējie!Q2:Q349,"Nē",Kopējie!DA2:DA349,"Bieži")</f>
        <v>4</v>
      </c>
      <c r="H13" s="120" t="s">
        <v>18085</v>
      </c>
      <c r="I13">
        <f>COUNTIFS(Kopējie!M2:M349,"Nē",Kopējie!N2:N349,"Jā",Kopējie!O2:O349,"Nē",Kopējie!P2:P349,"Nē",Kopējie!Q2:Q349,"Nē",Kopējie!DF2:DF349,"Bieži")</f>
        <v>20</v>
      </c>
    </row>
    <row r="14" spans="1:9" x14ac:dyDescent="0.3">
      <c r="A14" s="120" t="s">
        <v>18084</v>
      </c>
      <c r="B14">
        <f>COUNTIFS(Kopējie!M2:M349,"Jā",Kopējie!N2:N349,"Nē",Kopējie!O2:O349,"Nē",Kopējie!P2:P349,"Nē",Kopējie!Q2:Q349,"Nē",Kopējie!DA2:DA349,"Dažreiz")</f>
        <v>3</v>
      </c>
      <c r="H14" s="120" t="s">
        <v>18084</v>
      </c>
      <c r="I14">
        <f>COUNTIFS(Kopējie!M2:M349,"Nē",Kopējie!N2:N349,"Jā",Kopējie!O2:O349,"Nē",Kopējie!P2:P349,"Nē",Kopējie!Q2:Q349,"Nē",Kopējie!DF2:DF349,"Dažreiz")</f>
        <v>25</v>
      </c>
    </row>
    <row r="15" spans="1:9" x14ac:dyDescent="0.3">
      <c r="A15" s="120" t="s">
        <v>18083</v>
      </c>
      <c r="B15">
        <f>COUNTIFS(Kopējie!M2:M349,"Jā",Kopējie!N2:N349,"Nē",Kopējie!O2:O349,"Nē",Kopējie!P2:P349,"Nē",Kopējie!Q2:Q349,"Nē",Kopējie!DA2:DA349,"Reti")</f>
        <v>19</v>
      </c>
      <c r="H15" s="120" t="s">
        <v>18083</v>
      </c>
      <c r="I15">
        <f>COUNTIFS(Kopējie!M2:M349,"Nē",Kopējie!N2:N349,"Jā",Kopējie!O2:O349,"Nē",Kopējie!P2:P349,"Nē",Kopējie!Q2:Q349,"Nē",Kopējie!DF2:DF349,"Reti")</f>
        <v>23</v>
      </c>
    </row>
    <row r="16" spans="1:9" x14ac:dyDescent="0.3">
      <c r="A16" s="120" t="s">
        <v>18082</v>
      </c>
      <c r="B16">
        <f>COUNTIFS(Kopējie!M2:M349,"Jā",Kopējie!N2:N349,"Nē",Kopējie!O2:O349,"Nē",Kopējie!P2:P349,"Nē",Kopējie!Q2:Q349,"Nē",Kopējie!DA2:DA349,"(Gandrīz) nekad")</f>
        <v>95</v>
      </c>
      <c r="H16" s="120" t="s">
        <v>18082</v>
      </c>
      <c r="I16">
        <f>COUNTIFS(Kopējie!M2:M349,"Nē",Kopējie!N2:N349,"Jā",Kopējie!O2:O349,"Nē",Kopējie!P2:P349,"Nē",Kopējie!Q2:Q349,"Nē",Kopējie!DF2:DF349,"(Gandrīz) nekad")</f>
        <v>41</v>
      </c>
    </row>
    <row r="17" spans="1:9" x14ac:dyDescent="0.3">
      <c r="A17" s="120" t="s">
        <v>17988</v>
      </c>
      <c r="B17">
        <v>4</v>
      </c>
      <c r="H17" s="120" t="s">
        <v>17988</v>
      </c>
      <c r="I17">
        <f>COUNTIFS(Kopējie!M2:M349,"Nē",Kopējie!N2:N349,"Jā",Kopējie!O2:O349,"Nē",Kopējie!P2:P349,"Nē",Kopējie!Q2:Q349,"Nē",Kopējie!DF2:DF349,"Nezinu")</f>
        <v>1</v>
      </c>
    </row>
  </sheetData>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EE000-B840-4F00-9AAB-608073AA296D}">
  <dimension ref="A2:AM75"/>
  <sheetViews>
    <sheetView topLeftCell="Q1" workbookViewId="0">
      <selection activeCell="F33" sqref="F33"/>
    </sheetView>
  </sheetViews>
  <sheetFormatPr defaultRowHeight="14.4" x14ac:dyDescent="0.3"/>
  <cols>
    <col min="1" max="1" width="16.44140625" customWidth="1"/>
  </cols>
  <sheetData>
    <row r="2" spans="1:35" x14ac:dyDescent="0.3">
      <c r="B2" s="121" t="s">
        <v>18042</v>
      </c>
      <c r="I2" s="121" t="s">
        <v>18043</v>
      </c>
      <c r="Q2" s="121" t="s">
        <v>18117</v>
      </c>
      <c r="AB2" s="121" t="s">
        <v>18044</v>
      </c>
    </row>
    <row r="3" spans="1:35" x14ac:dyDescent="0.3">
      <c r="B3" s="120" t="s">
        <v>18053</v>
      </c>
      <c r="C3" s="120"/>
      <c r="D3" s="120" t="s">
        <v>18054</v>
      </c>
      <c r="J3" s="120" t="s">
        <v>18053</v>
      </c>
      <c r="K3" s="120" t="s">
        <v>1816</v>
      </c>
      <c r="L3" s="120" t="s">
        <v>18054</v>
      </c>
      <c r="M3" s="120" t="s">
        <v>1816</v>
      </c>
      <c r="N3" s="120" t="s">
        <v>18053</v>
      </c>
      <c r="O3" s="120" t="s">
        <v>18054</v>
      </c>
      <c r="R3" s="120" t="s">
        <v>18053</v>
      </c>
      <c r="S3" s="120" t="s">
        <v>18054</v>
      </c>
      <c r="AB3" t="s">
        <v>1812</v>
      </c>
      <c r="AC3" t="s">
        <v>17970</v>
      </c>
      <c r="AD3" s="120" t="s">
        <v>18053</v>
      </c>
      <c r="AE3" s="120" t="s">
        <v>18054</v>
      </c>
      <c r="AF3" t="s">
        <v>18086</v>
      </c>
      <c r="AG3" t="s">
        <v>18086</v>
      </c>
      <c r="AH3" t="s">
        <v>18087</v>
      </c>
      <c r="AI3" t="s">
        <v>18087</v>
      </c>
    </row>
    <row r="4" spans="1:35" x14ac:dyDescent="0.3">
      <c r="A4" s="120" t="s">
        <v>18047</v>
      </c>
      <c r="B4">
        <f>COUNTIFS(Kopējie!A2:A340,"Daugavpils",Kopējie!E2:E340,"ru",Kopējie!M2:M340,"Nē",Kopējie!N2:N340,"Jā",Kopējie!O2:O340,"Nē",Kopējie!P2:P340,"Nē",Kopējie!Q2:Q340,"Nē",Kopējie!AV2:AV340,"Jā")</f>
        <v>15</v>
      </c>
      <c r="C4">
        <v>26</v>
      </c>
      <c r="D4">
        <f>COUNTIFS(Kopējie!A2:A340,"Daugavpils",Kopējie!E2:E340,"ru",Kopējie!M2:M340,"Nē",Kopējie!N2:N340,"Jā",Kopējie!O2:O340,"Nē",Kopējie!P2:P340,"Nē",Kopējie!Q2:Q340,"Nē",Kopējie!AW2:AW340,"Jā")</f>
        <v>11</v>
      </c>
      <c r="E4">
        <v>21</v>
      </c>
      <c r="I4" t="s">
        <v>18062</v>
      </c>
      <c r="J4">
        <f>COUNTIFS(Kopējie!E2:E340,"ru",Kopējie!M2:M340,"Nē",Kopējie!N2:N340,"Jā",Kopējie!O2:O340,"Nē",Kopējie!P2:P340,"Nē",Kopējie!Q2:Q340,"Nē",Kopējie!AV2:AV340,"Jā",Kopējie!FB2:FB340,"krievu")</f>
        <v>13</v>
      </c>
      <c r="K4">
        <f>COUNTIFS(Kopējie!E2:E340,"ru",Kopējie!M2:M340,"Jā",Kopējie!N2:N340,"Jā",Kopējie!O2:O340,"Nē",Kopējie!P2:P340,"Nē",Kopējie!Q2:Q340,"Nē",Kopējie!AV2:AV340,"Jā",Kopējie!FB2:FB340,"krievu")</f>
        <v>4</v>
      </c>
      <c r="L4">
        <f>COUNTIFS(Kopējie!E2:E340,"ru",Kopējie!M2:M340,"Nē",Kopējie!N2:N340,"Jā",Kopējie!O2:O340,"Nē",Kopējie!P2:P340,"Nē",Kopējie!Q2:Q340,"Nē",Kopējie!AW2:AW340,"Jā",Kopējie!FB2:FB340,"krievu")</f>
        <v>12</v>
      </c>
      <c r="M4">
        <f>COUNTIFS(Kopējie!E2:E340,"ru",Kopējie!M2:M340,"Jā",Kopējie!N2:N340,"Jā",Kopējie!O2:O340,"Nē",Kopējie!P2:P340,"Nē",Kopējie!Q2:Q340,"Nē",Kopējie!AW2:AW340,"Jā",Kopējie!FB2:FB340,"krievu")</f>
        <v>4</v>
      </c>
      <c r="N4" s="120">
        <v>17</v>
      </c>
      <c r="O4">
        <v>16</v>
      </c>
      <c r="Q4" t="s">
        <v>18120</v>
      </c>
      <c r="R4">
        <f>COUNTIFS(Kopējie!E2:E340,"ru",Kopējie!M2:M340,"Nē",Kopējie!N2:N340,"Jā",Kopējie!O2:O340,"Nē",Kopējie!P2:P340,"Nē",Kopējie!Q2:Q340,"Nē",Kopējie!AV2:AV340,"Jā",Kopējie!FF2:FF340,"Spēju ilgstoši sarunāties ar vienaudžiem/piedalīties darba pārrunās.",Kopējie!FG2:FG340,"Spēju uzrakstīt garāku sacerējumu/ kursa darbu",Kopējie!FH2:FH340,"Viegli saprotu radio programmas / podkāstus par saviem hobijiem/darbības sfēru.",Kopējie!FI2:FI340,"Spēju izlasīt garus tekstus par vēstures, politikas un zinātnes tēmām.")</f>
        <v>2</v>
      </c>
      <c r="S4">
        <f>COUNTIFS(Kopējie!E2:E340,"ru",Kopējie!M2:M340,"Nē",Kopējie!N2:N340,"Jā",Kopējie!O2:O340,"Nē",Kopējie!P2:P340,"Nē",Kopējie!Q2:Q340,"Nē",Kopējie!AW2:AW340,"Jā",Kopējie!FF2:FF340,"Spēju ilgstoši sarunāties ar vienaudžiem/piedalīties darba pārrunās.",Kopējie!FG2:FG340,"Spēju uzrakstīt garāku sacerējumu/ kursa darbu",Kopējie!FH2:FH340,"Viegli saprotu radio programmas / podkāstus par saviem hobijiem/darbības sfēru.",Kopējie!FI2:FI340,"Spēju izlasīt garus tekstus par vēstures, politikas un zinātnes tēmām.")</f>
        <v>5</v>
      </c>
      <c r="AC4" t="s">
        <v>18082</v>
      </c>
      <c r="AD4">
        <f>COUNTIFS(Kopējie!E2:E340,"lv",Kopējie!M2:M340,"Jā",Kopējie!N2:N340,"Nē",Kopējie!O2:O340,"Nē",Kopējie!P2:P340,"Nē",Kopējie!Q2:Q340,"Nē",Kopējie!AV2:AV340,"Jā",Kopējie!DD2:DD340,"(Gandrīz) nekad")</f>
        <v>15</v>
      </c>
      <c r="AE4">
        <f>COUNTIFS(Kopējie!E2:E340,"lv",Kopējie!M2:M340,"Jā",Kopējie!N2:N340,"Nē",Kopējie!O2:O340,"Nē",Kopējie!P2:P340,"Nē",Kopējie!Q2:Q340,"Nē",Kopējie!AW2:AW340,"Jā",Kopējie!DD2:DD340,"(Gandrīz) nekad")</f>
        <v>8</v>
      </c>
      <c r="AF4">
        <f>COUNTIFS(Kopējie!E2:E340,"lv",Kopējie!M2:M340,"Jā",Kopējie!N2:N340,"Jā",Kopējie!O2:O340,"Nē",Kopējie!P2:P340,"Nē",Kopējie!Q2:Q340,"Nē",Kopējie!AV2:AV340,"Jā",Kopējie!DD2:DD340,"(Gandrīz) nekad")</f>
        <v>10</v>
      </c>
      <c r="AG4">
        <f>COUNTIFS(Kopējie!E2:E340,"lv",Kopējie!M2:M340,"Jā",Kopējie!N2:N340,"Jā",Kopējie!O2:O340,"Nē",Kopējie!P2:P340,"Nē",Kopējie!Q2:Q340,"Nē",Kopējie!AW2:AW340,"Jā",Kopējie!DD2:DD340,"(Gandrīz) nekad")</f>
        <v>10</v>
      </c>
      <c r="AH4">
        <v>25</v>
      </c>
      <c r="AI4">
        <v>18</v>
      </c>
    </row>
    <row r="5" spans="1:35" x14ac:dyDescent="0.3">
      <c r="A5" s="120" t="s">
        <v>18048</v>
      </c>
      <c r="B5">
        <f>COUNTIFS(Kopējie!A2:A340,"Rīga",Kopējie!E2:E340,"ru",Kopējie!M2:M340,"Nē",Kopējie!N2:N340,"Jā",Kopējie!O2:O340,"Nē",Kopējie!P2:P340,"Nē",Kopējie!Q2:Q340,"Nē",Kopējie!AV2:AV340,"Jā")</f>
        <v>7</v>
      </c>
      <c r="C5">
        <v>9</v>
      </c>
      <c r="D5">
        <f>COUNTIFS(Kopējie!A2:A340,"Rīga",Kopējie!E2:E340,"ru",Kopējie!M2:M340,"Nē",Kopējie!N2:N340,"Jā",Kopējie!O2:O340,"Nē",Kopējie!P2:P340,"Nē",Kopējie!Q2:Q340,"Nē",Kopējie!AW2:AW340,"Jā")</f>
        <v>7</v>
      </c>
      <c r="E5">
        <v>7</v>
      </c>
      <c r="I5" t="s">
        <v>18063</v>
      </c>
      <c r="J5">
        <f>COUNTIFS(Kopējie!E2:E340,"ru",Kopējie!M2:M340,"Nē",Kopējie!N2:N340,"Jā",Kopējie!O2:O340,"Nē",Kopējie!P2:P340,"Nē",Kopējie!Q2:Q340,"Nē",Kopējie!AV2:AV340,"Jā",Kopējie!FB2:FB340,"latviešu")</f>
        <v>9</v>
      </c>
      <c r="K5">
        <f>COUNTIFS(Kopējie!E2:E340,"ru",Kopējie!M2:M340,"Jā",Kopējie!N2:N340,"Jā",Kopējie!O2:O340,"Nē",Kopējie!P2:P340,"Nē",Kopējie!Q2:Q340,"Nē",Kopējie!AV2:AV340,"Jā",Kopējie!FB2:FB340,"latviešu")</f>
        <v>5</v>
      </c>
      <c r="L5">
        <f>COUNTIFS(Kopējie!E2:E340,"ru",Kopējie!M2:M340,"Nē",Kopējie!N2:N340,"Jā",Kopējie!O2:O340,"Nē",Kopējie!P2:P340,"Nē",Kopējie!Q2:Q340,"Nē",Kopējie!AW2:AW340,"Jā",Kopējie!FB2:FB340,"latviešu")</f>
        <v>8</v>
      </c>
      <c r="M5">
        <f>COUNTIFS(Kopējie!E2:E340,"ru",Kopējie!M2:M340,"Jā",Kopējie!N2:N340,"Jā",Kopējie!O2:O340,"Nē",Kopējie!P2:P340,"Nē",Kopējie!Q2:Q340,"Nē",Kopējie!AW2:AW340,"Jā",Kopējie!FB2:FB340,"latviešu")</f>
        <v>2</v>
      </c>
      <c r="N5" s="120">
        <v>14</v>
      </c>
      <c r="O5">
        <v>10</v>
      </c>
      <c r="Q5" t="s">
        <v>18121</v>
      </c>
      <c r="R5">
        <f>COUNTIFS(Kopējie!E2:E340,"ru",Kopējie!M2:M340,"Nē",Kopējie!N2:N340,"Jā",Kopējie!O2:O340,"Nē",Kopējie!P2:P340,"Nē",Kopējie!Q2:Q340,"Nē",Kopējie!AV2:AV340,"Jā",Kopējie!FF2:FF340,"{if(is_empty(tongueLAT_SQ001.NAOK), 'latviski','krieviski')} nerunāju it nemaz.",Kopējie!FG2:FG340,"{if(is_empty(tongueLAT_SQ001.NAOK), 'latviski','krieviski')} nemāku rakstīt.",Kopējie!FH2:FH340,"{if(is_empty(tongueLAT_SQ001.NAOK), 'latviešu','krievu')} valodu nesaprotu vispār.",Kopējie!FI2:FI340,"Es neko nespēju izlasīt {if(is_empty(tongueLAT_SQ001.NAOK), 'latviski','krieviski')}.")</f>
        <v>0</v>
      </c>
      <c r="S5">
        <f>COUNTIFS(Kopējie!E2:E340,"ru",Kopējie!M2:M340,"Nē",Kopējie!N2:N340,"Jā",Kopējie!O2:O340,"Nē",Kopējie!P2:P340,"Nē",Kopējie!Q2:Q340,"Nē",Kopējie!AW2:AW340,"Jā",Kopējie!FF2:FF340,"{if(is_empty(tongueLAT_SQ001.NAOK), 'latviski','krieviski')} nerunāju it nemaz.",Kopējie!FG2:FG340,"{if(is_empty(tongueLAT_SQ001.NAOK), 'latviski','krieviski')} nemāku rakstīt.",Kopējie!FH2:FH340,"{if(is_empty(tongueLAT_SQ001.NAOK), 'latviešu','krievu')} valodu nesaprotu vispār.",Kopējie!FI2:FI340,"Es neko nespēju izlasīt {if(is_empty(tongueLAT_SQ001.NAOK), 'latviski','krieviski')}.")</f>
        <v>0</v>
      </c>
      <c r="AC5" t="s">
        <v>18083</v>
      </c>
      <c r="AD5">
        <f>COUNTIFS(Kopējie!E2:E340,"lv",Kopējie!M2:M340,"Jā",Kopējie!N2:N340,"Nē",Kopējie!O2:O340,"Nē",Kopējie!P2:P340,"Nē",Kopējie!Q2:Q340,"Nē",Kopējie!AV2:AV340,"Jā",Kopējie!DD2:DD340,"Reti")</f>
        <v>5</v>
      </c>
      <c r="AE5">
        <f>COUNTIFS(Kopējie!E2:E340,"lv",Kopējie!M2:M340,"Jā",Kopējie!N2:N340,"Nē",Kopējie!O2:O340,"Nē",Kopējie!P2:P340,"Nē",Kopējie!Q2:Q340,"Nē",Kopējie!AW2:AW340,"Jā",Kopējie!DD2:DD340,"Reti")</f>
        <v>2</v>
      </c>
      <c r="AF5">
        <f>COUNTIFS(Kopējie!E2:E340,"lv",Kopējie!M2:M340,"Jā",Kopējie!N2:N340,"Jā",Kopējie!O2:O340,"Nē",Kopējie!P2:P340,"Nē",Kopējie!Q2:Q340,"Nē",Kopējie!AV2:AV340,"Jā",Kopējie!DD2:DD340,"Reti")</f>
        <v>3</v>
      </c>
      <c r="AG5">
        <f>COUNTIFS(Kopējie!E2:E340,"lv",Kopējie!M2:M340,"Jā",Kopējie!N2:N340,"Jā",Kopējie!O2:O340,"Nē",Kopējie!P2:P340,"Nē",Kopējie!Q2:Q340,"Nē",Kopējie!AW2:AW340,"Jā",Kopējie!DD2:DD340,"Reti")</f>
        <v>1</v>
      </c>
      <c r="AH5">
        <v>8</v>
      </c>
      <c r="AI5">
        <v>3</v>
      </c>
    </row>
    <row r="6" spans="1:35" x14ac:dyDescent="0.3">
      <c r="A6" s="120" t="s">
        <v>18049</v>
      </c>
      <c r="B6">
        <f>COUNTIFS(Kopējie!A2:A340,"Liepāja",Kopējie!E2:E340,"ru",Kopējie!M2:M340,"Nē",Kopējie!N2:N340,"Jā",Kopējie!O2:O340,"Nē",Kopējie!P2:P340,"Nē",Kopējie!Q2:Q340,"Nē",Kopējie!AV2:AV340,"Jā")</f>
        <v>8</v>
      </c>
      <c r="C6">
        <v>14</v>
      </c>
      <c r="D6">
        <f>COUNTIFS(Kopējie!A2:A340,"Liepāja",Kopējie!E2:E340,"ru",Kopējie!M2:M340,"Nē",Kopējie!N2:N340,"Jā",Kopējie!O2:O340,"Nē",Kopējie!P2:P340,"Nē",Kopējie!Q2:Q340,"Nē",Kopējie!AW2:AW340,"Jā")</f>
        <v>9</v>
      </c>
      <c r="E6">
        <v>12</v>
      </c>
      <c r="I6" t="s">
        <v>18064</v>
      </c>
      <c r="J6">
        <f>COUNTIFS(Kopējie!E2:E340,"ru",Kopējie!M2:M340,"Nē",Kopējie!N2:N340,"Jā",Kopējie!O2:O340,"Nē",Kopējie!P2:P340,"Nē",Kopējie!Q2:Q340,"Nē",Kopējie!AV2:AV340,"Jā",Kopējie!FB2:FB340,"vienlīdz latviešu un krievu")</f>
        <v>7</v>
      </c>
      <c r="K6">
        <f>COUNTIFS(Kopējie!E2:E340,"ru",Kopējie!M2:M340,"Jā",Kopējie!N2:N340,"Jā",Kopējie!O2:O340,"Nē",Kopējie!P2:P340,"Nē",Kopējie!Q2:Q340,"Nē",Kopējie!AV2:AV340,"Jā",Kopējie!FB2:FB340,"vienlīdz latviešu un krievu")</f>
        <v>10</v>
      </c>
      <c r="L6">
        <f>COUNTIFS(Kopējie!E2:E340,"ru",Kopējie!M2:M340,"Nē",Kopējie!N2:N340,"Jā",Kopējie!O2:O340,"Nē",Kopējie!P2:P340,"Nē",Kopējie!Q2:Q340,"Nē",Kopējie!AW2:AW340,"Jā",Kopējie!FB2:FB340,"vienlīdz latviešu un krievu")</f>
        <v>7</v>
      </c>
      <c r="M6">
        <f>COUNTIFS(Kopējie!E2:E340,"ru",Kopējie!M2:M340,"Jā",Kopējie!N2:N340,"Jā",Kopējie!O2:O340,"Nē",Kopējie!P2:P340,"Nē",Kopējie!Q2:Q340,"Nē",Kopējie!AW2:AW340,"Jā",Kopējie!FB2:FB340,"vienlīdz latviešu un krievu")</f>
        <v>7</v>
      </c>
      <c r="N6" s="120">
        <v>17</v>
      </c>
      <c r="O6">
        <v>14</v>
      </c>
      <c r="AC6" t="s">
        <v>18084</v>
      </c>
      <c r="AD6">
        <f>COUNTIFS(Kopējie!E2:E340,"lv",Kopējie!M2:M340,"Jā",Kopējie!N2:N340,"Nē",Kopējie!O2:O340,"Nē",Kopējie!P2:P340,"Nē",Kopējie!Q2:Q340,"Nē",Kopējie!AV2:AV340,"Jā",Kopējie!DD2:DD340,"Dažreiz")</f>
        <v>9</v>
      </c>
      <c r="AE6">
        <f>COUNTIFS(Kopējie!E2:E340,"lv",Kopējie!M2:M340,"Jā",Kopējie!N2:N340,"Nē",Kopējie!O2:O340,"Nē",Kopējie!P2:P340,"Nē",Kopējie!Q2:Q340,"Nē",Kopējie!AW2:AW340,"Jā",Kopējie!DD2:DD340,"Dažreiz")</f>
        <v>7</v>
      </c>
      <c r="AF6">
        <f>COUNTIFS(Kopējie!E2:E340,"lv",Kopējie!M2:M340,"Jā",Kopējie!N2:N340,"Jā",Kopējie!O2:O340,"Nē",Kopējie!P2:P340,"Nē",Kopējie!Q2:Q340,"Nē",Kopējie!AV2:AV340,"Jā",Kopējie!DD2:DD340,"Dažreiz")</f>
        <v>0</v>
      </c>
      <c r="AG6">
        <f>COUNTIFS(Kopējie!E2:E340,"lv",Kopējie!M2:M340,"Jā",Kopējie!N2:N340,"Jā",Kopējie!O2:O340,"Nē",Kopējie!P2:P340,"Nē",Kopējie!Q2:Q340,"Nē",Kopējie!AW2:AW340,"Jā",Kopējie!DD2:DD340,"Dažreiz")</f>
        <v>0</v>
      </c>
      <c r="AH6">
        <v>9</v>
      </c>
      <c r="AI6">
        <v>7</v>
      </c>
    </row>
    <row r="7" spans="1:35" x14ac:dyDescent="0.3">
      <c r="A7" s="120"/>
      <c r="I7" t="s">
        <v>18065</v>
      </c>
      <c r="J7">
        <f>COUNTIFS(Kopējie!E2:E340,"ru",Kopējie!M2:M340,"Nē",Kopējie!N2:N340,"Jā",Kopējie!O2:O340,"Nē",Kopējie!P2:P340,"Nē",Kopējie!Q2:Q340,"Nē",Kopējie!AV2:AV340,"Jā",Kopējie!FB2:FB340,"Cita atbilde")</f>
        <v>1</v>
      </c>
      <c r="K7">
        <f>COUNTIFS(Kopējie!E2:E340,"ru",Kopējie!M2:M340,"Jā",Kopējie!N2:N340,"Jā",Kopējie!O2:O340,"Nē",Kopējie!P2:P340,"Nē",Kopējie!Q2:Q340,"Nē",Kopējie!AV2:AV340,"Jā",Kopējie!FB2:FB340,"Cita atbilde")</f>
        <v>0</v>
      </c>
      <c r="L7">
        <f>COUNTIFS(Kopējie!E2:E340,"ru",Kopējie!M2:M340,"Nē",Kopējie!N2:N340,"Jā",Kopējie!O2:O340,"Nē",Kopējie!P2:P340,"Nē",Kopējie!Q2:Q340,"Nē",Kopējie!AW2:AW340,"Jā",Kopējie!FB2:FB340,"Cita atbilde")</f>
        <v>0</v>
      </c>
      <c r="M7">
        <f>COUNTIFS(Kopējie!E2:E340,"ru",Kopējie!M2:M340,"Jā",Kopējie!N2:N340,"Jā",Kopējie!O2:O340,"Nē",Kopējie!P2:P340,"Nē",Kopējie!Q2:Q340,"Nē",Kopējie!AW2:AW340,"Jā",Kopējie!FB2:FB340,"Cita atbilde")</f>
        <v>0</v>
      </c>
      <c r="N7" s="120">
        <v>1</v>
      </c>
      <c r="O7">
        <v>0</v>
      </c>
      <c r="Q7" t="s">
        <v>18122</v>
      </c>
      <c r="R7">
        <f>COUNTIFS(Kopējie!E2:E340,"lv",Kopējie!M2:M340,"Jā",Kopējie!N2:N340,"Nē",Kopējie!O2:O340,"Nē",Kopējie!P2:P340,"Nē",Kopējie!Q2:Q340,"Nē",Kopējie!AV2:AV340,"Jā",Kopējie!FF2:FF340,"Spēju ilgstoši sarunāties ar vienaudžiem/piedalīties darba pārrunās.",Kopējie!FG2:FG340,"Spēju uzrakstīt garāku sacerējumu/ kursa darbu",Kopējie!FH2:FH340,"Viegli saprotu radio programmas / podkāstus par saviem hobijiem/darbības sfēru.",Kopējie!FI2:FI340,"Spēju izlasīt garus tekstus par vēstures, politikas un zinātnes tēmām.")</f>
        <v>1</v>
      </c>
      <c r="S7">
        <f>COUNTIFS(Kopējie!E2:E340,"lv",Kopējie!M2:M340,"Jā",Kopējie!N2:N340,"Nē",Kopējie!O2:O340,"Nē",Kopējie!P2:P340,"Nē",Kopējie!Q2:Q340,"Nē",Kopējie!AW2:AW340,"Jā",Kopējie!FF2:FF340,"Spēju ilgstoši sarunāties ar vienaudžiem/piedalīties darba pārrunās.",Kopējie!FG2:FG340,"Spēju uzrakstīt garāku sacerējumu/ kursa darbu",Kopējie!FH2:FH340,"Viegli saprotu radio programmas / podkāstus par saviem hobijiem/darbības sfēru.",Kopējie!FI2:FI340,"Spēju izlasīt garus tekstus par vēstures, politikas un zinātnes tēmām.")</f>
        <v>0</v>
      </c>
      <c r="AC7" t="s">
        <v>18085</v>
      </c>
      <c r="AD7">
        <f>COUNTIFS(Kopējie!E2:E340,"lv",Kopējie!M2:M340,"Jā",Kopējie!N2:N340,"Nē",Kopējie!O2:O340,"Nē",Kopējie!P2:P340,"Nē",Kopējie!Q2:Q340,"Nē",Kopējie!AV2:AV340,"Jā",Kopējie!DD2:DD340,"Bieži")</f>
        <v>5</v>
      </c>
      <c r="AE7">
        <f>COUNTIFS(Kopējie!E2:E340,"lv",Kopējie!M2:M340,"Jā",Kopējie!N2:N340,"Nē",Kopējie!O2:O340,"Nē",Kopējie!P2:P340,"Nē",Kopējie!Q2:Q340,"Nē",Kopējie!AW2:AW340,"Jā",Kopējie!DD2:DD340,"Bieži")</f>
        <v>7</v>
      </c>
      <c r="AF7">
        <f>COUNTIFS(Kopējie!E2:E340,"lv",Kopējie!M2:M340,"Jā",Kopējie!N2:N340,"Jā",Kopējie!O2:O340,"Nē",Kopējie!P2:P340,"Nē",Kopējie!Q2:Q340,"Nē",Kopējie!AV2:AV340,"Jā",Kopējie!DD2:DD340,"Bieži")</f>
        <v>0</v>
      </c>
      <c r="AG7">
        <f>COUNTIFS(Kopējie!E2:E340,"lv",Kopējie!M2:M340,"Jā",Kopējie!N2:N340,"Jā",Kopējie!O2:O340,"Nē",Kopējie!P2:P340,"Nē",Kopējie!Q2:Q340,"Nē",Kopējie!AW2:AW340,"Jā",Kopējie!DD2:DD340,"Bieži")</f>
        <v>1</v>
      </c>
      <c r="AH7">
        <v>5</v>
      </c>
      <c r="AI7">
        <v>8</v>
      </c>
    </row>
    <row r="8" spans="1:35" x14ac:dyDescent="0.3">
      <c r="A8" s="120" t="s">
        <v>18050</v>
      </c>
      <c r="B8">
        <f>COUNTIFS(Kopējie!A2:A340,"Daugavpils",Kopējie!E2:E340,"lv",Kopējie!M2:M340,"Jā",Kopējie!N2:N340,"Nē",Kopējie!O2:O340,"Nē",Kopējie!P2:P340,"Nē",Kopējie!Q2:Q340,"Nē",Kopējie!AV2:AV340,"Jā")</f>
        <v>5</v>
      </c>
      <c r="C8">
        <v>15</v>
      </c>
      <c r="D8">
        <f>COUNTIFS(Kopējie!A2:A340,"Daugavpils",Kopējie!E2:E340,"lv",Kopējie!M2:M340,"Jā",Kopējie!N2:N340,"Nē",Kopējie!O2:O340,"Nē",Kopējie!P2:P340,"Nē",Kopējie!Q2:Q340,"Nē",Kopējie!AW2:AW340,"Jā")</f>
        <v>6</v>
      </c>
      <c r="E8">
        <v>16</v>
      </c>
      <c r="Q8" t="s">
        <v>18123</v>
      </c>
      <c r="R8">
        <f>COUNTIFS(Kopējie!E2:E340,"lv",Kopējie!M2:M340,"Jā",Kopējie!N2:N340,"Nē",Kopējie!O2:O340,"Nē",Kopējie!P2:P340,"Nē",Kopējie!Q2:Q340,"Nē",Kopējie!AV2:AV340,"Jā",Kopējie!FF2:FF340,"{if(is_empty(tongueLAT_SQ001.NAOK), 'latviski','krieviski')} nerunāju it nemaz.",Kopējie!FG2:FG340,"{if(is_empty(tongueLAT_SQ001.NAOK), 'latviski','krieviski')} nemāku rakstīt.",Kopējie!FH2:FH340,"{if(is_empty(tongueLAT_SQ001.NAOK), 'latviešu','krievu')} valodu nesaprotu vispār.",Kopējie!FI2:FI340,"Es neko nespēju izlasīt {if(is_empty(tongueLAT_SQ001.NAOK), 'latviski','krieviski')}.")</f>
        <v>3</v>
      </c>
      <c r="S8">
        <f>COUNTIFS(Kopējie!E2:E340,"lv",Kopējie!M2:M340,"Jā",Kopējie!N2:N340,"Nē",Kopējie!O2:O340,"Nē",Kopējie!P2:P340,"Nē",Kopējie!Q2:Q340,"Nē",Kopējie!AW2:AW340,"Jā",Kopējie!FF2:FF340,"{if(is_empty(tongueLAT_SQ001.NAOK), 'latviski','krieviski')} nerunāju it nemaz.",Kopējie!FG2:FG340,"{if(is_empty(tongueLAT_SQ001.NAOK), 'latviski','krieviski')} nemāku rakstīt.",Kopējie!FH2:FH340,"{if(is_empty(tongueLAT_SQ001.NAOK), 'latviešu','krievu')} valodu nesaprotu vispār.",Kopējie!FI2:FI340,"Es neko nespēju izlasīt {if(is_empty(tongueLAT_SQ001.NAOK), 'latviski','krieviski')}.")</f>
        <v>3</v>
      </c>
    </row>
    <row r="9" spans="1:35" x14ac:dyDescent="0.3">
      <c r="A9" s="120" t="s">
        <v>18051</v>
      </c>
      <c r="B9">
        <f>COUNTIFS(Kopējie!A2:A340,"Rīga",Kopējie!E2:E340,"lv",Kopējie!M2:M340,"Jā",Kopējie!N2:N340,"Nē",Kopējie!O2:O340,"Nē",Kopējie!P2:P340,"Nē",Kopējie!Q2:Q340,"Nē",Kopējie!AV2:AV340,"Jā")</f>
        <v>18</v>
      </c>
      <c r="C9">
        <v>21</v>
      </c>
      <c r="D9">
        <f>COUNTIFS(Kopējie!A2:A340,"Rīga",Kopējie!E2:E340,"lv",Kopējie!M2:M340,"Jā",Kopējie!N2:N340,"Nē",Kopējie!O2:O340,"Nē",Kopējie!P2:P340,"Nē",Kopējie!Q2:Q340,"Nē",Kopējie!AW2:AW340,"Jā")</f>
        <v>8</v>
      </c>
      <c r="E9">
        <v>10</v>
      </c>
      <c r="I9" t="s">
        <v>18066</v>
      </c>
      <c r="J9">
        <f>COUNTIFS(Kopējie!E2:E340,"lv",Kopējie!M2:M340,"Jā",Kopējie!N2:N340,"Nē",Kopējie!O2:O340,"Nē",Kopējie!P2:P340,"Nē",Kopējie!Q2:Q340,"Nē",Kopējie!AV2:AV340,"Jā",Kopējie!FB2:FB340,"krievu")</f>
        <v>1</v>
      </c>
      <c r="K9">
        <f>COUNTIFS(Kopējie!E2:E340,"lv",Kopējie!M2:M340,"Jā",Kopējie!N2:N340,"Jā",Kopējie!O2:O340,"Nē",Kopējie!P2:P340,"Nē",Kopējie!Q2:Q340,"Nē",Kopējie!AV2:AV340,"Jā",Kopējie!FB2:FB340,"krievu")</f>
        <v>0</v>
      </c>
      <c r="L9">
        <f>COUNTIFS(Kopējie!E2:E340,"lv",Kopējie!M2:M340,"Jā",Kopējie!N2:N340,"Nē",Kopējie!O2:O340,"Nē",Kopējie!P2:P340,"Nē",Kopējie!Q2:Q340,"Nē",Kopējie!AW2:AW340,"Jā",Kopējie!FB2:FB340,"krievu")</f>
        <v>0</v>
      </c>
      <c r="M9">
        <f>COUNTIFS(Kopējie!E2:E340,"lv",Kopējie!M2:M340,"Jā",Kopējie!N2:N340,"Jā",Kopējie!O2:O340,"Nē",Kopējie!P2:P340,"Nē",Kopējie!Q2:Q340,"Nē",Kopējie!AW2:AW340,"Jā",Kopējie!FB2:FB340,"krievu")</f>
        <v>1</v>
      </c>
      <c r="N9" s="120">
        <v>1</v>
      </c>
      <c r="O9">
        <v>1</v>
      </c>
    </row>
    <row r="10" spans="1:35" x14ac:dyDescent="0.3">
      <c r="A10" s="120" t="s">
        <v>18052</v>
      </c>
      <c r="B10">
        <f>COUNTIFS(Kopējie!A2:A340,"Liepāja",Kopējie!E2:E340,"lv",Kopējie!M2:M340,"Jā",Kopējie!N2:N340,"Nē",Kopējie!O2:O340,"Nē",Kopējie!P2:P340,"Nē",Kopējie!Q2:Q340,"Nē",Kopējie!AV2:AV340,"Jā")</f>
        <v>12</v>
      </c>
      <c r="C10">
        <v>14</v>
      </c>
      <c r="D10">
        <f>COUNTIFS(Kopējie!A2:A340,"Liepāja",Kopējie!E2:E340,"lv",Kopējie!M2:M340,"Jā",Kopējie!N2:N340,"Nē",Kopējie!O2:O340,"Nē",Kopējie!P2:P340,"Nē",Kopējie!Q2:Q340,"Nē",Kopējie!AW2:AW340,"Jā")</f>
        <v>11</v>
      </c>
      <c r="E10">
        <v>13</v>
      </c>
      <c r="I10" t="s">
        <v>18067</v>
      </c>
      <c r="J10">
        <f>COUNTIFS(Kopējie!E2:E340,"lv",Kopējie!M2:M340,"Jā",Kopējie!N2:N340,"Nē",Kopējie!O2:O340,"Nē",Kopējie!P2:P340,"Nē",Kopējie!Q2:Q340,"Nē",Kopējie!AV2:AV340,"Jā",Kopējie!FB2:FB340,"latviešu")</f>
        <v>33</v>
      </c>
      <c r="K10">
        <f>COUNTIFS(Kopējie!E2:E340,"lv",Kopējie!M2:M340,"Jā",Kopējie!N2:N340,"Jā",Kopējie!O2:O340,"Nē",Kopējie!P2:P340,"Nē",Kopējie!Q2:Q340,"Nē",Kopējie!AV2:AV340,"Jā",Kopējie!FB2:FB340,"latviešu")</f>
        <v>11</v>
      </c>
      <c r="L10">
        <f>COUNTIFS(Kopējie!E2:E340,"lv",Kopējie!M2:M340,"Jā",Kopējie!N2:N340,"Nē",Kopējie!O2:O340,"Nē",Kopējie!P2:P340,"Nē",Kopējie!Q2:Q340,"Nē",Kopējie!AW2:AW340,"Jā",Kopējie!FB2:FB340,"latviešu")</f>
        <v>25</v>
      </c>
      <c r="M10">
        <f>COUNTIFS(Kopējie!E2:E340,"lv",Kopējie!M2:M340,"Jā",Kopējie!N2:N340,"Jā",Kopējie!O2:O340,"Nē",Kopējie!P2:P340,"Nē",Kopējie!Q2:Q340,"Nē",Kopējie!AW2:AW340,"Jā",Kopējie!FB2:FB340,"latviešu")</f>
        <v>9</v>
      </c>
      <c r="N10" s="120">
        <v>44</v>
      </c>
      <c r="O10">
        <v>34</v>
      </c>
      <c r="AB10" t="s">
        <v>1814</v>
      </c>
      <c r="AC10" t="s">
        <v>17970</v>
      </c>
    </row>
    <row r="11" spans="1:35" x14ac:dyDescent="0.3">
      <c r="A11" s="120"/>
      <c r="I11" t="s">
        <v>18068</v>
      </c>
      <c r="J11">
        <f>COUNTIFS(Kopējie!E2:E340,"lv",Kopējie!M2:M340,"Jā",Kopējie!N2:N340,"Nē",Kopējie!O2:O340,"Nē",Kopējie!P2:P340,"Nē",Kopējie!Q2:Q340,"Nē",Kopējie!AV2:AV340,"Jā",Kopējie!FB2:FB340,"vienlīdz latviešu un krievu")</f>
        <v>1</v>
      </c>
      <c r="K11">
        <f>COUNTIFS(Kopējie!E2:E340,"lv",Kopējie!M2:M340,"Jā",Kopējie!N2:N340,"Jā",Kopējie!O2:O340,"Nē",Kopējie!P2:P340,"Nē",Kopējie!Q2:Q340,"Nē",Kopējie!AV2:AV340,"Jā",Kopējie!FB2:FB340,"vienlīdz latviešu un krievu")</f>
        <v>4</v>
      </c>
      <c r="L11">
        <f>COUNTIFS(Kopējie!E2:E340,"lv",Kopējie!M2:M340,"Jā",Kopējie!N2:N340,"Nē",Kopējie!O2:O340,"Nē",Kopējie!P2:P340,"Nē",Kopējie!Q2:Q340,"Nē",Kopējie!AW2:AW340,"Jā",Kopējie!FB2:FB340,"vienlīdz latviešu un krievu")</f>
        <v>0</v>
      </c>
      <c r="M11">
        <f>COUNTIFS(Kopējie!E2:E340,"lv",Kopējie!M2:M340,"Jā",Kopējie!N2:N340,"Jā",Kopējie!O2:O340,"Nē",Kopējie!P2:P340,"Nē",Kopējie!Q2:Q340,"Nē",Kopējie!AW2:AW340,"Jā",Kopējie!FB2:FB340,"vienlīdz latviešu un krievu")</f>
        <v>4</v>
      </c>
      <c r="N11" s="120">
        <v>4</v>
      </c>
      <c r="O11">
        <v>4</v>
      </c>
      <c r="R11" s="121" t="s">
        <v>18146</v>
      </c>
      <c r="W11" s="121" t="s">
        <v>18150</v>
      </c>
      <c r="X11" s="121"/>
      <c r="Y11" s="121"/>
      <c r="AC11" t="s">
        <v>18082</v>
      </c>
      <c r="AD11">
        <f>COUNTIFS(Kopējie!E2:E340,"ru",Kopējie!M2:M340,"Nē",Kopējie!N2:N340,"Jā",Kopējie!O2:O340,"Nē",Kopējie!P2:P340,"Nē",Kopējie!Q2:Q340,"Nē",Kopējie!AV2:AV340,"Jā",Kopējie!DD2:DD340,"(Gandrīz) nekad")</f>
        <v>19</v>
      </c>
      <c r="AE11">
        <f>COUNTIFS(Kopējie!E2:E340,"ru",Kopējie!M2:M340,"Nē",Kopējie!N2:N340,"Jā",Kopējie!O2:O340,"Nē",Kopējie!P2:P340,"Nē",Kopējie!Q2:Q340,"Nē",Kopējie!AW2:AW340,"Jā",Kopējie!DD2:DD340,"(Gandrīz) nekad")</f>
        <v>19</v>
      </c>
      <c r="AF11">
        <f>COUNTIFS(Kopējie!E2:E340,"ru",Kopējie!M2:M340,"Jā",Kopējie!N2:N340,"Jā",Kopējie!O2:O340,"Nē",Kopējie!P2:P340,"Nē",Kopējie!Q2:Q340,"Nē",Kopējie!AV2:AV340,"Jā",Kopējie!DD2:DD340,"(Gandrīz) nekad")</f>
        <v>11</v>
      </c>
      <c r="AG11">
        <f>COUNTIFS(Kopējie!E2:E340,"ru",Kopējie!M2:M340,"Jā",Kopējie!N2:N340,"Jā",Kopējie!O2:O340,"Nē",Kopējie!P2:P340,"Nē",Kopējie!Q2:Q340,"Nē",Kopējie!AW2:AW340,"Jā",Kopējie!DD2:DD340,"(Gandrīz) nekad")</f>
        <v>7</v>
      </c>
      <c r="AH11">
        <v>30</v>
      </c>
      <c r="AI11">
        <v>26</v>
      </c>
    </row>
    <row r="12" spans="1:35" x14ac:dyDescent="0.3">
      <c r="A12" s="120" t="s">
        <v>18055</v>
      </c>
      <c r="B12">
        <f>COUNTIFS(Kopējie!A2:A340,"Daugavpils",Kopējie!E2:E340,"ru",Kopējie!M2:M340,"Jā",Kopējie!N2:N340,"Jā",Kopējie!O2:O340,"Nē",Kopējie!P2:P340,"Nē",Kopējie!Q2:Q340,"Nē",Kopējie!AV2:AV340,"Jā")</f>
        <v>11</v>
      </c>
      <c r="D12">
        <f>COUNTIFS(Kopējie!A2:A340,"Daugavpils",Kopējie!E2:E340,"ru",Kopējie!M2:M340,"Jā",Kopējie!N2:N340,"Jā",Kopējie!O2:O340,"Nē",Kopējie!P2:P340,"Nē",Kopējie!Q2:Q340,"Nē",Kopējie!AW2:AW340,"Jā")</f>
        <v>10</v>
      </c>
      <c r="I12" t="s">
        <v>18069</v>
      </c>
      <c r="J12">
        <f>COUNTIFS(Kopējie!E2:E340,"lv",Kopējie!M2:M340,"Jā",Kopējie!N2:N340,"Nē",Kopējie!O2:O340,"Nē",Kopējie!P2:P340,"Nē",Kopējie!Q2:Q340,"Nē",Kopējie!AV2:AV340,"Jā",Kopējie!FB2:FB340,"cita atbilde")</f>
        <v>0</v>
      </c>
      <c r="K12">
        <f>COUNTIFS(Kopējie!E2:E340,"lv",Kopējie!M2:M340,"Jā",Kopējie!N2:N340,"Jā",Kopējie!O2:O340,"Nē",Kopējie!P2:P340,"Nē",Kopējie!Q2:Q340,"Nē",Kopējie!AV2:AV340,"Jā",Kopējie!FB2:FB340,"cita atbilde")</f>
        <v>0</v>
      </c>
      <c r="L12">
        <f>COUNTIFS(Kopējie!E2:E340,"lv",Kopējie!M2:M340,"Jā",Kopējie!N2:N340,"Nē",Kopējie!O2:O340,"Nē",Kopējie!P2:P340,"Nē",Kopējie!Q2:Q340,"Nē",Kopējie!AW2:AW340,"Jā",Kopējie!FB2:FB340,"cita atbilde")</f>
        <v>0</v>
      </c>
      <c r="M12">
        <f>COUNTIFS(Kopējie!E2:E340,"lv",Kopējie!M2:M340,"Jā",Kopējie!N2:N340,"Jā",Kopējie!O2:O340,"Nē",Kopējie!P2:P340,"Nē",Kopējie!Q2:Q340,"Nē",Kopējie!AW2:AW340,"Jā",Kopējie!FB2:FB340,"cita atbilde")</f>
        <v>0</v>
      </c>
      <c r="N12" s="120">
        <v>1</v>
      </c>
      <c r="O12">
        <v>0</v>
      </c>
      <c r="R12" s="120" t="s">
        <v>18053</v>
      </c>
      <c r="S12" t="s">
        <v>18157</v>
      </c>
      <c r="T12" s="120" t="s">
        <v>18054</v>
      </c>
      <c r="U12" t="s">
        <v>18157</v>
      </c>
      <c r="X12" s="120" t="s">
        <v>18053</v>
      </c>
      <c r="Y12" s="120" t="s">
        <v>18054</v>
      </c>
      <c r="AC12" t="s">
        <v>18083</v>
      </c>
      <c r="AD12">
        <f>COUNTIFS(Kopējie!E2:E340,"ru",Kopējie!M2:M340,"Nē",Kopējie!N2:N340,"Jā",Kopējie!O2:O340,"Nē",Kopējie!P2:P340,"Nē",Kopējie!Q2:Q340,"Nē",Kopējie!AV2:AV340,"Jā",Kopējie!DD2:DD340,"Reti")</f>
        <v>5</v>
      </c>
      <c r="AE12">
        <f>COUNTIFS(Kopējie!E2:E340,"ru",Kopējie!M2:M340,"Nē",Kopējie!N2:N340,"Jā",Kopējie!O2:O340,"Nē",Kopējie!P2:P340,"Nē",Kopējie!Q2:Q340,"Nē",Kopējie!AW2:AW340,"Jā",Kopējie!DD2:DD340,"Reti")</f>
        <v>3</v>
      </c>
      <c r="AF12">
        <f>COUNTIFS(Kopējie!E2:E340,"ru",Kopējie!M2:M340,"Jā",Kopējie!N2:N340,"Jā",Kopējie!O2:O340,"Nē",Kopējie!P2:P340,"Nē",Kopējie!Q2:Q340,"Nē",Kopējie!AV2:AV340,"Jā",Kopējie!DD2:DD340,"Reti")</f>
        <v>7</v>
      </c>
      <c r="AG12">
        <f>COUNTIFS(Kopējie!E2:E340,"ru",Kopējie!M2:M340,"Jā",Kopējie!N2:N340,"Jā",Kopējie!O2:O340,"Nē",Kopējie!P2:P340,"Nē",Kopējie!Q2:Q340,"Nē",Kopējie!AW2:AW340,"Jā",Kopējie!DD2:DD340,"Reti")</f>
        <v>4</v>
      </c>
      <c r="AH12">
        <v>12</v>
      </c>
      <c r="AI12">
        <v>7</v>
      </c>
    </row>
    <row r="13" spans="1:35" x14ac:dyDescent="0.3">
      <c r="A13" s="120" t="s">
        <v>18056</v>
      </c>
      <c r="B13">
        <f>COUNTIFS(Kopējie!A2:A340,"Rīga",Kopējie!E2:E340,"ru",Kopējie!M2:M340,"Jā",Kopējie!N2:N340,"Jā",Kopējie!O2:O340,"Nē",Kopējie!P2:P340,"Nē",Kopējie!Q2:Q340,"Nē",Kopējie!AV2:AV340,"Jā")</f>
        <v>2</v>
      </c>
      <c r="D13">
        <f>COUNTIFS(Kopējie!A2:A340,"Rīga",Kopējie!E2:E340,"ru",Kopējie!M2:M340,"Jā",Kopējie!N2:N340,"Jā",Kopējie!O2:O340,"Nē",Kopējie!P2:P340,"Nē",Kopējie!Q2:Q340,"Nē",Kopējie!AW2:AW340,"Jā")</f>
        <v>0</v>
      </c>
      <c r="Q13" t="s">
        <v>18158</v>
      </c>
      <c r="R13">
        <f>COUNTIFS(Kopējie!E2:E340,"ru",Kopējie!M2:M340,"Nē",Kopējie!N2:N340,"Jā",Kopējie!O2:O340,"Nē",Kopējie!P2:P340,"Nē",Kopējie!Q2:Q340,"Nē",Kopējie!AV2:AV340,"Jā",Kopējie!U2:U340,"pareizticīgo")</f>
        <v>14</v>
      </c>
      <c r="S13">
        <f>COUNTIFS(Kopējie!E2:E340,"ru",Kopējie!M2:M340,"Nē",Kopējie!N2:N340,"Jā",Kopējie!O2:O340,"Nē",Kopējie!P2:P340,"Nē",Kopējie!Q2:Q340,"Nē",Kopējie!AV2:AV340,"Jā",Kopējie!U2:U340,"vecticībnieku(ci)")</f>
        <v>2</v>
      </c>
      <c r="T13">
        <f>COUNTIFS(Kopējie!E2:E340,"ru",Kopējie!M2:M340,"Nē",Kopējie!N2:N340,"Jā",Kopējie!O2:O340,"Nē",Kopējie!P2:P340,"Nē",Kopējie!Q2:Q340,"Nē",Kopējie!AW2:AW340,"Jā",Kopējie!U2:U340,"pareizticīgo")</f>
        <v>11</v>
      </c>
      <c r="U13">
        <f>COUNTIFS(Kopējie!E2:E340,"ru",Kopējie!M2:M340,"Nē",Kopējie!N2:N340,"Jā",Kopējie!O2:O340,"Nē",Kopējie!P2:P340,"Nē",Kopējie!Q2:Q340,"Nē",Kopējie!AW2:AW340,"Jā",Kopējie!U2:U340,"vecticībnieku(ci)")</f>
        <v>0</v>
      </c>
      <c r="W13" t="s">
        <v>18163</v>
      </c>
      <c r="X13">
        <f>COUNTIFS(Kopējie!E2:E340,"ru",Kopējie!M2:M340,"Nē",Kopējie!N2:N340,"Jā",Kopējie!O2:O340,"Nē",Kopējie!P2:P340,"Nē",Kopējie!Q2:Q340,"Nē",Kopējie!AV2:AV340,"Jā",Kopējie!CI2:CI340,"Ārkārtīgi")</f>
        <v>4</v>
      </c>
      <c r="Y13">
        <f>COUNTIFS(Kopējie!E2:E340,"ru",Kopējie!M2:M340,"Nē",Kopējie!N2:N340,"Jā",Kopējie!O2:O340,"Nē",Kopējie!P2:P340,"Nē",Kopējie!Q2:Q340,"Nē",Kopējie!AW2:AW340,"Jā",Kopējie!CI2:CI340,"Ārkārtīgi")</f>
        <v>2</v>
      </c>
      <c r="AC13" t="s">
        <v>18084</v>
      </c>
      <c r="AD13">
        <f>COUNTIFS(Kopējie!E2:E340,"ru",Kopējie!M2:M340,"Nē",Kopējie!N2:N340,"Jā",Kopējie!O2:O340,"Nē",Kopējie!P2:P340,"Nē",Kopējie!Q2:Q340,"Nē",Kopējie!AV2:AV340,"Jā",Kopējie!DD2:DD340,"Dažreiz")</f>
        <v>3</v>
      </c>
      <c r="AE13">
        <f>COUNTIFS(Kopējie!E2:E340,"ru",Kopējie!M2:M340,"Nē",Kopējie!N2:N340,"Jā",Kopējie!O2:O340,"Nē",Kopējie!P2:P340,"Nē",Kopējie!Q2:Q340,"Nē",Kopējie!AW2:AW340,"Jā",Kopējie!DD2:DD340,"Dažreiz")</f>
        <v>1</v>
      </c>
      <c r="AF13">
        <f>COUNTIFS(Kopējie!E2:E340,"ru",Kopējie!M2:M340,"Jā",Kopējie!N2:N340,"Jā",Kopējie!O2:O340,"Nē",Kopējie!P2:P340,"Nē",Kopējie!Q2:Q340,"Nē",Kopējie!AV2:AV340,"Jā",Kopējie!DD2:DD340,"Dažreiz")</f>
        <v>0</v>
      </c>
      <c r="AG13">
        <f>COUNTIFS(Kopējie!E2:E340,"ru",Kopējie!M2:M340,"Jā",Kopējie!N2:N340,"Jā",Kopējie!O2:O340,"Nē",Kopējie!P2:P340,"Nē",Kopējie!Q2:Q340,"Nē",Kopējie!AW2:AW340,"Jā",Kopējie!DD2:DD340,"Dažreiz")</f>
        <v>0</v>
      </c>
      <c r="AH13">
        <v>3</v>
      </c>
      <c r="AI13">
        <v>1</v>
      </c>
    </row>
    <row r="14" spans="1:35" x14ac:dyDescent="0.3">
      <c r="A14" s="120" t="s">
        <v>18057</v>
      </c>
      <c r="B14">
        <f>COUNTIFS(Kopējie!A2:A340,"Liepāja",Kopējie!E2:E340,"ru",Kopējie!M2:M340,"Jā",Kopējie!N2:N340,"Jā",Kopējie!O2:O340,"Nē",Kopējie!P2:P340,"Nē",Kopējie!Q2:Q340,"Nē",Kopējie!AV2:AV340,"Jā")</f>
        <v>6</v>
      </c>
      <c r="D14">
        <f>COUNTIFS(Kopējie!A2:A340,"Liepāja",Kopējie!E2:E340,"ru",Kopējie!M2:M340,"Jā",Kopējie!N2:N340,"Jā",Kopējie!O2:O340,"Nē",Kopējie!P2:P340,"Nē",Kopējie!Q2:Q340,"Nē",Kopējie!AW2:AW340,"Jā")</f>
        <v>3</v>
      </c>
      <c r="I14" t="s">
        <v>18070</v>
      </c>
      <c r="J14">
        <f>COUNTIFS(Kopējie!E2:E340,"ru",Kopējie!M2:M340,"Nē",Kopējie!N2:N340,"Jā",Kopējie!O2:O340,"Nē",Kopējie!P2:P340,"Nē",Kopējie!Q2:Q340,"Nē",Kopējie!AV2:AV340,"Jā",Kopējie!FD2:FD340,"krievu")</f>
        <v>5</v>
      </c>
      <c r="K14">
        <f>COUNTIFS(Kopējie!E2:E340,"ru",Kopējie!M2:M340,"Jā",Kopējie!N2:N340,"Jā",Kopējie!O2:O340,"Nē",Kopējie!P2:P340,"Nē",Kopējie!Q2:Q340,"Nē",Kopējie!AV2:AV340,"Jā",Kopējie!FD2:FD340,"krievu")</f>
        <v>3</v>
      </c>
      <c r="L14">
        <f>COUNTIFS(Kopējie!E2:E340,"ru",Kopējie!M2:M340,"Nē",Kopējie!N2:N340,"Jā",Kopējie!O2:O340,"Nē",Kopējie!P2:P340,"Nē",Kopējie!Q2:Q340,"Nē",Kopējie!AW2:AW340,"Jā",Kopējie!FD2:FD340,"krievu")</f>
        <v>3</v>
      </c>
      <c r="M14">
        <f>COUNTIFS(Kopējie!E2:E340,"ru",Kopējie!M2:M340,"Jā",Kopējie!N2:N340,"Jā",Kopējie!O2:O340,"Nē",Kopējie!P2:P340,"Nē",Kopējie!Q2:Q340,"Nē",Kopējie!AW2:AW340,"Jā",Kopējie!FD2:FD340,"krievu")</f>
        <v>3</v>
      </c>
      <c r="N14" s="120">
        <v>8</v>
      </c>
      <c r="O14">
        <v>6</v>
      </c>
      <c r="Q14" t="s">
        <v>18159</v>
      </c>
      <c r="R14">
        <f>COUNTIFS(Kopējie!E2:E340,"ru",Kopējie!M2:M340,"Jā",Kopējie!N2:N340,"Jā",Kopējie!O2:O340,"Nē",Kopējie!P2:P340,"Nē",Kopējie!Q2:Q340,"Nē",Kopējie!AV2:AV340,"Jā",Kopējie!U2:U340,"pareizticīgo")</f>
        <v>7</v>
      </c>
      <c r="S14">
        <f>COUNTIFS(Kopējie!E2:E340,"ru",Kopējie!M2:M340,"Jā",Kopējie!N2:N340,"Jā",Kopējie!O2:O340,"Nē",Kopējie!P2:P340,"Nē",Kopējie!Q2:Q340,"Nē",Kopējie!AV2:AV340,"Jā",Kopējie!U2:U340,"vecticībnieku(ci)")</f>
        <v>1</v>
      </c>
      <c r="T14">
        <f>COUNTIFS(Kopējie!E2:E340,"ru",Kopējie!M2:M340,"Jā",Kopējie!N2:N340,"Jā",Kopējie!O2:O340,"Nē",Kopējie!P2:P340,"Nē",Kopējie!Q2:Q340,"Nē",Kopējie!AW2:AW340,"Jā",Kopējie!U2:U340,"pareizticīgo")</f>
        <v>4</v>
      </c>
      <c r="U14">
        <f>COUNTIFS(Kopējie!E2:E340,"ru",Kopējie!M2:M340,"Jā",Kopējie!N2:N340,"Jā",Kopējie!O2:O340,"Nē",Kopējie!P2:P340,"Nē",Kopējie!Q2:Q340,"Nē",Kopējie!AW2:AW340,"Jā",Kopējie!U2:U340,"vecticībnieku(ci)")</f>
        <v>1</v>
      </c>
      <c r="W14" t="s">
        <v>18164</v>
      </c>
      <c r="X14">
        <f>COUNTIFS(Kopējie!E2:E340,"ru",Kopējie!M2:M340,"Jā",Kopējie!N2:N340,"Jā",Kopējie!O2:O340,"Nē",Kopējie!P2:P340,"Nē",Kopējie!Q2:Q340,"Nē",Kopējie!AV2:AV340,"Jā",Kopējie!CI2:CI340,"Ārkārtīgi")</f>
        <v>2</v>
      </c>
      <c r="Y14">
        <f>COUNTIFS(Kopējie!E2:E340,"ru",Kopējie!M2:M340,"Jā",Kopējie!N2:N340,"Jā",Kopējie!O2:O340,"Nē",Kopējie!P2:P340,"Nē",Kopējie!Q2:Q340,"Nē",Kopējie!AW2:AW340,"Jā",Kopējie!CI2:CI340,"Ārkārtīgi")</f>
        <v>0</v>
      </c>
      <c r="AC14" t="s">
        <v>18085</v>
      </c>
      <c r="AD14">
        <f>COUNTIFS(Kopējie!E2:E340,"ru",Kopējie!M2:M340,"Nē",Kopējie!N2:N340,"Jā",Kopējie!O2:O340,"Nē",Kopējie!P2:P340,"Nē",Kopējie!Q2:Q340,"Nē",Kopējie!AV2:AV340,"Jā",Kopējie!DD2:DD340,"Bieži")</f>
        <v>1</v>
      </c>
      <c r="AE14">
        <f>COUNTIFS(Kopējie!E2:E340,"ru",Kopējie!M2:M340,"Nē",Kopējie!N2:N340,"Jā",Kopējie!O2:O340,"Nē",Kopējie!P2:P340,"Nē",Kopējie!Q2:Q340,"Nē",Kopējie!AW2:AW340,"Jā",Kopējie!DD2:DD340,"Bieži")</f>
        <v>2</v>
      </c>
      <c r="AF14">
        <f>COUNTIFS(Kopējie!E2:E340,"ru",Kopējie!M2:M340,"Jā",Kopējie!N2:N340,"Jā",Kopējie!O2:O340,"Nē",Kopējie!P2:P340,"Nē",Kopējie!Q2:Q340,"Nē",Kopējie!AV2:AV340,"Jā",Kopējie!DD2:DD340,"Bieži")</f>
        <v>1</v>
      </c>
      <c r="AG14">
        <f>COUNTIFS(Kopējie!E2:E340,"ru",Kopējie!M2:M340,"Jā",Kopējie!N2:N340,"Jā",Kopējie!O2:O340,"Nē",Kopējie!P2:P340,"Nē",Kopējie!Q2:Q340,"Nē",Kopējie!AW2:AW340,"Jā",Kopējie!DD2:DD340,"Bieži")</f>
        <v>1</v>
      </c>
      <c r="AH14">
        <v>2</v>
      </c>
      <c r="AI14">
        <v>3</v>
      </c>
    </row>
    <row r="15" spans="1:35" x14ac:dyDescent="0.3">
      <c r="A15" s="120"/>
      <c r="I15" t="s">
        <v>18071</v>
      </c>
      <c r="J15">
        <f>COUNTIFS(Kopējie!E2:E340,"ru",Kopējie!M2:M340,"Nē",Kopējie!N2:N340,"Jā",Kopējie!O2:O340,"Nē",Kopējie!P2:P340,"Nē",Kopējie!Q2:Q340,"Nē",Kopējie!AV2:AV340,"Jā",Kopējie!FD2:FD340,"latviešu")</f>
        <v>17</v>
      </c>
      <c r="K15">
        <f>COUNTIFS(Kopējie!E2:E340,"ru",Kopējie!M2:M340,"Jā",Kopējie!N2:N340,"Jā",Kopējie!O2:O340,"Nē",Kopējie!P2:P340,"Nē",Kopējie!Q2:Q340,"Nē",Kopējie!AV2:AV340,"Jā",Kopējie!FD2:FD340,"latviešu")</f>
        <v>9</v>
      </c>
      <c r="L15">
        <f>COUNTIFS(Kopējie!E2:E340,"ru",Kopējie!M2:M340,"Nē",Kopējie!N2:N340,"Jā",Kopējie!O2:O340,"Nē",Kopējie!P2:P340,"Nē",Kopējie!Q2:Q340,"Nē",Kopējie!AW2:AW340,"Jā",Kopējie!FD2:FD340,"latviešu")</f>
        <v>17</v>
      </c>
      <c r="M15">
        <f>COUNTIFS(Kopējie!E2:E340,"ru",Kopējie!M2:M340,"Jā",Kopējie!N2:N340,"Jā",Kopējie!O2:O340,"Nē",Kopējie!P2:P340,"Nē",Kopējie!Q2:Q340,"Nē",Kopējie!AW2:AW340,"Jā",Kopējie!FD2:FD340,"latviešu")</f>
        <v>6</v>
      </c>
      <c r="N15" s="120">
        <v>26</v>
      </c>
      <c r="O15">
        <v>23</v>
      </c>
      <c r="S15" t="s">
        <v>18162</v>
      </c>
      <c r="U15" t="s">
        <v>18162</v>
      </c>
      <c r="W15" t="s">
        <v>18165</v>
      </c>
      <c r="X15">
        <f>COUNTIFS(Kopējie!E2:E340,"lv",Kopējie!M2:M340,"Jā",Kopējie!N2:N340,"Nē",Kopējie!O2:O340,"Nē",Kopējie!P2:P340,"Nē",Kopējie!Q2:Q340,"Nē",Kopējie!AV2:AV340,"Jā",Kopējie!CI2:CI340,"Ārkārtīgi")</f>
        <v>6</v>
      </c>
      <c r="Y15">
        <f>COUNTIFS(Kopējie!E2:E340,"lv",Kopējie!M2:M340,"Jā",Kopējie!N2:N340,"Nē",Kopējie!O2:O340,"Nē",Kopējie!P2:P340,"Nē",Kopējie!Q2:Q340,"Nē",Kopējie!AW2:AW340,"Jā",Kopējie!CI2:CI340,"Ārkārtīgi")</f>
        <v>1</v>
      </c>
    </row>
    <row r="16" spans="1:35" x14ac:dyDescent="0.3">
      <c r="A16" s="120" t="s">
        <v>18058</v>
      </c>
      <c r="B16">
        <f>COUNTIFS(Kopējie!A2:A340,"Daugavpils",Kopējie!E2:E340,"lv",Kopējie!M2:M340,"Jā",Kopējie!N2:N340,"Jā",Kopējie!O2:O340,"Nē",Kopējie!P2:P340,"Nē",Kopējie!Q2:Q340,"Nē",Kopējie!AV2:AV340,"Jā")</f>
        <v>10</v>
      </c>
      <c r="D16">
        <f>COUNTIFS(Kopējie!A2:A340,"Daugavpils",Kopējie!E2:E340,"lv",Kopējie!M2:M340,"Jā",Kopējie!N2:N340,"Jā",Kopējie!O2:O340,"Nē",Kopējie!P2:P340,"Nē",Kopējie!Q2:Q340,"Nē",Kopējie!AW2:AW340,"Jā")</f>
        <v>10</v>
      </c>
      <c r="I16" t="s">
        <v>18072</v>
      </c>
      <c r="J16">
        <f>COUNTIFS(Kopējie!E2:E340,"ru",Kopējie!M2:M340,"Nē",Kopējie!N2:N340,"Jā",Kopējie!O2:O340,"Nē",Kopējie!P2:P340,"Nē",Kopējie!Q2:Q340,"Nē",Kopējie!AV2:AV340,"Jā",Kopējie!FD2:FD340,"vienlīdz latviešu un krievu")</f>
        <v>7</v>
      </c>
      <c r="K16">
        <f>COUNTIFS(Kopējie!E2:E340,"ru",Kopējie!M2:M340,"Jā",Kopējie!N2:N340,"Jā",Kopējie!O2:O340,"Nē",Kopējie!P2:P340,"Nē",Kopējie!Q2:Q340,"Nē",Kopējie!AV2:AV340,"Jā",Kopējie!FD2:FD340,"vienlīdz latviešu un krievu")</f>
        <v>7</v>
      </c>
      <c r="L16">
        <f>COUNTIFS(Kopējie!E2:E340,"ru",Kopējie!M2:M340,"Nē",Kopējie!N2:N340,"Jā",Kopējie!O2:O340,"Nē",Kopējie!P2:P340,"Nē",Kopējie!Q2:Q340,"Nē",Kopējie!AW2:AW340,"Jā",Kopējie!FD2:FD340,"vienlīdz latviešu un krievu")</f>
        <v>4</v>
      </c>
      <c r="M16">
        <f>COUNTIFS(Kopējie!E2:E340,"ru",Kopējie!M2:M340,"Jā",Kopējie!N2:N340,"Jā",Kopējie!O2:O340,"Nē",Kopējie!P2:P340,"Nē",Kopējie!Q2:Q340,"Nē",Kopējie!AW2:AW340,"Jā",Kopējie!FD2:FD340,"vienlīdz latviešu un krievu")</f>
        <v>4</v>
      </c>
      <c r="N16" s="120">
        <v>14</v>
      </c>
      <c r="O16">
        <v>8</v>
      </c>
      <c r="Q16" t="s">
        <v>18160</v>
      </c>
      <c r="R16">
        <f>COUNTIFS(Kopējie!E2:E340,"lv",Kopējie!M2:M340,"Jā",Kopējie!N2:N340,"Nē",Kopējie!O2:O340,"Nē",Kopējie!P2:P340,"Nē",Kopējie!Q2:Q340,"Nē",Kopējie!AV2:AV340,"Jā",Kopējie!U2:U340,"protestantu(ti)")</f>
        <v>1</v>
      </c>
      <c r="S16" t="e">
        <f>COUNTIFS(Kopējie!E2:E340,"lv",Kopējie!M2:M340,"Jā",Kopējie!N2:N340,"Nē",Kopējie!O2:O340,"Nē",Kopējie!P2:P340,"Nē",Kopējie!Q2:Q340,"Nē",Kopējie!AV2:AV340,"Jā",Kopējie!U343:U682,"katoli(ieti)")</f>
        <v>#VALUE!</v>
      </c>
      <c r="T16">
        <f>COUNTIFS(Kopējie!E2:E340,"lv",Kopējie!M2:M340,"Jā",Kopējie!N2:N340,"Nē",Kopējie!O2:O340,"Nē",Kopējie!P2:P340,"Nē",Kopējie!Q2:Q340,"Nē",Kopējie!AW2:AW340,"Jā",Kopējie!U2:U340,"protestantu(ti)")</f>
        <v>3</v>
      </c>
      <c r="U16">
        <f>COUNTIFS(Kopējie!E2:E340,"lv",Kopējie!M2:M340,"Jā",Kopējie!N2:N340,"Nē",Kopējie!O2:O340,"Nē",Kopējie!P2:P340,"Nē",Kopējie!Q2:Q340,"Nē",Kopējie!AW2:AW340,"Jā",Kopējie!U2:U340,"Katoli(ieti)")</f>
        <v>3</v>
      </c>
      <c r="W16" t="s">
        <v>18166</v>
      </c>
      <c r="X16">
        <f>COUNTIFS(Kopējie!E2:E340,"lv",Kopējie!M2:M340,"Jā",Kopējie!N2:N340,"Jā",Kopējie!O2:O340,"Nē",Kopējie!P2:P340,"Nē",Kopējie!Q2:Q340,"Nē",Kopējie!AV2:AV340,"Jā",Kopējie!CI2:CI340,"Ārkārtīgi")</f>
        <v>1</v>
      </c>
      <c r="Y16">
        <f>COUNTIFS(Kopējie!E2:E340,"lv",Kopējie!M2:M340,"Jā",Kopējie!N2:N340,"Jā",Kopējie!O2:O340,"Nē",Kopējie!P2:P340,"Nē",Kopējie!Q2:Q340,"Nē",Kopējie!AW2:AW340,"Jā",Kopējie!CI2:CI340,"Ārkārtīgi")</f>
        <v>0</v>
      </c>
    </row>
    <row r="17" spans="1:39" x14ac:dyDescent="0.3">
      <c r="A17" s="120" t="s">
        <v>18059</v>
      </c>
      <c r="B17">
        <f>COUNTIFS(Kopējie!A2:A340,"Rīga",Kopējie!E2:E340,"lv",Kopējie!M2:M340,"Jā",Kopējie!N2:N340,"Jā",Kopējie!O2:O340,"Nē",Kopējie!P2:P340,"Nē",Kopējie!Q2:Q340,"Nē",Kopējie!AV2:AV340,"Jā")</f>
        <v>3</v>
      </c>
      <c r="D17">
        <f>COUNTIFS(Kopējie!A2:A340,"Rīga",Kopējie!E2:E340,"lv",Kopējie!M2:M340,"Jā",Kopējie!N2:N340,"Jā",Kopējie!O2:O340,"Nē",Kopējie!P2:P340,"Nē",Kopējie!Q2:Q340,"Nē",Kopējie!AW2:AW340,"Jā")</f>
        <v>2</v>
      </c>
      <c r="I17" t="s">
        <v>18073</v>
      </c>
      <c r="J17">
        <f>COUNTIFS(Kopējie!E2:E340,"ru",Kopējie!M2:M340,"Nē",Kopējie!N2:N340,"Jā",Kopējie!O2:O340,"Nē",Kopējie!P2:P340,"Nē",Kopējie!Q2:Q340,"Nē",Kopējie!AV2:AV340,"Jā",Kopējie!FD2:FD340,"Cita atbilde")</f>
        <v>0</v>
      </c>
      <c r="K17">
        <f>COUNTIFS(Kopējie!E2:E340,"ru",Kopējie!M2:M340,"Jā",Kopējie!N2:N340,"Jā",Kopējie!O2:O340,"Nē",Kopējie!P2:P340,"Nē",Kopējie!Q2:Q340,"Nē",Kopējie!AV2:AV340,"Jā",Kopējie!FD2:FD340,"Cita atbilde")</f>
        <v>0</v>
      </c>
      <c r="L17">
        <f>COUNTIFS(Kopējie!E2:E340,"ru",Kopējie!M2:M340,"Nē",Kopējie!N2:N340,"Jā",Kopējie!O2:O340,"Nē",Kopējie!P2:P340,"Nē",Kopējie!Q2:Q340,"Nē",Kopējie!AW2:AW340,"Jā",Kopējie!FD2:FD340,"Cita atbilde")</f>
        <v>0</v>
      </c>
      <c r="M17">
        <f>COUNTIFS(Kopējie!E2:E340,"ru",Kopējie!M2:M340,"Jā",Kopējie!N2:N340,"Jā",Kopējie!O2:O340,"Nē",Kopējie!P2:P340,"Nē",Kopējie!Q2:Q340,"Nē",Kopējie!AW2:AW340,"Jā",Kopējie!FD2:FD340,"Cita atbilde")</f>
        <v>0</v>
      </c>
      <c r="N17" s="120">
        <v>0</v>
      </c>
      <c r="O17">
        <v>0</v>
      </c>
      <c r="Q17" t="s">
        <v>18161</v>
      </c>
      <c r="R17">
        <f>COUNTIFS(Kopējie!E2:E340,"lv",Kopējie!M2:M340,"Jā",Kopējie!N2:N340,"Jā",Kopējie!O2:O340,"Nē",Kopējie!P2:P340,"Nē",Kopējie!Q2:Q340,"Nē",Kopējie!AV2:AV340,"Jā",Kopējie!U2:U340,"protestantu(ti)")</f>
        <v>0</v>
      </c>
      <c r="S17" t="e">
        <f>COUNTIFS(Kopējie!E2:E340,"lv",Kopējie!M2:M340,"Jā",Kopējie!N2:N340,"Jā",Kopējie!O2:O340,"Nē",Kopējie!P2:P340,"Nē",Kopējie!Q2:Q340,"Nē",Kopējie!AV2:AV340,"Jā",Kopējie!U343:U682,"Katoli(ieti)")</f>
        <v>#VALUE!</v>
      </c>
      <c r="T17">
        <f>COUNTIFS(Kopējie!E2:E340,"lv",Kopējie!M2:M340,"Jā",Kopējie!N2:N340,"Jā",Kopējie!O2:O340,"Nē",Kopējie!P2:P340,"Nē",Kopējie!Q2:Q340,"Nē",Kopējie!AW2:AW340,"Jā",Kopējie!U2:U340,"protestantu(ti)")</f>
        <v>0</v>
      </c>
      <c r="U17">
        <f>COUNTIFS(Kopējie!E2:E340,"lv",Kopējie!M2:M340,"Jā",Kopējie!N2:N340,"Jā",Kopējie!O2:O340,"Nē",Kopējie!P2:P340,"Nē",Kopējie!Q2:Q340,"Nē",Kopējie!AW2:AW340,"Jā",Kopējie!U2:U340,"Katoli(ieti)")</f>
        <v>7</v>
      </c>
    </row>
    <row r="18" spans="1:39" x14ac:dyDescent="0.3">
      <c r="A18" s="120" t="s">
        <v>18060</v>
      </c>
      <c r="B18">
        <f>COUNTIFS(Kopējie!A2:A340,"Liepāja",Kopējie!E2:E340,"lv",Kopējie!M2:M340,"Jā",Kopējie!N2:N340,"Jā",Kopējie!O2:O340,"Nē",Kopējie!P2:P340,"Nē",Kopējie!Q2:Q340,"Nē",Kopējie!AV2:AV340,"Jā")</f>
        <v>2</v>
      </c>
      <c r="D18">
        <f>COUNTIFS(Kopējie!A2:A340,"Liepāja",Kopējie!E2:E340,"lv",Kopējie!M2:M340,"Jā",Kopējie!N2:N340,"Jā",Kopējie!O2:O340,"Nē",Kopējie!P2:P340,"Nē",Kopējie!Q2:Q340,"Nē",Kopējie!AW2:AW340,"Jā")</f>
        <v>2</v>
      </c>
      <c r="I18" t="s">
        <v>18074</v>
      </c>
      <c r="J18">
        <f>COUNTIFS(Kopējie!E2:E340,"ru",Kopējie!M2:M340,"Nē",Kopējie!N2:N340,"Jā",Kopējie!O2:O340,"Nē",Kopējie!P2:P340,"Nē",Kopējie!Q2:Q340,"Nē",Kopējie!AV2:AV340,"Jā",Kopējie!FD2:FD340,"vidusskolā neesmu gājis")</f>
        <v>1</v>
      </c>
      <c r="K18">
        <f>COUNTIFS(Kopējie!E2:E340,"ru",Kopējie!M2:M340,"Jā",Kopējie!N2:N340,"Jā",Kopējie!O2:O340,"Nē",Kopējie!P2:P340,"Nē",Kopējie!Q2:Q340,"Nē",Kopējie!AV2:AV340,"Jā",Kopējie!FD2:FD340,"vidusskolā neesmu gājis")</f>
        <v>0</v>
      </c>
      <c r="L18">
        <f>COUNTIFS(Kopējie!E2:E340,"ru",Kopējie!M2:M340,"Nē",Kopējie!N2:N340,"Jā",Kopējie!O2:O340,"Nē",Kopējie!P2:P340,"Nē",Kopējie!Q2:Q340,"Nē",Kopējie!AW2:AW340,"Jā",Kopējie!FD2:FD340,"vidusskolā neesmu gājis")</f>
        <v>3</v>
      </c>
      <c r="M18">
        <f>COUNTIFS(Kopējie!E2:E340,"ru",Kopējie!M2:M340,"Jā",Kopējie!N2:N340,"Jā",Kopējie!O2:O340,"Nē",Kopējie!P2:P340,"Nē",Kopējie!Q2:Q340,"Nē",Kopējie!AW2:AW340,"Jā",Kopējie!FD2:FD340,"vidusskolā neesmu gājis")</f>
        <v>0</v>
      </c>
      <c r="N18" s="120">
        <v>1</v>
      </c>
      <c r="O18">
        <v>3</v>
      </c>
      <c r="W18" t="s">
        <v>18167</v>
      </c>
      <c r="X18">
        <f>COUNTIFS(Kopējie!E2:E340,"ru",Kopējie!M2:M340,"Nē",Kopējie!N2:N340,"Jā",Kopējie!O2:O340,"Nē",Kopējie!P2:P340,"Nē",Kopējie!Q2:Q340,"Nē",Kopējie!AV2:AV340,"Jā",Kopējie!CI2:CI340,"Neinteresē")</f>
        <v>3</v>
      </c>
      <c r="Y18">
        <f>COUNTIFS(Kopējie!E2:E340,"ru",Kopējie!M2:M340,"Nē",Kopējie!N2:N340,"Jā",Kopējie!O2:O340,"Nē",Kopējie!P2:P340,"Nē",Kopējie!Q2:Q340,"Nē",Kopējie!AW2:AW340,"Jā",Kopējie!CI2:CI340,"Neinteresē")</f>
        <v>2</v>
      </c>
    </row>
    <row r="19" spans="1:39" x14ac:dyDescent="0.3">
      <c r="Q19" t="s">
        <v>18147</v>
      </c>
      <c r="R19">
        <f>COUNTIFS(Kopējie!E2:E340,"ru",Kopējie!M2:M340,"Nē",Kopējie!N2:N340,"Jā",Kopējie!O2:O340,"Nē",Kopējie!P2:P340,"Nē",Kopējie!Q2:Q340,"Nē",Kopējie!AV2:AV340,"Jā",Kopējie!U2:U340,"Ateistu(ti), nereliģiozu")</f>
        <v>12</v>
      </c>
      <c r="T19">
        <f>COUNTIFS(Kopējie!E2:E340,"ru",Kopējie!M2:M340,"Nē",Kopējie!N2:N340,"Jā",Kopējie!O2:O340,"Nē",Kopējie!P2:P340,"Nē",Kopējie!Q2:Q340,"Nē",Kopējie!AW2:AW340,"Jā",Kopējie!U2:U340,"Ateistu(ti), nereliģiozu")</f>
        <v>14</v>
      </c>
      <c r="W19" t="s">
        <v>18168</v>
      </c>
      <c r="X19">
        <f>COUNTIFS(Kopējie!E2:E340,"ru",Kopējie!M2:M340,"Jā",Kopējie!N2:N340,"Jā",Kopējie!O2:O340,"Nē",Kopējie!P2:P340,"Nē",Kopējie!Q2:Q340,"Nē",Kopējie!AV2:AV340,"Jā",Kopējie!CI2:CI340,"Neinteresē")</f>
        <v>2</v>
      </c>
      <c r="Y19">
        <f>COUNTIFS(Kopējie!E2:E340,"ru",Kopējie!M2:M340,"Jā",Kopējie!N2:N340,"Jā",Kopējie!O2:O340,"Nē",Kopējie!P2:P340,"Nē",Kopējie!Q2:Q340,"Nē",Kopējie!AW2:AW340,"Jā",Kopējie!CI2:CI340,"Neinteresē")</f>
        <v>2</v>
      </c>
      <c r="AD19" s="121" t="s">
        <v>18118</v>
      </c>
    </row>
    <row r="20" spans="1:39" x14ac:dyDescent="0.3">
      <c r="A20" t="s">
        <v>18061</v>
      </c>
      <c r="I20" t="s">
        <v>18075</v>
      </c>
      <c r="J20">
        <f>COUNTIFS(Kopējie!E2:E340,"lv",Kopējie!M2:M340,"Jā",Kopējie!N2:N340,"Nē",Kopējie!O2:O340,"Nē",Kopējie!P2:P340,"Nē",Kopējie!Q2:Q340,"Nē",Kopējie!AV2:AV340,"Jā",Kopējie!FD2:FD340,"krievu")</f>
        <v>0</v>
      </c>
      <c r="K20">
        <f>COUNTIFS(Kopējie!E2:E340,"lv",Kopējie!M2:M340,"Jā",Kopējie!N2:N340,"Jā",Kopējie!O2:O340,"Nē",Kopējie!P2:P340,"Nē",Kopējie!Q2:Q340,"Nē",Kopējie!AV2:AV340,"Jā",Kopējie!FD2:FD340,"krievu")</f>
        <v>0</v>
      </c>
      <c r="L20">
        <f>COUNTIFS(Kopējie!E2:E340,"lv",Kopējie!M2:M340,"Jā",Kopējie!N2:N340,"Nē",Kopējie!O2:O340,"Nē",Kopējie!P2:P340,"Nē",Kopējie!Q2:Q340,"Nē",Kopējie!AW2:AW340,"Jā",Kopējie!FD2:FD340,"krievu")</f>
        <v>0</v>
      </c>
      <c r="M20">
        <f>COUNTIFS(Kopējie!E2:E340,"lv",Kopējie!M2:M340,"Jā",Kopējie!N2:N340,"Jā",Kopējie!O2:O340,"Nē",Kopējie!P2:P340,"Nē",Kopējie!Q2:Q340,"Nē",Kopējie!AW2:AW340,"Jā",Kopējie!FD2:FD340,"krievu")</f>
        <v>0</v>
      </c>
      <c r="N20" s="120">
        <v>0</v>
      </c>
      <c r="O20">
        <v>0</v>
      </c>
      <c r="Q20" t="s">
        <v>18148</v>
      </c>
      <c r="R20">
        <f>COUNTIFS(Kopējie!E2:E340,"ru",Kopējie!M2:M340,"Jā",Kopējie!N2:N340,"Jā",Kopējie!O2:O340,"Nē",Kopējie!P2:P340,"Nē",Kopējie!Q2:Q340,"Nē",Kopējie!AV2:AV340,"Jā",Kopējie!U2:U340,"Ateistu(ti), nereliģiozu")</f>
        <v>3</v>
      </c>
      <c r="T20">
        <f>COUNTIFS(Kopējie!E2:E340,"ru",Kopējie!M2:M340,"Jā",Kopējie!N2:N340,"Jā",Kopējie!O2:O340,"Nē",Kopējie!P2:P340,"Nē",Kopējie!Q2:Q340,"Nē",Kopējie!AW2:AW340,"Jā",Kopējie!U2:U340,"Ateistu(ti), nereliģiozu")</f>
        <v>3</v>
      </c>
      <c r="W20" t="s">
        <v>18169</v>
      </c>
      <c r="X20">
        <f>COUNTIFS(Kopējie!E2:E340,"lv",Kopējie!M2:M340,"Jā",Kopējie!N2:N340,"Nē",Kopējie!O2:O340,"Nē",Kopējie!P2:P340,"Nē",Kopējie!Q2:Q340,"Nē",Kopējie!AV2:AV340,"Jā",Kopējie!CI2:CI340,"Neinteresē")</f>
        <v>5</v>
      </c>
      <c r="Y20">
        <f>COUNTIFS(Kopējie!E2:E340,"lv",Kopējie!M2:M340,"Jā",Kopējie!N2:N340,"Nē",Kopējie!O2:O340,"Nē",Kopējie!P2:P340,"Nē",Kopējie!Q2:Q340,"Nē",Kopējie!AW2:AW340,"Jā",Kopējie!CI2:CI340,"Neinteresē")</f>
        <v>2</v>
      </c>
      <c r="AE20" s="120" t="s">
        <v>18053</v>
      </c>
      <c r="AF20" s="120" t="s">
        <v>18054</v>
      </c>
      <c r="AG20" s="120" t="s">
        <v>18139</v>
      </c>
      <c r="AH20" s="120" t="s">
        <v>18140</v>
      </c>
      <c r="AL20" s="120" t="s">
        <v>18053</v>
      </c>
      <c r="AM20" s="120" t="s">
        <v>18054</v>
      </c>
    </row>
    <row r="21" spans="1:39" x14ac:dyDescent="0.3">
      <c r="I21" t="s">
        <v>18076</v>
      </c>
      <c r="J21">
        <f>COUNTIFS(Kopējie!E2:E340,"lv",Kopējie!M2:M340,"Jā",Kopējie!N2:N340,"Nē",Kopējie!O2:O340,"Nē",Kopējie!P2:P340,"Nē",Kopējie!Q2:Q340,"Nē",Kopējie!AV2:AV340,"Jā",Kopējie!FD2:FD340,"latviešu")</f>
        <v>32</v>
      </c>
      <c r="K21">
        <f>COUNTIFS(Kopējie!E2:E340,"lv",Kopējie!M2:M340,"Jā",Kopējie!N2:N340,"Jā",Kopējie!O2:O340,"Nē",Kopējie!P2:P340,"Nē",Kopējie!Q2:Q340,"Nē",Kopējie!AV2:AV340,"Jā",Kopējie!FD2:FD340,"latviešu")</f>
        <v>12</v>
      </c>
      <c r="L21">
        <f>COUNTIFS(Kopējie!E2:E340,"lv",Kopējie!M2:M340,"Jā",Kopējie!N2:N340,"Nē",Kopējie!O2:O340,"Nē",Kopējie!P2:P340,"Nē",Kopējie!Q2:Q340,"Nē",Kopējie!AW2:AW340,"Jā",Kopējie!FD2:FD340,"latviešu")</f>
        <v>23</v>
      </c>
      <c r="M21">
        <f>COUNTIFS(Kopējie!E2:E340,"lv",Kopējie!M2:M340,"Jā",Kopējie!N2:N340,"Jā",Kopējie!O2:O340,"Nē",Kopējie!P2:P340,"Nē",Kopējie!Q2:Q340,"Nē",Kopējie!AW2:AW340,"Jā",Kopējie!FD2:FD340,"latviešu")</f>
        <v>12</v>
      </c>
      <c r="N21" s="120">
        <v>43</v>
      </c>
      <c r="O21">
        <v>35</v>
      </c>
      <c r="W21" t="s">
        <v>18170</v>
      </c>
      <c r="X21">
        <f>COUNTIFS(Kopējie!E2:E340,"lv",Kopējie!M2:M340,"Jā",Kopējie!N2:N340,"Jā",Kopējie!O2:O340,"Nē",Kopējie!P2:P340,"Nē",Kopējie!Q2:Q340,"Nē",Kopējie!AV2:AV340,"Jā",Kopējie!CI2:CI340,"Neinteresē")</f>
        <v>0</v>
      </c>
      <c r="Y21">
        <f>COUNTIFS(Kopējie!E2:E340,"lv",Kopējie!M2:M340,"Jā",Kopējie!N2:N340,"Jā",Kopējie!O2:O340,"Nē",Kopējie!P2:P340,"Nē",Kopējie!Q2:Q340,"Nē",Kopējie!AW2:AW340,"Jā",Kopējie!CI2:CI340,"Neinteresē")</f>
        <v>1</v>
      </c>
      <c r="AE21">
        <f>COUNTIFS(Kopējie!E2:E340,"ru",Kopējie!M2:M340,"Nē",Kopējie!N2:N340,"Jā",Kopējie!O2:O340,"Nē",Kopējie!P2:P340,"Nē",Kopējie!Q2:Q340,"Nē",Kopējie!AV2:AV340,"Jā",Kopējie!DR2:DR340,"Jā")</f>
        <v>8</v>
      </c>
      <c r="AF21">
        <f>COUNTIFS(Kopējie!E2:E340,"ru",Kopējie!M2:M340,"Nē",Kopējie!N2:N340,"Jā",Kopējie!O2:O340,"Nē",Kopējie!P2:P340,"Nē",Kopējie!Q2:Q340,"Nē",Kopējie!AW2:AW340,"Jā",Kopējie!DR2:DR340,"Jā")</f>
        <v>8</v>
      </c>
      <c r="AG21" s="120">
        <v>12</v>
      </c>
      <c r="AH21" s="120">
        <v>10</v>
      </c>
      <c r="AK21" t="s">
        <v>18132</v>
      </c>
      <c r="AL21">
        <f>COUNTIFS(Kopējie!E2:E340,"ru",Kopējie!M2:M340,"Jā",Kopējie!N2:N340,"Jā",Kopējie!O2:O340,"Nē",Kopējie!P2:P340,"Nē",Kopējie!Q2:Q340,"Nē",Kopējie!AV2:AV340,"Jā",Kopējie!DR2:DR340,"Jā")</f>
        <v>4</v>
      </c>
      <c r="AM21">
        <f>COUNTIFS(Kopējie!E2:E340,"ru",Kopējie!M2:M340,"Jā",Kopējie!N2:N340,"Jā",Kopējie!O2:O340,"Nē",Kopējie!P2:P340,"Nē",Kopējie!Q2:Q340,"Nē",Kopējie!AW2:AW340,"Jā",Kopējie!DR2:DR340,"Jā")</f>
        <v>2</v>
      </c>
    </row>
    <row r="22" spans="1:39" x14ac:dyDescent="0.3">
      <c r="I22" t="s">
        <v>18077</v>
      </c>
      <c r="J22">
        <f>COUNTIFS(Kopējie!E2:E340,"lv",Kopējie!M2:M340,"Jā",Kopējie!N2:N340,"Nē",Kopējie!O2:O340,"Nē",Kopējie!P2:P340,"Nē",Kopējie!Q2:Q340,"Nē",Kopējie!AV2:AV340,"Jā",Kopējie!FD2:FD340,"vienlīdz latviešu un krievu")</f>
        <v>0</v>
      </c>
      <c r="K22">
        <f>COUNTIFS(Kopējie!E2:E340,"lv",Kopējie!M2:M340,"Jā",Kopējie!N2:N340,"Jā",Kopējie!O2:O340,"Nē",Kopējie!P2:P340,"Nē",Kopējie!Q2:Q340,"Nē",Kopējie!AV2:AV340,"Jā",Kopējie!FD2:FD340,"vienlīdz latviešu un krievu")</f>
        <v>2</v>
      </c>
      <c r="L22">
        <f>COUNTIFS(Kopējie!E2:E340,"lv",Kopējie!M2:M340,"Jā",Kopējie!N2:N340,"Nē",Kopējie!O2:O340,"Nē",Kopējie!P2:P340,"Nē",Kopējie!Q2:Q340,"Nē",Kopējie!AW2:AW340,"Jā",Kopējie!FD2:FD340,"vienlīdz latviešu un krievu")</f>
        <v>0</v>
      </c>
      <c r="M22">
        <f>COUNTIFS(Kopējie!E2:E340,"lv",Kopējie!M2:M340,"Jā",Kopējie!N2:N340,"Jā",Kopējie!O2:O340,"Nē",Kopējie!P2:P340,"Nē",Kopējie!Q2:Q340,"Nē",Kopējie!AW2:AW340,"Jā",Kopējie!FD2:FD340,"vienlīdz latviešu un krievu")</f>
        <v>2</v>
      </c>
      <c r="N22" s="120">
        <v>2</v>
      </c>
      <c r="O22">
        <v>2</v>
      </c>
      <c r="Q22" t="s">
        <v>18149</v>
      </c>
      <c r="R22">
        <f>COUNTIFS(Kopējie!E2:E340,"lv",Kopējie!M2:M340,"Jā",Kopējie!N2:N340,"Nē",Kopējie!O2:O340,"Nē",Kopējie!P2:P340,"Nē",Kopējie!Q2:Q340,"Nē",Kopējie!AV2:AV340,"Jā",Kopējie!U2:U340,"Ateistu(ti), nereliģiozu")</f>
        <v>18</v>
      </c>
      <c r="T22">
        <f>COUNTIFS(Kopējie!E2:E340,"lv",Kopējie!M2:M340,"Jā",Kopējie!N2:N340,"Nē",Kopējie!O2:O340,"Nē",Kopējie!P2:P340,"Nē",Kopējie!Q2:Q340,"Nē",Kopējie!AW2:AW340,"Jā",Kopējie!U2:U340,"Ateistu(ti), nereliģiozu")</f>
        <v>13</v>
      </c>
      <c r="AD22" s="121" t="s">
        <v>1814</v>
      </c>
      <c r="AE22">
        <f>COUNTIFS(Kopējie!E2:E340,"ru",Kopējie!M2:M340,"Nē",Kopējie!N2:N340,"Jā",Kopējie!O2:O340,"Nē",Kopējie!P2:P340,"Nē",Kopējie!Q2:Q340,"Nē",Kopējie!AV2:AV340,"Jā",Kopējie!DP2:DP340,"Jā")</f>
        <v>8</v>
      </c>
      <c r="AF22">
        <f>COUNTIFS(Kopējie!E2:E340,"ru",Kopējie!M2:M340,"Nē",Kopējie!N2:N340,"Jā",Kopējie!O2:O340,"Nē",Kopējie!P2:P340,"Nē",Kopējie!Q2:Q340,"Nē",Kopējie!AW2:AW340,"Jā",Kopējie!DP2:DP340,"Jā")</f>
        <v>11</v>
      </c>
      <c r="AG22" s="156">
        <v>16</v>
      </c>
      <c r="AH22" s="120">
        <v>15</v>
      </c>
      <c r="AJ22" s="121" t="s">
        <v>18136</v>
      </c>
      <c r="AK22" t="s">
        <v>18133</v>
      </c>
      <c r="AL22">
        <f>COUNTIFS(Kopējie!E2:E340,"ru",Kopējie!M2:M340,"Jā",Kopējie!N2:N340,"Jā",Kopējie!O2:O340,"Nē",Kopējie!P2:P340,"Nē",Kopējie!Q2:Q340,"Nē",Kopējie!AV2:AV340,"Jā",Kopējie!DP2:DP340,"Jā")</f>
        <v>8</v>
      </c>
      <c r="AM22">
        <f>COUNTIFS(Kopējie!E2:E340,"ru",Kopējie!M2:M340,"Jā",Kopējie!N2:N340,"Jā",Kopējie!O2:O340,"Nē",Kopējie!P2:P340,"Nē",Kopējie!Q2:Q340,"Nē",Kopējie!AW2:AW340,"Jā",Kopējie!DP2:DP340,"Jā")</f>
        <v>4</v>
      </c>
    </row>
    <row r="23" spans="1:39" x14ac:dyDescent="0.3">
      <c r="I23" t="s">
        <v>18078</v>
      </c>
      <c r="J23">
        <f>COUNTIFS(Kopējie!E2:E340,"lv",Kopējie!M2:M340,"Jā",Kopējie!N2:N340,"Nē",Kopējie!O2:O340,"Nē",Kopējie!P2:P340,"Nē",Kopējie!Q2:Q340,"Nē",Kopējie!AV2:AV340,"Jā",Kopējie!FD2:FD340,"Cita atbilde")</f>
        <v>1</v>
      </c>
      <c r="K23">
        <f>COUNTIFS(Kopējie!E2:E340,"lv",Kopējie!M2:M340,"Jā",Kopējie!N2:N340,"Jā",Kopējie!O2:O340,"Nē",Kopējie!P2:P340,"Nē",Kopējie!Q2:Q340,"Nē",Kopējie!AV2:AV340,"Jā",Kopējie!FD2:FD340,"Cita atbilde")</f>
        <v>0</v>
      </c>
      <c r="L23">
        <f>COUNTIFS(Kopējie!E2:E340,"lv",Kopējie!M2:M340,"Jā",Kopējie!N2:N340,"Nē",Kopējie!O2:O340,"Nē",Kopējie!P2:P340,"Nē",Kopējie!Q2:Q340,"Nē",Kopējie!AW2:AW340,"Jā",Kopējie!FD2:FD340,"Cita atbilde")</f>
        <v>0</v>
      </c>
      <c r="M23">
        <f>COUNTIFS(Kopējie!E2:E340,"lv",Kopējie!M2:M340,"Jā",Kopējie!N2:N340,"Jā",Kopējie!O2:O340,"Nē",Kopējie!P2:P340,"Nē",Kopējie!Q2:Q340,"Nē",Kopējie!AW2:AW340,"Jā",Kopējie!FD2:FD340,"Cita atbilde")</f>
        <v>0</v>
      </c>
      <c r="N23" s="120">
        <v>2</v>
      </c>
      <c r="O23">
        <v>0</v>
      </c>
      <c r="Q23" t="s">
        <v>18148</v>
      </c>
      <c r="R23">
        <f>COUNTIFS(Kopējie!E2:E340,"lv",Kopējie!M2:M340,"Jā",Kopējie!N2:N340,"Jā",Kopējie!O2:O340,"Nē",Kopējie!P2:P340,"Nē",Kopējie!Q2:Q340,"Nē",Kopējie!AV2:AV340,"Jā",Kopējie!U2:U340,"Ateistu(ti), nereliģiozu")</f>
        <v>8</v>
      </c>
      <c r="T23">
        <f>COUNTIFS(Kopējie!E2:E340,"lv",Kopējie!M2:M340,"Jā",Kopējie!N2:N340,"Jā",Kopējie!O2:O340,"Nē",Kopējie!P2:P340,"Nē",Kopējie!Q2:Q340,"Nē",Kopējie!AW2:AW340,"Jā",Kopējie!U2:U340,"Ateistu(ti), nereliģiozu")</f>
        <v>5</v>
      </c>
      <c r="W23" s="121" t="s">
        <v>18151</v>
      </c>
      <c r="AE23">
        <f>COUNTIFS(Kopējie!E2:E340,"ru",Kopējie!M2:M340,"Nē",Kopējie!N2:N340,"Jā",Kopējie!O2:O340,"Nē",Kopējie!P2:P340,"Nē",Kopējie!Q2:Q340,"Nē",Kopējie!AV2:AV340,"Jā",Kopējie!DR2:DR340,"Jā", Kopējie!DP2:DP340,"Jā")</f>
        <v>6</v>
      </c>
      <c r="AF23">
        <f>COUNTIFS(Kopējie!E2:E340,"ru",Kopējie!M2:M340,"Nē",Kopējie!N2:N340,"Jā",Kopējie!O2:O340,"Nē",Kopējie!P2:P340,"Nē",Kopējie!Q2:Q340,"Nē",Kopējie!AW2:AW340,"Jā",Kopējie!DR2:DR340,"Jā", Kopējie!DP2:DP340,"Jā")</f>
        <v>6</v>
      </c>
      <c r="AG23" s="156">
        <v>9</v>
      </c>
      <c r="AH23" s="120">
        <v>8</v>
      </c>
      <c r="AK23" t="s">
        <v>17961</v>
      </c>
      <c r="AL23">
        <f>COUNTIFS(Kopējie!E2:E340,"ru",Kopējie!M2:M340,"Jā",Kopējie!N2:N340,"Jā",Kopējie!O2:O340,"Nē",Kopējie!P2:P340,"Nē",Kopējie!Q2:Q340,"Nē",Kopējie!AV2:AV340,"Jā",Kopējie!DR2:DR340,"Jā", Kopējie!DP2:DP340,"Jā")</f>
        <v>3</v>
      </c>
      <c r="AM23">
        <f>COUNTIFS(Kopējie!E2:E340,"ru",Kopējie!M2:M340,"Jā",Kopējie!N2:N340,"Jā",Kopējie!O2:O340,"Nē",Kopējie!P2:P340,"Nē",Kopējie!Q2:Q340,"Nē",Kopējie!AW2:AW340,"Jā",Kopējie!DR2:DR340,"Jā", Kopējie!DP2:DP340,"Jā")</f>
        <v>2</v>
      </c>
    </row>
    <row r="24" spans="1:39" x14ac:dyDescent="0.3">
      <c r="I24" t="s">
        <v>18079</v>
      </c>
      <c r="J24">
        <f>COUNTIFS(Kopējie!E2:E340,"lv",Kopējie!M2:M340,"Jā",Kopējie!N2:N340,"Nē",Kopējie!O2:O340,"Nē",Kopējie!P2:P340,"Nē",Kopējie!Q2:Q340,"Nē",Kopējie!AV2:AV340,"Jā",Kopējie!FD2:FD340,"vidusskolā neesmu gājis")</f>
        <v>2</v>
      </c>
      <c r="K24">
        <f>COUNTIFS(Kopējie!E2:E340,"lv",Kopējie!M2:M340,"Jā",Kopējie!N2:N340,"Jā",Kopējie!O2:O340,"Nē",Kopējie!P2:P340,"Nē",Kopējie!Q2:Q340,"Nē",Kopējie!AV2:AV340,"Jā",Kopējie!FD2:FD340,"vidusskolā neesmu gājis")</f>
        <v>0</v>
      </c>
      <c r="L24">
        <f>COUNTIFS(Kopējie!E2:E340,"lv",Kopējie!M2:M340,"Jā",Kopējie!N2:N340,"Nē",Kopējie!O2:O340,"Nē",Kopējie!P2:P340,"Nē",Kopējie!Q2:Q340,"Nē",Kopējie!AW2:AW340,"Jā",Kopējie!FD2:FD340,"vidusskolā neesmu gājis")</f>
        <v>2</v>
      </c>
      <c r="M24">
        <f>COUNTIFS(Kopējie!E2:E340,"lv",Kopējie!M2:M340,"Jā",Kopējie!N2:N340,"Jā",Kopējie!O2:O340,"Nē",Kopējie!P2:P340,"Nē",Kopējie!Q2:Q340,"Nē",Kopējie!AW2:AW340,"Jā",Kopējie!FD2:FD340,"vidusskolā neesmu gājis")</f>
        <v>0</v>
      </c>
      <c r="N24" s="120">
        <v>2</v>
      </c>
      <c r="O24">
        <v>2</v>
      </c>
      <c r="X24" s="120" t="s">
        <v>18053</v>
      </c>
      <c r="Y24" s="120" t="s">
        <v>18054</v>
      </c>
      <c r="AG24" s="120"/>
      <c r="AH24" s="120"/>
    </row>
    <row r="25" spans="1:39" x14ac:dyDescent="0.3">
      <c r="W25" t="s">
        <v>18152</v>
      </c>
      <c r="X25">
        <f>COUNTIFS(Kopējie!CL2:CL340,"Jā",Kopējie!AV2:AV340,"Jā")</f>
        <v>17</v>
      </c>
      <c r="Y25">
        <f>COUNTIFS(Kopējie!CL2:CL340,"Jā",Kopējie!AW2:AW340,"Jā")</f>
        <v>16</v>
      </c>
      <c r="AE25">
        <f>COUNTIFS(Kopējie!E2:E340,"lv",Kopējie!M2:M340,"Jā",Kopējie!N2:N340,"Nē",Kopējie!O2:O340,"Nē",Kopējie!P2:P340,"Nē",Kopējie!Q2:Q340,"Nē",Kopējie!AV2:AV340,"Jā",Kopējie!DR2:DR340,"Jā")</f>
        <v>10</v>
      </c>
      <c r="AF25">
        <f>COUNTIFS(Kopējie!E2:E340,"lv",Kopējie!M2:M340,"Jā",Kopējie!N2:N340,"Nē",Kopējie!O2:O340,"Nē",Kopējie!P2:P340,"Nē",Kopējie!Q2:Q340,"Nē",Kopējie!AW2:AW340,"Jā",Kopējie!DR2:DR340,"Jā")</f>
        <v>11</v>
      </c>
      <c r="AG25" s="120">
        <v>15</v>
      </c>
      <c r="AH25" s="120">
        <v>15</v>
      </c>
      <c r="AK25" t="s">
        <v>18132</v>
      </c>
      <c r="AL25">
        <f>COUNTIFS(Kopējie!E2:E340,"lv",Kopējie!M2:M340,"Jā",Kopējie!N2:N340,"Jā",Kopējie!O2:O340,"Nē",Kopējie!P2:P340,"Nē",Kopējie!Q2:Q340,"Nē",Kopējie!AV2:AV340,"Jā",Kopējie!DR2:DR340,"Jā")</f>
        <v>5</v>
      </c>
      <c r="AM25">
        <f>COUNTIFS(Kopējie!E2:E340,"lv",Kopējie!M2:M340,"Jā",Kopējie!N2:N340,"Jā",Kopējie!O2:O340,"Nē",Kopējie!P2:P340,"Nē",Kopējie!Q2:Q340,"Nē",Kopējie!AW2:AW340,"Jā",Kopējie!DR2:DR340,"Jā")</f>
        <v>4</v>
      </c>
    </row>
    <row r="26" spans="1:39" x14ac:dyDescent="0.3">
      <c r="W26" t="s">
        <v>18153</v>
      </c>
      <c r="X26">
        <f>COUNTIFS(Kopējie!CM2:CM340,"Jā",Kopējie!AV2:AV340,"Jā")</f>
        <v>15</v>
      </c>
      <c r="Y26">
        <f>COUNTIFS(Kopējie!CM2:CM340,"Jā",Kopējie!AW2:AW340,"Jā")</f>
        <v>9</v>
      </c>
      <c r="AD26" s="121" t="s">
        <v>1812</v>
      </c>
      <c r="AE26">
        <f>COUNTIFS(Kopējie!E2:E340,"lv",Kopējie!M2:M340,"Jā",Kopējie!N2:N340,"Nē",Kopējie!O2:O340,"Nē",Kopējie!P2:P340,"Nē",Kopējie!Q2:Q340,"Nē",Kopējie!AV2:AV340,"Jā",Kopējie!DP2:DP340,"Jā")</f>
        <v>11</v>
      </c>
      <c r="AF26">
        <f>COUNTIFS(Kopējie!E2:E340,"lv",Kopējie!M2:M340,"Jā",Kopējie!N2:N340,"Nē",Kopējie!O2:O340,"Nē",Kopējie!P2:P340,"Nē",Kopējie!Q2:Q340,"Nē",Kopējie!AW2:AW340,"Jā",Kopējie!DP2:DP340,"Jā")</f>
        <v>12</v>
      </c>
      <c r="AG26" s="120">
        <v>18</v>
      </c>
      <c r="AH26" s="120">
        <v>17</v>
      </c>
      <c r="AJ26" s="121" t="s">
        <v>18137</v>
      </c>
      <c r="AK26" t="s">
        <v>18133</v>
      </c>
      <c r="AL26">
        <f>COUNTIFS(Kopējie!E2:E340,"lv",Kopējie!M2:M340,"Jā",Kopējie!N2:N340,"Jā",Kopējie!O2:O340,"Nē",Kopējie!P2:P340,"Nē",Kopējie!Q2:Q340,"Nē",Kopējie!AV2:AV340,"Jā",Kopējie!DP2:DP340,"Jā")</f>
        <v>7</v>
      </c>
      <c r="AM26">
        <f>COUNTIFS(Kopējie!E2:E340,"lv",Kopējie!M2:M340,"Jā",Kopējie!N2:N340,"Jā",Kopējie!O2:O340,"Nē",Kopējie!P2:P340,"Nē",Kopējie!Q2:Q340,"Nē",Kopējie!AW2:AW340,"Jā",Kopējie!DP2:DP340,"Jā")</f>
        <v>5</v>
      </c>
    </row>
    <row r="27" spans="1:39" x14ac:dyDescent="0.3">
      <c r="W27" t="s">
        <v>18154</v>
      </c>
      <c r="X27">
        <f>COUNTIFS(Kopējie!CN2:CN340,"Jā",Kopējie!AV2:AV340,"Jā")</f>
        <v>27</v>
      </c>
      <c r="Y27">
        <f>COUNTIFS(Kopējie!CN2:CN340,"Jā",Kopējie!AW2:AW340,"Jā")</f>
        <v>19</v>
      </c>
      <c r="AE27">
        <f>COUNTIFS(Kopējie!E2:E340,"lv",Kopējie!M2:M340,"Jā",Kopējie!N2:N340,"Nē",Kopējie!O2:O340,"Nē",Kopējie!P2:P340,"Nē",Kopējie!Q2:Q340,"Nē",Kopējie!AV2:AV340,"Jā",Kopējie!DR2:DR340,"Jā", Kopējie!DP2:DP340,"Jā")</f>
        <v>6</v>
      </c>
      <c r="AF27">
        <f>COUNTIFS(Kopējie!E2:E340,"lv",Kopējie!M2:M340,"Jā",Kopējie!N2:N340,"Nē",Kopējie!O2:O340,"Nē",Kopējie!P2:P340,"Nē",Kopējie!Q2:Q340,"Nē",Kopējie!AW2:AW340,"Jā",Kopējie!DR2:DR340,"Jā", Kopējie!DP2:DP340,"Jā")</f>
        <v>7</v>
      </c>
      <c r="AG27" s="120">
        <v>10</v>
      </c>
      <c r="AH27" s="120">
        <v>10</v>
      </c>
      <c r="AK27" t="s">
        <v>17961</v>
      </c>
      <c r="AL27">
        <f>COUNTIFS(Kopējie!E2:E340,"lv",Kopējie!M2:M340,"Jā",Kopējie!N2:N340,"Jā",Kopējie!O2:O340,"Nē",Kopējie!P2:P340,"Nē",Kopējie!Q2:Q340,"Nē",Kopējie!AV2:AV340,"Jā",Kopējie!DR2:DR340,"Jā", Kopējie!DP2:DP340,"Jā")</f>
        <v>4</v>
      </c>
      <c r="AM27">
        <f>COUNTIFS(Kopējie!E2:E340,"lv",Kopējie!M2:M340,"Jā",Kopējie!N2:N340,"Jā",Kopējie!O2:O340,"Nē",Kopējie!P2:P340,"Nē",Kopējie!Q2:Q340,"Nē",Kopējie!AW2:AW340,"Jā",Kopējie!DR2:DR340,"Jā", Kopējie!DP2:DP340,"Jā")</f>
        <v>3</v>
      </c>
    </row>
    <row r="28" spans="1:39" x14ac:dyDescent="0.3">
      <c r="D28" s="121" t="s">
        <v>18045</v>
      </c>
      <c r="M28" s="121" t="s">
        <v>18046</v>
      </c>
      <c r="W28" t="s">
        <v>1766</v>
      </c>
      <c r="X28">
        <f>COUNTIFS(Kopējie!CO2:CO340,"Jā",Kopējie!AV2:AV340,"Jā")</f>
        <v>51</v>
      </c>
      <c r="Y28">
        <f>COUNTIFS(Kopējie!CO2:CO340,"Jā",Kopējie!AW2:AW340,"Jā")</f>
        <v>45</v>
      </c>
      <c r="AG28" s="120"/>
      <c r="AH28" s="120"/>
    </row>
    <row r="29" spans="1:39" x14ac:dyDescent="0.3">
      <c r="D29" s="120" t="s">
        <v>18053</v>
      </c>
      <c r="E29" s="120" t="s">
        <v>1816</v>
      </c>
      <c r="F29" s="120" t="s">
        <v>18054</v>
      </c>
      <c r="G29" s="120" t="s">
        <v>1816</v>
      </c>
      <c r="H29" s="120" t="s">
        <v>18103</v>
      </c>
      <c r="I29" s="120" t="s">
        <v>18104</v>
      </c>
      <c r="M29" s="120" t="s">
        <v>18053</v>
      </c>
      <c r="N29" s="120" t="s">
        <v>1816</v>
      </c>
      <c r="O29" s="120" t="s">
        <v>18054</v>
      </c>
      <c r="P29" s="120" t="s">
        <v>1816</v>
      </c>
      <c r="Q29" s="120" t="s">
        <v>18102</v>
      </c>
      <c r="R29" s="120" t="s">
        <v>18102</v>
      </c>
      <c r="W29" t="s">
        <v>18155</v>
      </c>
      <c r="X29" s="155">
        <f>COUNTIFS(Kopējie!CP2:CP340,"Jā",Kopējie!AV2:AV340,"Jā")</f>
        <v>93</v>
      </c>
      <c r="Y29">
        <f>COUNTIFS(Kopējie!CP2:CP340,"Jā",Kopējie!AW2:AW340,"Jā")</f>
        <v>65</v>
      </c>
      <c r="AD29" s="121" t="s">
        <v>1814</v>
      </c>
      <c r="AE29">
        <f>COUNTIFS(Kopējie!E2:E340,"ru",Kopējie!M2:M340,"Nē",Kopējie!N2:N340,"Jā",Kopējie!O2:O340,"Nē",Kopējie!P2:P340,"Nē",Kopējie!Q2:Q340,"Nē",Kopējie!AV2:AV340,"Jā",Kopējie!DV2:DV340,"Jā")</f>
        <v>11</v>
      </c>
      <c r="AF29">
        <f>COUNTIFS(Kopējie!E2:E340,"ru",Kopējie!M2:M340,"Nē",Kopējie!N2:N340,"Jā",Kopējie!O2:O340,"Nē",Kopējie!P2:P340,"Nē",Kopējie!Q2:Q340,"Nē",Kopējie!AW2:AW340,"Jā",Kopējie!DV2:DV340,"Jā")</f>
        <v>9</v>
      </c>
      <c r="AG29" s="120">
        <v>13</v>
      </c>
      <c r="AH29" s="120">
        <v>10</v>
      </c>
      <c r="AJ29" s="121" t="s">
        <v>18136</v>
      </c>
      <c r="AK29" t="s">
        <v>18134</v>
      </c>
      <c r="AL29">
        <f>COUNTIFS(Kopējie!E2:E340,"ru",Kopējie!M2:M340,"Jā",Kopējie!N2:N340,"Jā",Kopējie!O2:O340,"Nē",Kopējie!P2:P340,"Nē",Kopējie!Q2:Q340,"Nē",Kopējie!AV2:AV340,"Jā",Kopējie!DV2:DV340,"Jā")</f>
        <v>2</v>
      </c>
      <c r="AM29">
        <f>COUNTIFS(Kopējie!E2:E340,"ru",Kopējie!M2:M340,"Jā",Kopējie!N2:N340,"Jā",Kopējie!O2:O340,"Nē",Kopējie!P2:P340,"Nē",Kopējie!Q2:Q340,"Nē",Kopējie!AW2:AW340,"Jā",Kopējie!DV2:DV340,"Jā")</f>
        <v>1</v>
      </c>
    </row>
    <row r="30" spans="1:39" x14ac:dyDescent="0.3">
      <c r="A30" t="s">
        <v>18107</v>
      </c>
      <c r="D30">
        <f>COUNTIFS(Kopējie!E2:E340,"ru",Kopējie!M2:M340,"Nē",Kopējie!N2:N340,"Jā",Kopējie!O2:O340,"Nē",Kopējie!P2:P340,"Nē",Kopējie!Q2:Q340,"Nē",Kopējie!AV2:AV340,"Jā",Kopējie!CS2:CS340,"&gt;=51",Kopējie!CS2:CS340,"&lt;=100")</f>
        <v>20</v>
      </c>
      <c r="E30">
        <f>COUNTIFS(Kopējie!E2:E340,"ru",Kopējie!M2:M340,"Jā",Kopējie!N2:N340,"Jā",Kopējie!O2:O340,"Nē",Kopējie!P2:P340,"Nē",Kopējie!Q2:Q340,"Nē",Kopējie!AV2:AV340,"Jā",Kopējie!CS2:CS340,"&gt;=51",Kopējie!CS2:CS340,"&lt;=100")</f>
        <v>6</v>
      </c>
      <c r="F30">
        <f>COUNTIFS(Kopējie!E2:E340,"ru",Kopējie!M2:M340,"Nē",Kopējie!N2:N340,"Jā",Kopējie!O2:O340,"Nē",Kopējie!P2:P340,"Nē",Kopējie!Q2:Q340,"Nē",Kopējie!AW2:AW340,"Jā",Kopējie!CS2:CS340,"&gt;=51",Kopējie!CS2:CS340,"&lt;=100")</f>
        <v>17</v>
      </c>
      <c r="G30">
        <f>COUNTIFS(Kopējie!E2:E340,"ru",Kopējie!M2:M340,"Jā",Kopējie!N2:N340,"Jā",Kopējie!O2:O340,"Nē",Kopējie!P2:P340,"Nē",Kopējie!Q2:Q340,"Nē",Kopējie!AW2:AW340,"Jā",Kopējie!CS2:CS340,"&gt;=51",Kopējie!CS2:CS340,"&lt;=100")</f>
        <v>3</v>
      </c>
      <c r="H30" s="155">
        <v>26</v>
      </c>
      <c r="I30">
        <v>20</v>
      </c>
      <c r="L30" t="s">
        <v>18088</v>
      </c>
      <c r="M30">
        <f>COUNTIFS(Kopējie!E2:E340,"ru",Kopējie!M2:M340,"Nē",Kopējie!N2:N340,"Jā",Kopējie!O2:O340,"Nē",Kopējie!P2:P340,"Nē",Kopējie!Q2:Q340,"Nē",Kopējie!AV2:AV340,"Jā",Kopējie!GP2:GP340,"Jā")</f>
        <v>1</v>
      </c>
      <c r="N30">
        <f>COUNTIFS(Kopējie!E2:E340,"ru",Kopējie!M2:M340,"Jā",Kopējie!N2:N340,"Jā",Kopējie!O2:O340,"Nē",Kopējie!P2:P340,"Nē",Kopējie!Q2:Q340,"Nē",Kopējie!AV2:AV340,"Jā",Kopējie!GP2:GP340,"Jā")</f>
        <v>0</v>
      </c>
      <c r="O30">
        <f>COUNTIFS(Kopējie!E2:E340,"ru",Kopējie!M2:M340,"Nē",Kopējie!N2:N340,"Jā",Kopējie!O2:O340,"Nē",Kopējie!P2:P340,"Nē",Kopējie!Q2:Q340,"Nē",Kopējie!AW2:AW340,"Jā",Kopējie!GP2:GP340,"Jā")</f>
        <v>1</v>
      </c>
      <c r="P30">
        <f>COUNTIFS(Kopējie!E2:E340,"ru",Kopējie!M2:M340,"Jā",Kopējie!N2:N340,"Jā",Kopējie!O2:O340,"Nē",Kopējie!P2:P340,"Nē",Kopējie!Q2:Q340,"Nē",Kopējie!AW2:AW340,"Jā",Kopējie!GP2:GP340,"Jā")</f>
        <v>0</v>
      </c>
      <c r="Q30">
        <v>1</v>
      </c>
      <c r="R30">
        <v>1</v>
      </c>
      <c r="W30" t="s">
        <v>18156</v>
      </c>
      <c r="X30">
        <f>COUNTIFS(Kopējie!CQ2:CQ340,"Jā",Kopējie!AV2:AV340,"Jā")</f>
        <v>14</v>
      </c>
      <c r="Y30">
        <f>COUNTIFS(Kopējie!CQ2:CQ340,"Jā",Kopējie!AW2:AW340,"Jā")</f>
        <v>14</v>
      </c>
      <c r="AE30">
        <f>COUNTIFS(Kopējie!E2:E340,"ru",Kopējie!M2:M340,"Nē",Kopējie!N2:N340,"Jā",Kopējie!O2:O340,"Nē",Kopējie!P2:P340,"Nē",Kopējie!Q2:Q340,"Nē",Kopējie!AV2:AV340,"Jā",Kopējie!DT2:DT340,"Jā")</f>
        <v>11</v>
      </c>
      <c r="AF30">
        <f>COUNTIFS(Kopējie!E2:E340,"ru",Kopējie!M2:M340,"Nē",Kopējie!N2:N340,"Jā",Kopējie!O2:O340,"Nē",Kopējie!P2:P340,"Nē",Kopējie!Q2:Q340,"Nē",Kopējie!AW2:AW340,"Jā",Kopējie!DT2:DT340,"Jā")</f>
        <v>10</v>
      </c>
      <c r="AG30" s="120">
        <v>17</v>
      </c>
      <c r="AH30" s="120">
        <v>13</v>
      </c>
      <c r="AK30" t="s">
        <v>18135</v>
      </c>
      <c r="AL30">
        <f>COUNTIFS(Kopējie!E2:E340,"ru",Kopējie!M2:M340,"Jā",Kopējie!N2:N340,"Jā",Kopējie!O2:O340,"Nē",Kopējie!P2:P340,"Nē",Kopējie!Q2:Q340,"Nē",Kopējie!AV2:AV340,"Jā",Kopējie!DT2:DT340,"Jā")</f>
        <v>6</v>
      </c>
      <c r="AM30">
        <f>COUNTIFS(Kopējie!E2:E340,"ru",Kopējie!M2:M340,"Jā",Kopējie!N2:N340,"Jā",Kopējie!O2:O340,"Nē",Kopējie!P2:P340,"Nē",Kopējie!Q2:Q340,"Nē",Kopējie!AW2:AW340,"Jā",Kopējie!DT2:DT340,"Jā")</f>
        <v>3</v>
      </c>
    </row>
    <row r="31" spans="1:39" x14ac:dyDescent="0.3">
      <c r="A31" t="s">
        <v>18108</v>
      </c>
      <c r="D31">
        <f>COUNTIFS(Kopējie!E2:E340,"lv",Kopējie!M2:M340,"Jā",Kopējie!N2:N340,"Nē",Kopējie!O2:O340,"Nē",Kopējie!P2:P340,"Nē",Kopējie!Q2:Q340,"Nē",Kopējie!AV2:AV340,"Jā",Kopējie!CS2:CS340,"&gt;=51",Kopējie!CS2:CS340,"&lt;=100")</f>
        <v>18</v>
      </c>
      <c r="E31">
        <f>COUNTIFS(Kopējie!E2:E340,"lv",Kopējie!M2:M340,"Jā",Kopējie!N2:N340,"Jā",Kopējie!O2:O340,"Nē",Kopējie!P2:P340,"Nē",Kopējie!Q2:Q340,"Nē",Kopējie!AV2:AV340,"Jā",Kopējie!CS2:CS340,"&gt;=50",Kopējie!CS2:CS340,"&lt;=100")</f>
        <v>3</v>
      </c>
      <c r="F31">
        <f>COUNTIFS(Kopējie!E2:E340,"lv",Kopējie!M2:M340,"Jā",Kopējie!N2:N340,"Nē",Kopējie!O2:O340,"Nē",Kopējie!P2:P340,"Nē",Kopējie!Q2:Q340,"Nē",Kopējie!AW2:AW340,"Jā",Kopējie!CS2:CS340,"&gt;=51",Kopējie!CS2:CS340,"&lt;=100")</f>
        <v>14</v>
      </c>
      <c r="G31">
        <f>COUNTIFS(Kopējie!E2:E340,"lv",Kopējie!M2:M340,"Jā",Kopējie!N2:N340,"Jā",Kopējie!O2:O340,"Nē",Kopējie!P2:P340,"Nē",Kopējie!Q2:Q340,"Nē",Kopējie!AW2:AW340,"Jā",Kopējie!CS2:CS340,"&gt;=51",Kopējie!CS2:CS340,"&lt;=100")</f>
        <v>2</v>
      </c>
      <c r="H31">
        <v>21</v>
      </c>
      <c r="I31">
        <v>16</v>
      </c>
      <c r="L31" t="s">
        <v>18089</v>
      </c>
      <c r="M31">
        <f>COUNTIFS(Kopējie!E2:E340,"ru",Kopējie!M2:M340,"Nē",Kopējie!N2:N340,"Jā",Kopējie!O2:O340,"Nē",Kopējie!P2:P340,"Nē",Kopējie!Q2:Q340,"Nē",Kopējie!AV2:AV340,"Jā",Kopējie!GM2:GM340,"Jā")</f>
        <v>3</v>
      </c>
      <c r="N31">
        <f>COUNTIFS(Kopējie!E2:E340,"ru",Kopējie!M2:M340,"Jā",Kopējie!N2:N340,"Jā",Kopējie!O2:O340,"Nē",Kopējie!P2:P340,"Nē",Kopējie!Q2:Q340,"Nē",Kopējie!AV2:AV340,"Jā",Kopējie!GM2:GM340,"Jā")</f>
        <v>0</v>
      </c>
      <c r="O31">
        <f>COUNTIFS(Kopējie!E2:E340,"ru",Kopējie!M2:M340,"Nē",Kopējie!N2:N340,"Jā",Kopējie!O2:O340,"Nē",Kopējie!P2:P340,"Nē",Kopējie!Q2:Q340,"Nē",Kopējie!AW2:AW340,"Jā",Kopējie!GM2:GM340,"Jā")</f>
        <v>1</v>
      </c>
      <c r="P31">
        <f>COUNTIFS(Kopējie!E2:E340,"ru",Kopējie!M2:M340,"Jā",Kopējie!N2:N340,"Jā",Kopējie!O2:O340,"Nē",Kopējie!P2:P340,"Nē",Kopējie!Q2:Q340,"Nē",Kopējie!AW2:AW340,"Jā",Kopējie!GM2:GM340,"Jā")</f>
        <v>0</v>
      </c>
      <c r="Q31">
        <v>3</v>
      </c>
      <c r="R31">
        <v>1</v>
      </c>
      <c r="AE31">
        <f>COUNTIFS(Kopējie!E2:E340,"lv",Kopējie!M2:M340,"Jā",Kopējie!N2:N340,"Nē",Kopējie!O2:O340,"Nē",Kopējie!P2:P340,"Nē",Kopējie!Q2:Q340,"Nē",Kopējie!AV2:AV340,"Jā",Kopējie!DV2:DV340,"Jā", Kopējie!DT2:DT340,"Jā")</f>
        <v>11</v>
      </c>
      <c r="AF31">
        <f>COUNTIFS(Kopējie!E2:E340,"lv",Kopējie!M2:M340,"Jā",Kopējie!N2:N340,"Nē",Kopējie!O2:O340,"Nē",Kopējie!P2:P340,"Nē",Kopējie!Q2:Q340,"Nē",Kopējie!AW2:AW340,"Jā",Kopējie!DV2:DV340,"Jā", Kopējie!DT2:DT340,"Jā")</f>
        <v>13</v>
      </c>
      <c r="AG31" s="156">
        <v>19</v>
      </c>
      <c r="AH31" s="156">
        <v>18</v>
      </c>
      <c r="AK31" t="s">
        <v>17961</v>
      </c>
      <c r="AL31">
        <f>COUNTIFS(Kopējie!E2:E340,"lv",Kopējie!M2:M340,"Jā",Kopējie!N2:N340,"Jā",Kopējie!O2:O340,"Nē",Kopējie!P2:P340,"Nē",Kopējie!Q2:Q340,"Nē",Kopējie!AV2:AV340,"Jā",Kopējie!DV2:DV340,"Jā", Kopējie!DT2:DT340,"Jā")</f>
        <v>8</v>
      </c>
      <c r="AM31">
        <f>COUNTIFS(Kopējie!E2:E340,"lv",Kopējie!M2:M340,"Jā",Kopējie!N2:N340,"Jā",Kopējie!O2:O340,"Nē",Kopējie!P2:P340,"Nē",Kopējie!Q2:Q340,"Nē",Kopējie!AW2:AW340,"Jā",Kopējie!DV2:DV340,"Jā", Kopējie!DT2:DT340,"Jā")</f>
        <v>5</v>
      </c>
    </row>
    <row r="32" spans="1:39" x14ac:dyDescent="0.3">
      <c r="A32" t="s">
        <v>18105</v>
      </c>
      <c r="D32">
        <f>COUNTIFS(Kopējie!E2:E340,"ru",Kopējie!M2:M340,"Nē",Kopējie!N2:N340,"Jā",Kopējie!O2:O340,"Nē",Kopējie!P2:P340,"Nē",Kopējie!Q2:Q340,"Nē",Kopējie!AV2:AV340,"Jā",Kopējie!CS2:CS340,"&gt;=1",Kopējie!CS2:CS340,"&lt;=50")</f>
        <v>10</v>
      </c>
      <c r="E32">
        <f>COUNTIFS(Kopējie!E2:E340,"ru",Kopējie!M2:M340,"Jā",Kopējie!N2:N340,"Jā",Kopējie!O2:O340,"Nē",Kopējie!P2:P340,"Nē",Kopējie!Q2:Q340,"Nē",Kopējie!AV2:AV340,"Jā",Kopējie!CS2:CS340,"&gt;=1",Kopējie!CS2:CS340,"&lt;=50")</f>
        <v>13</v>
      </c>
      <c r="F32">
        <f>COUNTIFS(Kopējie!E2:E340,"ru",Kopējie!M2:M340,"Nē",Kopējie!N2:N340,"Jā",Kopējie!O2:O340,"Nē",Kopējie!P2:P340,"Nē",Kopējie!Q2:Q340,"Nē",Kopējie!AW2:AW340,"Jā",Kopējie!CS2:CS340,"&gt;=1",Kopējie!CS2:CS340,"&lt;=50")</f>
        <v>10</v>
      </c>
      <c r="G32">
        <f>COUNTIFS(Kopējie!E2:E340,"ru",Kopējie!M2:M340,"Jā",Kopējie!N2:N340,"Jā",Kopējie!O2:O340,"Nē",Kopējie!P2:P340,"Nē",Kopējie!Q2:Q340,"Nē",Kopējie!AW2:AW340,"Jā",Kopējie!CS2:CS340,"&gt;=1",Kopējie!CS2:CS340,"&lt;=50")</f>
        <v>10</v>
      </c>
      <c r="H32">
        <v>23</v>
      </c>
      <c r="I32">
        <v>20</v>
      </c>
      <c r="L32" t="s">
        <v>18090</v>
      </c>
      <c r="M32">
        <f>COUNTIFS(Kopējie!E2:E340,"ru",Kopējie!M2:M340,"Nē",Kopējie!N2:N340,"Jā",Kopējie!O2:O340,"Nē",Kopējie!P2:P340,"Nē",Kopējie!Q2:Q340,"Nē",Kopējie!AV2:AV340,"Jā",Kopējie!GR2:GR340,"Jā")</f>
        <v>5</v>
      </c>
      <c r="N32">
        <f>COUNTIFS(Kopējie!E2:E340,"ru",Kopējie!M2:M340,"Jā",Kopējie!N2:N340,"Jā",Kopējie!O2:O340,"Nē",Kopējie!P2:P340,"Nē",Kopējie!Q2:Q340,"Nē",Kopējie!AV2:AV340,"Jā",Kopējie!GR2:GR340,"Jā")</f>
        <v>3</v>
      </c>
      <c r="O32">
        <f>COUNTIFS(Kopējie!E2:E340,"ru",Kopējie!M2:M340,"Nē",Kopējie!N2:N340,"Jā",Kopējie!O2:O340,"Nē",Kopējie!P2:P340,"Nē",Kopējie!Q2:Q340,"Nē",Kopējie!AW2:AW340,"Jā",Kopējie!GR2:GR340,"Jā")</f>
        <v>4</v>
      </c>
      <c r="P32">
        <f>COUNTIFS(Kopējie!E2:E340,"ru",Kopējie!M2:M340,"Jā",Kopējie!N2:N340,"Jā",Kopējie!O2:O340,"Nē",Kopējie!P2:P340,"Nē",Kopējie!Q2:Q340,"Nē",Kopējie!AW2:AW340,"Jā",Kopējie!GR2:GR340,"Jā")</f>
        <v>2</v>
      </c>
      <c r="Q32">
        <v>8</v>
      </c>
      <c r="R32">
        <v>6</v>
      </c>
      <c r="S32" t="s">
        <v>18141</v>
      </c>
      <c r="Y32" t="s">
        <v>18143</v>
      </c>
      <c r="Z32" t="s">
        <v>18142</v>
      </c>
      <c r="AA32" t="s">
        <v>18145</v>
      </c>
      <c r="AG32" s="120"/>
      <c r="AH32" s="120"/>
    </row>
    <row r="33" spans="1:39" x14ac:dyDescent="0.3">
      <c r="A33" t="s">
        <v>18106</v>
      </c>
      <c r="D33">
        <f>COUNTIFS(Kopējie!E2:E340,"lv",Kopējie!M2:M340,"Jā",Kopējie!N2:N340,"Nē",Kopējie!O2:O340,"Nē",Kopējie!P2:P340,"Nē",Kopējie!Q2:Q340,"Nē",Kopējie!AV2:AV340,"Jā",Kopējie!CS2:CS340,"&gt;=1",Kopējie!CS2:CS340,"&lt;=50")</f>
        <v>17</v>
      </c>
      <c r="E33">
        <f>COUNTIFS(Kopējie!E2:E340,"lv",Kopējie!M2:M340,"Jā",Kopējie!N2:N340,"Jā",Kopējie!O2:O340,"Nē",Kopējie!P2:P340,"Nē",Kopējie!Q2:Q340,"Nē",Kopējie!AV2:AV340,"Jā",Kopējie!CS2:CS340,"&gt;=1",Kopējie!CS2:CS340,"&lt;=50")</f>
        <v>12</v>
      </c>
      <c r="F33">
        <f>COUNTIFS(Kopējie!E2:E340,"lv",Kopējie!M2:M340,"Jā",Kopējie!N2:N340,"Nē",Kopējie!O2:O340,"Nē",Kopējie!P2:P340,"Nē",Kopējie!Q2:Q340,"Nē",Kopējie!AW2:AW340,"Jā",Kopējie!CS2:CS340,"&gt;=1",Kopējie!CS2:CS340,"&lt;=50")</f>
        <v>11</v>
      </c>
      <c r="G33">
        <f>COUNTIFS(Kopējie!E2:E340,"lv",Kopējie!M2:M340,"Jā",Kopējie!N2:N340,"Jā",Kopējie!O2:O340,"Nē",Kopējie!P2:P340,"Nē",Kopējie!Q2:Q340,"Nē",Kopējie!AW2:AW340,"Jā",Kopējie!CS2:CS340,"&gt;=1",Kopējie!CS2:CS340,"&lt;=50")</f>
        <v>12</v>
      </c>
      <c r="H33" s="155">
        <v>29</v>
      </c>
      <c r="I33">
        <v>23</v>
      </c>
      <c r="L33" t="s">
        <v>18091</v>
      </c>
      <c r="M33">
        <f>COUNTIFS(Kopējie!E2:E340,"ru",Kopējie!M2:M340,"Nē",Kopējie!N2:N340,"Jā",Kopējie!O2:O340,"Nē",Kopējie!P2:P340,"Nē",Kopējie!Q2:Q340,"Nē",Kopējie!AV2:AV340,"Jā",Kopējie!GU2:GU340,"Jā")</f>
        <v>3</v>
      </c>
      <c r="N33">
        <f>COUNTIFS(Kopējie!E2:E340,"ru",Kopējie!M2:M340,"Jā",Kopējie!N2:N340,"Jā",Kopējie!O2:O340,"Nē",Kopējie!P2:P340,"Nē",Kopējie!Q2:Q340,"Nē",Kopējie!AV2:AV340,"Jā",Kopējie!GU2:GU340,"Jā")</f>
        <v>1</v>
      </c>
      <c r="O33">
        <f>COUNTIFS(Kopējie!E2:E340,"ru",Kopējie!M2:M340,"Nē",Kopējie!N2:N340,"Jā",Kopējie!O2:O340,"Nē",Kopējie!P2:P340,"Nē",Kopējie!Q2:Q340,"Nē",Kopējie!AW2:AW340,"Jā",Kopējie!GU2:GU340,"Jā")</f>
        <v>3</v>
      </c>
      <c r="P33">
        <f>COUNTIFS(Kopējie!E2:E340,"ru",Kopējie!M2:M340,"Jā",Kopējie!N2:N340,"Jā",Kopējie!O2:O340,"Nē",Kopējie!P2:P340,"Nē",Kopējie!Q2:Q340,"Nē",Kopējie!AW2:AW340,"Jā",Kopējie!GU2:GU340,"Jā")</f>
        <v>1</v>
      </c>
      <c r="Q33">
        <v>4</v>
      </c>
      <c r="R33">
        <v>4</v>
      </c>
      <c r="AD33" s="121" t="s">
        <v>1812</v>
      </c>
      <c r="AE33">
        <f>COUNTIFS(Kopējie!E2:E340,"lv",Kopējie!M2:M340,"Jā",Kopējie!N2:N340,"Nē",Kopējie!O2:O340,"Nē",Kopējie!P2:P340,"Nē",Kopējie!Q2:Q340,"Nē",Kopējie!AV2:AV340,"Jā",Kopējie!DV2:DV340,"Jā")</f>
        <v>16</v>
      </c>
      <c r="AF33">
        <f>COUNTIFS(Kopējie!E2:E340,"lv",Kopējie!M2:M340,"Jā",Kopējie!N2:N340,"Nē",Kopējie!O2:O340,"Nē",Kopējie!P2:P340,"Nē",Kopējie!Q2:Q340,"Nē",Kopējie!AW2:AW340,"Jā",Kopējie!DV2:DV340,"Jā")</f>
        <v>16</v>
      </c>
      <c r="AG33" s="120">
        <v>26</v>
      </c>
      <c r="AH33" s="120">
        <v>24</v>
      </c>
      <c r="AJ33" s="121" t="s">
        <v>18137</v>
      </c>
      <c r="AK33" t="s">
        <v>18134</v>
      </c>
      <c r="AL33">
        <f>COUNTIFS(Kopējie!E2:E340,"lv",Kopējie!M2:M340,"Jā",Kopējie!N2:N340,"Jā",Kopējie!O2:O340,"Nē",Kopējie!P2:P340,"Nē",Kopējie!Q2:Q340,"Nē",Kopējie!AV2:AV340,"Jā",Kopējie!DV2:DV340,"Jā")</f>
        <v>10</v>
      </c>
      <c r="AM33">
        <f>COUNTIFS(Kopējie!E2:E340,"lv",Kopējie!M2:M340,"Jā",Kopējie!N2:N340,"Jā",Kopējie!O2:O340,"Nē",Kopējie!P2:P340,"Nē",Kopējie!Q2:Q340,"Nē",Kopējie!AW2:AW340,"Jā",Kopējie!DV2:DV340,"Jā")</f>
        <v>8</v>
      </c>
    </row>
    <row r="34" spans="1:39" x14ac:dyDescent="0.3">
      <c r="L34" t="s">
        <v>18092</v>
      </c>
      <c r="M34">
        <f>COUNTIFS(Kopējie!E2:E340,"ru",Kopējie!M2:M340,"Nē",Kopējie!N2:N340,"Jā",Kopējie!O2:O340,"Nē",Kopējie!P2:P340,"Nē",Kopējie!Q2:Q340,"Nē",Kopējie!AV2:AV340,"Jā",Kopējie!GX2:GX340,"Jā")</f>
        <v>2</v>
      </c>
      <c r="N34">
        <f>COUNTIFS(Kopējie!E2:E340,"ru",Kopējie!M2:M340,"Jā",Kopējie!N2:N340,"Jā",Kopējie!O2:O340,"Nē",Kopējie!P2:P340,"Nē",Kopējie!Q2:Q340,"Nē",Kopējie!AV2:AV340,"Jā",Kopējie!GX2:GX340,"Jā")</f>
        <v>1</v>
      </c>
      <c r="O34">
        <f>COUNTIFS(Kopējie!E2:E340,"ru",Kopējie!M2:M340,"Nē",Kopējie!N2:N340,"Jā",Kopējie!O2:O340,"Nē",Kopējie!P2:P340,"Nē",Kopējie!Q2:Q340,"Nē",Kopējie!AW2:AW340,"Jā",Kopējie!GX2:GX340,"Jā")</f>
        <v>3</v>
      </c>
      <c r="P34">
        <f>COUNTIFS(Kopējie!E2:E340,"ru",Kopējie!M2:M340,"Jā",Kopējie!N2:N340,"Jā",Kopējie!O2:O340,"Nē",Kopējie!P2:P340,"Nē",Kopējie!Q2:Q340,"Nē",Kopējie!AW2:AW340,"Jā",Kopējie!GX2:GX340,"Jā")</f>
        <v>0</v>
      </c>
      <c r="Q34">
        <v>3</v>
      </c>
      <c r="R34">
        <v>3</v>
      </c>
      <c r="AE34">
        <f>COUNTIFS(Kopējie!E2:E340,"lv",Kopējie!M2:M340,"Jā",Kopējie!N2:N340,"Nē",Kopējie!O2:O340,"Nē",Kopējie!P2:P340,"Nē",Kopējie!Q2:Q340,"Nē",Kopējie!AV2:AV340,"Jā",Kopējie!DT2:DT340,"Jā")</f>
        <v>21</v>
      </c>
      <c r="AF34">
        <f>COUNTIFS(Kopējie!E2:E340,"lv",Kopējie!M2:M340,"Jā",Kopējie!N2:N340,"Nē",Kopējie!O2:O340,"Nē",Kopējie!P2:P340,"Nē",Kopējie!Q2:Q340,"Nē",Kopējie!AW2:AW340,"Jā",Kopējie!DT2:DT340,"Jā")</f>
        <v>16</v>
      </c>
      <c r="AG34" s="120">
        <v>31</v>
      </c>
      <c r="AH34" s="120">
        <v>22</v>
      </c>
      <c r="AK34" t="s">
        <v>18135</v>
      </c>
      <c r="AL34">
        <f>COUNTIFS(Kopējie!E2:E340,"lv",Kopējie!M2:M340,"Jā",Kopējie!N2:N340,"Jā",Kopējie!O2:O340,"Nē",Kopējie!P2:P340,"Nē",Kopējie!Q2:Q340,"Nē",Kopējie!AV2:AV340,"Jā",Kopējie!DT2:DT340,"Jā")</f>
        <v>10</v>
      </c>
      <c r="AM34">
        <f>COUNTIFS(Kopējie!E2:E340,"lv",Kopējie!M2:M340,"Jā",Kopējie!N2:N340,"Jā",Kopējie!O2:O340,"Nē",Kopējie!P2:P340,"Nē",Kopējie!Q2:Q340,"Nē",Kopējie!AW2:AW340,"Jā",Kopējie!DT2:DT340,"Jā")</f>
        <v>6</v>
      </c>
    </row>
    <row r="35" spans="1:39" x14ac:dyDescent="0.3">
      <c r="D35" s="120" t="s">
        <v>18053</v>
      </c>
      <c r="E35" s="120" t="s">
        <v>1816</v>
      </c>
      <c r="F35" s="120" t="s">
        <v>18054</v>
      </c>
      <c r="G35" s="120" t="s">
        <v>1816</v>
      </c>
      <c r="H35" s="120" t="s">
        <v>18103</v>
      </c>
      <c r="I35" s="120" t="s">
        <v>18104</v>
      </c>
      <c r="L35" t="s">
        <v>18093</v>
      </c>
      <c r="M35">
        <f>COUNTIFS(Kopējie!E2:E340,"ru",Kopējie!M2:M340,"Nē",Kopējie!N2:N340,"Jā",Kopējie!O2:O340,"Nē",Kopējie!P2:P340,"Nē",Kopējie!Q2:Q340,"Nē",Kopējie!AV2:AV340,"Jā",Kopējie!GZ2:GZ340,"Jā")</f>
        <v>15</v>
      </c>
      <c r="N35">
        <f>COUNTIFS(Kopējie!E2:E340,"ru",Kopējie!M2:M340,"Jā",Kopējie!N2:N340,"Jā",Kopējie!O2:O340,"Nē",Kopējie!P2:P340,"Nē",Kopējie!Q2:Q340,"Nē",Kopējie!AV2:AV340,"Jā",Kopējie!GZ2:GZ340,"Jā")</f>
        <v>9</v>
      </c>
      <c r="O35">
        <f>COUNTIFS(Kopējie!E2:E340,"ru",Kopējie!M2:M340,"Nē",Kopējie!N2:N340,"Jā",Kopējie!O2:O340,"Nē",Kopējie!P2:P340,"Nē",Kopējie!Q2:Q340,"Nē",Kopējie!AW2:AW340,"Jā",Kopējie!GZ2:GZ340,"Jā")</f>
        <v>15</v>
      </c>
      <c r="P35">
        <f>COUNTIFS(Kopējie!E2:E340,"ru",Kopējie!M2:M340,"Jā",Kopējie!N2:N340,"Jā",Kopējie!O2:O340,"Nē",Kopējie!P2:P340,"Nē",Kopējie!Q2:Q340,"Nē",Kopējie!AW2:AW340,"Jā",Kopējie!GZ2:GZ340,"Jā")</f>
        <v>4</v>
      </c>
      <c r="Q35">
        <v>24</v>
      </c>
      <c r="R35">
        <v>19</v>
      </c>
      <c r="S35" t="s">
        <v>18100</v>
      </c>
      <c r="W35">
        <f>COUNTIFS(Kopējie!E2:E340,"ru",Kopējie!M2:M340,"Nē",Kopējie!N2:N340,"Jā",Kopējie!O2:O340,"Nē",Kopējie!P2:P340,"Nē",Kopējie!Q2:Q340,"Nē",Kopējie!GZ2:GZ340,"Jā")</f>
        <v>45</v>
      </c>
      <c r="X35">
        <f>COUNTIFS(Kopējie!E2:E340,"ru",Kopējie!M2:M340,"Jā",Kopējie!N2:N340,"Jā",Kopējie!O2:O340,"Nē",Kopējie!P2:P340,"Nē",Kopējie!Q2:Q340,"Nē",Kopējie!GZ2:GZ340,"Jā")</f>
        <v>16</v>
      </c>
      <c r="Y35" t="s">
        <v>18144</v>
      </c>
      <c r="AE35">
        <f>COUNTIFS(Kopējie!E2:E340,"lv",Kopējie!M2:M340,"Jā",Kopējie!N2:N340,"Nē",Kopējie!O2:O340,"Nē",Kopējie!P2:P340,"Nē",Kopējie!Q2:Q340,"Nē",Kopējie!AV2:AV340,"Jā",Kopējie!DT2:DT340,"Jā", Kopējie!DV2:DV340,"Jā")</f>
        <v>11</v>
      </c>
      <c r="AF35">
        <f>COUNTIFS(Kopējie!E2:E340,"lv",Kopējie!M2:M340,"Jā",Kopējie!N2:N340,"Nē",Kopējie!O2:O340,"Nē",Kopējie!P2:P340,"Nē",Kopējie!Q2:Q340,"Nē",Kopējie!AW2:AW340,"Jā",Kopējie!DT2:DT340,"Jā", Kopējie!DV2:DV340,"Jā")</f>
        <v>13</v>
      </c>
      <c r="AG35" s="120">
        <v>19</v>
      </c>
      <c r="AH35" s="120">
        <v>18</v>
      </c>
      <c r="AK35" t="s">
        <v>17961</v>
      </c>
      <c r="AL35">
        <f>COUNTIFS(Kopējie!E2:E340,"lv",Kopējie!M2:M340,"Jā",Kopējie!N2:N340,"Jā",Kopējie!O2:O340,"Nē",Kopējie!P2:P340,"Nē",Kopējie!Q2:Q340,"Nē",Kopējie!AV2:AV340,"Jā",Kopējie!DT2:DT340,"Jā", Kopējie!DV2:DV340,"Jā")</f>
        <v>8</v>
      </c>
      <c r="AM35">
        <f>COUNTIFS(Kopējie!E2:E340,"lv",Kopējie!M2:M340,"Jā",Kopējie!N2:N340,"Jā",Kopējie!O2:O340,"Nē",Kopējie!P2:P340,"Nē",Kopējie!Q2:Q340,"Nē",Kopējie!AW2:AW340,"Jā",Kopējie!DT2:DT340,"Jā", Kopējie!DV2:DV340,"Jā")</f>
        <v>5</v>
      </c>
    </row>
    <row r="36" spans="1:39" x14ac:dyDescent="0.3">
      <c r="A36" t="s">
        <v>18109</v>
      </c>
      <c r="D36">
        <f>COUNTIFS(Kopējie!E2:E340,"ru",Kopējie!M2:M340,"Nē",Kopējie!N2:N340,"Jā",Kopējie!O2:O340,"Nē",Kopējie!P2:P340,"Nē",Kopējie!Q2:Q340,"Nē",Kopējie!AV2:AV340,"Jā",Kopējie!CT2:CT340,"&gt;=51",Kopējie!CT2:CT340,"&lt;=100")</f>
        <v>1</v>
      </c>
      <c r="E36">
        <f>COUNTIFS(Kopējie!E2:E340,"ru",Kopējie!M2:M340,"Jā",Kopējie!N2:N340,"Jā",Kopējie!O2:O340,"Nē",Kopējie!P2:P340,"Nē",Kopējie!Q2:Q340,"Nē",Kopējie!AV2:AV340,"Jā",Kopējie!CT2:CT340,"&gt;=51",Kopējie!CT2:CT340,"&lt;=100")</f>
        <v>12</v>
      </c>
      <c r="F36">
        <f>COUNTIFS(Kopējie!E2:E340,"ru",Kopējie!M2:M340,"Nē",Kopējie!N2:N340,"Jā",Kopējie!O2:O340,"Nē",Kopējie!P2:P340,"Nē",Kopējie!Q2:Q340,"Nē",Kopējie!AW2:AW340,"Jā",Kopējie!CT2:CT340,"&gt;=51",Kopējie!CT2:CT340,"&lt;=100")</f>
        <v>3</v>
      </c>
      <c r="G36">
        <f>COUNTIFS(Kopējie!E2:E340,"ru",Kopējie!M2:M340,"Jā",Kopējie!N2:N340,"Jā",Kopējie!O2:O340,"Nē",Kopējie!P2:P340,"Nē",Kopējie!Q2:Q340,"Nē",Kopējie!AW2:AW340,"Jā",Kopējie!CT2:CT340,"&gt;=51",Kopējie!CT2:CT340,"&lt;=100")</f>
        <v>7</v>
      </c>
      <c r="H36">
        <v>13</v>
      </c>
      <c r="I36">
        <v>10</v>
      </c>
      <c r="L36" t="s">
        <v>18094</v>
      </c>
      <c r="M36">
        <f>COUNTIFS(Kopējie!E2:E340,"ru",Kopējie!M2:M340,"Nē",Kopējie!N2:N340,"Jā",Kopējie!O2:O340,"Nē",Kopējie!P2:P340,"Nē",Kopējie!Q2:Q340,"Nē",Kopējie!AV2:AV340,"Jā",Kopējie!HQ2:HQ340,"Jā")</f>
        <v>0</v>
      </c>
      <c r="N36">
        <f>COUNTIFS(Kopējie!E2:E340,"ru",Kopējie!M2:M340,"Jā",Kopējie!N2:N340,"Jā",Kopējie!O2:O340,"Nē",Kopējie!P2:P340,"Nē",Kopējie!Q2:Q340,"Nē",Kopējie!AV2:AV340,"Jā",Kopējie!HQ2:HQ340,"Jā")</f>
        <v>0</v>
      </c>
      <c r="O36">
        <f>COUNTIFS(Kopējie!E2:E340,"ru",Kopējie!M2:M340,"Nē",Kopējie!N2:N340,"Jā",Kopējie!O2:O340,"Nē",Kopējie!P2:P340,"Nē",Kopējie!Q2:Q340,"Nē",Kopējie!AW2:AW340,"Jā",Kopējie!HQ2:HQ340,"Jā")</f>
        <v>0</v>
      </c>
      <c r="P36">
        <f>COUNTIFS(Kopējie!E2:E340,"ru",Kopējie!M2:M340,"Jā",Kopējie!N2:N340,"Jā",Kopējie!O2:O340,"Nē",Kopējie!P2:P340,"Nē",Kopējie!Q2:Q340,"Nē",Kopējie!AW2:AW340,"Jā",Kopējie!HQ2:HQ340,"Jā")</f>
        <v>0</v>
      </c>
      <c r="Q36">
        <v>0</v>
      </c>
      <c r="R36">
        <v>0</v>
      </c>
    </row>
    <row r="37" spans="1:39" x14ac:dyDescent="0.3">
      <c r="A37" t="s">
        <v>18110</v>
      </c>
      <c r="D37">
        <f>COUNTIFS(Kopējie!E2:E340,"lv",Kopējie!M2:M340,"Jā",Kopējie!N2:N340,"Nē",Kopējie!O2:O340,"Nē",Kopējie!P2:P340,"Nē",Kopējie!Q2:Q340,"Nē",Kopējie!AV2:AV340,"Jā",Kopējie!CT2:CT340,"&gt;=51",Kopējie!CT2:CT340,"&lt;=100")</f>
        <v>33</v>
      </c>
      <c r="E37">
        <f>COUNTIFS(Kopējie!E2:E340,"lv",Kopējie!M2:M340,"Jā",Kopējie!N2:N340,"Jā",Kopējie!O2:O340,"Nē",Kopējie!P2:P340,"Nē",Kopējie!Q2:Q340,"Nē",Kopējie!AV2:AV340,"Jā",Kopējie!CT2:CT340,"&gt;=51",Kopējie!CT2:CT340,"&lt;=100")</f>
        <v>12</v>
      </c>
      <c r="F37">
        <f>COUNTIFS(Kopējie!E2:E340,"lv",Kopējie!M2:M340,"Jā",Kopējie!N2:N340,"Nē",Kopējie!O2:O340,"Nē",Kopējie!P2:P340,"Nē",Kopējie!Q2:Q340,"Nē",Kopējie!AW2:AW340,"Jā",Kopējie!CT2:CT340,"&gt;=51",Kopējie!CT2:CT340,"&lt;=100")</f>
        <v>24</v>
      </c>
      <c r="G37">
        <f>COUNTIFS(Kopējie!E2:E340,"lv",Kopējie!M2:M340,"Jā",Kopējie!N2:N340,"Jā",Kopējie!O2:O340,"Nē",Kopējie!P2:P340,"Nē",Kopējie!Q2:Q340,"Nē",Kopējie!AW2:AW340,"Jā",Kopējie!CT2:CT340,"&gt;=51",Kopējie!CT2:CT340,"&lt;=100")</f>
        <v>11</v>
      </c>
      <c r="H37" s="155">
        <v>45</v>
      </c>
      <c r="I37" s="155">
        <v>35</v>
      </c>
      <c r="L37" t="s">
        <v>18095</v>
      </c>
      <c r="M37">
        <f>COUNTIFS(Kopējie!E2:E340,"ru",Kopējie!M2:M340,"Nē",Kopējie!N2:N340,"Jā",Kopējie!O2:O340,"Nē",Kopējie!P2:P340,"Nē",Kopējie!Q2:Q340,"Nē",Kopējie!AV2:AV340,"Jā",Kopējie!HZ2:HZ340,"Jā")</f>
        <v>1</v>
      </c>
      <c r="N37">
        <f>COUNTIFS(Kopējie!E2:E340,"ru",Kopējie!M2:M340,"Jā",Kopējie!N2:N340,"Jā",Kopējie!O2:O340,"Nē",Kopējie!P2:P340,"Nē",Kopējie!Q2:Q340,"Nē",Kopējie!AV2:AV340,"Jā",Kopējie!HZ2:HZ340,"Jā")</f>
        <v>0</v>
      </c>
      <c r="O37">
        <f>COUNTIFS(Kopējie!E2:E340,"ru",Kopējie!M2:M340,"Nē",Kopējie!N2:N340,"Jā",Kopējie!O2:O340,"Nē",Kopējie!P2:P340,"Nē",Kopējie!Q2:Q340,"Nē",Kopējie!AW2:AW340,"Jā",Kopējie!HZ2:HZ340,"Jā")</f>
        <v>1</v>
      </c>
      <c r="P37">
        <f>COUNTIFS(Kopējie!E2:E340,"ru",Kopējie!M2:M340,"Jā",Kopējie!N2:N340,"Jā",Kopējie!O2:O340,"Nē",Kopējie!P2:P340,"Nē",Kopējie!Q2:Q340,"Nē",Kopējie!AW2:AW340,"Jā",Kopējie!HZ2:HZ340,"Jā")</f>
        <v>0</v>
      </c>
      <c r="Q37">
        <v>1</v>
      </c>
      <c r="R37">
        <v>1</v>
      </c>
      <c r="AF37" s="121" t="s">
        <v>18138</v>
      </c>
    </row>
    <row r="38" spans="1:39" x14ac:dyDescent="0.3">
      <c r="A38" t="s">
        <v>18111</v>
      </c>
      <c r="D38">
        <f>COUNTIFS(Kopējie!E2:E340,"ru",Kopējie!M2:M340,"Nē",Kopējie!N2:N340,"Jā",Kopējie!O2:O340,"Nē",Kopējie!P2:P340,"Nē",Kopējie!Q2:Q340,"Nē",Kopējie!AV2:AV340,"Jā",Kopējie!CT2:CT340,"&gt;=1",Kopējie!CT2:CT340,"&lt;=50")</f>
        <v>29</v>
      </c>
      <c r="E38">
        <f>COUNTIFS(Kopējie!E2:E340,"ru",Kopējie!M2:M340,"Jā",Kopējie!N2:N340,"Jā",Kopējie!O2:O340,"Nē",Kopējie!P2:P340,"Nē",Kopējie!Q2:Q340,"Nē",Kopējie!AV2:AV340,"Jā",Kopējie!CT2:CT340,"&gt;=1",Kopējie!CT2:CT340,"&lt;=50")</f>
        <v>7</v>
      </c>
      <c r="F38">
        <f>COUNTIFS(Kopējie!E2:E340,"ru",Kopējie!M2:M340,"Nē",Kopējie!N2:N340,"Jā",Kopējie!O2:O340,"Nē",Kopējie!P2:P340,"Nē",Kopējie!Q2:Q340,"Nē",Kopējie!AW2:AW340,"Jā",Kopējie!CT2:CT340,"&gt;=1",Kopējie!CT2:CT340,"&lt;=50")</f>
        <v>24</v>
      </c>
      <c r="G38">
        <f>COUNTIFS(Kopējie!E2:E340,"ru",Kopējie!M2:M340,"Jā",Kopējie!N2:N340,"Jā",Kopējie!O2:O340,"Nē",Kopējie!P2:P340,"Nē",Kopējie!Q2:Q340,"Nē",Kopējie!AW2:AW340,"Jā",Kopējie!CT2:CT340,"&gt;=1",Kopējie!CT2:CT340,"&lt;=50")</f>
        <v>6</v>
      </c>
      <c r="H38" s="155">
        <v>36</v>
      </c>
      <c r="I38" s="155">
        <v>30</v>
      </c>
      <c r="L38" t="s">
        <v>18096</v>
      </c>
      <c r="M38">
        <f>COUNTIFS(Kopējie!E2:E340,"ru",Kopējie!M2:M340,"Nē",Kopējie!N2:N340,"Jā",Kopējie!O2:O340,"Nē",Kopējie!P2:P340,"Nē",Kopējie!Q2:Q340,"Nē",Kopējie!AV2:AV340,"Jā",Kopējie!IB2:IB340,"Jā")</f>
        <v>2</v>
      </c>
      <c r="N38">
        <f>COUNTIFS(Kopējie!E2:E340,"ru",Kopējie!M2:M340,"Jā",Kopējie!N2:N340,"Jā",Kopējie!O2:O340,"Nē",Kopējie!P2:P340,"Nē",Kopējie!Q2:Q340,"Nē",Kopējie!AV2:AV340,"Jā",Kopējie!IB2:IB340,"Jā")</f>
        <v>3</v>
      </c>
      <c r="O38">
        <f>COUNTIFS(Kopējie!E2:E340,"ru",Kopējie!M2:M340,"Nē",Kopējie!N2:N340,"Jā",Kopējie!O2:O340,"Nē",Kopējie!P2:P340,"Nē",Kopējie!Q2:Q340,"Nē",Kopējie!AW2:AW340,"Jā",Kopējie!IB2:IB340,"Jā")</f>
        <v>5</v>
      </c>
      <c r="P38">
        <f>COUNTIFS(Kopējie!E2:E340,"ru",Kopējie!M2:M340,"Jā",Kopējie!N2:N340,"Jā",Kopējie!O2:O340,"Nē",Kopējie!P2:P340,"Nē",Kopējie!Q2:Q340,"Nē",Kopējie!AW2:AW340,"Jā",Kopējie!IB2:IB340,"Jā")</f>
        <v>4</v>
      </c>
      <c r="Q38">
        <v>5</v>
      </c>
      <c r="R38">
        <v>9</v>
      </c>
      <c r="AD38" t="s">
        <v>18132</v>
      </c>
      <c r="AE38">
        <f>COUNTIFS(Kopējie!E2:E340,"ru",Kopējie!M2:M340,"Nē",Kopējie!N2:N340,"Jā",Kopējie!O2:O340,"Nē",Kopējie!P2:P340,"Nē",Kopējie!Q2:Q340,"Nē",Kopējie!DR2:DR340,"Jā")</f>
        <v>22</v>
      </c>
      <c r="AF38" s="120">
        <v>32</v>
      </c>
      <c r="AI38" t="s">
        <v>18132</v>
      </c>
      <c r="AJ38">
        <f>COUNTIFS(Kopējie!E2:E340,"ru",Kopējie!M2:M340,"Jā",Kopējie!N2:N340,"Jā",Kopējie!O2:O340,"Nē",Kopējie!P2:P340,"Nē",Kopējie!Q2:Q340,"Nē",Kopējie!DR2:DR340,"Jā")</f>
        <v>10</v>
      </c>
    </row>
    <row r="39" spans="1:39" x14ac:dyDescent="0.3">
      <c r="A39" t="s">
        <v>18112</v>
      </c>
      <c r="D39">
        <f>COUNTIFS(Kopējie!E2:E340,"lv",Kopējie!M2:M340,"Jā",Kopējie!N2:N340,"Nē",Kopējie!O2:O340,"Nē",Kopējie!P2:P340,"Nē",Kopējie!Q2:Q340,"Nē",Kopējie!AV2:AV340,"Jā",Kopējie!CT2:CT340,"&gt;=1",Kopējie!CT2:CT340,"&lt;=50")</f>
        <v>2</v>
      </c>
      <c r="E39">
        <f>COUNTIFS(Kopējie!E2:E340,"lv",Kopējie!M2:M340,"Jā",Kopējie!N2:N340,"Jā",Kopējie!O2:O340,"Nē",Kopējie!P2:P340,"Nē",Kopējie!Q2:Q340,"Nē",Kopējie!AV2:AV340,"Jā",Kopējie!CT2:CT340,"&gt;=1",Kopējie!CT2:CT340,"&lt;=50")</f>
        <v>3</v>
      </c>
      <c r="F39">
        <f>COUNTIFS(Kopējie!E2:E340,"lv",Kopējie!M2:M340,"Jā",Kopējie!N2:N340,"Nē",Kopējie!O2:O340,"Nē",Kopējie!P2:P340,"Nē",Kopējie!Q2:Q340,"Nē",Kopējie!AW2:AW340,"Jā",Kopējie!CT2:CT340,"&gt;=1",Kopējie!CT2:CT340,"&lt;=50")</f>
        <v>1</v>
      </c>
      <c r="G39">
        <f>COUNTIFS(Kopējie!E2:E340,"lv",Kopējie!M2:M340,"Jā",Kopējie!N2:N340,"Jā",Kopējie!O2:O340,"Nē",Kopējie!P2:P340,"Nē",Kopējie!Q2:Q340,"Nē",Kopējie!AW2:AW340,"Jā",Kopējie!CT2:CT340,"&gt;=1",Kopējie!CT2:CT340,"&lt;=50")</f>
        <v>3</v>
      </c>
      <c r="H39">
        <v>5</v>
      </c>
      <c r="I39">
        <v>4</v>
      </c>
      <c r="L39" t="s">
        <v>18097</v>
      </c>
      <c r="M39">
        <f>COUNTIFS(Kopējie!E2:E340,"ru",Kopējie!M2:M340,"Nē",Kopējie!N2:N340,"Jā",Kopējie!O2:O340,"Nē",Kopējie!P2:P340,"Nē",Kopējie!Q2:Q340,"Nē",Kopējie!AV2:AV340,"Jā",Kopējie!IP2:IP340,"Jā")</f>
        <v>6</v>
      </c>
      <c r="N39">
        <f>COUNTIFS(Kopējie!E2:E340,"ru",Kopējie!M2:M340,"Jā",Kopējie!N2:N340,"Jā",Kopējie!O2:O340,"Nē",Kopējie!P2:P340,"Nē",Kopējie!Q2:Q340,"Nē",Kopējie!AV2:AV340,"Jā",Kopējie!IP2:IP340,"Jā")</f>
        <v>2</v>
      </c>
      <c r="O39">
        <f>COUNTIFS(Kopējie!E2:E340,"ru",Kopējie!M2:M340,"Nē",Kopējie!N2:N340,"Jā",Kopējie!O2:O340,"Nē",Kopējie!P2:P340,"Nē",Kopējie!Q2:Q340,"Nē",Kopējie!AW2:AW340,"Jā",Kopējie!IP2:IP340,"Jā")</f>
        <v>5</v>
      </c>
      <c r="P39">
        <f>COUNTIFS(Kopējie!E2:E340,"ru",Kopējie!M2:M340,"Jā",Kopējie!N2:N340,"Jā",Kopējie!O2:O340,"Nē",Kopējie!P2:P340,"Nē",Kopējie!Q2:Q340,"Nē",Kopējie!AW2:AW340,"Jā",Kopējie!IP2:IP340,"Jā")</f>
        <v>2</v>
      </c>
      <c r="Q39">
        <v>8</v>
      </c>
      <c r="R39">
        <v>7</v>
      </c>
      <c r="AC39" s="121" t="s">
        <v>1814</v>
      </c>
      <c r="AD39" t="s">
        <v>18133</v>
      </c>
      <c r="AE39">
        <f>COUNTIFS(Kopējie!E2:E340,"ru",Kopējie!M2:M340,"Nē",Kopējie!N2:N340,"Jā",Kopējie!O2:O340,"Nē",Kopējie!P2:P340,"Nē",Kopējie!Q2:Q340,"Nē",Kopējie!DP2:DP340,"Jā")</f>
        <v>26</v>
      </c>
      <c r="AF39" s="120">
        <v>38</v>
      </c>
      <c r="AH39" s="121" t="s">
        <v>18136</v>
      </c>
      <c r="AI39" t="s">
        <v>18133</v>
      </c>
      <c r="AJ39">
        <f>COUNTIFS(Kopējie!E2:E340,"ru",Kopējie!M2:M340,"Jā",Kopējie!N2:N340,"Jā",Kopējie!O2:O340,"Nē",Kopējie!P2:P340,"Nē",Kopējie!Q2:Q340,"Nē",Kopējie!DP2:DP340,"Jā")</f>
        <v>12</v>
      </c>
    </row>
    <row r="40" spans="1:39" x14ac:dyDescent="0.3">
      <c r="L40" t="s">
        <v>18098</v>
      </c>
      <c r="M40">
        <f>COUNTIFS(Kopējie!E2:E340,"ru",Kopējie!M2:M340,"Nē",Kopējie!N2:N340,"Jā",Kopējie!O2:O340,"Nē",Kopējie!P2:P340,"Nē",Kopējie!Q2:Q340,"Nē",Kopējie!AV2:AV340,"Jā",Kopējie!IS2:IS340,"Jā")</f>
        <v>0</v>
      </c>
      <c r="N40">
        <f>COUNTIFS(Kopējie!E2:E340,"ru",Kopējie!M2:M340,"Jā",Kopējie!N2:N340,"Jā",Kopējie!O2:O340,"Nē",Kopējie!P2:P340,"Nē",Kopējie!Q2:Q340,"Nē",Kopējie!AV2:AV340,"Jā",Kopējie!IS2:IS340,"Jā")</f>
        <v>0</v>
      </c>
      <c r="O40">
        <f>COUNTIFS(Kopējie!E2:E340,"ru",Kopējie!M2:M340,"Nē",Kopējie!N2:N340,"Jā",Kopējie!O2:O340,"Nē",Kopējie!P2:P340,"Nē",Kopējie!Q2:Q340,"Nē",Kopējie!AW2:AW340,"Jā",Kopējie!IS2:IS340,"Jā")</f>
        <v>0</v>
      </c>
      <c r="P40">
        <f>COUNTIFS(Kopējie!E2:E340,"ru",Kopējie!M2:M340,"Jā",Kopējie!N2:N340,"Jā",Kopējie!O2:O340,"Nē",Kopējie!P2:P340,"Nē",Kopējie!Q2:Q340,"Nē",Kopējie!AW2:AW340,"Jā",Kopējie!IS2:IS340,"Jā")</f>
        <v>0</v>
      </c>
      <c r="Q40">
        <v>0</v>
      </c>
      <c r="R40">
        <v>0</v>
      </c>
      <c r="AD40" t="s">
        <v>17961</v>
      </c>
      <c r="AE40">
        <f>COUNTIFS(Kopējie!E2:E340,"ru",Kopējie!M2:M340,"Nē",Kopējie!N2:N340,"Jā",Kopējie!O2:O340,"Nē",Kopējie!P2:P340,"Nē",Kopējie!Q2:Q340,"Nē",Kopējie!DR2:DR340,"Jā", Kopējie!DP2:DP340,"Jā")</f>
        <v>15</v>
      </c>
      <c r="AF40" s="120">
        <v>20</v>
      </c>
      <c r="AI40" t="s">
        <v>17961</v>
      </c>
      <c r="AJ40">
        <f>COUNTIFS(Kopējie!E2:E340,"ru",Kopējie!M2:M340,"Jā",Kopējie!N2:N340,"Jā",Kopējie!O2:O340,"Nē",Kopējie!P2:P340,"Nē",Kopējie!Q2:Q340,"Nē",Kopējie!DR2:DR340,"Jā", Kopējie!DP2:DP340,"Jā")</f>
        <v>5</v>
      </c>
    </row>
    <row r="41" spans="1:39" x14ac:dyDescent="0.3">
      <c r="D41" s="120" t="s">
        <v>18053</v>
      </c>
      <c r="E41" s="120" t="s">
        <v>1816</v>
      </c>
      <c r="F41" s="120" t="s">
        <v>18054</v>
      </c>
      <c r="G41" s="120" t="s">
        <v>1816</v>
      </c>
      <c r="H41" s="120" t="s">
        <v>18103</v>
      </c>
      <c r="I41" s="120" t="s">
        <v>18104</v>
      </c>
      <c r="L41" t="s">
        <v>18099</v>
      </c>
      <c r="M41">
        <f>COUNTIFS(Kopējie!E2:E340,"ru",Kopējie!M2:M340,"Nē",Kopējie!N2:N340,"Jā",Kopējie!O2:O340,"Nē",Kopējie!P2:P340,"Nē",Kopējie!Q2:Q340,"Nē",Kopējie!AV2:AV340,"Jā",Kopējie!IX2:IX340,"Jā")</f>
        <v>0</v>
      </c>
      <c r="N41">
        <f>COUNTIFS(Kopējie!E2:E340,"ru",Kopējie!M2:M340,"Jā",Kopējie!N2:N340,"Jā",Kopējie!O2:O340,"Nē",Kopējie!P2:P340,"Nē",Kopējie!Q2:Q340,"Nē",Kopējie!AV2:AV340,"Jā",Kopējie!IX2:IX340,"Jā")</f>
        <v>0</v>
      </c>
      <c r="O41">
        <f>COUNTIFS(Kopējie!E2:E340,"ru",Kopējie!M2:M340,"Nē",Kopējie!N2:N340,"Jā",Kopējie!O2:O340,"Nē",Kopējie!P2:P340,"Nē",Kopējie!Q2:Q340,"Nē",Kopējie!AW2:AW340,"Jā",Kopējie!IX2:IX340,"Jā")</f>
        <v>0</v>
      </c>
      <c r="P41">
        <f>COUNTIFS(Kopējie!E2:E340,"ru",Kopējie!M2:M340,"Jā",Kopējie!N2:N340,"Jā",Kopējie!O2:O340,"Nē",Kopējie!P2:P340,"Nē",Kopējie!Q2:Q340,"Nē",Kopējie!AW2:AW340,"Jā",Kopējie!IX2:IX340,"Jā")</f>
        <v>0</v>
      </c>
      <c r="Q41">
        <v>0</v>
      </c>
      <c r="R41">
        <v>0</v>
      </c>
      <c r="AF41" s="120"/>
    </row>
    <row r="42" spans="1:39" x14ac:dyDescent="0.3">
      <c r="A42" t="s">
        <v>18113</v>
      </c>
      <c r="D42">
        <f>COUNTIFS(Kopējie!E2:E340,"ru",Kopējie!M2:M340,"Nē",Kopējie!N2:N340,"Jā",Kopējie!O2:O340,"Nē",Kopējie!P2:P340,"Nē",Kopējie!Q2:Q340,"Nē",Kopējie!AV2:AV340,"Jā",Kopējie!CU2:CU340,"&gt;=51",Kopējie!CU2:CU340,"&lt;=100")</f>
        <v>29</v>
      </c>
      <c r="E42">
        <f>COUNTIFS(Kopējie!E2:E340,"ru",Kopējie!M2:M340,"Jā",Kopējie!N2:N340,"Jā",Kopējie!O2:O340,"Nē",Kopējie!P2:P340,"Nē",Kopējie!Q2:Q340,"Nē",Kopējie!AV2:AV340,"Jā",Kopējie!CU2:CU340,"&gt;=51",Kopējie!CU2:CU340,"&lt;=100")</f>
        <v>18</v>
      </c>
      <c r="F42">
        <f>COUNTIFS(Kopējie!E2:E340,"ru",Kopējie!M2:M340,"Nē",Kopējie!N2:N340,"Jā",Kopējie!O2:O340,"Nē",Kopējie!P2:P340,"Nē",Kopējie!Q2:Q340,"Nē",Kopējie!AW2:AW340,"Jā",Kopējie!CU2:CU340,"&gt;=51",Kopējie!CU2:CU340,"&lt;=100")</f>
        <v>25</v>
      </c>
      <c r="G42">
        <f>COUNTIFS(Kopējie!E2:E340,"ru",Kopējie!M2:M340,"Jā",Kopējie!N2:N340,"Jā",Kopējie!O2:O340,"Nē",Kopējie!P2:P340,"Nē",Kopējie!Q2:Q340,"Nē",Kopējie!AW2:AW340,"Jā",Kopējie!CU2:CU340,"&gt;=51",Kopējie!CU2:CU340,"&lt;=100")</f>
        <v>12</v>
      </c>
      <c r="H42" s="155">
        <v>47</v>
      </c>
      <c r="I42" s="155">
        <v>37</v>
      </c>
      <c r="S42" t="s">
        <v>18101</v>
      </c>
      <c r="X42">
        <f>COUNTIFS(Kopējie!E2:E340,"ru",Kopējie!M2:M340,"Nē",Kopējie!N2:N340,"Jā",Kopējie!O2:O340,"Nē",Kopējie!P2:P340,"Nē",Kopējie!Q2:Q340,"Nē",Kopējie!GR2:GR340,"Jā")</f>
        <v>6</v>
      </c>
      <c r="AD42" t="s">
        <v>18132</v>
      </c>
      <c r="AE42">
        <f>COUNTIFS(Kopējie!E2:E340,"lv",Kopējie!M2:M340,"Jā",Kopējie!N2:N340,"Nē",Kopējie!O2:O340,"Nē",Kopējie!P2:P340,"Nē",Kopējie!Q2:Q340,"Nē",Kopējie!DR2:DR340,"Jā")</f>
        <v>33</v>
      </c>
      <c r="AF42" s="120">
        <v>54</v>
      </c>
      <c r="AI42" t="s">
        <v>18132</v>
      </c>
      <c r="AJ42">
        <f>COUNTIFS(Kopējie!E2:E340,"lv",Kopējie!M2:M340,"Jā",Kopējie!N2:N340,"Jā",Kopējie!O2:O340,"Nē",Kopējie!P2:P340,"Nē",Kopējie!Q2:Q340,"Nē",Kopējie!DR2:DR340,"Jā")</f>
        <v>20</v>
      </c>
    </row>
    <row r="43" spans="1:39" x14ac:dyDescent="0.3">
      <c r="A43" t="s">
        <v>18114</v>
      </c>
      <c r="D43">
        <f>COUNTIFS(Kopējie!E2:E340,"ru",Kopējie!M2:M340,"Nē",Kopējie!N2:N340,"Jā",Kopējie!O2:O340,"Nē",Kopējie!P2:P340,"Nē",Kopējie!Q2:Q340,"Nē",Kopējie!AV2:AV340,"Jā",Kopējie!CU2:CU340,"&gt;=1",Kopējie!CU2:CU340,"&lt;=50")</f>
        <v>1</v>
      </c>
      <c r="E43">
        <f>COUNTIFS(Kopējie!E2:E340,"ru",Kopējie!M2:M340,"Jā",Kopējie!N2:N340,"Jā",Kopējie!O2:O340,"Nē",Kopējie!P2:P340,"Nē",Kopējie!Q2:Q340,"Nē",Kopējie!AV2:AV340,"Jā",Kopējie!CU2:CU340,"&gt;=1",Kopējie!CU2:CU340,"&lt;=50")</f>
        <v>1</v>
      </c>
      <c r="F43">
        <f>COUNTIFS(Kopējie!E2:E340,"ru",Kopējie!M2:M340,"Nē",Kopējie!N2:N340,"Jā",Kopējie!O2:O340,"Nē",Kopējie!P2:P340,"Nē",Kopējie!Q2:Q340,"Nē",Kopējie!AW2:AW340,"Jā",Kopējie!CU2:CU340,"&gt;=1",Kopējie!CU2:CU340,"&lt;=50")</f>
        <v>2</v>
      </c>
      <c r="G43">
        <f>COUNTIFS(Kopējie!E2:E340,"ru",Kopējie!M2:M340,"Jā",Kopējie!N2:N340,"Jā",Kopējie!O2:O340,"Nē",Kopējie!P2:P340,"Nē",Kopējie!Q2:Q340,"Nē",Kopējie!AW2:AW340,"Jā",Kopējie!CU2:CU340,"&gt;=1",Kopējie!CU2:CU340,"&lt;=50")</f>
        <v>1</v>
      </c>
      <c r="H43">
        <v>2</v>
      </c>
      <c r="I43">
        <v>3</v>
      </c>
      <c r="AC43" s="121" t="s">
        <v>1812</v>
      </c>
      <c r="AD43" t="s">
        <v>18133</v>
      </c>
      <c r="AE43">
        <f>COUNTIFS(Kopējie!E2:E340,"lv",Kopējie!M2:M340,"Jā",Kopējie!N2:N340,"Nē",Kopējie!O2:O340,"Nē",Kopējie!P2:P340,"Nē",Kopējie!Q2:Q340,"Nē",Kopējie!DP2:DP340,"Jā")</f>
        <v>39</v>
      </c>
      <c r="AF43" s="120">
        <v>63</v>
      </c>
      <c r="AH43" s="121" t="s">
        <v>18137</v>
      </c>
      <c r="AI43" t="s">
        <v>18133</v>
      </c>
      <c r="AJ43">
        <f>COUNTIFS(Kopējie!E2:E340,"lv",Kopējie!M2:M340,"Jā",Kopējie!N2:N340,"Jā",Kopējie!O2:O340,"Nē",Kopējie!P2:P340,"Nē",Kopējie!Q2:Q340,"Nē",Kopējie!DP2:DP340,"Jā")</f>
        <v>24</v>
      </c>
    </row>
    <row r="44" spans="1:39" x14ac:dyDescent="0.3">
      <c r="Q44" s="121" t="s">
        <v>18119</v>
      </c>
      <c r="AD44" t="s">
        <v>17961</v>
      </c>
      <c r="AE44">
        <f>COUNTIFS(Kopējie!E2:E340,"lv",Kopējie!M2:M340,"Jā",Kopējie!N2:N340,"Nē",Kopējie!O2:O340,"Nē",Kopējie!P2:P340,"Nē",Kopējie!Q2:Q340,"Nē",Kopējie!DR2:DR340,"Jā", Kopējie!DP2:DP340,"Jā")</f>
        <v>21</v>
      </c>
      <c r="AF44" s="120">
        <v>36</v>
      </c>
      <c r="AI44" t="s">
        <v>17961</v>
      </c>
      <c r="AJ44">
        <f>COUNTIFS(Kopējie!E2:E340,"lv",Kopējie!M2:M340,"Jā",Kopējie!N2:N340,"Jā",Kopējie!O2:O340,"Nē",Kopējie!P2:P340,"Nē",Kopējie!Q2:Q340,"Nē",Kopējie!DR2:DR340,"Jā", Kopējie!DP2:DP340,"Jā")</f>
        <v>15</v>
      </c>
    </row>
    <row r="45" spans="1:39" x14ac:dyDescent="0.3">
      <c r="D45" s="120" t="s">
        <v>18053</v>
      </c>
      <c r="E45" s="120" t="s">
        <v>1816</v>
      </c>
      <c r="F45" s="120" t="s">
        <v>18054</v>
      </c>
      <c r="G45" s="120" t="s">
        <v>1816</v>
      </c>
      <c r="H45" s="120" t="s">
        <v>18103</v>
      </c>
      <c r="I45" s="120" t="s">
        <v>18104</v>
      </c>
      <c r="L45" s="120" t="s">
        <v>18018</v>
      </c>
      <c r="R45" s="120" t="s">
        <v>18053</v>
      </c>
      <c r="S45" s="120" t="s">
        <v>18054</v>
      </c>
      <c r="T45" s="121" t="s">
        <v>18087</v>
      </c>
      <c r="W45" s="120" t="s">
        <v>18130</v>
      </c>
      <c r="AF45" s="120"/>
    </row>
    <row r="46" spans="1:39" x14ac:dyDescent="0.3">
      <c r="A46" t="s">
        <v>18115</v>
      </c>
      <c r="D46">
        <f>COUNTIFS(Kopējie!E2:E340,"ru",Kopējie!M2:M340,"Nē",Kopējie!N2:N340,"Jā",Kopējie!O2:O340,"Nē",Kopējie!P2:P340,"Nē",Kopējie!Q2:Q340,"Nē",Kopējie!AV2:AV340,"Jā",Kopējie!CV2:CV340,"&gt;=51",Kopējie!CV2:CV340,"&lt;=100")</f>
        <v>7</v>
      </c>
      <c r="E46">
        <f>COUNTIFS(Kopējie!E2:E340,"ru",Kopējie!M2:M340,"Jā",Kopējie!N2:N340,"Jā",Kopējie!O2:O340,"Nē",Kopējie!P2:P340,"Nē",Kopējie!Q2:Q340,"Nē",Kopējie!AV2:AV340,"Jā",Kopējie!CV2:CV340,"&gt;=51",Kopējie!CV2:CV340,"&lt;=100")</f>
        <v>10</v>
      </c>
      <c r="F46">
        <f>COUNTIFS(Kopējie!E2:E340,"ru",Kopējie!M2:M340,"Nē",Kopējie!N2:N340,"Jā",Kopējie!O2:O340,"Nē",Kopējie!P2:P340,"Nē",Kopējie!Q2:Q340,"Nē",Kopējie!AW2:AW340,"Jā",Kopējie!CV2:CV340,"&gt;=51",Kopējie!CV2:CV340,"&lt;=100")</f>
        <v>8</v>
      </c>
      <c r="G46">
        <f>COUNTIFS(Kopējie!E2:E340,"ru",Kopējie!M2:M340,"Jā",Kopējie!N2:N340,"Jā",Kopējie!O2:O340,"Nē",Kopējie!P2:P340,"Nē",Kopējie!Q2:Q340,"Nē",Kopējie!AW2:AW340,"Jā",Kopējie!CV2:CV340,"&gt;=51",Kopējie!CV2:CV340,"&lt;=100")</f>
        <v>6</v>
      </c>
      <c r="H46">
        <v>17</v>
      </c>
      <c r="I46">
        <v>14</v>
      </c>
      <c r="L46" t="s">
        <v>18124</v>
      </c>
      <c r="R46">
        <f>COUNTIFS(Kopējie!E2:E340,"ru",Kopējie!M2:M340,"Nē",Kopējie!N2:N340,"Jā",Kopējie!O2:O340,"Nē",Kopējie!P2:P340,"Nē",Kopējie!Q2:Q340,"Nē",Kopējie!AV2:AV340,"Jā",Kopējie!EL2:EL340,"vienlīdz pieejama izglītība, veselības aprūpe, sociālais nodrošinājums")</f>
        <v>7</v>
      </c>
      <c r="S46">
        <f>COUNTIFS(Kopējie!E2:E340,"ru",Kopējie!M2:M340,"Nē",Kopējie!N2:N340,"Jā",Kopējie!O2:O340,"Nē",Kopējie!P2:P340,"Nē",Kopējie!Q2:Q340,"Nē",Kopējie!AW2:AW340,"Jā",Kopējie!EL2:EL340,"vienlīdz pieejama izglītība, veselības aprūpe, sociālais nodrošinājums")</f>
        <v>7</v>
      </c>
      <c r="T46" s="120">
        <v>10</v>
      </c>
      <c r="U46" s="120">
        <v>10</v>
      </c>
      <c r="W46">
        <f>COUNTIFS(Kopējie!E2:E340,"ru",Kopējie!M2:M340,"Jā",Kopējie!N2:N340,"Jā",Kopējie!O2:O340,"Nē",Kopējie!P2:P340,"Nē",Kopējie!Q2:Q340,"Nē",Kopējie!AV2:AV340,"Jā",Kopējie!EL2:EL340,"vienlīdz pieejama izglītība, veselības aprūpe, sociālais nodrošinājums")</f>
        <v>3</v>
      </c>
      <c r="X46">
        <f>COUNTIFS(Kopējie!E2:E340,"ru",Kopējie!M2:M340,"Jā",Kopējie!N2:N340,"Jā",Kopējie!O2:O340,"Nē",Kopējie!P2:P340,"Nē",Kopējie!Q2:Q340,"Nē",Kopējie!AW2:AW340,"Jā",Kopējie!EL2:EL340,"vienlīdz pieejama izglītība, veselības aprūpe, sociālais nodrošinājums")</f>
        <v>3</v>
      </c>
      <c r="AC46" s="121" t="s">
        <v>1814</v>
      </c>
      <c r="AD46" t="s">
        <v>18134</v>
      </c>
      <c r="AE46">
        <f>COUNTIFS(Kopējie!E2:E340,"ru",Kopējie!M2:M340,"Nē",Kopējie!N2:N340,"Jā",Kopējie!O2:O340,"Nē",Kopējie!P2:P340,"Nē",Kopējie!Q2:Q340,"Nē",Kopējie!DV2:DV340,"Jā")</f>
        <v>25</v>
      </c>
      <c r="AF46" s="120">
        <v>29</v>
      </c>
      <c r="AH46" s="121" t="s">
        <v>18136</v>
      </c>
      <c r="AI46" t="s">
        <v>18134</v>
      </c>
      <c r="AJ46">
        <f>COUNTIFS(Kopējie!E2:E340,"ru",Kopējie!M2:M340,"Jā",Kopējie!N2:N340,"Jā",Kopējie!O2:O340,"Nē",Kopējie!P2:P340,"Nē",Kopējie!Q2:Q340,"Nē",Kopējie!DV2:DV340,"Jā")</f>
        <v>4</v>
      </c>
    </row>
    <row r="47" spans="1:39" x14ac:dyDescent="0.3">
      <c r="A47" t="s">
        <v>18116</v>
      </c>
      <c r="D47">
        <f>COUNTIFS(Kopējie!E2:E340,"ru",Kopējie!M2:M340,"Nē",Kopējie!N2:N340,"Jā",Kopējie!O2:O340,"Nē",Kopējie!P2:P340,"Nē",Kopējie!Q2:Q340,"Nē",Kopējie!AV2:AV340,"Jā",Kopējie!CV2:CV340,"&gt;=1",Kopējie!CV2:CV340,"&lt;=50")</f>
        <v>23</v>
      </c>
      <c r="E47">
        <f>COUNTIFS(Kopējie!E2:E340,"ru",Kopējie!M2:M340,"Jā",Kopējie!N2:N340,"Jā",Kopējie!O2:O340,"Nē",Kopējie!P2:P340,"Nē",Kopējie!Q2:Q340,"Nē",Kopējie!AV2:AV340,"Jā",Kopējie!CV2:CV340,"&gt;=1",Kopējie!CV2:CV340,"&lt;=50")</f>
        <v>9</v>
      </c>
      <c r="F47">
        <f>COUNTIFS(Kopējie!E2:E340,"ru",Kopējie!M2:M340,"Nē",Kopējie!N2:N340,"Jā",Kopējie!O2:O340,"Nē",Kopējie!P2:P340,"Nē",Kopējie!Q2:Q340,"Nē",Kopējie!AW2:AW340,"Jā",Kopējie!CV2:CV340,"&gt;=1",Kopējie!CV2:CV340,"&lt;=50")</f>
        <v>19</v>
      </c>
      <c r="G47">
        <f>COUNTIFS(Kopējie!E2:E340,"ru",Kopējie!M2:M340,"Jā",Kopējie!N2:N340,"Jā",Kopējie!O2:O340,"Nē",Kopējie!P2:P340,"Nē",Kopējie!Q2:Q340,"Nē",Kopējie!AW2:AW340,"Jā",Kopējie!CV2:CV340,"&gt;=1",Kopējie!CV2:CV340,"&lt;=50")</f>
        <v>7</v>
      </c>
      <c r="H47" s="155">
        <v>32</v>
      </c>
      <c r="I47" s="155">
        <v>26</v>
      </c>
      <c r="P47" t="s">
        <v>18125</v>
      </c>
      <c r="R47">
        <f>COUNTIFS(Kopējie!E2:E340,"ru",Kopējie!M2:M340,"Nē",Kopējie!N2:N340,"Jā",Kopējie!O2:O340,"Nē",Kopējie!P2:P340,"Nē",Kopējie!Q2:Q340,"Nē",Kopējie!AV2:AV340,"Jā",Kopējie!EL2:EL340,"pilsoniskās brīvības (vārda brīvība, tiesības uz tiesisko aizsardzību)")</f>
        <v>9</v>
      </c>
      <c r="S47">
        <f>COUNTIFS(Kopējie!E2:E340,"ru",Kopējie!M2:M340,"Nē",Kopējie!N2:N340,"Jā",Kopējie!O2:O340,"Nē",Kopējie!P2:P340,"Nē",Kopējie!Q2:Q340,"Nē",Kopējie!AW2:AW340,"Jā",Kopējie!EL2:EL340,"pilsoniskās brīvības (vārda brīvība, tiesības uz tiesisko aizsardzību)")</f>
        <v>10</v>
      </c>
      <c r="T47" s="120">
        <v>15</v>
      </c>
      <c r="U47" s="120">
        <v>15</v>
      </c>
      <c r="W47">
        <f>COUNTIFS(Kopējie!E2:E340,"ru",Kopējie!M2:M340,"Jā",Kopējie!N2:N340,"Jā",Kopējie!O2:O340,"Nē",Kopējie!P2:P340,"Nē",Kopējie!Q2:Q340,"Nē",Kopējie!AV2:AV340,"Jā",Kopējie!EL2:EL340,"pilsoniskās brīvības (vārda brīvība, tiesības uz tiesisko aizsardzību)")</f>
        <v>6</v>
      </c>
      <c r="X47">
        <f>COUNTIFS(Kopējie!E2:E340,"ru",Kopējie!M2:M340,"Jā",Kopējie!N2:N340,"Jā",Kopējie!O2:O340,"Nē",Kopējie!P2:P340,"Nē",Kopējie!Q2:Q340,"Nē",Kopējie!AW2:AW340,"Jā",Kopējie!EL2:EL340,"pilsoniskās brīvības (vārda brīvība, tiesības uz tiesisko aizsardzību)")</f>
        <v>5</v>
      </c>
      <c r="AD47" t="s">
        <v>18135</v>
      </c>
      <c r="AE47">
        <f>COUNTIFS(Kopējie!E2:E340,"ru",Kopējie!M2:M340,"Nē",Kopējie!N2:N340,"Jā",Kopējie!O2:O340,"Nē",Kopējie!P2:P340,"Nē",Kopējie!Q2:Q340,"Nē",Kopējie!DT2:DT340,"Jā")</f>
        <v>31</v>
      </c>
      <c r="AF47" s="120">
        <v>40</v>
      </c>
      <c r="AI47" t="s">
        <v>18135</v>
      </c>
      <c r="AJ47">
        <f>COUNTIFS(Kopējie!E2:E340,"ru",Kopējie!M2:M340,"Jā",Kopējie!N2:N340,"Jā",Kopējie!O2:O340,"Nē",Kopējie!P2:P340,"Nē",Kopējie!Q2:Q340,"Nē",Kopējie!DT2:DT340,"Jā")</f>
        <v>9</v>
      </c>
    </row>
    <row r="48" spans="1:39" x14ac:dyDescent="0.3">
      <c r="O48" t="s">
        <v>18126</v>
      </c>
      <c r="R48">
        <f>COUNTIFS(Kopējie!E2:E340,"ru",Kopējie!M2:M340,"Nē",Kopējie!N2:N340,"Jā",Kopējie!O2:O340,"Nē",Kopējie!P2:P340,"Nē",Kopējie!Q2:Q340,"Nē",Kopējie!AV2:AV340,"Jā",Kopējie!EL2:EL340,"brīvas vēlēšanas un plurālisms")</f>
        <v>7</v>
      </c>
      <c r="S48">
        <f>COUNTIFS(Kopējie!E2:E340,"ru",Kopējie!M2:M340,"Nē",Kopējie!N2:N340,"Jā",Kopējie!O2:O340,"Nē",Kopējie!P2:P340,"Nē",Kopējie!Q2:Q340,"Nē",Kopējie!AW2:AW340,"Jā",Kopējie!EL2:EL340,"brīvas vēlēšanas un plurālisms")</f>
        <v>5</v>
      </c>
      <c r="T48" s="120">
        <v>13</v>
      </c>
      <c r="U48" s="120">
        <v>9</v>
      </c>
      <c r="W48">
        <f>COUNTIFS(Kopējie!E2:E340,"ru",Kopējie!M2:M340,"Jā",Kopējie!N2:N340,"Jā",Kopējie!O2:O340,"Nē",Kopējie!P2:P340,"Nē",Kopējie!Q2:Q340,"Nē",Kopējie!AV2:AV340,"Jā",Kopējie!EL2:EL340,"brīvas vēlēšanas un plurālisms")</f>
        <v>6</v>
      </c>
      <c r="X48">
        <f>COUNTIFS(Kopējie!E2:E340,"ru",Kopējie!M2:M340,"Jā",Kopējie!N2:N340,"Jā",Kopējie!O2:O340,"Nē",Kopējie!P2:P340,"Nē",Kopējie!Q2:Q340,"Nē",Kopējie!AW2:AW340,"Jā",Kopējie!EL2:EL340,"brīvas vēlēšanas un plurālisms")</f>
        <v>4</v>
      </c>
      <c r="AD48" t="s">
        <v>17961</v>
      </c>
      <c r="AE48">
        <f>COUNTIFS(Kopējie!E2:E340,"lv",Kopējie!M2:M340,"Jā",Kopējie!N2:N340,"Nē",Kopējie!O2:O340,"Nē",Kopējie!P2:P340,"Nē",Kopējie!Q2:Q340,"Nē",Kopējie!DV2:DV340,"Jā", Kopējie!DT2:DT340,"Jā")</f>
        <v>33</v>
      </c>
      <c r="AF48" s="120">
        <v>36</v>
      </c>
      <c r="AI48" t="s">
        <v>17961</v>
      </c>
      <c r="AJ48">
        <f>COUNTIFS(Kopējie!E2:E340,"ru",Kopējie!M2:M340,"Jā",Kopējie!N2:N340,"Jā",Kopējie!O2:O340,"Nē",Kopējie!P2:P340,"Nē",Kopējie!Q2:Q340,"Nē",Kopējie!DV2:DV340,"Jā", Kopējie!DT2:DT340,"Jā")</f>
        <v>3</v>
      </c>
    </row>
    <row r="49" spans="1:36" x14ac:dyDescent="0.3">
      <c r="L49" t="s">
        <v>18127</v>
      </c>
      <c r="R49">
        <f>COUNTIFS(Kopējie!E2:E340,"ru",Kopējie!M2:M340,"Nē",Kopējie!N2:N340,"Jā",Kopējie!O2:O340,"Nē",Kopējie!P2:P340,"Nē",Kopējie!Q2:Q340,"Nē",Kopējie!AV2:AV340,"Jā",Kopējie!EL2:EL340,"vienlīdzīgas tiesības minoritātēm un ievainojamām sabiedrības grupām")</f>
        <v>5</v>
      </c>
      <c r="S49">
        <f>COUNTIFS(Kopējie!E2:E340,"ru",Kopējie!M2:M340,"Nē",Kopējie!N2:N340,"Jā",Kopējie!O2:O340,"Nē",Kopējie!P2:P340,"Nē",Kopējie!Q2:Q340,"Nē",Kopējie!AW2:AW340,"Jā",Kopējie!EL2:EL340,"vienlīdzīgas tiesības minoritātēm un ievainojamām sabiedrības grupām")</f>
        <v>5</v>
      </c>
      <c r="T49" s="156">
        <v>7</v>
      </c>
      <c r="U49" s="120">
        <v>6</v>
      </c>
      <c r="W49">
        <f>COUNTIFS(Kopējie!E2:E340,"ru",Kopējie!M2:M340,"Jā",Kopējie!N2:N340,"Jā",Kopējie!O2:O340,"Nē",Kopējie!P2:P340,"Nē",Kopējie!Q2:Q340,"Nē",Kopējie!AV2:AV340,"Jā",Kopējie!EL2:EL340,"vienlīdzīgas tiesības minoritātēm un ievainojamām sabiedrības grupām")</f>
        <v>2</v>
      </c>
      <c r="X49">
        <f>COUNTIFS(Kopējie!E2:E340,"ru",Kopējie!M2:M340,"Jā",Kopējie!N2:N340,"Jā",Kopējie!O2:O340,"Nē",Kopējie!P2:P340,"Nē",Kopējie!Q2:Q340,"Nē",Kopējie!AW2:AW340,"Jā",Kopējie!EL2:EL340,"vienlīdzīgas tiesības minoritātēm un ievainojamām sabiedrības grupām")</f>
        <v>1</v>
      </c>
      <c r="AF49" s="120"/>
    </row>
    <row r="50" spans="1:36" x14ac:dyDescent="0.3">
      <c r="L50" t="s">
        <v>18128</v>
      </c>
      <c r="R50">
        <f>COUNTIFS(Kopējie!E2:E340,"ru",Kopējie!M2:M340,"Nē",Kopējie!N2:N340,"Jā",Kopējie!O2:O340,"Nē",Kopējie!P2:P340,"Nē",Kopējie!Q2:Q340,"Nē",Kopējie!AV2:AV340,"Jā",Kopējie!EL2:EL340,"varas līdzsvars starp parlamentu, prezidentu un tiesām, lai neviena no institūcijām nespētu sevī koncentrēt lielāko daļu varas")</f>
        <v>2</v>
      </c>
      <c r="S50">
        <f>COUNTIFS(Kopējie!E2:E340,"ru",Kopējie!M2:M340,"Nē",Kopējie!N2:N340,"Jā",Kopējie!O2:O340,"Nē",Kopējie!P2:P340,"Nē",Kopējie!Q2:Q340,"Nē",Kopējie!AW2:AW340,"Jā",Kopējie!EL2:EL340,"varas līdzsvars starp parlamentu, prezidentu un tiesām, lai neviena no institūcijām nespētu sevī koncentrēt lielāko daļu varas")</f>
        <v>0</v>
      </c>
      <c r="T50" s="156">
        <v>4</v>
      </c>
      <c r="U50" s="120">
        <v>0</v>
      </c>
      <c r="W50">
        <f>COUNTIFS(Kopējie!E2:E340,"ru",Kopējie!M2:M340,"Jā",Kopējie!N2:N340,"Jā",Kopējie!O2:O340,"Nē",Kopējie!P2:P340,"Nē",Kopējie!Q2:Q340,"Nē",Kopējie!AV2:AV340,"Jā",Kopējie!EL2:EL340,"varas līdzsvars starp parlamentu, prezidentu un tiesām, lai neviena no institūcijām nespētu sevī koncentrēt lielāko daļu varas")</f>
        <v>2</v>
      </c>
      <c r="X50">
        <f>COUNTIFS(Kopējie!E2:E340,"ru",Kopējie!M2:M340,"Jā",Kopējie!N2:N340,"Jā",Kopējie!O2:O340,"Nē",Kopējie!P2:P340,"Nē",Kopējie!Q2:Q340,"Nē",Kopējie!AW2:AW340,"Jā",Kopējie!EL2:EL340,"varas līdzsvars starp parlamentu, prezidentu un tiesām, lai neviena no institūcijām nespētu sevī koncentrēt lielāko daļu varas")</f>
        <v>0</v>
      </c>
      <c r="AC50" s="121" t="s">
        <v>1812</v>
      </c>
      <c r="AD50" t="s">
        <v>18134</v>
      </c>
      <c r="AE50">
        <f>COUNTIFS(Kopējie!E2:E340,"lv",Kopējie!M2:M340,"Jā",Kopējie!N2:N340,"Nē",Kopējie!O2:O340,"Nē",Kopējie!P2:P340,"Nē",Kopējie!Q2:Q340,"Nē",Kopējie!DV2:DV340,"Jā")</f>
        <v>45</v>
      </c>
      <c r="AF50" s="120">
        <v>68</v>
      </c>
      <c r="AH50" s="121" t="s">
        <v>18137</v>
      </c>
      <c r="AI50" t="s">
        <v>18134</v>
      </c>
      <c r="AJ50">
        <f>COUNTIFS(Kopējie!E2:E340,"lv",Kopējie!M2:M340,"Jā",Kopējie!N2:N340,"Jā",Kopējie!O2:O340,"Nē",Kopējie!P2:P340,"Nē",Kopējie!Q2:Q340,"Nē",Kopējie!DV2:DV340,"Jā")</f>
        <v>23</v>
      </c>
    </row>
    <row r="51" spans="1:36" x14ac:dyDescent="0.3">
      <c r="A51" s="121" t="s">
        <v>18080</v>
      </c>
      <c r="T51" s="120"/>
      <c r="U51" s="120"/>
      <c r="AD51" t="s">
        <v>18135</v>
      </c>
      <c r="AE51">
        <f>COUNTIFS(Kopējie!E2:E340,"lv",Kopējie!M2:M340,"Jā",Kopējie!N2:N340,"Nē",Kopējie!O2:O340,"Nē",Kopējie!P2:P340,"Nē",Kopējie!Q2:Q340,"Nē",Kopējie!DT2:DT340,"Jā")</f>
        <v>63</v>
      </c>
      <c r="AF51" s="120">
        <v>87</v>
      </c>
      <c r="AI51" t="s">
        <v>18135</v>
      </c>
      <c r="AJ51">
        <f>COUNTIFS(Kopējie!E2:E340,"lv",Kopējie!M2:M340,"Jā",Kopējie!N2:N340,"Jā",Kopējie!O2:O340,"Nē",Kopējie!P2:P340,"Nē",Kopējie!Q2:Q340,"Nē",Kopējie!DT2:DT340,"Jā")</f>
        <v>23</v>
      </c>
    </row>
    <row r="52" spans="1:36" x14ac:dyDescent="0.3">
      <c r="A52" t="s">
        <v>18081</v>
      </c>
      <c r="B52">
        <f>COUNTIFS(Kopējie!E2:E340,"lv",Kopējie!M2:M340,"Jā",Kopējie!N2:N340,"Nē",Kopējie!O2:O340,"Nē",Kopējie!P2:P340,"Nē",Kopējie!Q2:Q340,"Nē",Kopējie!FB2:FB340,"krievu")</f>
        <v>1</v>
      </c>
      <c r="L52" s="121" t="s">
        <v>18102</v>
      </c>
      <c r="AD52" t="s">
        <v>17961</v>
      </c>
      <c r="AE52">
        <f>COUNTIFS(Kopējie!E2:E340,"lv",Kopējie!M2:M340,"Jā",Kopējie!N2:N340,"Nē",Kopējie!O2:O340,"Nē",Kopējie!P2:P340,"Nē",Kopējie!Q2:Q340,"Nē",Kopējie!DT2:DT340,"Jā", Kopējie!DV2:DV340,"Jā")</f>
        <v>33</v>
      </c>
      <c r="AF52" s="120">
        <v>49</v>
      </c>
      <c r="AI52" t="s">
        <v>17961</v>
      </c>
      <c r="AJ52">
        <f>COUNTIFS(Kopējie!E2:E340,"lv",Kopējie!M2:M340,"Jā",Kopējie!N2:N340,"Jā",Kopējie!O2:O340,"Nē",Kopējie!P2:P340,"Nē",Kopējie!Q2:Q340,"Nē",Kopējie!DT2:DT340,"Jā", Kopējie!DV2:DV340,"Jā")</f>
        <v>16</v>
      </c>
    </row>
    <row r="53" spans="1:36" x14ac:dyDescent="0.3">
      <c r="D53" s="120" t="s">
        <v>1816</v>
      </c>
      <c r="L53" s="120" t="s">
        <v>18018</v>
      </c>
      <c r="S53" s="121" t="s">
        <v>18087</v>
      </c>
      <c r="W53" s="120" t="s">
        <v>18130</v>
      </c>
    </row>
    <row r="54" spans="1:36" x14ac:dyDescent="0.3">
      <c r="A54" t="s">
        <v>18109</v>
      </c>
      <c r="D54">
        <f>COUNTIFS(Kopējie!E2:E340,"ru",Kopējie!M2:M340,"Jā",Kopējie!N2:N340,"Jā",Kopējie!O2:O340,"Nē",Kopējie!P2:P340,"Nē",Kopējie!Q2:Q340,"Nē",Kopējie!CT2:CT340,"&gt;=51",Kopējie!CT2:CT340,"&lt;=100")</f>
        <v>24</v>
      </c>
      <c r="L54" t="s">
        <v>18124</v>
      </c>
      <c r="R54">
        <f>COUNTIFS(Kopējie!E2:E340,"ru",Kopējie!M2:M340,"Nē",Kopējie!N2:N340,"Jā",Kopējie!O2:O340,"Nē",Kopējie!P2:P340,"Nē",Kopējie!Q2:Q340,"Nē",Kopējie!EL2:EL340,"vienlīdz pieejama izglītība, veselības aprūpe, sociālais nodrošinājums")</f>
        <v>18</v>
      </c>
      <c r="S54" s="120">
        <v>27</v>
      </c>
      <c r="W54">
        <f>COUNTIFS(Kopējie!E2:E340,"ru",Kopējie!M2:M340,"Jā",Kopējie!N2:N340,"Jā",Kopējie!O2:O340,"Nē",Kopējie!P2:P340,"Nē",Kopējie!Q2:Q340,"Nē",Kopējie!EL2:EL340,"vienlīdz pieejama izglītība, veselības aprūpe, sociālais nodrošinājums")</f>
        <v>9</v>
      </c>
    </row>
    <row r="55" spans="1:36" x14ac:dyDescent="0.3">
      <c r="A55" t="s">
        <v>18110</v>
      </c>
      <c r="D55">
        <f>COUNTIFS(Kopējie!E2:E340,"lv",Kopējie!M2:M340,"Jā",Kopējie!N2:N340,"Jā",Kopējie!O2:O340,"Nē",Kopējie!P2:P340,"Nē",Kopējie!Q2:Q340,"Nē",Kopējie!CT2:CT340,"&gt;=51",Kopējie!CT2:CT340,"&lt;=100")</f>
        <v>38</v>
      </c>
      <c r="P55" t="s">
        <v>18125</v>
      </c>
      <c r="R55">
        <f>COUNTIFS(Kopējie!E2:E340,"ru",Kopējie!M2:M340,"Nē",Kopējie!N2:N340,"Jā",Kopējie!O2:O340,"Nē",Kopējie!P2:P340,"Nē",Kopējie!Q2:Q340,"Nē",Kopējie!EL2:EL340,"pilsoniskās brīvības (vārda brīvība, tiesības uz tiesisko aizsardzību)")</f>
        <v>32</v>
      </c>
      <c r="S55" s="120">
        <v>46</v>
      </c>
      <c r="W55">
        <f>COUNTIFS(Kopējie!E2:E340,"ru",Kopējie!M2:M340,"Jā",Kopējie!N2:N340,"Jā",Kopējie!O2:O340,"Nē",Kopējie!P2:P340,"Nē",Kopējie!Q2:Q340,"Nē",Kopējie!EL2:EL340,"pilsoniskās brīvības (vārda brīvība, tiesības uz tiesisko aizsardzību)")</f>
        <v>14</v>
      </c>
    </row>
    <row r="56" spans="1:36" x14ac:dyDescent="0.3">
      <c r="A56" t="s">
        <v>18111</v>
      </c>
      <c r="D56">
        <f>COUNTIFS(Kopējie!E2:E340,"ru",Kopējie!M2:M340,"Jā",Kopējie!N2:N340,"Jā",Kopējie!O2:O340,"Nē",Kopējie!P2:P340,"Nē",Kopējie!Q2:Q340,"Nē",Kopējie!CT2:CT340,"&gt;=1",Kopējie!CT2:CT340,"&lt;=50")</f>
        <v>17</v>
      </c>
      <c r="O56" t="s">
        <v>18126</v>
      </c>
      <c r="R56">
        <f>COUNTIFS(Kopējie!E2:E340,"ru",Kopējie!M2:M340,"Nē",Kopējie!N2:N340,"Jā",Kopējie!O2:O340,"Nē",Kopējie!P2:P340,"Nē",Kopējie!Q2:Q340,"Nē",Kopējie!EL2:EL340,"brīvas vēlēšanas un plurālisms")</f>
        <v>22</v>
      </c>
      <c r="S56" s="120">
        <v>33</v>
      </c>
      <c r="W56">
        <f>COUNTIFS(Kopējie!E2:E340,"ru",Kopējie!M2:M340,"Jā",Kopējie!N2:N340,"Jā",Kopējie!O2:O340,"Nē",Kopējie!P2:P340,"Nē",Kopējie!Q2:Q340,"Nē",Kopējie!EL2:EL340,"brīvas vēlēšanas un plurālisms")</f>
        <v>11</v>
      </c>
    </row>
    <row r="57" spans="1:36" x14ac:dyDescent="0.3">
      <c r="A57" t="s">
        <v>18112</v>
      </c>
      <c r="D57">
        <f>COUNTIFS(Kopējie!E2:E340,"lv",Kopējie!M2:M340,"Jā",Kopējie!N2:N340,"Jā",Kopējie!O2:O340,"Nē",Kopējie!P2:P340,"Nē",Kopējie!Q2:Q340,"Nē",Kopējie!CT2:CT340,"&gt;=1",Kopējie!CT2:CT340,"&lt;=50")</f>
        <v>7</v>
      </c>
      <c r="L57" t="s">
        <v>18127</v>
      </c>
      <c r="R57">
        <f>COUNTIFS(Kopējie!E2:E340,"ru",Kopējie!M2:M340,"Nē",Kopējie!N2:N340,"Jā",Kopējie!O2:O340,"Nē",Kopējie!P2:P340,"Nē",Kopējie!Q2:Q340,"Nē",Kopējie!EL2:EL340,"vienlīdzīgas tiesības minoritātēm un ievainojamām sabiedrības grupām")</f>
        <v>10</v>
      </c>
      <c r="S57" s="120">
        <v>15</v>
      </c>
      <c r="W57">
        <f>COUNTIFS(Kopējie!E2:E340,"ru",Kopējie!M2:M340,"Jā",Kopējie!N2:N340,"Jā",Kopējie!O2:O340,"Nē",Kopējie!P2:P340,"Nē",Kopējie!Q2:Q340,"Nē",Kopējie!EL2:EL340,"vienlīdzīgas tiesības minoritātēm un ievainojamām sabiedrības grupām")</f>
        <v>5</v>
      </c>
    </row>
    <row r="58" spans="1:36" x14ac:dyDescent="0.3">
      <c r="L58" t="s">
        <v>18128</v>
      </c>
      <c r="R58">
        <f>COUNTIFS(Kopējie!E2:E340,"ru",Kopējie!M2:M340,"Nē",Kopējie!N2:N340,"Jā",Kopējie!O2:O340,"Nē",Kopējie!P2:P340,"Nē",Kopējie!Q2:Q340,"Nē",Kopējie!EL2:EL340,"varas līdzsvars starp parlamentu, prezidentu un tiesām, lai neviena no institūcijām nespētu sevī koncentrēt lielāko daļu varas")</f>
        <v>4</v>
      </c>
      <c r="S58" s="120">
        <v>6</v>
      </c>
      <c r="W58">
        <f>COUNTIFS(Kopējie!E2:E340,"ru",Kopējie!M2:M340,"Jā",Kopējie!N2:N340,"Jā",Kopējie!O2:O340,"Nē",Kopējie!P2:P340,"Nē",Kopējie!Q2:Q340,"Nē",Kopējie!EL2:EL340,"varas līdzsvars starp parlamentu, prezidentu un tiesām, lai neviena no institūcijām nespētu sevī koncentrēt lielāko daļu varas")</f>
        <v>2</v>
      </c>
    </row>
    <row r="59" spans="1:36" x14ac:dyDescent="0.3">
      <c r="A59" t="s">
        <v>18252</v>
      </c>
      <c r="D59">
        <f>COUNTIFS(Kopējie!E2:E340,"ru",Kopējie!M2:M340,"Jā",Kopējie!N2:N340,"Jā",Kopējie!O2:O340,"Nē",Kopējie!P2:P340,"Nē",Kopējie!Q2:Q340,"Nē",Kopējie!CS2:CS340,"&gt;=51",Kopējie!CS2:CS340,"&lt;=100")</f>
        <v>15</v>
      </c>
    </row>
    <row r="60" spans="1:36" x14ac:dyDescent="0.3">
      <c r="A60" t="s">
        <v>18253</v>
      </c>
      <c r="D60">
        <f>COUNTIFS(Kopējie!E2:E340,"lv",Kopējie!M2:M340,"Jā",Kopējie!N2:N340,"Jā",Kopējie!O2:O340,"Nē",Kopējie!P2:P340,"Nē",Kopējie!Q2:Q340,"Nē",Kopējie!CS2:CS340,"&gt;=51",Kopējie!CS2:CS340,"&lt;=100")</f>
        <v>10</v>
      </c>
    </row>
    <row r="61" spans="1:36" x14ac:dyDescent="0.3">
      <c r="A61" t="s">
        <v>18254</v>
      </c>
      <c r="D61">
        <f>COUNTIFS(Kopējie!E2:E340,"ru",Kopējie!M2:M340,"Jā",Kopējie!N2:N340,"Jā",Kopējie!O2:O340,"Nē",Kopējie!P2:P340,"Nē",Kopējie!Q2:Q340,"Nē",Kopējie!CS2:CS340,"&gt;=1",Kopējie!CS2:CS340,"&lt;=50")</f>
        <v>26</v>
      </c>
    </row>
    <row r="62" spans="1:36" x14ac:dyDescent="0.3">
      <c r="A62" t="s">
        <v>18255</v>
      </c>
      <c r="D62">
        <f>COUNTIFS(Kopējie!E2:E340,"lv",Kopējie!M2:M340,"Jā",Kopējie!N2:N340,"Jā",Kopējie!O2:O340,"Nē",Kopējie!P2:P340,"Nē",Kopējie!Q2:Q340,"Nē",Kopējie!CS2:CS340,"&gt;=1",Kopējie!CS2:CS340,"&lt;=50")</f>
        <v>35</v>
      </c>
      <c r="L62" s="120" t="s">
        <v>18129</v>
      </c>
      <c r="T62" s="121" t="s">
        <v>18087</v>
      </c>
      <c r="U62" s="120"/>
      <c r="W62" s="120" t="s">
        <v>18131</v>
      </c>
    </row>
    <row r="63" spans="1:36" x14ac:dyDescent="0.3">
      <c r="L63" t="s">
        <v>18124</v>
      </c>
      <c r="R63">
        <f>COUNTIFS(Kopējie!E2:E340,"lv",Kopējie!M2:M340,"Jā",Kopējie!N2:N340,"Nē",Kopējie!O2:O340,"Nē",Kopējie!P2:P340,"Nē",Kopējie!Q2:Q340,"Nē",Kopējie!AV2:AV340,"Jā",Kopējie!EL2:EL340,"vienlīdz pieejama izglītība, veselības aprūpe, sociālais nodrošinājums")</f>
        <v>11</v>
      </c>
      <c r="S63">
        <f>COUNTIFS(Kopējie!E2:E340,"lv",Kopējie!M2:M340,"Jā",Kopējie!N2:N340,"Nē",Kopējie!O2:O340,"Nē",Kopējie!P2:P340,"Nē",Kopējie!Q2:Q340,"Nē",Kopējie!AW2:AW340,"Jā",Kopējie!EL2:EL340,"vienlīdz pieejama izglītība, veselības aprūpe, sociālais nodrošinājums")</f>
        <v>4</v>
      </c>
      <c r="T63" s="156">
        <v>15</v>
      </c>
      <c r="U63" s="120">
        <v>7</v>
      </c>
      <c r="W63">
        <f>COUNTIFS(Kopējie!E2:E340,"lv",Kopējie!M2:M340,"Jā",Kopējie!N2:N340,"Jā",Kopējie!O2:O340,"Nē",Kopējie!P2:P340,"Nē",Kopējie!Q2:Q340,"Nē",Kopējie!AV2:AV340,"Jā",Kopējie!EL2:EL340,"vienlīdz pieejama izglītība, veselības aprūpe, sociālais nodrošinājums")</f>
        <v>4</v>
      </c>
      <c r="X63">
        <f>COUNTIFS(Kopējie!E2:E340,"lv",Kopējie!M2:M340,"Jā",Kopējie!N2:N340,"Jā",Kopējie!O2:O340,"Nē",Kopējie!P2:P340,"Nē",Kopējie!Q2:Q340,"Nē",Kopējie!AW2:AW340,"Jā",Kopējie!EL2:EL340,"vienlīdz pieejama izglītība, veselības aprūpe, sociālais nodrošinājums")</f>
        <v>3</v>
      </c>
    </row>
    <row r="64" spans="1:36" x14ac:dyDescent="0.3">
      <c r="P64" t="s">
        <v>18125</v>
      </c>
      <c r="R64">
        <f>COUNTIFS(Kopējie!E2:E340,"lv",Kopējie!M2:M340,"Jā",Kopējie!N2:N340,"Nē",Kopējie!O2:O340,"Nē",Kopējie!P2:P340,"Nē",Kopējie!Q2:Q340,"Nē",Kopējie!AV2:AV340,"Jā",Kopējie!EL2:EL340,"pilsoniskās brīvības (vārda brīvība, tiesības uz tiesisko aizsardzību)")</f>
        <v>14</v>
      </c>
      <c r="S64">
        <f>COUNTIFS(Kopējie!E2:E340,"lv",Kopējie!M2:M340,"Jā",Kopējie!N2:N340,"Nē",Kopējie!O2:O340,"Nē",Kopējie!P2:P340,"Nē",Kopējie!Q2:Q340,"Nē",Kopējie!AW2:AW340,"Jā",Kopējie!EL2:EL340,"pilsoniskās brīvības (vārda brīvība, tiesības uz tiesisko aizsardzību)")</f>
        <v>13</v>
      </c>
      <c r="T64" s="120">
        <v>22</v>
      </c>
      <c r="U64" s="120">
        <v>23</v>
      </c>
      <c r="W64">
        <f>COUNTIFS(Kopējie!E2:E340,"lv",Kopējie!M2:M340,"Jā",Kopējie!N2:N340,"Jā",Kopējie!O2:O340,"Nē",Kopējie!P2:P340,"Nē",Kopējie!Q2:Q340,"Nē",Kopējie!AV2:AV340,"Jā",Kopējie!EL2:EL340,"pilsoniskās brīvības (vārda brīvība, tiesības uz tiesisko aizsardzību)")</f>
        <v>8</v>
      </c>
      <c r="X64">
        <f>COUNTIFS(Kopējie!E2:E340,"lv",Kopējie!M2:M340,"Jā",Kopējie!N2:N340,"Jā",Kopējie!O2:O340,"Nē",Kopējie!P2:P340,"Nē",Kopējie!Q2:Q340,"Nē",Kopējie!AW2:AW340,"Jā",Kopējie!EL2:EL340,"pilsoniskās brīvības (vārda brīvība, tiesības uz tiesisko aizsardzību)")</f>
        <v>10</v>
      </c>
    </row>
    <row r="65" spans="12:24" x14ac:dyDescent="0.3">
      <c r="O65" t="s">
        <v>18126</v>
      </c>
      <c r="R65">
        <f>COUNTIFS(Kopējie!E2:E340,"lv",Kopējie!M2:M340,"Jā",Kopējie!N2:N340,"Nē",Kopējie!O2:O340,"Nē",Kopējie!P2:P340,"Nē",Kopējie!Q2:Q340,"Nē",Kopējie!AV2:AV340,"Jā",Kopējie!EL2:EL340,"brīvas vēlēšanas un plurālisms")</f>
        <v>4</v>
      </c>
      <c r="S65">
        <f>COUNTIFS(Kopējie!E2:E340,"lv",Kopējie!M2:M340,"Jā",Kopējie!N2:N340,"Nē",Kopējie!O2:O340,"Nē",Kopējie!P2:P340,"Nē",Kopējie!Q2:Q340,"Nē",Kopējie!AW2:AW340,"Jā",Kopējie!EL2:EL340,"brīvas vēlēšanas un plurālisms")</f>
        <v>5</v>
      </c>
      <c r="T65" s="120">
        <v>6</v>
      </c>
      <c r="U65" s="120">
        <v>6</v>
      </c>
      <c r="W65">
        <f>COUNTIFS(Kopējie!E2:E340,"lv",Kopējie!M2:M340,"Jā",Kopējie!N2:N340,"Jā",Kopējie!O2:O340,"Nē",Kopējie!P2:P340,"Nē",Kopējie!Q2:Q340,"Nē",Kopējie!AV2:AV340,"Jā",Kopējie!EL2:EL340,"brīvas vēlēšanas un plurālisms")</f>
        <v>2</v>
      </c>
      <c r="X65">
        <f>COUNTIFS(Kopējie!E2:E340,"lv",Kopējie!M2:M340,"Jā",Kopējie!N2:N340,"Jā",Kopējie!O2:O340,"Nē",Kopējie!P2:P340,"Nē",Kopējie!Q2:Q340,"Nē",Kopējie!AW2:AW340,"Jā",Kopējie!EL2:EL340,"brīvas vēlēšanas un plurālisms")</f>
        <v>1</v>
      </c>
    </row>
    <row r="66" spans="12:24" x14ac:dyDescent="0.3">
      <c r="L66" t="s">
        <v>18127</v>
      </c>
      <c r="R66">
        <f>COUNTIFS(Kopējie!E2:E340,"lv",Kopējie!M2:M340,"Jā",Kopējie!N2:N340,"Nē",Kopējie!O2:O340,"Nē",Kopējie!P2:P340,"Nē",Kopējie!Q2:Q340,"Nē",Kopējie!AV2:AV340,"Jā",Kopējie!EL2:EL340,"vienlīdzīgas tiesības minoritātēm un ievainojamām sabiedrības grupām")</f>
        <v>2</v>
      </c>
      <c r="S66">
        <f>COUNTIFS(Kopējie!E2:E340,"lv",Kopējie!M2:M340,"Jā",Kopējie!N2:N340,"Nē",Kopējie!O2:O340,"Nē",Kopējie!P2:P340,"Nē",Kopējie!Q2:Q340,"Nē",Kopējie!AW2:AW340,"Jā",Kopējie!EL2:EL340,"vienlīdzīgas tiesības minoritātēm un ievainojamām sabiedrības grupām")</f>
        <v>3</v>
      </c>
      <c r="T66" s="120">
        <v>2</v>
      </c>
      <c r="U66" s="120">
        <v>3</v>
      </c>
      <c r="W66">
        <f>COUNTIFS(Kopējie!E2:E340,"lv",Kopējie!M2:M340,"Jā",Kopējie!N2:N340,"Jā",Kopējie!O2:O340,"Nē",Kopējie!P2:P340,"Nē",Kopējie!Q2:Q340,"Nē",Kopējie!AV2:AV340,"Jā",Kopējie!EL2:EL340,"vienlīdzīgas tiesības minoritātēm un ievainojamām sabiedrības grupām")</f>
        <v>0</v>
      </c>
      <c r="X66">
        <f>COUNTIFS(Kopējie!E2:E340,"lv",Kopējie!M2:M340,"Jā",Kopējie!N2:N340,"Jā",Kopējie!O2:O340,"Nē",Kopējie!P2:P340,"Nē",Kopējie!Q2:Q340,"Nē",Kopējie!AW2:AW340,"Jā",Kopējie!EL2:EL340,"vienlīdzīgas tiesības minoritātēm un ievainojamām sabiedrības grupām")</f>
        <v>0</v>
      </c>
    </row>
    <row r="67" spans="12:24" x14ac:dyDescent="0.3">
      <c r="L67" t="s">
        <v>18128</v>
      </c>
      <c r="R67">
        <f>COUNTIFS(Kopējie!E2:E340,"lv",Kopējie!M2:M340,"Jā",Kopējie!N2:N340,"Nē",Kopējie!O2:O340,"Nē",Kopējie!P2:P340,"Nē",Kopējie!Q2:Q340,"Nē",Kopējie!AV2:AV340,"Jā",Kopējie!EL2:EL340,"varas līdzsvars starp parlamentu, prezidentu un tiesām, lai neviena no institūcijām nespētu sevī koncentrēt lielāko daļu varas")</f>
        <v>4</v>
      </c>
      <c r="S67">
        <f>COUNTIFS(Kopējie!E2:E340,"lv",Kopējie!M2:M340,"Jā",Kopējie!N2:N340,"Nē",Kopējie!O2:O340,"Nē",Kopējie!P2:P340,"Nē",Kopējie!Q2:Q340,"Nē",Kopējie!AW2:AW340,"Jā",Kopējie!EL2:EL340,"varas līdzsvars starp parlamentu, prezidentu un tiesām, lai neviena no institūcijām nespētu sevī koncentrēt lielāko daļu varas")</f>
        <v>0</v>
      </c>
      <c r="T67" s="120">
        <v>5</v>
      </c>
      <c r="U67" s="120">
        <v>0</v>
      </c>
      <c r="W67">
        <f>COUNTIFS(Kopējie!E2:E340,"lv",Kopējie!M2:M340,"Jā",Kopējie!N2:N340,"Jā",Kopējie!O2:O340,"Nē",Kopējie!P2:P340,"Nē",Kopējie!Q2:Q340,"Nē",Kopējie!AV2:AV340,"Jā",Kopējie!EL2:EL340,"varas līdzsvars starp parlamentu, prezidentu un tiesām, lai neviena no institūcijām nespētu sevī koncentrēt lielāko daļu varas")</f>
        <v>1</v>
      </c>
      <c r="X67">
        <f>COUNTIFS(Kopējie!E2:E340,"lv",Kopējie!M2:M340,"Jā",Kopējie!N2:N340,"Jā",Kopējie!O2:O340,"Nē",Kopējie!P2:P340,"Nē",Kopējie!Q2:Q340,"Nē",Kopējie!AW2:AW340,"Jā",Kopējie!EL2:EL340,"varas līdzsvars starp parlamentu, prezidentu un tiesām, lai neviena no institūcijām nespētu sevī koncentrēt lielāko daļu varas")</f>
        <v>0</v>
      </c>
    </row>
    <row r="68" spans="12:24" x14ac:dyDescent="0.3">
      <c r="S68" s="120"/>
    </row>
    <row r="69" spans="12:24" x14ac:dyDescent="0.3">
      <c r="L69" s="121" t="s">
        <v>18102</v>
      </c>
    </row>
    <row r="70" spans="12:24" x14ac:dyDescent="0.3">
      <c r="L70" s="120" t="s">
        <v>18129</v>
      </c>
      <c r="S70" s="121" t="s">
        <v>18087</v>
      </c>
      <c r="W70" s="120" t="s">
        <v>18131</v>
      </c>
    </row>
    <row r="71" spans="12:24" x14ac:dyDescent="0.3">
      <c r="L71" t="s">
        <v>18124</v>
      </c>
      <c r="R71">
        <f>COUNTIFS(Kopējie!E2:E340,"lv",Kopējie!M2:M340,"Jā",Kopējie!N2:N340,"Nē",Kopējie!O2:O340,"Nē",Kopējie!P2:P340,"Nē",Kopējie!Q2:Q340,"Nē",Kopējie!EL2:EL340,"vienlīdz pieejama izglītība, veselības aprūpe, sociālais nodrošinājums")</f>
        <v>25</v>
      </c>
      <c r="S71" s="120">
        <v>36</v>
      </c>
      <c r="W71">
        <f>COUNTIFS(Kopējie!E2:E340,"lv",Kopējie!M2:M340,"Jā",Kopējie!N2:N340,"Jā",Kopējie!O2:O340,"Nē",Kopējie!P2:P340,"Nē",Kopējie!Q2:Q340,"Nē",Kopējie!EL2:EL340,"vienlīdz pieejama izglītība, veselības aprūpe, sociālais nodrošinājums")</f>
        <v>11</v>
      </c>
    </row>
    <row r="72" spans="12:24" x14ac:dyDescent="0.3">
      <c r="P72" t="s">
        <v>18125</v>
      </c>
      <c r="R72">
        <f>COUNTIFS(Kopējie!E2:E340,"lv",Kopējie!M2:M340,"Jā",Kopējie!N2:N340,"Nē",Kopējie!O2:O340,"Nē",Kopējie!P2:P340,"Nē",Kopējie!Q2:Q340,"Nē",Kopējie!EL2:EL340,"pilsoniskās brīvības (vārda brīvība, tiesības uz tiesisko aizsardzību)")</f>
        <v>57</v>
      </c>
      <c r="S72" s="120">
        <v>81</v>
      </c>
      <c r="W72">
        <f>COUNTIFS(Kopējie!E2:E340,"lv",Kopējie!M2:M340,"Jā",Kopējie!N2:N340,"Jā",Kopējie!O2:O340,"Nē",Kopējie!P2:P340,"Nē",Kopējie!Q2:Q340,"Nē",Kopējie!EL2:EL340,"pilsoniskās brīvības (vārda brīvība, tiesības uz tiesisko aizsardzību)")</f>
        <v>24</v>
      </c>
    </row>
    <row r="73" spans="12:24" x14ac:dyDescent="0.3">
      <c r="O73" t="s">
        <v>18126</v>
      </c>
      <c r="R73">
        <f>COUNTIFS(Kopējie!E2:E340,"lv",Kopējie!M2:M340,"Jā",Kopējie!N2:N340,"Nē",Kopējie!O2:O340,"Nē",Kopējie!P2:P340,"Nē",Kopējie!Q2:Q340,"Nē",Kopējie!EL2:EL340,"brīvas vēlēšanas un plurālisms")</f>
        <v>23</v>
      </c>
      <c r="S73" s="120">
        <v>30</v>
      </c>
      <c r="W73">
        <f>COUNTIFS(Kopējie!E2:E340,"lv",Kopējie!M2:M340,"Jā",Kopējie!N2:N340,"Jā",Kopējie!O2:O340,"Nē",Kopējie!P2:P340,"Nē",Kopējie!Q2:Q340,"Nē",Kopējie!EL2:EL340,"brīvas vēlēšanas un plurālisms")</f>
        <v>7</v>
      </c>
    </row>
    <row r="74" spans="12:24" x14ac:dyDescent="0.3">
      <c r="L74" t="s">
        <v>18127</v>
      </c>
      <c r="R74">
        <f>COUNTIFS(Kopējie!E2:E340,"lv",Kopējie!M2:M340,"Jā",Kopējie!N2:N340,"Nē",Kopējie!O2:O340,"Nē",Kopējie!P2:P340,"Nē",Kopējie!Q2:Q340,"Nē",Kopējie!EL2:EL340,"vienlīdzīgas tiesības minoritātēm un ievainojamām sabiedrības grupām")</f>
        <v>6</v>
      </c>
      <c r="S74" s="120">
        <v>8</v>
      </c>
      <c r="W74">
        <f>COUNTIFS(Kopējie!E2:E340,"lv",Kopējie!M2:M340,"Jā",Kopējie!N2:N340,"Jā",Kopējie!O2:O340,"Nē",Kopējie!P2:P340,"Nē",Kopējie!Q2:Q340,"Nē",Kopējie!EL2:EL340,"vienlīdzīgas tiesības minoritātēm un ievainojamām sabiedrības grupām")</f>
        <v>1</v>
      </c>
    </row>
    <row r="75" spans="12:24" x14ac:dyDescent="0.3">
      <c r="L75" t="s">
        <v>18128</v>
      </c>
      <c r="R75">
        <f>COUNTIFS(Kopējie!E2:E340,"lv",Kopējie!M2:M340,"Jā",Kopējie!N2:N340,"Nē",Kopējie!O2:O340,"Nē",Kopējie!P2:P340,"Nē",Kopējie!Q2:Q340,"Nē",Kopējie!EL2:EL340,"varas līdzsvars starp parlamentu, prezidentu un tiesām, lai neviena no institūcijām nespētu sevī koncentrēt lielāko daļu varas")</f>
        <v>12</v>
      </c>
      <c r="S75" s="120">
        <v>14</v>
      </c>
      <c r="W75">
        <f>COUNTIFS(Kopējie!E2:E340,"lv",Kopējie!M2:M340,"Jā",Kopējie!N2:N340,"Jā",Kopējie!O2:O340,"Nē",Kopējie!P2:P340,"Nē",Kopējie!Q2:Q340,"Nē",Kopējie!EL2:EL340,"varas līdzsvars starp parlamentu, prezidentu un tiesām, lai neviena no institūcijām nespētu sevī koncentrēt lielāko daļu varas")</f>
        <v>2</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E6A5-D128-4AE8-AB2B-1296A66A52DB}">
  <dimension ref="A1:N38"/>
  <sheetViews>
    <sheetView topLeftCell="A22" workbookViewId="0">
      <selection activeCell="L9" sqref="L9"/>
    </sheetView>
  </sheetViews>
  <sheetFormatPr defaultRowHeight="14.4" x14ac:dyDescent="0.3"/>
  <sheetData>
    <row r="1" spans="1:14" x14ac:dyDescent="0.3">
      <c r="A1" s="121" t="s">
        <v>1812</v>
      </c>
      <c r="E1" s="178" t="s">
        <v>1814</v>
      </c>
      <c r="F1" s="151"/>
      <c r="H1" s="178" t="s">
        <v>18137</v>
      </c>
      <c r="I1" s="151"/>
      <c r="K1" s="178" t="s">
        <v>18136</v>
      </c>
    </row>
    <row r="2" spans="1:14" x14ac:dyDescent="0.3">
      <c r="A2" s="9" t="s">
        <v>18217</v>
      </c>
      <c r="B2">
        <f>COUNTIFS(Kopējie!M2:M340,"Jā",Kopējie!N2:N340,"Nē",Kopējie!O2:O340,"Nē",Kopējie!P2:P340,"Nē",Kopējie!Q2:Q340,"Nē",Kopējie!GL2:GL340,"Jā")</f>
        <v>1</v>
      </c>
      <c r="E2" s="179" t="s">
        <v>18217</v>
      </c>
      <c r="F2" s="151">
        <v>1</v>
      </c>
      <c r="H2" s="179" t="s">
        <v>18217</v>
      </c>
      <c r="I2" s="151">
        <v>0</v>
      </c>
      <c r="K2" s="179" t="s">
        <v>18217</v>
      </c>
      <c r="L2">
        <f>COUNTIFS(Kopējie!M2:M340,"Jā",Kopējie!N2:N340,"Jā",Kopējie!O2:O340,"Nē",Kopējie!P2:P340,"Nē",Kopējie!Q2:Q340,"Nē",Kopējie!GL2:GL340,"Jā",Kopējie!E2:E340,"ru")</f>
        <v>0</v>
      </c>
      <c r="N2" t="s">
        <v>18245</v>
      </c>
    </row>
    <row r="3" spans="1:14" x14ac:dyDescent="0.3">
      <c r="A3" s="9" t="s">
        <v>18218</v>
      </c>
      <c r="B3">
        <f>COUNTIFS(Kopējie!M2:M340,"Jā",Kopējie!N2:N340,"Nē",Kopējie!O2:O340,"Nē",Kopējie!P2:P340,"Nē",Kopējie!Q2:Q340,"Nē",Kopējie!GM2:GM340,"Jā")</f>
        <v>0</v>
      </c>
      <c r="E3" s="179" t="s">
        <v>18218</v>
      </c>
      <c r="F3" s="151">
        <v>4</v>
      </c>
      <c r="H3" s="179" t="s">
        <v>18218</v>
      </c>
      <c r="I3" s="151">
        <v>0</v>
      </c>
      <c r="K3" s="179" t="s">
        <v>18218</v>
      </c>
      <c r="L3">
        <f>COUNTIFS(Kopējie!M2:M340,"Jā",Kopējie!N2:N340,"Jā",Kopējie!O2:O340,"Nē",Kopējie!P2:P340,"Nē",Kopējie!Q2:Q340,"Nē",Kopējie!GM2:GM340,"Jā",Kopējie!E2:E340,"ru")</f>
        <v>0</v>
      </c>
    </row>
    <row r="4" spans="1:14" x14ac:dyDescent="0.3">
      <c r="A4" s="9" t="s">
        <v>18219</v>
      </c>
      <c r="B4">
        <f>COUNTIFS(Kopējie!M2:M340,"Jā",Kopējie!N2:N340,"Nē",Kopējie!O2:O340,"Nē",Kopējie!P2:P340,"Nē",Kopējie!Q2:Q340,"Nē",Kopējie!GN2:GN340,"Jā")</f>
        <v>33</v>
      </c>
      <c r="E4" s="179" t="s">
        <v>18219</v>
      </c>
      <c r="F4" s="151">
        <v>5</v>
      </c>
      <c r="H4" s="179" t="s">
        <v>18219</v>
      </c>
      <c r="I4" s="151">
        <v>8</v>
      </c>
      <c r="K4" s="179" t="s">
        <v>18219</v>
      </c>
      <c r="L4">
        <f>COUNTIFS(Kopējie!M2:M340,"Jā",Kopējie!N2:N340,"Jā",Kopējie!O2:O340,"Nē",Kopējie!P2:P340,"Nē",Kopējie!Q2:Q340,"Nē",Kopējie!GN2:GN340,"Jā",Kopējie!E2:E340,"ru")</f>
        <v>4</v>
      </c>
    </row>
    <row r="5" spans="1:14" x14ac:dyDescent="0.3">
      <c r="A5" s="9" t="s">
        <v>18025</v>
      </c>
      <c r="B5">
        <f>COUNTIFS(Kopējie!M2:M340,"Jā",Kopējie!N2:N340,"Nē",Kopējie!O2:O340,"Nē",Kopējie!P2:P340,"Nē",Kopējie!Q2:Q340,"Nē",Kopējie!GO2:GO340,"Jā")</f>
        <v>48</v>
      </c>
      <c r="E5" s="179" t="s">
        <v>18025</v>
      </c>
      <c r="F5" s="151">
        <v>15</v>
      </c>
      <c r="H5" s="179" t="s">
        <v>18025</v>
      </c>
      <c r="I5" s="151">
        <v>7</v>
      </c>
      <c r="K5" s="179" t="s">
        <v>18025</v>
      </c>
      <c r="L5">
        <f>COUNTIFS(Kopējie!M2:M340,"Jā",Kopējie!N2:N340,"Jā",Kopējie!O2:O340,"Nē",Kopējie!P2:P340,"Nē",Kopējie!Q2:Q340,"Nē",Kopējie!GO2:GO340,"Jā",Kopējie!E2:E340,"ru")</f>
        <v>2</v>
      </c>
    </row>
    <row r="6" spans="1:14" x14ac:dyDescent="0.3">
      <c r="A6" s="9" t="s">
        <v>18220</v>
      </c>
      <c r="B6">
        <f>COUNTIFS(Kopējie!M2:M340,"Jā",Kopējie!N2:N340,"Nē",Kopējie!O2:O340,"Nē",Kopējie!P2:P340,"Nē",Kopējie!Q2:Q340,"Nē",Kopējie!GP2:GP340,"Jā")</f>
        <v>2</v>
      </c>
      <c r="E6" s="179" t="s">
        <v>18220</v>
      </c>
      <c r="F6" s="151">
        <v>2</v>
      </c>
      <c r="H6" s="179" t="s">
        <v>18220</v>
      </c>
      <c r="I6" s="151">
        <v>0</v>
      </c>
      <c r="K6" s="179" t="s">
        <v>18220</v>
      </c>
      <c r="L6">
        <f>COUNTIFS(Kopējie!M2:M340,"Jā",Kopējie!N2:N340,"Jā",Kopējie!O2:O340,"Nē",Kopējie!P2:P340,"Nē",Kopējie!Q2:Q340,"Nē",Kopējie!GP2:GP340,"Jā",Kopējie!E2:E340,"ru")</f>
        <v>0</v>
      </c>
    </row>
    <row r="7" spans="1:14" x14ac:dyDescent="0.3">
      <c r="A7" s="9" t="s">
        <v>18221</v>
      </c>
      <c r="B7">
        <f>COUNTIFS(Kopējie!M2:M340,"Jā",Kopējie!N2:N340,"Nē",Kopējie!O2:O340,"Nē",Kopējie!P2:P340,"Nē",Kopējie!Q2:Q340,"Nē",Kopējie!GQ2:GQ340,"Jā")</f>
        <v>1</v>
      </c>
      <c r="E7" s="179" t="s">
        <v>18221</v>
      </c>
      <c r="F7" s="151">
        <v>2</v>
      </c>
      <c r="H7" s="179" t="s">
        <v>18221</v>
      </c>
      <c r="I7" s="151">
        <v>0</v>
      </c>
      <c r="K7" s="179" t="s">
        <v>18221</v>
      </c>
      <c r="L7">
        <f>COUNTIFS(Kopējie!M2:M340,"Jā",Kopējie!N2:N340,"Jā",Kopējie!O2:O340,"Nē",Kopējie!P2:P340,"Nē",Kopējie!Q2:Q340,"Nē",Kopējie!GQ2:GQ340,"Jā",Kopējie!E2:E340,"ru")</f>
        <v>1</v>
      </c>
    </row>
    <row r="8" spans="1:14" x14ac:dyDescent="0.3">
      <c r="A8" s="9" t="s">
        <v>18222</v>
      </c>
      <c r="B8">
        <f>COUNTIFS(Kopējie!M2:M340,"Jā",Kopējie!N2:N340,"Nē",Kopējie!O2:O340,"Nē",Kopējie!P2:P340,"Nē",Kopējie!Q2:Q340,"Nē",Kopējie!GR2:GR340,"Jā")</f>
        <v>1</v>
      </c>
      <c r="E8" s="179" t="s">
        <v>18222</v>
      </c>
      <c r="F8" s="151">
        <v>8</v>
      </c>
      <c r="H8" s="179" t="s">
        <v>18222</v>
      </c>
      <c r="I8" s="151">
        <v>2</v>
      </c>
      <c r="K8" s="179" t="s">
        <v>18222</v>
      </c>
      <c r="L8">
        <f>COUNTIFS(Kopējie!M2:M340,"Jā",Kopējie!N2:N340,"Jā",Kopējie!O2:O340,"Nē",Kopējie!P2:P340,"Nē",Kopējie!Q2:Q340,"Nē",Kopējie!GR2:GR340,"Jā",Kopējie!E2:E340,"ru")</f>
        <v>5</v>
      </c>
    </row>
    <row r="9" spans="1:14" x14ac:dyDescent="0.3">
      <c r="A9" s="9" t="s">
        <v>18223</v>
      </c>
      <c r="B9">
        <f>COUNTIFS(Kopējie!M2:M340,"Jā",Kopējie!N2:N340,"Nē",Kopējie!O2:O340,"Nē",Kopējie!P2:P340,"Nē",Kopējie!Q2:Q340,"Nē",Kopējie!GS2:GS340,"Jā")</f>
        <v>0</v>
      </c>
      <c r="E9" s="179" t="s">
        <v>18223</v>
      </c>
      <c r="F9" s="151">
        <v>2</v>
      </c>
      <c r="H9" s="179" t="s">
        <v>18223</v>
      </c>
      <c r="I9" s="151">
        <v>0</v>
      </c>
      <c r="K9" s="179" t="s">
        <v>18223</v>
      </c>
      <c r="L9">
        <f>COUNTIFS(Kopējie!M2:M340,"Jā",Kopējie!N2:N340,"Jā",Kopējie!O2:O340,"Nē",Kopējie!P2:P340,"Nē",Kopējie!Q2:Q340,"Nē",Kopējie!GS2:GS340,"Jā",Kopējie!E2:E340,"ru")</f>
        <v>1</v>
      </c>
    </row>
    <row r="10" spans="1:14" x14ac:dyDescent="0.3">
      <c r="A10" s="9" t="s">
        <v>18224</v>
      </c>
      <c r="B10">
        <f>COUNTIFS(Kopējie!M2:M340,"Jā",Kopējie!N2:N340,"Nē",Kopējie!O2:O340,"Nē",Kopējie!P2:P340,"Nē",Kopējie!Q2:Q340,"Nē",Kopējie!GT2:GT340,"Jā")</f>
        <v>33</v>
      </c>
      <c r="E10" s="179" t="s">
        <v>18224</v>
      </c>
      <c r="F10" s="151">
        <v>4</v>
      </c>
      <c r="H10" s="179" t="s">
        <v>18224</v>
      </c>
      <c r="I10" s="151">
        <v>2</v>
      </c>
      <c r="K10" s="179" t="s">
        <v>18224</v>
      </c>
      <c r="L10">
        <f>COUNTIFS(Kopējie!M2:M340,"Jā",Kopējie!N2:N340,"Jā",Kopējie!O2:O340,"Nē",Kopējie!P2:P340,"Nē",Kopējie!Q2:Q340,"Nē",Kopējie!GT2:GT340,"Jā",Kopējie!E2:E340,"ru")</f>
        <v>3</v>
      </c>
    </row>
    <row r="11" spans="1:14" x14ac:dyDescent="0.3">
      <c r="A11" s="9" t="s">
        <v>18225</v>
      </c>
      <c r="B11">
        <f>COUNTIFS(Kopējie!M2:M340,"Jā",Kopējie!N2:N340,"Nē",Kopējie!O2:O340,"Nē",Kopējie!P2:P340,"Nē",Kopējie!Q2:Q340,"Nē",Kopējie!GU2:GU340,"Jā")</f>
        <v>1</v>
      </c>
      <c r="E11" s="179" t="s">
        <v>18225</v>
      </c>
      <c r="F11" s="151">
        <v>9</v>
      </c>
      <c r="H11" s="179" t="s">
        <v>18225</v>
      </c>
      <c r="I11" s="151">
        <v>3</v>
      </c>
      <c r="K11" s="179" t="s">
        <v>18225</v>
      </c>
      <c r="L11">
        <f>COUNTIFS(Kopējie!M2:M340,"Jā",Kopējie!N2:N340,"Jā",Kopējie!O2:O340,"Nē",Kopējie!P2:P340,"Nē",Kopējie!Q2:Q340,"Nē",Kopējie!GU2:GU340,"Jā",Kopējie!E2:E340,"ru")</f>
        <v>3</v>
      </c>
    </row>
    <row r="12" spans="1:14" x14ac:dyDescent="0.3">
      <c r="A12" s="9" t="s">
        <v>18226</v>
      </c>
      <c r="B12">
        <f>COUNTIFS(Kopējie!M2:M340,"Jā",Kopējie!N2:N340,"Nē",Kopējie!O2:O340,"Nē",Kopējie!P2:P340,"Nē",Kopējie!Q2:Q340,"Nē",Kopējie!GV2:GV340,"Jā")</f>
        <v>40</v>
      </c>
      <c r="E12" s="179" t="s">
        <v>18226</v>
      </c>
      <c r="F12" s="151">
        <v>17</v>
      </c>
      <c r="H12" s="179" t="s">
        <v>18226</v>
      </c>
      <c r="I12" s="151">
        <v>6</v>
      </c>
      <c r="K12" s="179" t="s">
        <v>18226</v>
      </c>
      <c r="L12">
        <f>COUNTIFS(Kopējie!M2:M340,"Jā",Kopējie!N2:N340,"Jā",Kopējie!O2:O340,"Nē",Kopējie!P2:P340,"Nē",Kopējie!Q2:Q340,"Nē",Kopējie!GV2:GV340,"Jā",Kopējie!E2:E340,"ru")</f>
        <v>9</v>
      </c>
    </row>
    <row r="13" spans="1:14" x14ac:dyDescent="0.3">
      <c r="A13" s="9" t="s">
        <v>18227</v>
      </c>
      <c r="B13">
        <f>COUNTIFS(Kopējie!M2:M340,"Jā",Kopējie!N2:N340,"Nē",Kopējie!O2:O340,"Nē",Kopējie!P2:P340,"Nē",Kopējie!Q2:Q340,"Nē",Kopējie!GW2:GW340,"Jā")</f>
        <v>76</v>
      </c>
      <c r="E13" s="179" t="s">
        <v>18227</v>
      </c>
      <c r="F13" s="151">
        <v>11</v>
      </c>
      <c r="H13" s="179" t="s">
        <v>18227</v>
      </c>
      <c r="I13" s="151">
        <v>3</v>
      </c>
      <c r="K13" s="179" t="s">
        <v>18227</v>
      </c>
      <c r="L13">
        <f>COUNTIFS(Kopējie!M2:M340,"Jā",Kopējie!N2:N340,"Jā",Kopējie!O2:O340,"Nē",Kopējie!P2:P340,"Nē",Kopējie!Q2:Q340,"Nē",Kopējie!GW2:GW340,"Jā",Kopējie!E2:E340,"ru")</f>
        <v>5</v>
      </c>
    </row>
    <row r="14" spans="1:14" x14ac:dyDescent="0.3">
      <c r="A14" s="9" t="s">
        <v>18092</v>
      </c>
      <c r="B14">
        <f>COUNTIFS(Kopējie!M2:M340,"Jā",Kopējie!N2:N340,"Nē",Kopējie!O2:O340,"Nē",Kopējie!P2:P340,"Nē",Kopējie!Q2:Q340,"Nē",Kopējie!GX2:GX340,"Jā")</f>
        <v>0</v>
      </c>
      <c r="E14" s="179" t="s">
        <v>18092</v>
      </c>
      <c r="F14" s="151">
        <v>7</v>
      </c>
      <c r="H14" s="179" t="s">
        <v>18092</v>
      </c>
      <c r="I14" s="151">
        <v>3</v>
      </c>
      <c r="K14" s="179" t="s">
        <v>18092</v>
      </c>
      <c r="L14">
        <f>COUNTIFS(Kopējie!M2:M340,"Jā",Kopējie!N2:N340,"Jā",Kopējie!O2:O340,"Nē",Kopējie!P2:P340,"Nē",Kopējie!Q2:Q340,"Nē",Kopējie!GX2:GX340,"Jā",Kopējie!E2:E340,"ru")</f>
        <v>2</v>
      </c>
    </row>
    <row r="15" spans="1:14" x14ac:dyDescent="0.3">
      <c r="A15" s="9" t="s">
        <v>18228</v>
      </c>
      <c r="B15">
        <f>COUNTIFS(Kopējie!M2:M340,"Jā",Kopējie!N2:N340,"Nē",Kopējie!O2:O340,"Nē",Kopējie!P2:P340,"Nē",Kopējie!Q2:Q340,"Nē",Kopējie!GY2:GY340,"Jā")</f>
        <v>12</v>
      </c>
      <c r="E15" s="179" t="s">
        <v>18228</v>
      </c>
      <c r="F15" s="151">
        <v>4</v>
      </c>
      <c r="H15" s="179" t="s">
        <v>18228</v>
      </c>
      <c r="I15" s="151">
        <v>3</v>
      </c>
      <c r="K15" s="179" t="s">
        <v>18228</v>
      </c>
      <c r="L15">
        <f>COUNTIFS(Kopējie!M2:M340,"Jā",Kopējie!N2:N340,"Jā",Kopējie!O2:O340,"Nē",Kopējie!P2:P340,"Nē",Kopējie!Q2:Q340,"Nē",Kopējie!GY2:GY340,"Jā",Kopējie!E2:E340,"ru")</f>
        <v>4</v>
      </c>
    </row>
    <row r="16" spans="1:14" x14ac:dyDescent="0.3">
      <c r="A16" s="118" t="s">
        <v>18093</v>
      </c>
      <c r="B16">
        <f>COUNTIFS(Kopējie!M2:M340,"Jā",Kopējie!N2:N340,"Nē",Kopējie!O2:O340,"Nē",Kopējie!P2:P340,"Nē",Kopējie!Q2:Q340,"Nē",Kopējie!GZ2:GZ340,"Jā")</f>
        <v>10</v>
      </c>
      <c r="E16" s="180" t="s">
        <v>18093</v>
      </c>
      <c r="F16" s="151">
        <v>54</v>
      </c>
      <c r="H16" s="180" t="s">
        <v>18093</v>
      </c>
      <c r="I16" s="151">
        <v>20</v>
      </c>
      <c r="K16" s="180" t="s">
        <v>18093</v>
      </c>
      <c r="L16">
        <f>COUNTIFS(Kopējie!M2:M340,"Jā",Kopējie!N2:N340,"Jā",Kopējie!O2:O340,"Nē",Kopējie!P2:P340,"Nē",Kopējie!Q2:Q340,"Nē",Kopējie!GZ2:GZ340,"Jā",Kopējie!E2:E340,"ru")</f>
        <v>16</v>
      </c>
    </row>
    <row r="17" spans="1:11" x14ac:dyDescent="0.3">
      <c r="A17" s="9" t="s">
        <v>18246</v>
      </c>
      <c r="E17" s="9" t="s">
        <v>18246</v>
      </c>
      <c r="H17" s="9" t="s">
        <v>18246</v>
      </c>
      <c r="K17" s="9" t="s">
        <v>18246</v>
      </c>
    </row>
    <row r="20" spans="1:11" x14ac:dyDescent="0.3">
      <c r="A20" s="121" t="s">
        <v>1812</v>
      </c>
    </row>
    <row r="21" spans="1:11" x14ac:dyDescent="0.3">
      <c r="A21" t="s">
        <v>18229</v>
      </c>
      <c r="B21">
        <f>COUNTIFS(Kopējie!M2:M340,"Jā",Kopējie!N2:N340,"Nē",Kopējie!O2:O340,"Nē",Kopējie!P2:P340,"Nē",Kopējie!Q2:Q340,"Nē",Kopējie!HK2:HK340,"Jā")</f>
        <v>21</v>
      </c>
    </row>
    <row r="22" spans="1:11" x14ac:dyDescent="0.3">
      <c r="A22" t="s">
        <v>18230</v>
      </c>
      <c r="B22">
        <f>COUNTIFS(Kopējie!M2:M340,"Jā",Kopējie!N2:N340,"Nē",Kopējie!O2:O340,"Nē",Kopējie!P2:P340,"Nē",Kopējie!Q2:Q340,"Nē",Kopējie!HL2:HL340,"Jā")</f>
        <v>4</v>
      </c>
    </row>
    <row r="23" spans="1:11" x14ac:dyDescent="0.3">
      <c r="A23" t="s">
        <v>18232</v>
      </c>
      <c r="B23">
        <f>COUNTIFS(Kopējie!M2:M340,"Jā",Kopējie!N2:N340,"Nē",Kopējie!O2:O340,"Nē",Kopējie!P2:P340,"Nē",Kopējie!Q2:Q340,"Nē",Kopējie!HM2:HM340,"Jā")</f>
        <v>12</v>
      </c>
    </row>
    <row r="24" spans="1:11" x14ac:dyDescent="0.3">
      <c r="A24" t="s">
        <v>18231</v>
      </c>
      <c r="B24">
        <f>COUNTIFS(Kopējie!M2:M340,"Jā",Kopējie!N2:N340,"Nē",Kopējie!O2:O340,"Nē",Kopējie!P2:P340,"Nē",Kopējie!Q2:Q340,"Nē",Kopējie!HN2:HN340,"Jā")</f>
        <v>22</v>
      </c>
    </row>
    <row r="25" spans="1:11" x14ac:dyDescent="0.3">
      <c r="A25" t="s">
        <v>18233</v>
      </c>
      <c r="B25">
        <f>COUNTIFS(Kopējie!M2:M340,"Jā",Kopējie!N2:N340,"Nē",Kopējie!O2:O340,"Nē",Kopējie!P2:P340,"Nē",Kopējie!Q2:Q340,"Nē",Kopējie!HO2:HO340,"Jā")</f>
        <v>1</v>
      </c>
    </row>
    <row r="26" spans="1:11" x14ac:dyDescent="0.3">
      <c r="A26" t="s">
        <v>18234</v>
      </c>
      <c r="B26">
        <f>COUNTIFS(Kopējie!M2:M340,"Jā",Kopējie!N2:N340,"Nē",Kopējie!O2:O340,"Nē",Kopējie!P2:P340,"Nē",Kopējie!Q2:Q340,"Nē",Kopējie!HP2:HP340,"Jā")</f>
        <v>3</v>
      </c>
    </row>
    <row r="27" spans="1:11" x14ac:dyDescent="0.3">
      <c r="A27" t="s">
        <v>18235</v>
      </c>
      <c r="B27">
        <f>COUNTIFS(Kopējie!M2:M340,"Jā",Kopējie!N2:N340,"Nē",Kopējie!O2:O340,"Nē",Kopējie!P2:P340,"Nē",Kopējie!Q2:Q340,"Nē",Kopējie!HQ2:HQ340,"Jā")</f>
        <v>1</v>
      </c>
    </row>
    <row r="28" spans="1:11" x14ac:dyDescent="0.3">
      <c r="A28" t="s">
        <v>18236</v>
      </c>
      <c r="B28">
        <f>COUNTIFS(Kopējie!M2:M340,"Jā",Kopējie!N2:N340,"Nē",Kopējie!O2:O340,"Nē",Kopējie!P2:P340,"Nē",Kopējie!Q2:Q340,"Nē",Kopējie!HR2:HR340,"Jā")</f>
        <v>8</v>
      </c>
    </row>
    <row r="29" spans="1:11" x14ac:dyDescent="0.3">
      <c r="A29" t="s">
        <v>18237</v>
      </c>
      <c r="B29">
        <f>COUNTIFS(Kopējie!M2:M340,"Jā",Kopējie!N2:N340,"Nē",Kopējie!O2:O340,"Nē",Kopējie!P2:P340,"Nē",Kopējie!Q2:Q340,"Nē",Kopējie!HS2:HS340,"Jā")</f>
        <v>6</v>
      </c>
    </row>
    <row r="30" spans="1:11" x14ac:dyDescent="0.3">
      <c r="A30" t="s">
        <v>18238</v>
      </c>
      <c r="B30">
        <f>COUNTIFS(Kopējie!M2:M340,"Jā",Kopējie!N2:N340,"Nē",Kopējie!O2:O340,"Nē",Kopējie!P2:P340,"Nē",Kopējie!Q2:Q340,"Nē",Kopējie!HT2:HT340,"Jā")</f>
        <v>9</v>
      </c>
    </row>
    <row r="31" spans="1:11" x14ac:dyDescent="0.3">
      <c r="A31" t="s">
        <v>18239</v>
      </c>
      <c r="B31">
        <f>COUNTIFS(Kopējie!M2:M340,"Jā",Kopējie!N2:N340,"Nē",Kopējie!O2:O340,"Nē",Kopējie!P2:P340,"Nē",Kopējie!Q2:Q340,"Nē",Kopējie!HU2:HU340,"Jā")</f>
        <v>26</v>
      </c>
    </row>
    <row r="32" spans="1:11" x14ac:dyDescent="0.3">
      <c r="A32" t="s">
        <v>18240</v>
      </c>
      <c r="B32">
        <f>COUNTIFS(Kopējie!M2:M340,"Jā",Kopējie!N2:N340,"Nē",Kopējie!O2:O340,"Nē",Kopējie!P2:P340,"Nē",Kopējie!Q2:Q340,"Nē",Kopējie!HV2:HV340,"Jā")</f>
        <v>6</v>
      </c>
    </row>
    <row r="33" spans="1:2" x14ac:dyDescent="0.3">
      <c r="A33" t="s">
        <v>18241</v>
      </c>
      <c r="B33">
        <f>COUNTIFS(Kopējie!M2:M340,"Jā",Kopējie!N2:N340,"Nē",Kopējie!O2:O340,"Nē",Kopējie!P2:P340,"Nē",Kopējie!Q2:Q340,"Nē",Kopējie!HW2:HW340,"Jā")</f>
        <v>28</v>
      </c>
    </row>
    <row r="34" spans="1:2" x14ac:dyDescent="0.3">
      <c r="A34" t="s">
        <v>18242</v>
      </c>
      <c r="B34">
        <f>COUNTIFS(Kopējie!M2:M340,"Jā",Kopējie!N2:N340,"Nē",Kopējie!O2:O340,"Nē",Kopējie!P2:P340,"Nē",Kopējie!Q2:Q340,"Nē",Kopējie!HX2:HX340,"Jā")</f>
        <v>22</v>
      </c>
    </row>
    <row r="35" spans="1:2" x14ac:dyDescent="0.3">
      <c r="A35" t="s">
        <v>18243</v>
      </c>
      <c r="B35">
        <f>COUNTIFS(Kopējie!M2:M340,"Jā",Kopējie!N2:N340,"Nē",Kopējie!O2:O340,"Nē",Kopējie!P2:P340,"Nē",Kopējie!Q2:Q340,"Nē",Kopējie!HY2:HY340,"Jā")</f>
        <v>0</v>
      </c>
    </row>
    <row r="36" spans="1:2" x14ac:dyDescent="0.3">
      <c r="A36" t="s">
        <v>18095</v>
      </c>
      <c r="B36">
        <f>COUNTIFS(Kopējie!M2:M340,"Jā",Kopējie!N2:N340,"Nē",Kopējie!O2:O340,"Nē",Kopējie!P2:P340,"Nē",Kopējie!Q2:Q340,"Nē",Kopējie!HZ2:HZ340,"Jā")</f>
        <v>8</v>
      </c>
    </row>
    <row r="37" spans="1:2" x14ac:dyDescent="0.3">
      <c r="A37" t="s">
        <v>742</v>
      </c>
    </row>
    <row r="38" spans="1:2" x14ac:dyDescent="0.3">
      <c r="A38" t="s">
        <v>18244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EAE0-32D9-422B-A003-2766189D9808}">
  <dimension ref="A2:J18"/>
  <sheetViews>
    <sheetView workbookViewId="0">
      <selection activeCell="J4" sqref="J4"/>
    </sheetView>
  </sheetViews>
  <sheetFormatPr defaultRowHeight="14.4" x14ac:dyDescent="0.3"/>
  <sheetData>
    <row r="2" spans="1:10" x14ac:dyDescent="0.3">
      <c r="A2" s="121" t="s">
        <v>1814</v>
      </c>
      <c r="J2" s="121" t="s">
        <v>1812</v>
      </c>
    </row>
    <row r="3" spans="1:10" x14ac:dyDescent="0.3">
      <c r="A3" t="s">
        <v>18209</v>
      </c>
      <c r="J3" t="s">
        <v>18209</v>
      </c>
    </row>
    <row r="4" spans="1:10" x14ac:dyDescent="0.3">
      <c r="A4">
        <f>COUNTIFS(Kopējie!M2:M340,"Nē",Kopējie!N2:N340,"Jā",Kopējie!O2:O340,"Nē",Kopējie!P2:P340,"Nē",Kopējie!Q2:Q340,"Nē",Kopējie!CW2:CW340,"Ļoti saspīlētas",Kopējie!DI2:DI340,"Bieži")</f>
        <v>6</v>
      </c>
      <c r="J4">
        <f>COUNTIFS(Kopējie!M2:M340,"Jā",Kopējie!N2:N340,"Nē",Kopējie!O2:O340,"Nē",Kopējie!P2:P340,"Nē",Kopējie!Q2:Q340,"Nē",Kopējie!CW2:CW340,"Ļoti saspīlētas",Kopējie!DD2:DD340,"Bieži")</f>
        <v>8</v>
      </c>
    </row>
    <row r="5" spans="1:10" x14ac:dyDescent="0.3">
      <c r="A5" t="s">
        <v>18210</v>
      </c>
      <c r="J5" t="s">
        <v>18210</v>
      </c>
    </row>
    <row r="6" spans="1:10" x14ac:dyDescent="0.3">
      <c r="A6">
        <f>COUNTIFS(Kopējie!M2:M340,"Nē",Kopējie!N2:N340,"Jā",Kopējie!O2:O340,"Nē",Kopējie!P2:P340,"Nē",Kopējie!Q2:Q340,"Nē",Kopējie!CW2:CW340,"Drīzāk saspīlētas",Kopējie!DI2:DI340,"Bieži")</f>
        <v>10</v>
      </c>
      <c r="J6">
        <f>COUNTIFS(Kopējie!M2:M340,"Jā",Kopējie!N2:N340,"Nē",Kopējie!O2:O340,"Nē",Kopējie!P2:P340,"Nē",Kopējie!Q2:Q340,"Nē",Kopējie!CW2:CW340,"Drīzāk saspīlētas",Kopējie!DD2:DD340,"Bieži")</f>
        <v>4</v>
      </c>
    </row>
    <row r="7" spans="1:10" x14ac:dyDescent="0.3">
      <c r="A7" t="s">
        <v>18212</v>
      </c>
      <c r="J7" t="s">
        <v>18212</v>
      </c>
    </row>
    <row r="8" spans="1:10" x14ac:dyDescent="0.3">
      <c r="A8">
        <f>COUNTIFS(Kopējie!M2:M340,"Nē",Kopējie!N2:N340,"Jā",Kopējie!O2:O340,"Nē",Kopējie!P2:P340,"Nē",Kopējie!Q2:Q340,"Nē",Kopējie!CW2:CW340,"Ļoti saspīlētas",Kopējie!DI2:DI340,"Reti")</f>
        <v>5</v>
      </c>
      <c r="J8">
        <f>COUNTIFS(Kopējie!M2:M340,"Jā",Kopējie!N2:N340,"Nē",Kopējie!O2:O340,"Nē",Kopējie!P2:P340,"Nē",Kopējie!Q2:Q340,"Nē",Kopējie!CW2:CW340,"Ļoti saspīlētas",Kopējie!DD2:DD340,"Reti")</f>
        <v>1</v>
      </c>
    </row>
    <row r="9" spans="1:10" x14ac:dyDescent="0.3">
      <c r="A9" t="s">
        <v>18211</v>
      </c>
      <c r="J9" t="s">
        <v>18211</v>
      </c>
    </row>
    <row r="10" spans="1:10" x14ac:dyDescent="0.3">
      <c r="A10">
        <f>COUNTIFS(Kopējie!M2:M340,"Nē",Kopējie!N2:N340,"Jā",Kopējie!O2:O340,"Nē",Kopējie!P2:P340,"Nē",Kopējie!Q2:Q340,"Nē",Kopējie!CW2:CW340,"Drīzāk saspīlētas",Kopējie!DI2:DI340,"Reti")</f>
        <v>10</v>
      </c>
      <c r="J10">
        <f>COUNTIFS(Kopējie!M2:M340,"Jā",Kopējie!N2:N340,"Nē",Kopējie!O2:O340,"Nē",Kopējie!P2:P340,"Nē",Kopējie!Q2:Q340,"Nē",Kopējie!CW2:CW340,"Drīzāk saspīlētas",Kopējie!DD2:DD340,"Reti")</f>
        <v>6</v>
      </c>
    </row>
    <row r="11" spans="1:10" x14ac:dyDescent="0.3">
      <c r="A11" t="s">
        <v>18214</v>
      </c>
      <c r="J11" t="s">
        <v>18214</v>
      </c>
    </row>
    <row r="12" spans="1:10" x14ac:dyDescent="0.3">
      <c r="A12">
        <f>COUNTIFS(Kopējie!M2:M340,"Nē",Kopējie!N2:N340,"Jā",Kopējie!O2:O340,"Nē",Kopējie!P2:P340,"Nē",Kopējie!Q2:Q340,"Nē",Kopējie!CW2:CW340,"Ļoti saspīlētas",Kopējie!DI2:DI340,"(Gandrīz) nekad")</f>
        <v>6</v>
      </c>
      <c r="J12">
        <f>COUNTIFS(Kopējie!M2:M340,"Jā",Kopējie!N2:N340,"Nē",Kopējie!O2:O340,"Nē",Kopējie!P2:P340,"Nē",Kopējie!Q2:Q340,"Nē",Kopējie!CW2:CW340,"Ļoti saspīlētas",Kopējie!DD2:DD340,"(Gandrīz) nekad")</f>
        <v>6</v>
      </c>
    </row>
    <row r="13" spans="1:10" x14ac:dyDescent="0.3">
      <c r="A13" t="s">
        <v>18213</v>
      </c>
      <c r="J13" t="s">
        <v>18213</v>
      </c>
    </row>
    <row r="14" spans="1:10" x14ac:dyDescent="0.3">
      <c r="A14">
        <f>COUNTIFS(Kopējie!M2:M340,"Nē",Kopējie!N2:N340,"Jā",Kopējie!O2:O340,"Nē",Kopējie!P2:P340,"Nē",Kopējie!Q2:Q340,"Nē",Kopējie!CW2:CW340,"Drīzāk saspīlētas",Kopējie!DI2:DI340,"(Gandrīz) nekad")</f>
        <v>9</v>
      </c>
      <c r="J14">
        <f>COUNTIFS(Kopējie!M2:M340,"Jā",Kopējie!N2:N340,"Nē",Kopējie!O2:O340,"Nē",Kopējie!P2:P340,"Nē",Kopējie!Q2:Q340,"Nē",Kopējie!CW2:CW340,"Drīzāk saspīlētas",Kopējie!DD2:DD340,"(Gandrīz) nekad")</f>
        <v>19</v>
      </c>
    </row>
    <row r="15" spans="1:10" x14ac:dyDescent="0.3">
      <c r="A15" t="s">
        <v>18215</v>
      </c>
      <c r="J15" t="s">
        <v>18215</v>
      </c>
    </row>
    <row r="16" spans="1:10" x14ac:dyDescent="0.3">
      <c r="A16">
        <f>COUNTIFS(Kopējie!M2:M340,"Nē",Kopējie!N2:N340,"Jā",Kopējie!O2:O340,"Nē",Kopējie!P2:P340,"Nē",Kopējie!Q2:Q340,"Nē",Kopējie!CW2:CW340,"Ļoti saspīlētas",Kopējie!DI2:DI340,"Dažreiz")</f>
        <v>7</v>
      </c>
      <c r="J16">
        <f>COUNTIFS(Kopējie!M2:M340,"Jā",Kopējie!N2:N340,"Nē",Kopējie!O2:O340,"Nē",Kopējie!P2:P340,"Nē",Kopējie!Q2:Q340,"Nē",Kopējie!CW2:CW340,"Ļoti saspīlētas",Kopējie!DD2:DD340,"Dažreiz")</f>
        <v>5</v>
      </c>
    </row>
    <row r="17" spans="1:10" x14ac:dyDescent="0.3">
      <c r="A17" t="s">
        <v>18216</v>
      </c>
      <c r="J17" t="s">
        <v>18216</v>
      </c>
    </row>
    <row r="18" spans="1:10" x14ac:dyDescent="0.3">
      <c r="A18">
        <f>COUNTIFS(Kopējie!M2:M340,"Nē",Kopējie!N2:N340,"Jā",Kopējie!O2:O340,"Nē",Kopējie!P2:P340,"Nē",Kopējie!Q2:Q340,"Nē",Kopējie!CW2:CW340,"Drīzāk saspīlētas",Kopējie!DI2:DI340,"Dažreiz")</f>
        <v>10</v>
      </c>
      <c r="J18">
        <f>COUNTIFS(Kopējie!M2:M340,"Jā",Kopējie!N2:N340,"Nē",Kopējie!O2:O340,"Nē",Kopējie!P2:P340,"Nē",Kopējie!Q2:Q340,"Nē",Kopējie!CW2:CW340,"Drīzāk saspīlētas",Kopējie!DD2:DD340,"Dažreiz")</f>
        <v>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6D23A-85A4-48E8-84DC-3F1C2DDCA83B}">
  <dimension ref="B2:AC41"/>
  <sheetViews>
    <sheetView workbookViewId="0">
      <selection activeCell="V23" sqref="V23:V27"/>
    </sheetView>
  </sheetViews>
  <sheetFormatPr defaultRowHeight="14.4" x14ac:dyDescent="0.3"/>
  <cols>
    <col min="9" max="9" width="3.6640625" customWidth="1"/>
    <col min="10" max="10" width="3.44140625" customWidth="1"/>
    <col min="11" max="11" width="3.109375" customWidth="1"/>
    <col min="12" max="12" width="3" customWidth="1"/>
    <col min="13" max="13" width="4.5546875" customWidth="1"/>
    <col min="17" max="17" width="3.6640625" customWidth="1"/>
    <col min="18" max="18" width="3.44140625" customWidth="1"/>
    <col min="19" max="19" width="3.6640625" customWidth="1"/>
    <col min="20" max="20" width="3.109375" customWidth="1"/>
    <col min="21" max="21" width="8.6640625" customWidth="1"/>
  </cols>
  <sheetData>
    <row r="2" spans="2:29" x14ac:dyDescent="0.3">
      <c r="B2" s="120" t="s">
        <v>1812</v>
      </c>
      <c r="J2" s="120" t="s">
        <v>1814</v>
      </c>
      <c r="Q2" s="120" t="s">
        <v>17990</v>
      </c>
      <c r="X2" s="120" t="s">
        <v>17992</v>
      </c>
    </row>
    <row r="3" spans="2:29" x14ac:dyDescent="0.3">
      <c r="C3" s="121" t="s">
        <v>17981</v>
      </c>
      <c r="D3" s="121" t="s">
        <v>17982</v>
      </c>
      <c r="E3" s="121" t="s">
        <v>17984</v>
      </c>
      <c r="F3" s="121" t="s">
        <v>17983</v>
      </c>
      <c r="G3" s="121" t="s">
        <v>17987</v>
      </c>
      <c r="K3" s="121" t="s">
        <v>17981</v>
      </c>
      <c r="L3" s="121" t="s">
        <v>17982</v>
      </c>
      <c r="M3" s="121" t="s">
        <v>17984</v>
      </c>
      <c r="N3" s="121" t="s">
        <v>17983</v>
      </c>
      <c r="O3" s="121" t="s">
        <v>17988</v>
      </c>
      <c r="R3" s="121" t="s">
        <v>17981</v>
      </c>
      <c r="S3" s="121" t="s">
        <v>17982</v>
      </c>
      <c r="T3" s="121" t="s">
        <v>17984</v>
      </c>
      <c r="U3" s="121" t="s">
        <v>17983</v>
      </c>
      <c r="V3" s="121" t="s">
        <v>17988</v>
      </c>
      <c r="Y3" s="121" t="s">
        <v>17981</v>
      </c>
      <c r="Z3" s="121" t="s">
        <v>17982</v>
      </c>
      <c r="AA3" s="121" t="s">
        <v>17984</v>
      </c>
      <c r="AB3" s="121" t="s">
        <v>17983</v>
      </c>
      <c r="AC3" s="121" t="s">
        <v>17988</v>
      </c>
    </row>
    <row r="4" spans="2:29" x14ac:dyDescent="0.3">
      <c r="B4" s="121" t="s">
        <v>17976</v>
      </c>
      <c r="C4">
        <v>37</v>
      </c>
      <c r="D4">
        <v>46</v>
      </c>
      <c r="E4">
        <f>COUNTIFS(Kopējie!M2:M340,"Jā",Kopējie!N2:N340,"Nē",Kopējie!O2:O340,"Nē",Kopējie!P2:P340,"Nē",Kopējie!Q2:Q340,"Nē",Kopējie!BE2:BE340,"Lielākoties nevienlīdzīgi")</f>
        <v>26</v>
      </c>
      <c r="F4">
        <f>COUNTIFS(Kopējie!M2:M340,"Jā",Kopējie!N2:N340,"Nē",Kopējie!O2:O340,"Nē",Kopējie!P2:P340,"Nē",Kopējie!Q2:Q340,"Nē",Kopējie!BE2:BE340,"Nevienlīdzīgi")</f>
        <v>14</v>
      </c>
      <c r="G4">
        <f>COUNTIFS(Kopējie!M2:M340,"Jā",Kopējie!N2:N340,"Nē",Kopējie!O2:O340,"Nē",Kopējie!P2:P340,"Nē",Kopējie!Q2:Q340,"Nē",Kopējie!BE2:BE340,"Nezinu")</f>
        <v>1</v>
      </c>
      <c r="J4" s="121" t="s">
        <v>17976</v>
      </c>
      <c r="K4">
        <f>COUNTIFS(Kopējie!M2:M340,"Nē",Kopējie!N2:N340,"Jā",Kopējie!O2:O340,"Nē",Kopējie!P2:P340,"Nē",Kopējie!Q2:Q340,"Nē",Kopējie!BE2:BE340,"Vienlīdzīgi")</f>
        <v>41</v>
      </c>
      <c r="L4">
        <f>COUNTIFS(Kopējie!M2:M340,"Nē",Kopējie!N2:N340,"Jā",Kopējie!O2:O340,"Nē",Kopējie!P2:P340,"Nē",Kopējie!Q2:Q340,"Nē",Kopējie!BE2:BE340,"Lielākoties vienlīdzīgi")</f>
        <v>42</v>
      </c>
      <c r="M4">
        <f>COUNTIFS(Kopējie!M2:M340,"Nē",Kopējie!N2:N340,"Jā",Kopējie!O2:O340,"Nē",Kopējie!P2:P340,"Nē",Kopējie!Q2:Q340,"Nē",Kopējie!BE2:BE340,"Lielākoties nevienlīdzīgi")</f>
        <v>23</v>
      </c>
      <c r="N4">
        <f>COUNTIFS(Kopējie!M2:M340,"Nē",Kopējie!N2:N340,"Jā",Kopējie!O2:O340,"Nē",Kopējie!P2:P340,"Nē",Kopējie!Q2:Q340,"Nē",Kopējie!BE2:BE340,"Nevienlīdzīgi")</f>
        <v>5</v>
      </c>
      <c r="O4">
        <f>COUNTIFS(Kopējie!M2:M340,"Nē",Kopējie!N2:N340,"Jā",Kopējie!O2:O340,"Nē",Kopējie!P2:P340,"Nē",Kopējie!Q2:Q340,"Nē",Kopējie!BE2:BE340,"Nezinu")</f>
        <v>0</v>
      </c>
      <c r="Q4" s="121" t="s">
        <v>17976</v>
      </c>
      <c r="R4">
        <f>COUNTIFS(Kopējie!M2:M340,"Jā",Kopējie!K2:K340,"vīriešu",Kopējie!N2:N340,"Nē",Kopējie!O2:O340,"Nē",Kopējie!P2:P340,"Nē",Kopējie!Q2:Q340,"Nē",Kopējie!BE2:BE340,"Vienlīdzīgi")</f>
        <v>26</v>
      </c>
      <c r="S4">
        <f>COUNTIFS(Kopējie!M2:M340,"Jā",Kopējie!K2:K340,"vīriešu",Kopējie!N2:N340,"Nē",Kopējie!O2:O340,"Nē",Kopējie!P2:P340,"Nē",Kopējie!Q2:Q340,"Nē",Kopējie!BE2:BE340,"Lielākoties vienlīdzīgi")</f>
        <v>33</v>
      </c>
      <c r="T4">
        <v>14</v>
      </c>
      <c r="U4">
        <f>COUNTIFS(Kopējie!M2:M340,"Jā",Kopējie!K2:K340,"vīriešu",Kopējie!N2:N340,"Nē",Kopējie!O2:O340,"Nē",Kopējie!P2:P340,"Nē",Kopējie!Q2:Q340,"Nē",Kopējie!BE2:BE340,"Nevienlīdzīgi")</f>
        <v>8</v>
      </c>
      <c r="V4">
        <f>COUNTIFS(Kopējie!M2:M340,"Jā",Kopējie!K2:K340,"vīriešu",Kopējie!N2:N340,"Nē",Kopējie!O2:O340,"Nē",Kopējie!P2:P340,"Nē",Kopējie!Q2:Q340,"Nē",Kopējie!BE2:BE340,"Nezinu")</f>
        <v>1</v>
      </c>
      <c r="X4" s="121" t="s">
        <v>17976</v>
      </c>
      <c r="Y4">
        <f>COUNTIFS(Kopējie!M2:M340,"Jā",Kopējie!K2:K340,"sieviešu",Kopējie!N2:N340,"Nē",Kopējie!O2:O340,"Nē",Kopējie!P2:P340,"Nē",Kopējie!Q2:Q340,"Nē",Kopējie!BE2:BE340,"Vienlīdzīgi")</f>
        <v>11</v>
      </c>
      <c r="Z4">
        <v>12</v>
      </c>
      <c r="AA4">
        <f>COUNTIFS(Kopējie!M2:M340,"Jā",Kopējie!K2:K340,"sieviešu",Kopējie!N2:N340,"Nē",Kopējie!O2:O340,"Nē",Kopējie!P2:P340,"Nē",Kopējie!Q2:Q340,"Nē",Kopējie!BE2:BE340,"Lielākoties nevienlīdzīgi")</f>
        <v>12</v>
      </c>
      <c r="AB4">
        <f>COUNTIFS(Kopējie!M2:M340,"Jā",Kopējie!K2:K340,"sieviešu",Kopējie!N2:N340,"Nē",Kopējie!O2:O340,"Nē",Kopējie!P2:P340,"Nē",Kopējie!Q2:Q340,"Nē",Kopējie!BE2:BE340,"Nevienlīdzīgi")</f>
        <v>6</v>
      </c>
      <c r="AC4">
        <f>COUNTIFS(Kopējie!M2:M340,"Jā",Kopējie!K2:K340,"sieviešu",Kopējie!N2:N340,"Nē",Kopējie!O2:O340,"Nē",Kopējie!P2:P340,"Nē",Kopējie!Q2:Q340,"Nē",Kopējie!BE2:BE340,"Nezinu")</f>
        <v>0</v>
      </c>
    </row>
    <row r="5" spans="2:29" x14ac:dyDescent="0.3">
      <c r="B5" s="121" t="s">
        <v>17977</v>
      </c>
      <c r="C5">
        <f>COUNTIFS(Kopējie!M2:M340,"Jā",Kopējie!N2:N340,"Nē",Kopējie!O2:O340,"Nē",Kopējie!P2:P340,"Nē",Kopējie!Q2:Q340,"Nē",Kopējie!BF2:BF340,"Vienlīdzīgi")</f>
        <v>18</v>
      </c>
      <c r="D5">
        <f>COUNTIFS(Kopējie!M2:M340,"Jā",Kopējie!N2:N340,"Nē",Kopējie!O2:O340,"Nē",Kopējie!P2:P340,"Nē",Kopējie!Q2:Q340,"Nē",Kopējie!BF2:BF340,"Lielākoties vienlīdzīgi")</f>
        <v>44</v>
      </c>
      <c r="E5">
        <v>43</v>
      </c>
      <c r="F5">
        <f>COUNTIFS(Kopējie!M2:M340,"Jā",Kopējie!N2:N340,"Nē",Kopējie!O2:O340,"Nē",Kopējie!P2:P340,"Nē",Kopējie!Q2:Q340,"Nē",Kopējie!BF2:BF340,"Nevienlīdzīgi")</f>
        <v>19</v>
      </c>
      <c r="G5">
        <f>COUNTIFS(Kopējie!M2:M340,"Jā",Kopējie!N2:N340,"Nē",Kopējie!O2:O340,"Nē",Kopējie!P2:P340,"Nē",Kopējie!Q2:Q340,"Nē",Kopējie!BF2:BF340,"Nezinu")</f>
        <v>0</v>
      </c>
      <c r="J5" s="121" t="s">
        <v>17977</v>
      </c>
      <c r="K5">
        <f>COUNTIFS(Kopējie!M2:M340,"Nē",Kopējie!N2:N340,"Jā",Kopējie!O2:O340,"Nē",Kopējie!P2:P340,"Nē",Kopējie!Q2:Q340,"Nē",Kopējie!BF2:BF340,"Vienlīdzīgi")</f>
        <v>21</v>
      </c>
      <c r="L5">
        <f>COUNTIFS(Kopējie!M2:M340,"Nē",Kopējie!N2:N340,"Jā",Kopējie!O2:O340,"Nē",Kopējie!P2:P340,"Nē",Kopējie!Q2:Q340,"Nē",Kopējie!BF2:BF340,"Lielākoties vienlīdzīgi")</f>
        <v>44</v>
      </c>
      <c r="M5">
        <f>COUNTIFS(Kopējie!M2:M340,"Nē",Kopējie!N2:N340,"Jā",Kopējie!O2:O340,"Nē",Kopējie!P2:P340,"Nē",Kopējie!Q2:Q340,"Nē",Kopējie!BF2:BF340,"Lielākoties nevienlīdzīgi")</f>
        <v>35</v>
      </c>
      <c r="N5">
        <f>COUNTIFS(Kopējie!M2:M340,"Nē",Kopējie!N2:N340,"Jā",Kopējie!O2:O340,"Nē",Kopējie!P2:P340,"Nē",Kopējie!Q2:Q340,"Nē",Kopējie!BF2:BF340,"Nevienlīdzīgi")</f>
        <v>11</v>
      </c>
      <c r="O5">
        <f>COUNTIFS(Kopējie!M2:M340,"Nē",Kopējie!N2:N340,"Jā",Kopējie!O2:O340,"Nē",Kopējie!P2:P340,"Nē",Kopējie!Q2:Q340,"Nē",Kopējie!BF2:BF340,"Nezinu")</f>
        <v>0</v>
      </c>
      <c r="Q5" s="121" t="s">
        <v>17977</v>
      </c>
      <c r="R5">
        <v>15</v>
      </c>
      <c r="S5">
        <f>COUNTIFS(Kopējie!M2:M340,"Jā",Kopējie!K2:K340,"vīriešu",Kopējie!N2:N340,"Nē",Kopējie!O2:O340,"Nē",Kopējie!P2:P340,"Nē",Kopējie!Q2:Q340,"Nē",Kopējie!BF2:BF340,"Lielākoties vienlīdzīgi")</f>
        <v>31</v>
      </c>
      <c r="T5">
        <f>COUNTIFS(Kopējie!M2:M340,"Jā",Kopējie!K2:K340,"vīriešu",Kopējie!N2:N340,"Nē",Kopējie!O2:O340,"Nē",Kopējie!P2:P340,"Nē",Kopējie!Q2:Q340,"Nē",Kopējie!BF2:BF340,"Lielākoties nevienlīdzīgi")</f>
        <v>27</v>
      </c>
      <c r="U5">
        <f>COUNTIFS(Kopējie!M2:M340,"Jā",Kopējie!K2:K340,"vīriešu",Kopējie!N2:N340,"Nē",Kopējie!O2:O340,"Nē",Kopējie!P2:P340,"Nē",Kopējie!Q2:Q340,"Nē",Kopējie!BF2:BF340,"Nevienlīdzīgi")</f>
        <v>9</v>
      </c>
      <c r="V5">
        <f>COUNTIFS(Kopējie!M2:M340,"Jā",Kopējie!K2:K340,"vīriešu",Kopējie!N2:N340,"Nē",Kopējie!O2:O340,"Nē",Kopējie!P2:P340,"Nē",Kopējie!Q2:Q340,"Nē",Kopējie!BF2:BF340,"Nezinu")</f>
        <v>0</v>
      </c>
      <c r="X5" s="121" t="s">
        <v>17977</v>
      </c>
      <c r="Y5">
        <f>COUNTIFS(Kopējie!M2:M340,"Jā",Kopējie!K2:K340,"sieviešu",Kopējie!N2:N340,"Nē",Kopējie!O2:O340,"Nē",Kopējie!P2:P340,"Nē",Kopējie!Q2:Q340,"Nē",Kopējie!BF2:BF340,"Vienlīdzīgi")</f>
        <v>3</v>
      </c>
      <c r="Z5">
        <f>COUNTIFS(Kopējie!M2:M340,"Jā",Kopējie!K2:K340,"sieviešu",Kopējie!N2:N340,"Nē",Kopējie!O2:O340,"Nē",Kopējie!P2:P340,"Nē",Kopējie!Q2:Q340,"Nē",Kopējie!BF2:BF340,"Lielākoties vienlīdzīgi")</f>
        <v>13</v>
      </c>
      <c r="AA5">
        <v>15</v>
      </c>
      <c r="AB5">
        <f>COUNTIFS(Kopējie!M2:M340,"Jā",Kopējie!K2:K340,"sieviešu",Kopējie!N2:N340,"Nē",Kopējie!O2:O340,"Nē",Kopējie!P2:P340,"Nē",Kopējie!Q2:Q340,"Nē",Kopējie!BF2:BF340,"Nevienlīdzīgi")</f>
        <v>10</v>
      </c>
      <c r="AC5">
        <f>COUNTIFS(Kopējie!M2:M340,"Jā",Kopējie!K2:K340,"sieviešu",Kopējie!N2:N340,"Nē",Kopējie!O2:O340,"Nē",Kopējie!P2:P340,"Nē",Kopējie!Q2:Q340,"Nē",Kopējie!BF2:BF340,"Nezinu")</f>
        <v>0</v>
      </c>
    </row>
    <row r="6" spans="2:29" x14ac:dyDescent="0.3">
      <c r="B6" s="121" t="s">
        <v>17978</v>
      </c>
      <c r="C6">
        <v>47</v>
      </c>
      <c r="D6">
        <v>52</v>
      </c>
      <c r="E6">
        <f>COUNTIFS(Kopējie!M2:M340,"Jā",Kopējie!N2:N340,"Nē",Kopējie!O2:O340,"Nē",Kopējie!P2:P340,"Nē",Kopējie!Q2:Q340,"Nē",Kopējie!BG2:BG340,"Lielākoties nevienlīdzīgi")</f>
        <v>20</v>
      </c>
      <c r="F6">
        <v>5</v>
      </c>
      <c r="G6">
        <f>COUNTIFS(Kopējie!M2:M340,"Jā",Kopējie!N2:N340,"Nē",Kopējie!O2:O340,"Nē",Kopējie!P2:P340,"Nē",Kopējie!Q2:Q340,"Nē",Kopējie!BG2:BG340,"Nezinu")</f>
        <v>0</v>
      </c>
      <c r="J6" s="121" t="s">
        <v>17978</v>
      </c>
      <c r="K6">
        <f>COUNTIFS(Kopējie!M2:M340,"Nē",Kopējie!N2:N340,"Jā",Kopējie!O2:O340,"Nē",Kopējie!P2:P340,"Nē",Kopējie!Q2:Q340,"Nē",Kopējie!BG2:BG340,"Vienlīdzīgi")</f>
        <v>76</v>
      </c>
      <c r="L6">
        <f>COUNTIFS(Kopējie!M2:M340,"Nē",Kopējie!N2:N340,"Jā",Kopējie!O2:O340,"Nē",Kopējie!P2:P340,"Nē",Kopējie!Q2:Q340,"Nē",Kopējie!BG2:BG340,"Lielākoties vienlīdzīgi")</f>
        <v>25</v>
      </c>
      <c r="M6">
        <f>COUNTIFS(Kopējie!M2:M340,"Nē",Kopējie!N2:N340,"Jā",Kopējie!O2:O340,"Nē",Kopējie!P2:P340,"Nē",Kopējie!Q2:Q340,"Nē",Kopējie!BG2:BG340,"Lielākoties nevienlīdzīgi")</f>
        <v>7</v>
      </c>
      <c r="N6">
        <f>COUNTIFS(Kopējie!M2:M340,"Nē",Kopējie!N2:N340,"Jā",Kopējie!O2:O340,"Nē",Kopējie!P2:P340,"Nē",Kopējie!Q2:Q340,"Nē",Kopējie!BG2:BG340,"Nevienlīdzīgi")</f>
        <v>3</v>
      </c>
      <c r="O6">
        <f>COUNTIFS(Kopējie!M2:M340,"Nē",Kopējie!N2:N340,"Jā",Kopējie!O2:O340,"Nē",Kopējie!P2:P340,"Nē",Kopējie!Q2:Q340,"Nē",Kopējie!BG2:BG340,"Nezinu")</f>
        <v>0</v>
      </c>
      <c r="Q6" s="121" t="s">
        <v>17978</v>
      </c>
      <c r="R6">
        <v>35</v>
      </c>
      <c r="S6">
        <f>COUNTIFS(Kopējie!M2:M340,"Jā",Kopējie!K2:K340,"vīriešu",Kopējie!N2:N340,"Nē",Kopējie!O2:O340,"Nē",Kopējie!P2:P340,"Nē",Kopējie!Q2:Q340,"Nē",Kopējie!BG2:BG340,"Lielākoties vienlīdzīgi")</f>
        <v>32</v>
      </c>
      <c r="T6">
        <f>COUNTIFS(Kopējie!M2:M340,"Jā",Kopējie!K2:K340,"vīriešu",Kopējie!N2:N340,"Nē",Kopējie!O2:O340,"Nē",Kopējie!P2:P340,"Nē",Kopējie!Q2:Q340,"Nē",Kopējie!BG2:BG340,"Lielākoties nevienlīdzīgi")</f>
        <v>13</v>
      </c>
      <c r="U6">
        <f>COUNTIFS(Kopējie!M2:M340,"Jā",Kopējie!K2:K340,"vīriešu",Kopējie!N2:N340,"Nē",Kopējie!O2:O340,"Nē",Kopējie!P2:P340,"Nē",Kopējie!Q2:Q340,"Nē",Kopējie!BG2:BG340,"Nevienlīdzīgi")</f>
        <v>2</v>
      </c>
      <c r="V6">
        <f>COUNTIFS(Kopējie!M2:M340,"Jā",Kopējie!K2:K340,"vīriešu",Kopējie!N2:N340,"Nē",Kopējie!O2:O340,"Nē",Kopējie!P2:P340,"Nē",Kopējie!Q2:Q340,"Nē",Kopējie!BG2:BG340,"Nezinu")</f>
        <v>0</v>
      </c>
      <c r="X6" s="121" t="s">
        <v>17978</v>
      </c>
      <c r="Y6">
        <v>12</v>
      </c>
      <c r="Z6">
        <f>COUNTIFS(Kopējie!M2:M340,"Jā",Kopējie!K2:K340,"sieviešu",Kopējie!N2:N340,"Nē",Kopējie!O2:O340,"Nē",Kopējie!P2:P340,"Nē",Kopējie!Q2:Q340,"Nē",Kopējie!BG2:BG340,"Lielākoties vienlīdzīgi")</f>
        <v>19</v>
      </c>
      <c r="AA6">
        <f>COUNTIFS(Kopējie!M2:M340,"Jā",Kopējie!K2:K340,"sieviešu",Kopējie!N2:N340,"Nē",Kopējie!O2:O340,"Nē",Kopējie!P2:P340,"Nē",Kopējie!Q2:Q340,"Nē",Kopējie!BG2:BG340,"Lielākoties nevienlīdzīgi")</f>
        <v>7</v>
      </c>
      <c r="AB6">
        <f>COUNTIFS(Kopējie!M2:M340,"Jā",Kopējie!K2:K340,"sieviešu",Kopējie!N2:N340,"Nē",Kopējie!O2:O340,"Nē",Kopējie!P2:P340,"Nē",Kopējie!Q2:Q340,"Nē",Kopējie!BG2:BG340,"Nevienlīdzīgi")</f>
        <v>3</v>
      </c>
      <c r="AC6">
        <f>COUNTIFS(Kopējie!M2:M340,"Jā",Kopējie!K2:K340,"sieviešu",Kopējie!N2:N340,"Nē",Kopējie!O2:O340,"Nē",Kopējie!P2:P340,"Nē",Kopējie!Q2:Q340,"Nē",Kopējie!BG2:BG340,"Nezinu")</f>
        <v>0</v>
      </c>
    </row>
    <row r="7" spans="2:29" x14ac:dyDescent="0.3">
      <c r="B7" s="121" t="s">
        <v>17979</v>
      </c>
      <c r="C7">
        <v>45</v>
      </c>
      <c r="D7">
        <f>COUNTIFS(Kopējie!M2:M340,"Jā",Kopējie!N2:N340,"Nē",Kopējie!O2:O340,"Nē",Kopējie!P2:P340,"Nē",Kopējie!Q2:Q340,"Nē",Kopējie!BH2:BH340,"Lielākoties vienlīdzīgi")</f>
        <v>39</v>
      </c>
      <c r="E7">
        <f>COUNTIFS(Kopējie!M2:M340,"Jā",Kopējie!N2:N340,"Nē",Kopējie!O2:O340,"Nē",Kopējie!P2:P340,"Nē",Kopējie!Q2:Q340,"Nē",Kopējie!BH2:BH340,"Lielākoties nevienlīdzīgi")</f>
        <v>24</v>
      </c>
      <c r="F7">
        <f>COUNTIFS(Kopējie!M2:M340,"Jā",Kopējie!N2:N340,"Nē",Kopējie!O2:O340,"Nē",Kopējie!P2:P340,"Nē",Kopējie!Q2:Q340,"Nē",Kopējie!BH2:BH340,"Nevienlīdzīgi")</f>
        <v>12</v>
      </c>
      <c r="G7">
        <f>COUNTIFS(Kopējie!M2:M340,"Jā",Kopējie!N2:N340,"Nē",Kopējie!O2:O340,"Nē",Kopējie!P2:P340,"Nē",Kopējie!Q2:Q340,"Nē",Kopējie!BH2:BH340,"Nezinu")</f>
        <v>4</v>
      </c>
      <c r="J7" s="121" t="s">
        <v>17979</v>
      </c>
      <c r="K7">
        <f>COUNTIFS(Kopējie!M2:M340,"Nē",Kopējie!N2:N340,"Jā",Kopējie!O2:O340,"Nē",Kopējie!P2:P340,"Nē",Kopējie!Q2:Q340,"Nē",Kopējie!BH2:BH340,"Vienlīdzīgi")</f>
        <v>54</v>
      </c>
      <c r="L7">
        <f>COUNTIFS(Kopējie!M2:M340,"Nē",Kopējie!N2:N340,"Jā",Kopējie!O2:O340,"Nē",Kopējie!P2:P340,"Nē",Kopējie!Q2:Q340,"Nē",Kopējie!BH2:BH340,"Lielākoties vienlīdzīgi")</f>
        <v>33</v>
      </c>
      <c r="M7">
        <f>COUNTIFS(Kopējie!M2:M340,"Nē",Kopējie!N2:N340,"Jā",Kopējie!O2:O340,"Nē",Kopējie!P2:P340,"Nē",Kopējie!Q2:Q340,"Nē",Kopējie!BH2:BH340,"Lielākoties nevienlīdzīgi")</f>
        <v>11</v>
      </c>
      <c r="N7">
        <f>COUNTIFS(Kopējie!M2:M340,"Nē",Kopējie!N2:N340,"Jā",Kopējie!O2:O340,"Nē",Kopējie!P2:P340,"Nē",Kopējie!Q2:Q340,"Nē",Kopējie!BH2:BH340,"Nevienlīdzīgi")</f>
        <v>11</v>
      </c>
      <c r="O7">
        <f>COUNTIFS(Kopējie!M2:M340,"Nē",Kopējie!N2:N340,"Jā",Kopējie!O2:O340,"Nē",Kopējie!P2:P340,"Nē",Kopējie!Q2:Q340,"Nē",Kopējie!BH2:BH340,"Nezinu")</f>
        <v>2</v>
      </c>
      <c r="Q7" s="121" t="s">
        <v>17979</v>
      </c>
      <c r="R7">
        <v>37</v>
      </c>
      <c r="S7">
        <f>COUNTIFS(Kopējie!M2:M340,"Jā",Kopējie!K2:K340,"vīriešu",Kopējie!N2:N340,"Nē",Kopējie!O2:O340,"Nē",Kopējie!P2:P340,"Nē",Kopējie!Q2:Q340,"Nē",Kopējie!BH2:BH340,"Lielākoties vienlīdzīgi")</f>
        <v>25</v>
      </c>
      <c r="T7">
        <f>COUNTIFS(Kopējie!M2:M340,"Jā",Kopējie!K2:K340,"vīriešu",Kopējie!N2:N340,"Nē",Kopējie!O2:O340,"Nē",Kopējie!P2:P340,"Nē",Kopējie!Q2:Q340,"Nē",Kopējie!BH2:BH340,"Lielākoties nevienlīdzīgi")</f>
        <v>11</v>
      </c>
      <c r="U7">
        <f>COUNTIFS(Kopējie!M2:M340,"Jā",Kopējie!K2:K340,"vīriešu",Kopējie!N2:N340,"Nē",Kopējie!O2:O340,"Nē",Kopējie!P2:P340,"Nē",Kopējie!Q2:Q340,"Nē",Kopējie!BH2:BH340,"Nevienlīdzīgi")</f>
        <v>9</v>
      </c>
      <c r="V7">
        <f>COUNTIFS(Kopējie!M2:M340,"Jā",Kopējie!K2:K340,"vīriešu",Kopējie!N2:N340,"Nē",Kopējie!O2:O340,"Nē",Kopējie!P2:P340,"Nē",Kopējie!Q2:Q340,"Nē",Kopējie!BH2:BH340,"Nezinu")</f>
        <v>0</v>
      </c>
      <c r="X7" s="121" t="s">
        <v>17979</v>
      </c>
      <c r="Y7">
        <v>8</v>
      </c>
      <c r="Z7">
        <f>COUNTIFS(Kopējie!M2:M340,"Jā",Kopējie!K2:K340,"sieviešu",Kopējie!N2:N340,"Nē",Kopējie!O2:O340,"Nē",Kopējie!P2:P340,"Nē",Kopējie!Q2:Q340,"Nē",Kopējie!BH2:BH340,"Lielākoties vienlīdzīgi")</f>
        <v>14</v>
      </c>
      <c r="AA7">
        <f>COUNTIFS(Kopējie!M2:M340,"Jā",Kopējie!K2:K340,"sieviešu",Kopējie!N2:N340,"Nē",Kopējie!O2:O340,"Nē",Kopējie!P2:P340,"Nē",Kopējie!Q2:Q340,"Nē",Kopējie!BH2:BH340,"Lielākoties nevienlīdzīgi")</f>
        <v>13</v>
      </c>
      <c r="AB7">
        <f>COUNTIFS(Kopējie!M2:M340,"Jā",Kopējie!K2:K340,"sieviešu",Kopējie!N2:N340,"Nē",Kopējie!O2:O340,"Nē",Kopējie!P2:P340,"Nē",Kopējie!Q2:Q340,"Nē",Kopējie!BH2:BH340,"Nevienlīdzīgi")</f>
        <v>2</v>
      </c>
      <c r="AC7">
        <f>COUNTIFS(Kopējie!M2:M340,"Jā",Kopējie!K2:K340,"sieviešu",Kopējie!N2:N340,"Nē",Kopējie!O2:O340,"Nē",Kopējie!P2:P340,"Nē",Kopējie!Q2:Q340,"Nē",Kopējie!BH2:BH340,"Nezinu")</f>
        <v>4</v>
      </c>
    </row>
    <row r="8" spans="2:29" x14ac:dyDescent="0.3">
      <c r="B8" s="121" t="s">
        <v>17980</v>
      </c>
      <c r="C8">
        <f>COUNTIFS(Kopējie!M2:M340,"Jā",Kopējie!N2:N340,"Nē",Kopējie!O2:O340,"Nē",Kopējie!P2:P340,"Nē",Kopējie!Q2:Q340,"Nē",Kopējie!BI2:BI340,"Vienlīdzīgi")</f>
        <v>25</v>
      </c>
      <c r="D8">
        <f>COUNTIFS(Kopējie!M2:M340,"Jā",Kopējie!N2:N340,"Nē",Kopējie!O2:O340,"Nē",Kopējie!P2:P340,"Nē",Kopējie!Q2:Q340,"Nē",Kopējie!BI2:BI340,"Lielākoties vienlīdzīgi")</f>
        <v>31</v>
      </c>
      <c r="E8">
        <f>COUNTIFS(Kopējie!M2:M340,"Jā",Kopējie!N2:N340,"Nē",Kopējie!O2:O340,"Nē",Kopējie!P2:P340,"Nē",Kopējie!Q2:Q340,"Nē",Kopējie!BI2:BI340,"Lielākoties nevienlīdzīgi")</f>
        <v>38</v>
      </c>
      <c r="F8">
        <v>26</v>
      </c>
      <c r="G8">
        <f>COUNTIFS(Kopējie!M2:M340,"Jā",Kopējie!N2:N340,"Nē",Kopējie!O2:O340,"Nē",Kopējie!P2:P340,"Nē",Kopējie!Q2:Q340,"Nē",Kopējie!BI2:BI340,"Nezinu")</f>
        <v>4</v>
      </c>
      <c r="J8" s="121" t="s">
        <v>17980</v>
      </c>
      <c r="K8">
        <f>COUNTIFS(Kopējie!M2:M340,"Nē",Kopējie!N2:N340,"Jā",Kopējie!O2:O340,"Nē",Kopējie!P2:P340,"Nē",Kopējie!Q2:Q340,"Nē",Kopējie!BI2:BI340,"Vienlīdzīgi")</f>
        <v>34</v>
      </c>
      <c r="L8">
        <f>COUNTIFS(Kopējie!M2:M340,"Nē",Kopējie!N2:N340,"Jā",Kopējie!O2:O340,"Nē",Kopējie!P2:P340,"Nē",Kopējie!Q2:Q340,"Nē",Kopējie!BI2:BI340,"Lielākoties vienlīdzīgi")</f>
        <v>26</v>
      </c>
      <c r="M8">
        <f>COUNTIFS(Kopējie!M2:M340,"Nē",Kopējie!N2:N340,"Jā",Kopējie!O2:O340,"Nē",Kopējie!P2:P340,"Nē",Kopējie!Q2:Q340,"Nē",Kopējie!BI2:BI340,"Lielākoties nevienlīdzīgi")</f>
        <v>32</v>
      </c>
      <c r="N8">
        <f>COUNTIFS(Kopējie!M2:M340,"Nē",Kopējie!N2:N340,"Jā",Kopējie!O2:O340,"Nē",Kopējie!P2:P340,"Nē",Kopējie!Q2:Q340,"Nē",Kopējie!BI2:BI340,"Nevienlīdzīgi")</f>
        <v>16</v>
      </c>
      <c r="O8">
        <f>COUNTIFS(Kopējie!M2:M340,"Nē",Kopējie!N2:N340,"Jā",Kopējie!O2:O340,"Nē",Kopējie!P2:P340,"Nē",Kopējie!Q2:Q340,"Nē",Kopējie!BI2:BI340,"Nezinu")</f>
        <v>3</v>
      </c>
      <c r="Q8" s="121" t="s">
        <v>17980</v>
      </c>
      <c r="R8">
        <v>21</v>
      </c>
      <c r="S8">
        <f>COUNTIFS(Kopējie!M2:M340,"Jā",Kopējie!K2:K340,"vīriešu",Kopējie!N2:N340,"Nē",Kopējie!O2:O340,"Nē",Kopējie!P2:P340,"Nē",Kopējie!Q2:Q340,"Nē",Kopējie!BI2:BI340,"Lielākoties vienlīdzīgi")</f>
        <v>26</v>
      </c>
      <c r="T8">
        <f>COUNTIFS(Kopējie!M2:M340,"Jā",Kopējie!K2:K340,"vīriešu",Kopējie!N2:N340,"Nē",Kopējie!O2:O340,"Nē",Kopējie!P2:P340,"Nē",Kopējie!Q2:Q340,"Nē",Kopējie!BI2:BI340,"Lielākoties nevienlīdzīgi")</f>
        <v>24</v>
      </c>
      <c r="U8">
        <f>COUNTIFS(Kopējie!M2:M340,"Jā",Kopējie!K2:K340,"vīriešu",Kopējie!N2:N340,"Nē",Kopējie!O2:O340,"Nē",Kopējie!P2:P340,"Nē",Kopējie!Q2:Q340,"Nē",Kopējie!BI2:BI340,"Nevienlīdzīgi")</f>
        <v>9</v>
      </c>
      <c r="V8">
        <f>COUNTIFS(Kopējie!M2:M340,"Jā",Kopējie!K2:K340,"vīriešu",Kopējie!N2:N340,"Nē",Kopējie!O2:O340,"Nē",Kopējie!P2:P340,"Nē",Kopējie!Q2:Q340,"Nē",Kopējie!BI2:BI340,"Nezinu")</f>
        <v>2</v>
      </c>
      <c r="X8" s="121" t="s">
        <v>17980</v>
      </c>
      <c r="Y8">
        <f>COUNTIFS(Kopējie!M2:M340,"Jā",Kopējie!K2:K340,"sieviešu",Kopējie!N2:N340,"Nē",Kopējie!O2:O340,"Nē",Kopējie!P2:P340,"Nē",Kopējie!Q2:Q340,"Nē",Kopējie!BI2:BI340,"Vienlīdzīgi")</f>
        <v>4</v>
      </c>
      <c r="Z8">
        <f>COUNTIFS(Kopējie!M2:M340,"Jā",Kopējie!K2:K340,"sieviešu",Kopējie!N2:N340,"Nē",Kopējie!O2:O340,"Nē",Kopējie!P2:P340,"Nē",Kopējie!Q2:Q340,"Nē",Kopējie!BI2:BI340,"Lielākoties vienlīdzīgi")</f>
        <v>5</v>
      </c>
      <c r="AA8">
        <f>COUNTIFS(Kopējie!M2:M340,"Jā",Kopējie!K2:K340,"sieviešu",Kopējie!N2:N340,"Nē",Kopējie!O2:O340,"Nē",Kopējie!P2:P340,"Nē",Kopējie!Q2:Q340,"Nē",Kopējie!BI2:BI340,"Lielākoties nevienlīdzīgi")</f>
        <v>14</v>
      </c>
      <c r="AB8">
        <v>16</v>
      </c>
      <c r="AC8">
        <f>COUNTIFS(Kopējie!M2:M340,"Jā",Kopējie!K2:K340,"sieviešu",Kopējie!N2:N340,"Nē",Kopējie!O2:O340,"Nē",Kopējie!P2:P340,"Nē",Kopējie!Q2:Q340,"Nē",Kopējie!BI2:BI340,"Nezinu")</f>
        <v>2</v>
      </c>
    </row>
    <row r="10" spans="2:29" x14ac:dyDescent="0.3">
      <c r="Q10" s="121" t="s">
        <v>18176</v>
      </c>
      <c r="R10">
        <f>COUNTIFS(Kopējie!M2:M340,"Jā",Kopējie!N2:N340,"Nē",Kopējie!O2:O340,"Nē",Kopējie!P2:P340,"Nē",Kopējie!Q2:Q340,"Nē",Kopējie!K2:K340,"Vīriešu")</f>
        <v>81</v>
      </c>
      <c r="X10" s="121" t="s">
        <v>18177</v>
      </c>
      <c r="Y10">
        <f>COUNTIFS(Kopējie!M2:M340,"Jā",Kopējie!N2:N340,"Nē",Kopējie!O2:O340,"Nē",Kopējie!P2:P340,"Nē",Kopējie!Q2:Q340,"Nē",Kopējie!K2:K340,"Sieviešu")</f>
        <v>41</v>
      </c>
    </row>
    <row r="14" spans="2:29" x14ac:dyDescent="0.3">
      <c r="Q14" s="120" t="s">
        <v>17991</v>
      </c>
      <c r="X14" s="120" t="s">
        <v>17993</v>
      </c>
    </row>
    <row r="15" spans="2:29" x14ac:dyDescent="0.3">
      <c r="B15" s="120" t="s">
        <v>17985</v>
      </c>
      <c r="C15" s="121" t="s">
        <v>17981</v>
      </c>
      <c r="D15" s="121" t="s">
        <v>17982</v>
      </c>
      <c r="E15" s="121" t="s">
        <v>17984</v>
      </c>
      <c r="F15" s="121" t="s">
        <v>17983</v>
      </c>
      <c r="G15" s="121" t="s">
        <v>17987</v>
      </c>
      <c r="J15" s="120" t="s">
        <v>17986</v>
      </c>
      <c r="K15" s="121" t="s">
        <v>17981</v>
      </c>
      <c r="L15" s="121" t="s">
        <v>17982</v>
      </c>
      <c r="M15" s="121" t="s">
        <v>17984</v>
      </c>
      <c r="N15" s="121" t="s">
        <v>17983</v>
      </c>
      <c r="O15" s="121" t="s">
        <v>17988</v>
      </c>
      <c r="Q15" s="120"/>
      <c r="R15" s="121" t="s">
        <v>17981</v>
      </c>
      <c r="S15" s="121" t="s">
        <v>17982</v>
      </c>
      <c r="T15" s="121" t="s">
        <v>17984</v>
      </c>
      <c r="U15" s="121" t="s">
        <v>17983</v>
      </c>
      <c r="V15" s="121" t="s">
        <v>17988</v>
      </c>
      <c r="X15" s="120"/>
      <c r="Y15" s="121" t="s">
        <v>17981</v>
      </c>
      <c r="Z15" s="121" t="s">
        <v>17982</v>
      </c>
      <c r="AA15" s="121" t="s">
        <v>17984</v>
      </c>
      <c r="AB15" s="121" t="s">
        <v>17983</v>
      </c>
      <c r="AC15" s="121" t="s">
        <v>17988</v>
      </c>
    </row>
    <row r="16" spans="2:29" x14ac:dyDescent="0.3">
      <c r="B16" s="121" t="s">
        <v>17976</v>
      </c>
      <c r="C16">
        <v>69</v>
      </c>
      <c r="D16">
        <v>76</v>
      </c>
      <c r="E16">
        <v>31</v>
      </c>
      <c r="F16">
        <f>COUNTIFS(Kopējie!K2:K340,"vīriešu",Kopējie!BE2:BE340,"Nevienlīdzīgi")</f>
        <v>15</v>
      </c>
      <c r="G16">
        <f>COUNTIFS(Kopējie!K2:K340,"vīriešu",Kopējie!BE2:BE340,"Nezinu")</f>
        <v>1</v>
      </c>
      <c r="J16" s="121" t="s">
        <v>17976</v>
      </c>
      <c r="K16">
        <f>COUNTIFS(Kopējie!K2:K340,"sieviešu",Kopējie!BE2:BE340,"Vienlīdzīgi")</f>
        <v>44</v>
      </c>
      <c r="L16">
        <v>44</v>
      </c>
      <c r="M16">
        <f>COUNTIFS(Kopējie!K2:K340,"sieviešu",Kopējie!BE2:BE340,"Lielākoties nevienlīdzīgi")</f>
        <v>41</v>
      </c>
      <c r="N16">
        <f>COUNTIFS(Kopējie!K2:K340,"sieviešu",Kopējie!BE2:BE340,"Nevienlīdzīgi")</f>
        <v>13</v>
      </c>
      <c r="O16">
        <f>COUNTIFS(Kopējie!K2:K340,"sieviešu",Kopējie!BE2:BE340,"Nezinu")</f>
        <v>0</v>
      </c>
      <c r="Q16" s="121" t="s">
        <v>17976</v>
      </c>
      <c r="R16">
        <f>COUNTIFS(Kopējie!K2:K340,"vīriešu", Kopējie!M2:M340,"Nē",Kopējie!N2:N340,"Jā",Kopējie!O2:O340,"Nē",Kopējie!P2:P340,"Nē",Kopējie!Q2:Q340,"Nē",Kopējie!BE2:BE340,"Vienlīdzīgi")</f>
        <v>18</v>
      </c>
      <c r="S16">
        <v>23</v>
      </c>
      <c r="T16">
        <f>COUNTIFS(Kopējie!K2:K340,"vīriešu", Kopējie!M2:M340,"Nē",Kopējie!N2:N340,"Jā",Kopējie!O2:O340,"Nē",Kopējie!P2:P340,"Nē",Kopējie!Q2:Q340,"Nē",Kopējie!BE2:BE340,"Lielākoties nevienlīdzīgi")</f>
        <v>7</v>
      </c>
      <c r="U16">
        <f>COUNTIFS(Kopējie!K2:K340,"vīriešu", Kopējie!M2:M340,"Nē",Kopējie!N2:N340,"Jā",Kopējie!O2:O340,"Nē",Kopējie!P2:P340,"Nē",Kopējie!Q2:Q340,"Nē",Kopējie!BE2:BE340,"Nevienlīdzīgi")</f>
        <v>2</v>
      </c>
      <c r="V16">
        <f>COUNTIFS(Kopējie!K2:K340,"vīriešu", Kopējie!M2:M340,"Nē",Kopējie!N2:N340,"Jā",Kopējie!O2:O340,"Nē",Kopējie!P2:P340,"Nē",Kopējie!Q2:Q340,"Nē",Kopējie!BE2:BE340,"Nezinu")</f>
        <v>0</v>
      </c>
      <c r="X16" s="121" t="s">
        <v>17976</v>
      </c>
      <c r="Y16">
        <f>COUNTIFS(Kopējie!K2:K340,"sieviešu", Kopējie!M2:M340,"Nē",Kopējie!N2:N340,"Jā",Kopējie!O2:O340,"Nē",Kopējie!P2:P340,"Nē",Kopējie!Q2:Q340,"Nē",Kopējie!BE2:BE340,"Vienlīdzīgi")</f>
        <v>23</v>
      </c>
      <c r="Z16">
        <f>COUNTIFS(Kopējie!K2:K340,"sieviešu", Kopējie!M2:M340,"Nē",Kopējie!N2:N340,"Jā",Kopējie!O2:O340,"Nē",Kopējie!P2:P340,"Nē",Kopējie!Q2:Q340,"Nē",Kopējie!BE2:BE340,"Lielākoties vienlīdzīgi")</f>
        <v>18</v>
      </c>
      <c r="AA16">
        <f>COUNTIFS(Kopējie!K2:K340,"sieviešu", Kopējie!M2:M340,"Nē",Kopējie!N2:N340,"Jā",Kopējie!O2:O340,"Nē",Kopējie!P2:P340,"Nē",Kopējie!Q2:Q340,"Nē",Kopējie!BE2:BE340,"Lielākoties nevienlīdzīgi")</f>
        <v>14</v>
      </c>
      <c r="AB16">
        <f>COUNTIFS(Kopējie!K2:K340,"sieviešu", Kopējie!M2:M340,"Nē",Kopējie!N2:N340,"Jā",Kopējie!O2:O340,"Nē",Kopējie!P2:P340,"Nē",Kopējie!Q2:Q340,"Nē",Kopējie!BE2:BE340,"Nevienlīdzīgi")</f>
        <v>3</v>
      </c>
      <c r="AC16">
        <f>COUNTIFS(Kopējie!K2:K340,"sieviešu", Kopējie!M2:M340,"Nē",Kopējie!N2:N340,"Jā",Kopējie!O2:O340,"Nē",Kopējie!P2:P340,"Nē",Kopējie!Q2:Q340,"Nē",Kopējie!BE2:BE340,"Nezinu")</f>
        <v>0</v>
      </c>
    </row>
    <row r="17" spans="2:29" x14ac:dyDescent="0.3">
      <c r="B17" s="121" t="s">
        <v>17977</v>
      </c>
      <c r="C17">
        <v>40</v>
      </c>
      <c r="D17">
        <f>COUNTIFS(Kopējie!K2:K340,"vīriešu",Kopējie!BF2:BF340,"Lielākoties vienlīdzīgi")</f>
        <v>69</v>
      </c>
      <c r="E17">
        <v>54</v>
      </c>
      <c r="F17">
        <f>COUNTIFS(Kopējie!K2:K340,"vīriešu",Kopējie!BF2:BF340,"Nevienlīdzīgi")</f>
        <v>29</v>
      </c>
      <c r="G17">
        <f>COUNTIFS(Kopējie!K2:K340,"vīriešu",Kopējie!BF2:BF340,"Nezinu")</f>
        <v>0</v>
      </c>
      <c r="J17" s="121" t="s">
        <v>17977</v>
      </c>
      <c r="K17">
        <f>COUNTIFS(Kopējie!K2:K340,"sieviešu",Kopējie!BF2:BF340,"Vienlīdzīgi")</f>
        <v>16</v>
      </c>
      <c r="L17">
        <f>COUNTIFS(Kopējie!K2:K340,"sieviešu",Kopējie!BF2:BF340,"Lielākoties vienlīdzīgi")</f>
        <v>60</v>
      </c>
      <c r="M17">
        <v>49</v>
      </c>
      <c r="N17">
        <f>COUNTIFS(Kopējie!K2:K340,"sieviešu",Kopējie!BF2:BF340,"Nevienlīdzīgi")</f>
        <v>17</v>
      </c>
      <c r="O17">
        <f>COUNTIFS(Kopējie!K2:K340,"sieviešu",Kopējie!BF2:BF340,"Nezinu")</f>
        <v>0</v>
      </c>
      <c r="Q17" s="121" t="s">
        <v>17977</v>
      </c>
      <c r="R17">
        <f>COUNTIFS(Kopējie!K2:K340,"vīriešu", Kopējie!M2:M340,"Nē",Kopējie!N2:N340,"Jā",Kopējie!O2:O340,"Nē",Kopējie!P2:P340,"Nē",Kopējie!Q2:Q340,"Nē",Kopējie!BF2:BF340,"Vienlīdzīgi")</f>
        <v>13</v>
      </c>
      <c r="S17">
        <f>COUNTIFS(Kopējie!K2:K340,"vīriešu", Kopējie!M2:M340,"Nē",Kopējie!N2:N340,"Jā",Kopējie!O2:O340,"Nē",Kopējie!P2:P340,"Nē",Kopējie!Q2:Q340,"Nē",Kopējie!BF2:BF340,"Lielākoties vienlīdzīgi")</f>
        <v>18</v>
      </c>
      <c r="T17">
        <v>11</v>
      </c>
      <c r="U17">
        <f>COUNTIFS(Kopējie!K2:K340,"vīriešu", Kopējie!M2:M340,"Nē",Kopējie!N2:N340,"Jā",Kopējie!O2:O340,"Nē",Kopējie!P2:P340,"Nē",Kopējie!Q2:Q340,"Nē",Kopējie!BF2:BF340,"Nevienlīdzīgi")</f>
        <v>9</v>
      </c>
      <c r="V17">
        <f>COUNTIFS(Kopējie!K2:K340,"vīriešu", Kopējie!M2:M340,"Nē",Kopējie!N2:N340,"Jā",Kopējie!O2:O340,"Nē",Kopējie!P2:P340,"Nē",Kopējie!Q2:Q340,"Nē",Kopējie!BF2:BF340,"Nezinu")</f>
        <v>0</v>
      </c>
      <c r="X17" s="121" t="s">
        <v>17977</v>
      </c>
      <c r="Y17">
        <f>COUNTIFS(Kopējie!K2:K340,"sieviešu", Kopējie!M2:M340,"Nē",Kopējie!N2:N340,"Jā",Kopējie!O2:O340,"Nē",Kopējie!P2:P340,"Nē",Kopējie!Q2:Q340,"Nē",Kopējie!BF2:BF340,"Vienlīdzīgi")</f>
        <v>8</v>
      </c>
      <c r="Z17">
        <f>COUNTIFS(Kopējie!K2:K340,"sieviešu", Kopējie!M2:M340,"Nē",Kopējie!N2:N340,"Jā",Kopējie!O2:O340,"Nē",Kopējie!P2:P340,"Nē",Kopējie!Q2:Q340,"Nē",Kopējie!BF2:BF340,"Lielākoties vienlīdzīgi")</f>
        <v>25</v>
      </c>
      <c r="AA17">
        <f>COUNTIFS(Kopējie!K2:K340,"sieviešu", Kopējie!M2:M340,"Nē",Kopējie!N2:N340,"Jā",Kopējie!O2:O340,"Nē",Kopējie!P2:P340,"Nē",Kopējie!Q2:Q340,"Nē",Kopējie!BF2:BF340,"Lielākoties nevienlīdzīgi")</f>
        <v>23</v>
      </c>
      <c r="AB17">
        <f>COUNTIFS(Kopējie!K2:K340,"sieviešu", Kopējie!M2:M340,"Nē",Kopējie!N2:N340,"Jā",Kopējie!O2:O340,"Nē",Kopējie!P2:P340,"Nē",Kopējie!Q2:Q340,"Nē",Kopējie!BF2:BF340,"Nevienlīdzīgi")</f>
        <v>2</v>
      </c>
      <c r="AC17">
        <f>COUNTIFS(Kopējie!K2:K340,"sieviešu", Kopējie!M2:M340,"Nē",Kopējie!N2:N340,"Jā",Kopējie!O2:O340,"Nē",Kopējie!P2:P340,"Nē",Kopējie!Q2:Q340,"Nē",Kopējie!BF2:BF340,"Nezinu")</f>
        <v>0</v>
      </c>
    </row>
    <row r="18" spans="2:29" x14ac:dyDescent="0.3">
      <c r="B18" s="121" t="s">
        <v>17978</v>
      </c>
      <c r="C18">
        <v>114</v>
      </c>
      <c r="D18">
        <f>COUNTIFS(Kopējie!K2:K340,"vīriešu",Kopējie!BG2:BG340,"Lielākoties vienlīdzīgi")</f>
        <v>51</v>
      </c>
      <c r="E18">
        <f>COUNTIFS(Kopējie!K2:K340,"vīriešu",Kopējie!BG2:BG340,"Lielākoties nevienlīdzīgi")</f>
        <v>20</v>
      </c>
      <c r="F18">
        <f>COUNTIFS(Kopējie!K2:K340,"vīriešu",Kopējie!BG2:BG340,"Nevienlīdzīgi")</f>
        <v>7</v>
      </c>
      <c r="G18">
        <f>COUNTIFS(Kopējie!K2:K340,"vīriešu",Kopējie!BG2:BG340,"Nezinu")</f>
        <v>0</v>
      </c>
      <c r="J18" s="121" t="s">
        <v>17978</v>
      </c>
      <c r="K18">
        <v>67</v>
      </c>
      <c r="L18">
        <f>COUNTIFS(Kopējie!K2:K340,"sieviešu",Kopējie!BG2:BG340,"Lielākoties vienlīdzīgi")</f>
        <v>58</v>
      </c>
      <c r="M18">
        <f>COUNTIFS(Kopējie!K2:K340,"sieviešu",Kopējie!BG2:BG340,"Lielākoties nevienlīdzīgi")</f>
        <v>11</v>
      </c>
      <c r="N18">
        <f>COUNTIFS(Kopējie!K2:K340,"sieviešu",Kopējie!BG2:BG340,"Nevienlīdzīgi")</f>
        <v>6</v>
      </c>
      <c r="O18">
        <f>COUNTIFS(Kopējie!K2:K340,"sieviešu",Kopējie!BG2:BG340,"Nezinu")</f>
        <v>0</v>
      </c>
      <c r="Q18" s="121" t="s">
        <v>17978</v>
      </c>
      <c r="R18">
        <v>39</v>
      </c>
      <c r="S18">
        <f>COUNTIFS(Kopējie!K2:K340,"vīriešu", Kopējie!M2:M340,"Nē",Kopējie!N2:N340,"Jā",Kopējie!O2:O340,"Nē",Kopējie!P2:P340,"Nē",Kopējie!Q2:Q340,"Nē",Kopējie!BG2:BG340,"Lielākoties vienlīdzīgi")</f>
        <v>5</v>
      </c>
      <c r="T18">
        <f>COUNTIFS(Kopējie!K2:K340,"vīriešu", Kopējie!M2:M340,"Nē",Kopējie!N2:N340,"Jā",Kopējie!O2:O340,"Nē",Kopējie!P2:P340,"Nē",Kopējie!Q2:Q340,"Nē",Kopējie!BG2:BG340,"Lielākoties nevienlīdzīgi")</f>
        <v>4</v>
      </c>
      <c r="U18">
        <f>COUNTIFS(Kopējie!K2:K340,"vīriešu", Kopējie!M2:M340,"Nē",Kopējie!N2:N340,"Jā",Kopējie!O2:O340,"Nē",Kopējie!P2:P340,"Nē",Kopējie!Q2:Q340,"Nē",Kopējie!BG2:BG340,"Nevienlīdzīgi")</f>
        <v>2</v>
      </c>
      <c r="V18">
        <f>COUNTIFS(Kopējie!K2:K340,"vīriešu", Kopējie!M2:M340,"Nē",Kopējie!N2:N340,"Jā",Kopējie!O2:O340,"Nē",Kopējie!P2:P340,"Nē",Kopējie!Q2:Q340,"Nē",Kopējie!BG2:BG340,"Nezinu")</f>
        <v>0</v>
      </c>
      <c r="X18" s="121" t="s">
        <v>17978</v>
      </c>
      <c r="Y18">
        <f>COUNTIFS(Kopējie!K2:K340,"sieviešu", Kopējie!M2:M340,"Nē",Kopējie!N2:N340,"Jā",Kopējie!O2:O340,"Nē",Kopējie!P2:P340,"Nē",Kopējie!Q2:Q340,"Nē",Kopējie!BG2:BG340,"Vienlīdzīgi")</f>
        <v>36</v>
      </c>
      <c r="Z18">
        <f>COUNTIFS(Kopējie!K2:K340,"sieviešu", Kopējie!M2:M340,"Nē",Kopējie!N2:N340,"Jā",Kopējie!O2:O340,"Nē",Kopējie!P2:P340,"Nē",Kopējie!Q2:Q340,"Nē",Kopējie!BG2:BG340,"Lielākoties vienlīdzīgi")</f>
        <v>18</v>
      </c>
      <c r="AA18">
        <f>COUNTIFS(Kopējie!K2:K340,"sieviešu", Kopējie!M2:M340,"Nē",Kopējie!N2:N340,"Jā",Kopējie!O2:O340,"Nē",Kopējie!P2:P340,"Nē",Kopējie!Q2:Q340,"Nē",Kopējie!BG2:BG340,"Lielākoties nevienlīdzīgi")</f>
        <v>3</v>
      </c>
      <c r="AB18">
        <f>COUNTIFS(Kopējie!K2:K340,"sieviešu", Kopējie!M2:M340,"Nē",Kopējie!N2:N340,"Jā",Kopējie!O2:O340,"Nē",Kopējie!P2:P340,"Nē",Kopējie!Q2:Q340,"Nē",Kopējie!BG2:BG340,"Nevienlīdzīgi")</f>
        <v>1</v>
      </c>
      <c r="AC18">
        <f>COUNTIFS(Kopējie!K2:K340,"sieviešu", Kopējie!M2:M340,"Nē",Kopējie!N2:N340,"Jā",Kopējie!O2:O340,"Nē",Kopējie!P2:P340,"Nē",Kopējie!Q2:Q340,"Nē",Kopējie!BG2:BG340,"Nezinu")</f>
        <v>0</v>
      </c>
    </row>
    <row r="19" spans="2:29" x14ac:dyDescent="0.3">
      <c r="B19" s="121" t="s">
        <v>17979</v>
      </c>
      <c r="C19">
        <v>96</v>
      </c>
      <c r="D19">
        <f>COUNTIFS(Kopējie!K2:K340,"vīriešu",Kopējie!BH2:BH340,"Lielākoties vienlīdzīgi")</f>
        <v>54</v>
      </c>
      <c r="E19">
        <v>23</v>
      </c>
      <c r="F19">
        <f>COUNTIFS(Kopējie!K2:K340,"vīriešu",Kopējie!BH2:BH340,"Nevienlīdzīgi")</f>
        <v>17</v>
      </c>
      <c r="G19">
        <f>COUNTIFS(Kopējie!K2:K340,"vīriešu",Kopējie!BH2:BH340,"Nezinu")</f>
        <v>2</v>
      </c>
      <c r="J19" s="121" t="s">
        <v>17979</v>
      </c>
      <c r="K19">
        <v>43</v>
      </c>
      <c r="L19">
        <f>COUNTIFS(Kopējie!K2:K340,"sieviešu",Kopējie!BH2:BH340,"Lielākoties vienlīdzīgi")</f>
        <v>57</v>
      </c>
      <c r="M19">
        <f>COUNTIFS(Kopējie!K2:K340,"sieviešu",Kopējie!BH2:BH340,"Lielākoties nevienlīdzīgi")</f>
        <v>27</v>
      </c>
      <c r="N19">
        <f>COUNTIFS(Kopējie!K2:K340,"sieviešu",Kopējie!BH2:BH340,"Nevienlīdzīgi")</f>
        <v>9</v>
      </c>
      <c r="O19">
        <f>COUNTIFS(Kopējie!K2:K340,"sieviešu",Kopējie!BH2:BH340,"Nezinu")</f>
        <v>6</v>
      </c>
      <c r="Q19" s="121" t="s">
        <v>17979</v>
      </c>
      <c r="R19">
        <f>COUNTIFS(Kopējie!K2:K340,"vīriešu", Kopējie!M2:M340,"Nē",Kopējie!N2:N340,"Jā",Kopējie!O2:O340,"Nē",Kopējie!P2:P340,"Nē",Kopējie!Q2:Q340,"Nē",Kopējie!BH2:BH340,"Vienlīdzīgi")</f>
        <v>30</v>
      </c>
      <c r="S19">
        <f>COUNTIFS(Kopējie!K2:K340,"vīriešu", Kopējie!M2:M340,"Nē",Kopējie!N2:N340,"Jā",Kopējie!O2:O340,"Nē",Kopējie!P2:P340,"Nē",Kopējie!Q2:Q340,"Nē",Kopējie!BH2:BH340,"Lielākoties vienlīdzīgi")</f>
        <v>9</v>
      </c>
      <c r="T19">
        <v>5</v>
      </c>
      <c r="U19">
        <f>COUNTIFS(Kopējie!K2:K340,"vīriešu", Kopējie!M2:M340,"Nē",Kopējie!N2:N340,"Jā",Kopējie!O2:O340,"Nē",Kopējie!P2:P340,"Nē",Kopējie!Q2:Q340,"Nē",Kopējie!BH2:BH340,"Nevienlīdzīgi")</f>
        <v>5</v>
      </c>
      <c r="V19">
        <f>COUNTIFS(Kopējie!K2:K340,"vīriešu", Kopējie!M2:M340,"Nē",Kopējie!N2:N340,"Jā",Kopējie!O2:O340,"Nē",Kopējie!P2:P340,"Nē",Kopējie!Q2:Q340,"Nē",Kopējie!BH2:BH340,"Nezinu")</f>
        <v>2</v>
      </c>
      <c r="X19" s="121" t="s">
        <v>17979</v>
      </c>
      <c r="Y19">
        <f>COUNTIFS(Kopējie!K2:K340,"sieviešu", Kopējie!M2:M340,"Nē",Kopējie!N2:N340,"Jā",Kopējie!O2:O340,"Nē",Kopējie!P2:P340,"Nē",Kopējie!Q2:Q340,"Nē",Kopējie!BH2:BH340,"Vienlīdzīgi")</f>
        <v>24</v>
      </c>
      <c r="Z19">
        <f>COUNTIFS(Kopējie!K2:K340,"sieviešu", Kopējie!M2:M340,"Nē",Kopējie!N2:N340,"Jā",Kopējie!O2:O340,"Nē",Kopējie!P2:P340,"Nē",Kopējie!Q2:Q340,"Nē",Kopējie!BH2:BH340,"Lielākoties vienlīdzīgi")</f>
        <v>24</v>
      </c>
      <c r="AA19">
        <f>COUNTIFS(Kopējie!K2:K340,"sieviešu", Kopējie!M2:M340,"Nē",Kopējie!N2:N340,"Jā",Kopējie!O2:O340,"Nē",Kopējie!P2:P340,"Nē",Kopējie!Q2:Q340,"Nē",Kopējie!BH2:BH340,"Lielākoties nevienlīdzīgi")</f>
        <v>5</v>
      </c>
      <c r="AB19">
        <f>COUNTIFS(Kopējie!K2:K340,"sieviešu", Kopējie!M2:M340,"Nē",Kopējie!N2:N340,"Jā",Kopējie!O2:O340,"Nē",Kopējie!P2:P340,"Nē",Kopējie!Q2:Q340,"Nē",Kopējie!BH2:BH340,"Nevienlīdzīgi")</f>
        <v>5</v>
      </c>
      <c r="AC19">
        <f>COUNTIFS(Kopējie!K2:K340,"sieviešu", Kopējie!M2:M340,"Nē",Kopējie!N2:N340,"Jā",Kopējie!O2:O340,"Nē",Kopējie!P2:P340,"Nē",Kopējie!Q2:Q340,"Nē",Kopējie!BH2:BH340,"Nezinu")</f>
        <v>0</v>
      </c>
    </row>
    <row r="20" spans="2:29" x14ac:dyDescent="0.3">
      <c r="B20" s="121" t="s">
        <v>17980</v>
      </c>
      <c r="C20">
        <v>58</v>
      </c>
      <c r="D20">
        <f>COUNTIFS(Kopējie!K2:K340,"vīriešu",Kopējie!BI2:BI340,"Lielākoties vienlīdzīgi")</f>
        <v>51</v>
      </c>
      <c r="E20">
        <v>53</v>
      </c>
      <c r="F20">
        <f>COUNTIFS(Kopējie!K2:K340,"vīriešu",Kopējie!BI2:BI340,"Nevienlīdzīgi")</f>
        <v>24</v>
      </c>
      <c r="G20">
        <f>COUNTIFS(Kopējie!K2:K340,"vīriešu",Kopējie!BI2:BI340,"Nezinu")</f>
        <v>6</v>
      </c>
      <c r="J20" s="121" t="s">
        <v>17980</v>
      </c>
      <c r="K20">
        <f>COUNTIFS(Kopējie!K2:K340,"sieviešu",Kopējie!BI2:BI340,"Vienlīdzīgi")</f>
        <v>27</v>
      </c>
      <c r="L20">
        <f>COUNTIFS(Kopējie!K2:K340,"sieviešu",Kopējie!BI2:BI340,"Lielākoties vienlīdzīgi")</f>
        <v>30</v>
      </c>
      <c r="M20">
        <f>COUNTIFS(Kopējie!K2:K340,"sieviešu",Kopējie!BI2:BI340,"Lielākoties nevienlīdzīgi")</f>
        <v>49</v>
      </c>
      <c r="N20">
        <v>32</v>
      </c>
      <c r="O20">
        <f>COUNTIFS(Kopējie!K2:K340,"sieviešu",Kopējie!BI2:BI340,"Nezinu")</f>
        <v>4</v>
      </c>
      <c r="Q20" s="121" t="s">
        <v>17980</v>
      </c>
      <c r="R20">
        <f>COUNTIFS(Kopējie!K2:K340,"vīriešu", Kopējie!M2:M340,"Nē",Kopējie!N2:N340,"Jā",Kopējie!O2:O340,"Nē",Kopējie!P2:P340,"Nē",Kopējie!Q2:Q340,"Nē",Kopējie!BI2:BI340,"Vienlīdzīgi")</f>
        <v>19</v>
      </c>
      <c r="S20">
        <f>COUNTIFS(Kopējie!K2:K340,"vīriešu", Kopējie!M2:M340,"Nē",Kopējie!N2:N340,"Jā",Kopējie!O2:O340,"Nē",Kopējie!P2:P340,"Nē",Kopējie!Q2:Q340,"Nē",Kopējie!BI2:BI340,"Lielākoties vienlīdzīgi")</f>
        <v>10</v>
      </c>
      <c r="T20">
        <v>13</v>
      </c>
      <c r="U20">
        <f>COUNTIFS(Kopējie!K2:K340,"vīriešu", Kopējie!M2:M340,"Nē",Kopējie!N2:N340,"Jā",Kopējie!O2:O340,"Nē",Kopējie!P2:P340,"Nē",Kopējie!Q2:Q340,"Nē",Kopējie!BI2:BI340,"Nevienlīdzīgi")</f>
        <v>7</v>
      </c>
      <c r="V20">
        <f>COUNTIFS(Kopējie!K2:K340,"vīriešu", Kopējie!M2:M340,"Nē",Kopējie!N2:N340,"Jā",Kopējie!O2:O340,"Nē",Kopējie!P2:P340,"Nē",Kopējie!Q2:Q340,"Nē",Kopējie!BI2:BI340,"Nezinu")</f>
        <v>2</v>
      </c>
      <c r="X20" s="121" t="s">
        <v>17980</v>
      </c>
      <c r="Y20">
        <f>COUNTIFS(Kopējie!K2:K340,"sieviešu", Kopējie!M2:M340,"Nē",Kopējie!N2:N340,"Jā",Kopējie!O2:O340,"Nē",Kopējie!P2:P340,"Nē",Kopējie!Q2:Q340,"Nē",Kopējie!BI2:BI340,"Vienlīdzīgi")</f>
        <v>15</v>
      </c>
      <c r="Z20">
        <f>COUNTIFS(Kopējie!K2:K340,"sieviešu", Kopējie!M2:M340,"Nē",Kopējie!N2:N340,"Jā",Kopējie!O2:O340,"Nē",Kopējie!P2:P340,"Nē",Kopējie!Q2:Q340,"Nē",Kopējie!BI2:BI340,"Lielākoties vienlīdzīgi")</f>
        <v>16</v>
      </c>
      <c r="AA20">
        <f>COUNTIFS(Kopējie!K2:K340,"sieviešu", Kopējie!M2:M340,"Nē",Kopējie!N2:N340,"Jā",Kopējie!O2:O340,"Nē",Kopējie!P2:P340,"Nē",Kopējie!Q2:Q340,"Nē",Kopējie!BI2:BI340,"Lielākoties nevienlīdzīgi")</f>
        <v>19</v>
      </c>
      <c r="AB20">
        <f>COUNTIFS(Kopējie!K2:K340,"sieviešu", Kopējie!M2:M340,"Nē",Kopējie!N2:N340,"Jā",Kopējie!O2:O340,"Nē",Kopējie!P2:P340,"Nē",Kopējie!Q2:Q340,"Nē",Kopējie!BI2:BI340,"Nevienlīdzīgi")</f>
        <v>7</v>
      </c>
      <c r="AC20">
        <f>COUNTIFS(Kopējie!K2:K340,"sieviešu", Kopējie!M2:M340,"Nē",Kopējie!N2:N340,"Jā",Kopējie!O2:O340,"Nē",Kopējie!P2:P340,"Nē",Kopējie!Q2:Q340,"Nē",Kopējie!BI2:BI340,"Nezinu")</f>
        <v>1</v>
      </c>
    </row>
    <row r="21" spans="2:29" x14ac:dyDescent="0.3">
      <c r="O21" t="s">
        <v>17989</v>
      </c>
    </row>
    <row r="22" spans="2:29" x14ac:dyDescent="0.3">
      <c r="B22" s="120" t="s">
        <v>1826</v>
      </c>
      <c r="C22" s="121" t="s">
        <v>17981</v>
      </c>
      <c r="D22" s="121" t="s">
        <v>17982</v>
      </c>
      <c r="E22" s="121" t="s">
        <v>17984</v>
      </c>
      <c r="F22" s="121" t="s">
        <v>17983</v>
      </c>
      <c r="G22" s="121" t="s">
        <v>17987</v>
      </c>
      <c r="J22" s="120" t="s">
        <v>1825</v>
      </c>
      <c r="K22" s="121" t="s">
        <v>17981</v>
      </c>
      <c r="L22" s="121" t="s">
        <v>17982</v>
      </c>
      <c r="M22" s="121" t="s">
        <v>17984</v>
      </c>
      <c r="N22" s="121" t="s">
        <v>17983</v>
      </c>
      <c r="O22" s="121" t="s">
        <v>17987</v>
      </c>
      <c r="Q22" s="121"/>
      <c r="X22" s="121" t="s">
        <v>18178</v>
      </c>
      <c r="Y22">
        <f>COUNTIFS(Kopējie!M2:M340,"Nē",Kopējie!N2:N340,"Jā",Kopējie!O2:O340,"Nē",Kopējie!P2:P340,"Nē",Kopējie!Q2:Q340,"Nē",Kopējie!K2:K340,"Sieviešu")</f>
        <v>58</v>
      </c>
    </row>
    <row r="23" spans="2:29" x14ac:dyDescent="0.3">
      <c r="B23" s="121" t="s">
        <v>17976</v>
      </c>
      <c r="C23">
        <f>COUNTIFS(Kopējie!U2:U340,"pareizticīgo",Kopējie!BE2:BE340,"vienlīdzīgi",Kopējie!M2:M340,"Nē",Kopējie!N2:N340,"Jā",Kopējie!O2:O340,"Nē",Kopējie!P2:P340,"Nē",Kopējie!Q2:Q340,"Nē")</f>
        <v>23</v>
      </c>
      <c r="D23">
        <f>COUNTIFS(Kopējie!M2:M340,"Nē",Kopējie!N2:N340,"Jā",Kopējie!O2:O340,"Nē",Kopējie!P2:P340,"Nē",Kopējie!Q2:Q340,"Nē",Kopējie!U2:U340,"pareizticīgo",Kopējie!BE2:BE340,"lielākoties vienlīdzīgi")</f>
        <v>20</v>
      </c>
      <c r="E23">
        <f>COUNTIFS(Kopējie!M2:M340,"Nē",Kopējie!N2:N340,"Jā",Kopējie!O2:O340,"Nē",Kopējie!P2:P340,"Nē",Kopējie!Q2:Q340,"Nē",Kopējie!U2:U340,"pareizticīgo",Kopējie!BE2:BE340,"lielākoties nevienlīdzīgi")</f>
        <v>8</v>
      </c>
      <c r="F23">
        <f>COUNTIFS(Kopējie!M2:M340,"Nē",Kopējie!N2:N340,"Jā",Kopējie!O2:O340,"Nē",Kopējie!P2:P340,"Nē",Kopējie!Q2:Q340,"Nē",Kopējie!U2:U340,"pareizticīgo",Kopējie!BE2:BE340,"nevienlīdzīgi")</f>
        <v>2</v>
      </c>
      <c r="G23">
        <f>COUNTIFS(Kopējie!M2:M340,"Nē",Kopējie!N2:N340,"Jā",Kopējie!O2:O340,"Nē",Kopējie!P2:P340,"Nē",Kopējie!Q2:Q340,"Nē",Kopējie!U2:U340,"pareizticīgo",Kopējie!BE2:BE340,"nezinu")</f>
        <v>0</v>
      </c>
      <c r="J23" s="121" t="s">
        <v>17976</v>
      </c>
      <c r="K23">
        <f>COUNTIFS(Kopējie!M2:M340,"Nē",Kopējie!N2:N340,"Jā",Kopējie!O2:O340,"Nē",Kopējie!P2:P340,"Nē",Kopējie!Q2:Q340,"Nē",Kopējie!U2:U340,"ateistu(ti), nereliģiozu",Kopējie!BE2:BE340,"vienlīdzīgi")</f>
        <v>13</v>
      </c>
      <c r="L23">
        <f>COUNTIFS(Kopējie!M2:M340,"Nē",Kopējie!N2:N340,"Jā",Kopējie!O2:O340,"Nē",Kopējie!P2:P340,"Nē",Kopējie!Q2:Q340,"Nē",Kopējie!U2:U340,"ateistu(ti), nereliģiozu",Kopējie!BE2:BE340,"lielākoties vienlīdzīgi")</f>
        <v>12</v>
      </c>
      <c r="M23">
        <f>COUNTIFS(Kopējie!M2:M340,"Nē",Kopējie!N2:N340,"Jā",Kopējie!O2:O340,"Nē",Kopējie!P2:P340,"Nē",Kopējie!Q2:Q340,"Nē",Kopējie!U2:U340,"ateistu(ti), nereliģiozu",Kopējie!BE2:BE340,"lielākoties nevienlīdzīgi")</f>
        <v>10</v>
      </c>
      <c r="N23">
        <f>COUNTIFS(Kopējie!M2:M340,"Nē",Kopējie!N2:N340,"Jā",Kopējie!O2:O340,"Nē",Kopējie!P2:P340,"Nē",Kopējie!Q2:Q340,"Nē",Kopējie!U2:U340,"ateistu(ti), nereliģiozu",Kopējie!BE2:BE340,"nevienlīdzīgi")</f>
        <v>3</v>
      </c>
      <c r="O23">
        <f>COUNTIFS(Kopējie!M2:M340,"Nē",Kopējie!N2:N340,"Jā",Kopējie!O2:O340,"Nē",Kopējie!P2:P340,"Nē",Kopējie!Q2:Q340,"Nē",Kopējie!U2:U340,"ateistu(ti), nereliģiozu",Kopējie!BE2:BE340,"nezinu")</f>
        <v>0</v>
      </c>
      <c r="Q23">
        <f t="shared" ref="Q23:U27" si="0">K23/38*100</f>
        <v>34.210526315789473</v>
      </c>
      <c r="R23">
        <f t="shared" si="0"/>
        <v>31.578947368421051</v>
      </c>
      <c r="S23">
        <f t="shared" si="0"/>
        <v>26.315789473684209</v>
      </c>
      <c r="T23">
        <f t="shared" si="0"/>
        <v>7.8947368421052628</v>
      </c>
      <c r="U23">
        <f t="shared" si="0"/>
        <v>0</v>
      </c>
      <c r="V23">
        <f>SUM(Q23:U23)</f>
        <v>99.999999999999986</v>
      </c>
    </row>
    <row r="24" spans="2:29" x14ac:dyDescent="0.3">
      <c r="B24" s="121" t="s">
        <v>17977</v>
      </c>
      <c r="C24">
        <f>COUNTIFS(Kopējie!M2:M340,"Nē",Kopējie!N2:N340,"Jā",Kopējie!O2:O340,"Nē",Kopējie!P2:P340,"Nē",Kopējie!Q2:Q340,"Nē",Kopējie!U2:U340,"pareizticīgo",Kopējie!BF2:BF340,"vienlīdzīgi")</f>
        <v>10</v>
      </c>
      <c r="D24">
        <f>COUNTIFS(Kopējie!M2:M340,"Nē",Kopējie!N2:N340,"Jā",Kopējie!O2:O340,"Nē",Kopējie!P2:P340,"Nē",Kopējie!Q2:Q340,"Nē",Kopējie!U2:U340,"pareizticīgo",Kopējie!BF2:BF340,"lielākoties vienlīdzīgi")</f>
        <v>21</v>
      </c>
      <c r="E24">
        <f>COUNTIFS(Kopējie!M2:M340,"Nē",Kopējie!N2:N340,"Jā",Kopējie!O2:O340,"Nē",Kopējie!P2:P340,"Nē",Kopējie!Q2:Q340,"Nē",Kopējie!U2:U340,"pareizticīgo",Kopējie!BF2:BF340,"lielākoties nevienlīdzīgi")</f>
        <v>15</v>
      </c>
      <c r="F24">
        <f>COUNTIFS(Kopējie!M2:M340,"Nē",Kopējie!N2:N340,"Jā",Kopējie!O2:O340,"Nē",Kopējie!P2:P340,"Nē",Kopējie!Q2:Q340,"Nē",Kopējie!U2:U340,"pareizticīgo",Kopējie!BF2:BF340,"nevienlīdzīgi")</f>
        <v>7</v>
      </c>
      <c r="G24">
        <f>COUNTIFS(Kopējie!M2:M340,"Nē",Kopējie!N2:N340,"Jā",Kopējie!O2:O340,"Nē",Kopējie!P2:P340,"Nē",Kopējie!Q2:Q340,"Nē",Kopējie!U2:U340,"pareizticīgo",Kopējie!BF2:BF340,"nezinu")</f>
        <v>0</v>
      </c>
      <c r="J24" s="121" t="s">
        <v>17977</v>
      </c>
      <c r="K24">
        <f>COUNTIFS(Kopējie!M2:M340,"Nē",Kopējie!N2:N340,"Jā",Kopējie!O2:O340,"Nē",Kopējie!P2:P340,"Nē",Kopējie!Q2:Q340,"Nē",Kopējie!U2:U340,"ateistu(ti), nereliģiozu",Kopējie!BF2:BF340,"vienlīdzīgi")</f>
        <v>7</v>
      </c>
      <c r="L24">
        <f>COUNTIFS(Kopējie!M2:M340,"Nē",Kopējie!N2:N340,"Jā",Kopējie!O2:O340,"Nē",Kopējie!P2:P340,"Nē",Kopējie!Q2:Q340,"Nē",Kopējie!U2:U340,"ateistu(ti), nereliģiozu",Kopējie!BF2:BF340,"lielākoties vienlīdzīgi")</f>
        <v>15</v>
      </c>
      <c r="M24">
        <f>COUNTIFS(Kopējie!M2:M340,"Nē",Kopējie!N2:N340,"Jā",Kopējie!O2:O340,"Nē",Kopējie!P2:P340,"Nē",Kopējie!Q2:Q340,"Nē",Kopējie!U2:U340,"ateistu(ti), nereliģiozu",Kopējie!BF2:BF340,"lielākoties nevienlīdzīgi")</f>
        <v>13</v>
      </c>
      <c r="N24">
        <f>COUNTIFS(Kopējie!M2:M340,"Nē",Kopējie!N2:N340,"Jā",Kopējie!O2:O340,"Nē",Kopējie!P2:P340,"Nē",Kopējie!Q2:Q340,"Nē",Kopējie!U2:U340,"ateistu(ti), nereliģiozu",Kopējie!BF2:BF340,"nevienlīdzīgi")</f>
        <v>3</v>
      </c>
      <c r="O24">
        <f>COUNTIFS(Kopējie!M2:M340,"Nē",Kopējie!N2:N340,"Jā",Kopējie!O2:O340,"Nē",Kopējie!P2:P340,"Nē",Kopējie!Q2:Q340,"Nē",Kopējie!U2:U340,"ateistu(ti), nereliģiozu",Kopējie!BF2:BF340,"nezinu")</f>
        <v>0</v>
      </c>
      <c r="Q24">
        <f t="shared" si="0"/>
        <v>18.421052631578945</v>
      </c>
      <c r="R24">
        <f t="shared" si="0"/>
        <v>39.473684210526315</v>
      </c>
      <c r="S24">
        <f t="shared" si="0"/>
        <v>34.210526315789473</v>
      </c>
      <c r="T24">
        <f t="shared" si="0"/>
        <v>7.8947368421052628</v>
      </c>
      <c r="U24">
        <f t="shared" si="0"/>
        <v>0</v>
      </c>
      <c r="V24">
        <f>SUM(Q24:U24)</f>
        <v>100</v>
      </c>
    </row>
    <row r="25" spans="2:29" x14ac:dyDescent="0.3">
      <c r="B25" s="121" t="s">
        <v>17978</v>
      </c>
      <c r="C25">
        <f>COUNTIFS(Kopējie!M2:M340,"Nē",Kopējie!N2:N340,"Jā",Kopējie!O2:O340,"Nē",Kopējie!P2:P340,"Nē",Kopējie!Q2:Q340,"Nē",Kopējie!U2:U340,"pareizticīgo",Kopējie!BG2:BG340,"vienlīdzīgi")</f>
        <v>37</v>
      </c>
      <c r="D25">
        <f>COUNTIFS(Kopējie!M2:M340,"Nē",Kopējie!N2:N340,"Jā",Kopējie!O2:O340,"Nē",Kopējie!P2:P340,"Nē",Kopējie!Q2:Q340,"Nē",Kopējie!U2:U340,"pareizticīgo",Kopējie!BG2:BG340,"lielākoties vienlīdzīgi")</f>
        <v>14</v>
      </c>
      <c r="E25">
        <f>COUNTIFS(Kopējie!M2:M340,"Nē",Kopējie!N2:N340,"Jā",Kopējie!O2:O340,"Nē",Kopējie!P2:P340,"Nē",Kopējie!Q2:Q340,"Nē",Kopējie!U2:U340,"pareizticīgo",Kopējie!BG2:BG340,"lielākoties nevienlīdzīgi")</f>
        <v>0</v>
      </c>
      <c r="F25">
        <f>COUNTIFS(Kopējie!M2:M340,"Nē",Kopējie!N2:N340,"Jā",Kopējie!O2:O340,"Nē",Kopējie!P2:P340,"Nē",Kopējie!Q2:Q340,"Nē",Kopējie!U2:U340,"pareizticīgo",Kopējie!BG2:BG340,"nevienlīdzīgi")</f>
        <v>2</v>
      </c>
      <c r="G25">
        <f>COUNTIFS(Kopējie!M2:M340,"Nē",Kopējie!N2:N340,"Jā",Kopējie!O2:O340,"Nē",Kopējie!P2:P340,"Nē",Kopējie!Q2:Q340,"Nē",Kopējie!U2:U340,"pareizticīgo",Kopējie!BG2:BG340,"nezinu")</f>
        <v>0</v>
      </c>
      <c r="J25" s="121" t="s">
        <v>17978</v>
      </c>
      <c r="K25">
        <f>COUNTIFS(Kopējie!M2:M340,"Nē",Kopējie!N2:N340,"Jā",Kopējie!O2:O340,"Nē",Kopējie!P2:P340,"Nē",Kopējie!Q2:Q340,"Nē",Kopējie!U2:U340,"ateistu(ti), nereliģiozu",Kopējie!BG2:BG340,"vienlīdzīgi")</f>
        <v>24</v>
      </c>
      <c r="L25">
        <f>COUNTIFS(Kopējie!M2:M340,"Nē",Kopējie!N2:N340,"Jā",Kopējie!O2:O340,"Nē",Kopējie!P2:P340,"Nē",Kopējie!Q2:Q340,"Nē",Kopējie!U2:U340,"ateistu(ti), nereliģiozu",Kopējie!BG2:BG340,"lielākoties vienlīdzīgi")</f>
        <v>8</v>
      </c>
      <c r="M25">
        <f>COUNTIFS(Kopējie!M2:M340,"Nē",Kopējie!N2:N340,"Jā",Kopējie!O2:O340,"Nē",Kopējie!P2:P340,"Nē",Kopējie!Q2:Q340,"Nē",Kopējie!U2:U340,"ateistu(ti), nereliģiozu",Kopējie!BG2:BG340,"lielākoties nevienlīdzīgi")</f>
        <v>5</v>
      </c>
      <c r="N25">
        <f>COUNTIFS(Kopējie!M2:M340,"Nē",Kopējie!N2:N340,"Jā",Kopējie!O2:O340,"Nē",Kopējie!P2:P340,"Nē",Kopējie!Q2:Q340,"Nē",Kopējie!U2:U340,"ateistu(ti), nereliģiozu",Kopējie!BG2:BG340,"nevienlīdzīgi")</f>
        <v>1</v>
      </c>
      <c r="O25">
        <f>COUNTIFS(Kopējie!M2:M340,"Nē",Kopējie!N2:N340,"Jā",Kopējie!O2:O340,"Nē",Kopējie!P2:P340,"Nē",Kopējie!Q2:Q340,"Nē",Kopējie!U2:U340,"ateistu(ti), nereliģiozu",Kopējie!BG2:BG340,"nezinu")</f>
        <v>0</v>
      </c>
      <c r="Q25">
        <f t="shared" si="0"/>
        <v>63.157894736842103</v>
      </c>
      <c r="R25">
        <f t="shared" si="0"/>
        <v>21.052631578947366</v>
      </c>
      <c r="S25">
        <f t="shared" si="0"/>
        <v>13.157894736842104</v>
      </c>
      <c r="T25">
        <f t="shared" si="0"/>
        <v>2.6315789473684208</v>
      </c>
      <c r="U25">
        <f t="shared" si="0"/>
        <v>0</v>
      </c>
      <c r="V25">
        <f>SUM(Q25:U25)</f>
        <v>100</v>
      </c>
    </row>
    <row r="26" spans="2:29" x14ac:dyDescent="0.3">
      <c r="B26" s="121" t="s">
        <v>17979</v>
      </c>
      <c r="C26">
        <f>COUNTIFS(Kopējie!M2:M340,"Nē",Kopējie!N2:N340,"Jā",Kopējie!O2:O340,"Nē",Kopējie!P2:P340,"Nē",Kopējie!Q2:Q340,"Nē",Kopējie!U2:U340,"pareizticīgo",Kopējie!BH2:BH340,"vienlīdzīgi")</f>
        <v>24</v>
      </c>
      <c r="D26">
        <f>COUNTIFS(Kopējie!M2:M340,"Nē",Kopējie!N2:N340,"Jā",Kopējie!O2:O340,"Nē",Kopējie!P2:P340,"Nē",Kopējie!Q2:Q340,"Nē",Kopējie!U2:U340,"pareizticīgo",Kopējie!BH2:BH340,"lielākoties vienlīdzīgi")</f>
        <v>17</v>
      </c>
      <c r="E26">
        <f>COUNTIFS(Kopējie!M2:M340,"Nē",Kopējie!N2:N340,"Jā",Kopējie!O2:O340,"Nē",Kopējie!P2:P340,"Nē",Kopējie!Q2:Q340,"Nē",Kopējie!U2:U340,"pareizticīgo",Kopējie!BH2:BH340,"lielākoties nevienlīdzīgi")</f>
        <v>6</v>
      </c>
      <c r="F26">
        <f>COUNTIFS(Kopējie!M2:M340,"Nē",Kopējie!N2:N340,"Jā",Kopējie!O2:O340,"Nē",Kopējie!P2:P340,"Nē",Kopējie!Q2:Q340,"Nē",Kopējie!U2:U340,"pareizticīgo",Kopējie!BH2:BH340,"nevienlīdzīgi")</f>
        <v>5</v>
      </c>
      <c r="G26">
        <f>COUNTIFS(Kopējie!M2:M340,"Nē",Kopējie!N2:N340,"Jā",Kopējie!O2:O340,"Nē",Kopējie!P2:P340,"Nē",Kopējie!Q2:Q340,"Nē",Kopējie!U2:U340,"pareizticīgo",Kopējie!BH2:BH340,"nezinu")</f>
        <v>1</v>
      </c>
      <c r="J26" s="121" t="s">
        <v>17979</v>
      </c>
      <c r="K26">
        <f>COUNTIFS(Kopējie!M2:M340,"Nē",Kopējie!N2:N340,"Jā",Kopējie!O2:O340,"Nē",Kopējie!P2:P340,"Nē",Kopējie!Q2:Q340,"Nē",Kopējie!U2:U340,"ateistu(ti), nereliģiozu",Kopējie!BH2:BH340,"vienlīdzīgi")</f>
        <v>17</v>
      </c>
      <c r="L26">
        <f>COUNTIFS(Kopējie!M2:M340,"Nē",Kopējie!N2:N340,"Jā",Kopējie!O2:O340,"Nē",Kopējie!P2:P340,"Nē",Kopējie!Q2:Q340,"Nē",Kopējie!U2:U340,"ateistu(ti), nereliģiozu",Kopējie!BH2:BH340,"lielākoties vienlīdzīgi")</f>
        <v>13</v>
      </c>
      <c r="M26">
        <f>COUNTIFS(Kopējie!M2:M340,"Nē",Kopējie!N2:N340,"Jā",Kopējie!O2:O340,"Nē",Kopējie!P2:P340,"Nē",Kopējie!Q2:Q340,"Nē",Kopējie!U2:U340,"ateistu(ti), nereliģiozu",Kopējie!BH2:BH340,"lielākoties nevienlīdzīgi")</f>
        <v>4</v>
      </c>
      <c r="N26">
        <f>COUNTIFS(Kopējie!M2:M340,"Nē",Kopējie!N2:N340,"Jā",Kopējie!O2:O340,"Nē",Kopējie!P2:P340,"Nē",Kopējie!Q2:Q340,"Nē",Kopējie!U2:U340,"ateistu(ti), nereliģiozu",Kopējie!BH2:BH340,"nevienlīdzīgi")</f>
        <v>4</v>
      </c>
      <c r="O26">
        <f>COUNTIFS(Kopējie!M2:M340,"Nē",Kopējie!N2:N340,"Jā",Kopējie!O2:O340,"Nē",Kopējie!P2:P340,"Nē",Kopējie!Q2:Q340,"Nē",Kopējie!U2:U340,"ateistu(ti), nereliģiozu",Kopējie!BH2:BH340,"nezinu")</f>
        <v>0</v>
      </c>
      <c r="Q26">
        <f t="shared" si="0"/>
        <v>44.736842105263158</v>
      </c>
      <c r="R26">
        <f t="shared" si="0"/>
        <v>34.210526315789473</v>
      </c>
      <c r="S26">
        <f t="shared" si="0"/>
        <v>10.526315789473683</v>
      </c>
      <c r="T26">
        <f t="shared" si="0"/>
        <v>10.526315789473683</v>
      </c>
      <c r="U26">
        <f t="shared" si="0"/>
        <v>0</v>
      </c>
      <c r="V26">
        <f>SUM(Q26:U26)</f>
        <v>100</v>
      </c>
    </row>
    <row r="27" spans="2:29" x14ac:dyDescent="0.3">
      <c r="B27" s="121" t="s">
        <v>17980</v>
      </c>
      <c r="C27">
        <f>COUNTIFS(Kopējie!M2:M340,"Nē",Kopējie!N2:N340,"Jā",Kopējie!O2:O340,"Nē",Kopējie!P2:P340,"Nē",Kopējie!Q2:Q340,"Nē",Kopējie!U2:U340,"pareizticīgo",Kopējie!BI2:BI340,"vienlīdzīgi")</f>
        <v>17</v>
      </c>
      <c r="D27">
        <f>COUNTIFS(Kopējie!M2:M340,"Nē",Kopējie!N2:N340,"Jā",Kopējie!O2:O340,"Nē",Kopējie!P2:P340,"Nē",Kopējie!Q2:Q340,"Nē",Kopējie!U2:U340,"pareizticīgo",Kopējie!BI2:BI340,"Lielākoties vienlīdzīgi")</f>
        <v>11</v>
      </c>
      <c r="E27">
        <f>COUNTIFS(Kopējie!M2:M340,"Nē",Kopējie!N2:N340,"Jā",Kopējie!O2:O340,"Nē",Kopējie!P2:P340,"Nē",Kopējie!Q2:Q340,"Nē",Kopējie!U2:U340,"pareizticīgo",Kopējie!BI2:BI340,"Lielākoties nevienlīdzīgi")</f>
        <v>18</v>
      </c>
      <c r="F27">
        <f>COUNTIFS(Kopējie!M2:M340,"Nē",Kopējie!N2:N340,"Jā",Kopējie!O2:O340,"Nē",Kopējie!P2:P340,"Nē",Kopējie!Q2:Q340,"Nē",Kopējie!U2:U340,"pareizticīgo",Kopējie!BI2:BI340,"nevienlīdzīgi")</f>
        <v>5</v>
      </c>
      <c r="G27">
        <f>COUNTIFS(Kopējie!M2:M340,"Nē",Kopējie!N2:N340,"Jā",Kopējie!O2:O340,"Nē",Kopējie!P2:P340,"Nē",Kopējie!Q2:Q340,"Nē",Kopējie!U2:U340,"pareizticīgo",Kopējie!BI2:BI340,"Nezinu")</f>
        <v>2</v>
      </c>
      <c r="J27" s="121" t="s">
        <v>17980</v>
      </c>
      <c r="K27">
        <f>COUNTIFS(Kopējie!M2:M340,"Nē",Kopējie!N2:N340,"Jā",Kopējie!O2:O340,"Nē",Kopējie!P2:P340,"Nē",Kopējie!Q2:Q340,"Nē",Kopējie!U2:U340,"ateistu(ti), nereliģiozu",Kopējie!BI2:BI340,"vienlīdzīgi")</f>
        <v>12</v>
      </c>
      <c r="L27">
        <f>COUNTIFS(Kopējie!M2:M340,"Nē",Kopējie!N2:N340,"Jā",Kopējie!O2:O340,"Nē",Kopējie!P2:P340,"Nē",Kopējie!Q2:Q340,"Nē",Kopējie!U2:U340,"ateistu(ti), nereliģiozu",Kopējie!BI2:BI340,"lielākoties vienlīdzīgi")</f>
        <v>9</v>
      </c>
      <c r="M27">
        <f>COUNTIFS(Kopējie!M2:M340,"Nē",Kopējie!N2:N340,"Jā",Kopējie!O2:O340,"Nē",Kopējie!P2:P340,"Nē",Kopējie!Q2:Q340,"Nē",Kopējie!U2:U340,"ateistu(ti), nereliģiozu",Kopējie!BI2:BI340,"lielākoties nevienlīdzīgi")</f>
        <v>10</v>
      </c>
      <c r="N27">
        <f>COUNTIFS(Kopējie!M2:M340,"Nē",Kopējie!N2:N340,"Jā",Kopējie!O2:O340,"Nē",Kopējie!P2:P340,"Nē",Kopējie!Q2:Q340,"Nē",Kopējie!U2:U340,"ateistu(ti), nereliģiozu",Kopējie!BI2:BI340,"nevienlīdzīgi")</f>
        <v>7</v>
      </c>
      <c r="O27">
        <f>COUNTIFS(Kopējie!M2:M340,"Nē",Kopējie!N2:N340,"Jā",Kopējie!O2:O340,"Nē",Kopējie!P2:P340,"Nē",Kopējie!Q2:Q340,"Nē",Kopējie!U2:U340,"ateistu(ti), nereliģiozu",Kopējie!BI2:BI340,"nezinu")</f>
        <v>0</v>
      </c>
      <c r="Q27">
        <f t="shared" si="0"/>
        <v>31.578947368421051</v>
      </c>
      <c r="R27">
        <f t="shared" si="0"/>
        <v>23.684210526315788</v>
      </c>
      <c r="S27">
        <f t="shared" si="0"/>
        <v>26.315789473684209</v>
      </c>
      <c r="T27">
        <f t="shared" si="0"/>
        <v>18.421052631578945</v>
      </c>
      <c r="U27">
        <f t="shared" si="0"/>
        <v>0</v>
      </c>
      <c r="V27">
        <f>SUM(Q27:U27)</f>
        <v>99.999999999999986</v>
      </c>
    </row>
    <row r="29" spans="2:29" x14ac:dyDescent="0.3">
      <c r="B29" s="120" t="s">
        <v>17946</v>
      </c>
      <c r="C29" s="121" t="s">
        <v>17981</v>
      </c>
      <c r="D29" s="121" t="s">
        <v>17982</v>
      </c>
      <c r="E29" s="121" t="s">
        <v>17984</v>
      </c>
      <c r="F29" s="121" t="s">
        <v>17983</v>
      </c>
      <c r="G29" s="121" t="s">
        <v>17987</v>
      </c>
      <c r="K29">
        <v>142</v>
      </c>
    </row>
    <row r="30" spans="2:29" x14ac:dyDescent="0.3">
      <c r="B30" s="121" t="s">
        <v>17976</v>
      </c>
      <c r="C30">
        <f>COUNTIFS(Kopējie!M2:M340,"Nē",Kopējie!N2:N340,"Jā",Kopējie!O2:O340,"Nē",Kopējie!P2:P340,"Nē",Kopējie!Q2:Q340,"Nē",Kopējie!U2:U340,"vecticībnieku(ci)",Kopējie!BE2:BE340,"vienlīdzīgi")</f>
        <v>2</v>
      </c>
      <c r="D30">
        <f>COUNTIFS(Kopējie!M2:M340,"Nē",Kopējie!N2:N340,"Jā",Kopējie!O2:O340,"Nē",Kopējie!P2:P340,"Nē",Kopējie!Q2:Q340,"Nē",Kopējie!U2:U340,"vecticībnieku(ci)",Kopējie!BE2:BE340,"lielākoties vienlīdzīgi")</f>
        <v>3</v>
      </c>
      <c r="E30">
        <f>COUNTIFS(Kopējie!M2:M340,"Nē",Kopējie!N2:N340,"Jā",Kopējie!O2:O340,"Nē",Kopējie!P2:P340,"Nē",Kopējie!Q2:Q340,"Nē",Kopējie!U2:U340,"vecticībnieku(ci)",Kopējie!BE2:BE340,"lielākoties nevienlīdzīgi")</f>
        <v>4</v>
      </c>
      <c r="F30">
        <f>COUNTIFS(Kopējie!M2:M340,"Nē",Kopējie!N2:N340,"Jā",Kopējie!O2:O340,"Nē",Kopējie!P2:P340,"Nē",Kopējie!Q2:Q340,"Nē",Kopējie!U2:U340,"vecticībnieku(ci)",Kopējie!BE2:BE340,"nevienlīdzīgi")</f>
        <v>0</v>
      </c>
      <c r="G30">
        <f>COUNTIFS(Kopējie!M2:M340,"Nē",Kopējie!N2:N340,"Jā",Kopējie!O2:O340,"Nē",Kopējie!P2:P340,"Nē",Kopējie!Q2:Q340,"Nē",Kopējie!U2:U340,"vecticībnieku(ci)",Kopējie!BE2:BE340,"nezinu")</f>
        <v>0</v>
      </c>
    </row>
    <row r="31" spans="2:29" x14ac:dyDescent="0.3">
      <c r="B31" s="121" t="s">
        <v>17977</v>
      </c>
      <c r="C31">
        <f>COUNTIFS(Kopējie!M2:M340,"Nē",Kopējie!N2:N340,"Jā",Kopējie!O2:O340,"Nē",Kopējie!P2:P340,"Nē",Kopējie!Q2:Q340,"Nē",Kopējie!U2:U340,"vecticībnieku(ci)",Kopējie!BF2:BF340,"vienlīdzīgi")</f>
        <v>1</v>
      </c>
      <c r="D31">
        <f>COUNTIFS(Kopējie!M2:M340,"Nē",Kopējie!N2:N340,"Jā",Kopējie!O2:O340,"Nē",Kopējie!P2:P340,"Nē",Kopējie!Q2:Q340,"Nē",Kopējie!U2:U340,"vecticībnieku(ci)",Kopējie!BF2:BF340,"lielākoties vienlīdzīgi")</f>
        <v>3</v>
      </c>
      <c r="E31">
        <f>COUNTIFS(Kopējie!M2:M340,"Nē",Kopējie!N2:N340,"Jā",Kopējie!O2:O340,"Nē",Kopējie!P2:P340,"Nē",Kopējie!Q2:Q340,"Nē",Kopējie!U2:U340,"vecticībnieku(ci)",Kopējie!BF2:BF340,"lielākoties nevienlīdzīgi")</f>
        <v>4</v>
      </c>
      <c r="F31">
        <f>COUNTIFS(Kopējie!M2:M340,"Nē",Kopējie!N2:N340,"Jā",Kopējie!O2:O340,"Nē",Kopējie!P2:P340,"Nē",Kopējie!Q2:Q340,"Nē",Kopējie!U2:U340,"vecticībnieku(ci)",Kopējie!BF2:BF340,"nevienlīdzīgi")</f>
        <v>1</v>
      </c>
      <c r="G31">
        <f>COUNTIFS(Kopējie!M2:M340,"Nē",Kopējie!N2:N340,"Jā",Kopējie!O2:O340,"Nē",Kopējie!P2:P340,"Nē",Kopējie!Q2:Q340,"Nē",Kopējie!U2:U340,"vecticībnieku(ci)",Kopējie!BF2:BF340,"nezinu")</f>
        <v>0</v>
      </c>
    </row>
    <row r="32" spans="2:29" x14ac:dyDescent="0.3">
      <c r="B32" s="121" t="s">
        <v>17978</v>
      </c>
      <c r="C32">
        <f>COUNTIFS(Kopējie!M2:M340,"Nē",Kopējie!N2:N340,"Jā",Kopējie!O2:O340,"Nē",Kopējie!P2:P340,"Nē",Kopējie!Q2:Q340,"Nē",Kopējie!U2:U340,"vecticībnieku(ci)",Kopējie!BG2:BG340,"vienlīdzīgi")</f>
        <v>5</v>
      </c>
      <c r="D32">
        <f>COUNTIFS(Kopējie!M2:M340,"Nē",Kopējie!N2:N340,"Jā",Kopējie!O2:O340,"Nē",Kopējie!P2:P340,"Nē",Kopējie!Q2:Q340,"Nē",Kopējie!U2:U340,"vecticībnieku(ci)",Kopējie!BG2:BG340,"lielākoties vienlīdzīgi")</f>
        <v>2</v>
      </c>
      <c r="E32">
        <f>COUNTIFS(Kopējie!M2:M340,"Nē",Kopējie!N2:N340,"Jā",Kopējie!O2:O340,"Nē",Kopējie!P2:P340,"Nē",Kopējie!Q2:Q340,"Nē",Kopējie!U2:U340,"vecticībnieku(ci)",Kopējie!BG2:BG340,"lielākoties nevienlīdzīgi")</f>
        <v>2</v>
      </c>
      <c r="F32">
        <f>COUNTIFS(Kopējie!M2:M340,"Nē",Kopējie!N2:N340,"Jā",Kopējie!O2:O340,"Nē",Kopējie!P2:P340,"Nē",Kopējie!Q2:Q340,"Nē",Kopējie!U2:U340,"vecticībnieku(ci)",Kopējie!BG2:BG340,"nevienlīdzīgi")</f>
        <v>0</v>
      </c>
      <c r="G32">
        <f>COUNTIFS(Kopējie!M2:M340,"Nē",Kopējie!N2:N340,"Jā",Kopējie!O2:O340,"Nē",Kopējie!P2:P340,"Nē",Kopējie!Q2:Q340,"Nē",Kopējie!U2:U340,"vecticībnieku(ci)",Kopējie!BG2:BG340,"nezinu")</f>
        <v>0</v>
      </c>
    </row>
    <row r="33" spans="2:14" x14ac:dyDescent="0.3">
      <c r="B33" s="121" t="s">
        <v>17979</v>
      </c>
      <c r="C33">
        <f>COUNTIFS(Kopējie!M2:M340,"Nē",Kopējie!N2:N340,"Jā",Kopējie!O2:O340,"Nē",Kopējie!P2:P340,"Nē",Kopējie!Q2:Q340,"Nē",Kopējie!U2:U340,"vecticībnieku(ci)",Kopējie!BH2:BH340,"vienlīdzīgi")</f>
        <v>6</v>
      </c>
      <c r="D33">
        <f>COUNTIFS(Kopējie!M2:M340,"Nē",Kopējie!N2:N340,"Jā",Kopējie!O2:O340,"Nē",Kopējie!P2:P340,"Nē",Kopējie!Q2:Q340,"Nē",Kopējie!U2:U340,"vecticībnieku(ci)",Kopējie!BH2:BH340,"lielākoties vienlīdzīgi")</f>
        <v>2</v>
      </c>
      <c r="E33">
        <f>COUNTIFS(Kopējie!M2:M340,"Nē",Kopējie!N2:N340,"Jā",Kopējie!O2:O340,"Nē",Kopējie!P2:P340,"Nē",Kopējie!Q2:Q340,"Nē",Kopējie!U2:U340,"vecticībnieku(ci)",Kopējie!BH2:BH340,"lielākoties nevienlīdzīgi")</f>
        <v>1</v>
      </c>
      <c r="F33">
        <f>COUNTIFS(Kopējie!M2:M340,"Nē",Kopējie!N2:N340,"Jā",Kopējie!O2:O340,"Nē",Kopējie!P2:P340,"Nē",Kopējie!Q2:Q340,"Nē",Kopējie!U2:U340,"vecticībnieku(ci)",Kopējie!BH2:BH340,"nevienlīdzīgi")</f>
        <v>0</v>
      </c>
      <c r="G33">
        <v>0</v>
      </c>
    </row>
    <row r="34" spans="2:14" x14ac:dyDescent="0.3">
      <c r="B34" s="121" t="s">
        <v>17980</v>
      </c>
      <c r="C34">
        <f>COUNTIFS(Kopējie!M2:M340,"Nē",Kopējie!N2:N340,"Jā",Kopējie!O2:O340,"Nē",Kopējie!P2:P340,"Nē",Kopējie!Q2:Q340,"Nē",Kopējie!U2:U340,"vecticībnieku(ci)",Kopējie!BI2:BI340,"vienlīdzīgi")</f>
        <v>1</v>
      </c>
      <c r="D34">
        <f>COUNTIFS(Kopējie!M2:M340,"Nē",Kopējie!N2:N340,"Jā",Kopējie!O2:O340,"Nē",Kopējie!P2:P340,"Nē",Kopējie!Q2:Q340,"Nē",Kopējie!U2:U340,"vecticībnieku(ci)",Kopējie!BI2:BI340,"lielākoties vienlīdzīgi")</f>
        <v>5</v>
      </c>
      <c r="E34">
        <f>COUNTIFS(Kopējie!M2:M340,"Nē",Kopējie!N2:N340,"Jā",Kopējie!O2:O340,"Nē",Kopējie!P2:P340,"Nē",Kopējie!Q2:Q340,"Nē",Kopējie!U2:U340,"vecticībnieku(ci)",Kopējie!BI2:BI340,"lielākoties nevienlīdzīgi")</f>
        <v>2</v>
      </c>
      <c r="F34">
        <f>COUNTIFS(Kopējie!M2:M340,"Nē",Kopējie!N2:N340,"Jā",Kopējie!O2:O340,"Nē",Kopējie!P2:P340,"Nē",Kopējie!Q2:Q340,"Nē",Kopējie!U2:U340,"vecticībnieku(ci)",Kopējie!BI2:BI340,"nevienlīdzīgi")</f>
        <v>1</v>
      </c>
      <c r="G34">
        <f>COUNTIFS(Kopējie!M2:M340,"Nē",Kopējie!N2:N340,"Jā",Kopējie!O2:O340,"Nē",Kopējie!P2:P340,"Nē",Kopējie!Q2:Q340,"Nē",Kopējie!U2:U340,"vecticībnieku(ci)",Kopējie!BI2:BI340,"nezinu")</f>
        <v>0</v>
      </c>
    </row>
    <row r="36" spans="2:14" x14ac:dyDescent="0.3">
      <c r="B36" s="120" t="s">
        <v>18179</v>
      </c>
      <c r="C36" s="121" t="s">
        <v>17981</v>
      </c>
      <c r="D36" s="121" t="s">
        <v>17982</v>
      </c>
      <c r="E36" s="121" t="s">
        <v>17984</v>
      </c>
      <c r="F36" s="121" t="s">
        <v>17983</v>
      </c>
      <c r="G36" s="121" t="s">
        <v>17987</v>
      </c>
    </row>
    <row r="37" spans="2:14" x14ac:dyDescent="0.3">
      <c r="B37" s="121" t="s">
        <v>17976</v>
      </c>
      <c r="C37">
        <f>SUM(C23,C30)</f>
        <v>25</v>
      </c>
      <c r="D37">
        <f>SUM(D23,D30)</f>
        <v>23</v>
      </c>
      <c r="E37">
        <f>SUM(E23,E30)</f>
        <v>12</v>
      </c>
      <c r="F37">
        <f>SUM(F23,F30)</f>
        <v>2</v>
      </c>
      <c r="G37">
        <f>SUM(G23,G30)</f>
        <v>0</v>
      </c>
      <c r="I37">
        <f>C37/62*100</f>
        <v>40.322580645161288</v>
      </c>
      <c r="J37">
        <f t="shared" ref="J37:M41" si="1">D37/62*100</f>
        <v>37.096774193548384</v>
      </c>
      <c r="K37">
        <f t="shared" si="1"/>
        <v>19.35483870967742</v>
      </c>
      <c r="L37">
        <f t="shared" si="1"/>
        <v>3.225806451612903</v>
      </c>
      <c r="M37">
        <f t="shared" si="1"/>
        <v>0</v>
      </c>
    </row>
    <row r="38" spans="2:14" x14ac:dyDescent="0.3">
      <c r="B38" s="121" t="s">
        <v>17977</v>
      </c>
      <c r="C38">
        <f t="shared" ref="C38:G41" si="2">SUM(C24,C31)</f>
        <v>11</v>
      </c>
      <c r="D38">
        <f t="shared" si="2"/>
        <v>24</v>
      </c>
      <c r="E38">
        <f t="shared" si="2"/>
        <v>19</v>
      </c>
      <c r="F38">
        <f t="shared" si="2"/>
        <v>8</v>
      </c>
      <c r="G38">
        <f t="shared" si="2"/>
        <v>0</v>
      </c>
      <c r="I38">
        <f>C38/62*100</f>
        <v>17.741935483870968</v>
      </c>
      <c r="J38">
        <f t="shared" si="1"/>
        <v>38.70967741935484</v>
      </c>
      <c r="K38">
        <f t="shared" si="1"/>
        <v>30.64516129032258</v>
      </c>
      <c r="L38">
        <f t="shared" si="1"/>
        <v>12.903225806451612</v>
      </c>
      <c r="M38">
        <f t="shared" si="1"/>
        <v>0</v>
      </c>
      <c r="N38">
        <f>SUM(I38:M38)</f>
        <v>100</v>
      </c>
    </row>
    <row r="39" spans="2:14" x14ac:dyDescent="0.3">
      <c r="B39" s="121" t="s">
        <v>17978</v>
      </c>
      <c r="C39">
        <f t="shared" si="2"/>
        <v>42</v>
      </c>
      <c r="D39">
        <f t="shared" si="2"/>
        <v>16</v>
      </c>
      <c r="E39">
        <f t="shared" si="2"/>
        <v>2</v>
      </c>
      <c r="F39">
        <f t="shared" si="2"/>
        <v>2</v>
      </c>
      <c r="G39">
        <f t="shared" si="2"/>
        <v>0</v>
      </c>
      <c r="I39">
        <f>C39/62*100</f>
        <v>67.741935483870961</v>
      </c>
      <c r="J39">
        <f t="shared" si="1"/>
        <v>25.806451612903224</v>
      </c>
      <c r="K39">
        <f t="shared" si="1"/>
        <v>3.225806451612903</v>
      </c>
      <c r="L39">
        <f t="shared" si="1"/>
        <v>3.225806451612903</v>
      </c>
      <c r="M39">
        <f t="shared" si="1"/>
        <v>0</v>
      </c>
      <c r="N39">
        <f>SUM(I39:M39)</f>
        <v>99.999999999999972</v>
      </c>
    </row>
    <row r="40" spans="2:14" x14ac:dyDescent="0.3">
      <c r="B40" s="121" t="s">
        <v>17979</v>
      </c>
      <c r="C40">
        <f t="shared" si="2"/>
        <v>30</v>
      </c>
      <c r="D40">
        <f t="shared" si="2"/>
        <v>19</v>
      </c>
      <c r="E40">
        <f t="shared" si="2"/>
        <v>7</v>
      </c>
      <c r="F40">
        <f t="shared" si="2"/>
        <v>5</v>
      </c>
      <c r="G40">
        <f t="shared" si="2"/>
        <v>1</v>
      </c>
      <c r="I40">
        <f>C40/62*100</f>
        <v>48.387096774193552</v>
      </c>
      <c r="J40">
        <f t="shared" si="1"/>
        <v>30.64516129032258</v>
      </c>
      <c r="K40">
        <f t="shared" si="1"/>
        <v>11.29032258064516</v>
      </c>
      <c r="L40">
        <f t="shared" si="1"/>
        <v>8.064516129032258</v>
      </c>
      <c r="M40">
        <f t="shared" si="1"/>
        <v>1.6129032258064515</v>
      </c>
      <c r="N40">
        <f>SUM(I40:M40)</f>
        <v>99.999999999999986</v>
      </c>
    </row>
    <row r="41" spans="2:14" x14ac:dyDescent="0.3">
      <c r="B41" s="121" t="s">
        <v>17980</v>
      </c>
      <c r="C41">
        <f t="shared" si="2"/>
        <v>18</v>
      </c>
      <c r="D41">
        <f t="shared" si="2"/>
        <v>16</v>
      </c>
      <c r="E41">
        <f t="shared" si="2"/>
        <v>20</v>
      </c>
      <c r="F41">
        <f t="shared" si="2"/>
        <v>6</v>
      </c>
      <c r="G41">
        <f t="shared" si="2"/>
        <v>2</v>
      </c>
      <c r="I41">
        <f>C41/62*100</f>
        <v>29.032258064516132</v>
      </c>
      <c r="J41">
        <f t="shared" si="1"/>
        <v>25.806451612903224</v>
      </c>
      <c r="K41">
        <f t="shared" si="1"/>
        <v>32.258064516129032</v>
      </c>
      <c r="L41">
        <f t="shared" si="1"/>
        <v>9.67741935483871</v>
      </c>
      <c r="M41">
        <f t="shared" si="1"/>
        <v>3.225806451612903</v>
      </c>
      <c r="N41">
        <f>SUM(I41:M41)</f>
        <v>99.999999999999986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811A-1F51-4805-A0F3-7505DE12DB04}">
  <dimension ref="A3:AN83"/>
  <sheetViews>
    <sheetView topLeftCell="A76" workbookViewId="0">
      <selection activeCell="Q79" sqref="Q79"/>
    </sheetView>
  </sheetViews>
  <sheetFormatPr defaultRowHeight="14.4" x14ac:dyDescent="0.3"/>
  <cols>
    <col min="9" max="9" width="20.77734375" customWidth="1"/>
  </cols>
  <sheetData>
    <row r="3" spans="1:40" x14ac:dyDescent="0.3">
      <c r="A3" s="77"/>
      <c r="B3" s="78"/>
      <c r="C3" s="79"/>
      <c r="D3" s="78"/>
      <c r="E3" s="45" t="s">
        <v>1807</v>
      </c>
      <c r="F3" s="45" t="s">
        <v>1808</v>
      </c>
      <c r="G3" s="45" t="s">
        <v>1809</v>
      </c>
      <c r="H3" s="62" t="s">
        <v>1810</v>
      </c>
      <c r="I3" s="45" t="s">
        <v>1811</v>
      </c>
      <c r="J3" s="63" t="s">
        <v>1812</v>
      </c>
      <c r="K3" s="63" t="s">
        <v>1814</v>
      </c>
      <c r="L3" s="63" t="s">
        <v>1816</v>
      </c>
      <c r="M3" s="63" t="s">
        <v>1817</v>
      </c>
      <c r="N3" s="64" t="s">
        <v>1818</v>
      </c>
      <c r="O3" s="64" t="s">
        <v>1819</v>
      </c>
      <c r="P3" s="64" t="s">
        <v>1820</v>
      </c>
      <c r="Q3" s="64" t="s">
        <v>1821</v>
      </c>
      <c r="R3" s="44" t="s">
        <v>1822</v>
      </c>
      <c r="S3" s="63" t="s">
        <v>17898</v>
      </c>
      <c r="T3" s="45" t="s">
        <v>1825</v>
      </c>
      <c r="U3" s="45" t="s">
        <v>1826</v>
      </c>
      <c r="V3" s="45" t="s">
        <v>1827</v>
      </c>
      <c r="W3" s="45" t="s">
        <v>1828</v>
      </c>
      <c r="X3" s="45" t="s">
        <v>1829</v>
      </c>
      <c r="Y3" s="45" t="s">
        <v>1822</v>
      </c>
      <c r="Z3" s="45" t="s">
        <v>1830</v>
      </c>
      <c r="AA3" s="45" t="s">
        <v>1831</v>
      </c>
      <c r="AB3" s="45" t="s">
        <v>1832</v>
      </c>
      <c r="AC3" s="45" t="s">
        <v>1833</v>
      </c>
      <c r="AD3" s="45" t="s">
        <v>1834</v>
      </c>
      <c r="AE3" s="45" t="s">
        <v>17955</v>
      </c>
      <c r="AF3" s="45" t="s">
        <v>1837</v>
      </c>
    </row>
    <row r="4" spans="1:40" x14ac:dyDescent="0.3">
      <c r="A4" s="98" t="s">
        <v>342</v>
      </c>
      <c r="B4" s="98" t="s">
        <v>1744</v>
      </c>
      <c r="C4" s="66" t="s">
        <v>1745</v>
      </c>
      <c r="D4" s="78"/>
      <c r="E4" s="52">
        <v>42</v>
      </c>
      <c r="F4" s="52">
        <v>38</v>
      </c>
      <c r="G4" s="52">
        <v>3</v>
      </c>
      <c r="H4" s="78">
        <v>1</v>
      </c>
      <c r="I4" s="52"/>
      <c r="J4" s="52">
        <v>22</v>
      </c>
      <c r="K4" s="52">
        <v>12</v>
      </c>
      <c r="L4" s="52">
        <v>7</v>
      </c>
      <c r="M4" s="52">
        <v>1</v>
      </c>
      <c r="N4" s="81"/>
      <c r="O4" s="81"/>
      <c r="P4" s="81"/>
      <c r="Q4" s="82"/>
      <c r="R4" s="50"/>
      <c r="S4" s="52"/>
      <c r="T4" s="52">
        <v>25</v>
      </c>
      <c r="U4" s="52">
        <v>10</v>
      </c>
      <c r="V4" s="52">
        <v>5</v>
      </c>
      <c r="W4" s="52">
        <v>1</v>
      </c>
      <c r="X4" s="52">
        <v>1</v>
      </c>
      <c r="Y4" s="52">
        <v>0</v>
      </c>
      <c r="Z4" s="52">
        <v>0</v>
      </c>
      <c r="AA4" s="52">
        <v>2</v>
      </c>
      <c r="AB4" s="52">
        <v>0</v>
      </c>
      <c r="AC4" s="52">
        <v>1</v>
      </c>
      <c r="AD4" s="52">
        <v>0</v>
      </c>
      <c r="AE4" s="52">
        <v>0</v>
      </c>
      <c r="AF4" s="52">
        <v>39</v>
      </c>
    </row>
    <row r="5" spans="1:40" x14ac:dyDescent="0.3">
      <c r="A5" s="54" t="s">
        <v>609</v>
      </c>
      <c r="B5" s="99" t="s">
        <v>1746</v>
      </c>
      <c r="C5" s="66" t="s">
        <v>1747</v>
      </c>
      <c r="D5" s="67"/>
      <c r="E5" s="52">
        <v>11</v>
      </c>
      <c r="F5" s="52">
        <v>8</v>
      </c>
      <c r="G5" s="52">
        <v>3</v>
      </c>
      <c r="H5" s="78"/>
      <c r="I5" s="52"/>
      <c r="J5" s="52">
        <v>9</v>
      </c>
      <c r="K5" s="52"/>
      <c r="L5" s="52">
        <v>2</v>
      </c>
      <c r="M5" s="52"/>
      <c r="N5" s="81"/>
      <c r="O5" s="52"/>
      <c r="P5" s="52"/>
      <c r="Q5" s="52"/>
      <c r="R5" s="79"/>
      <c r="S5" s="52"/>
      <c r="T5" s="52">
        <v>5</v>
      </c>
      <c r="U5" s="52">
        <v>1</v>
      </c>
      <c r="V5" s="52">
        <v>1</v>
      </c>
      <c r="W5" s="52">
        <v>4</v>
      </c>
      <c r="X5" s="52">
        <v>0</v>
      </c>
      <c r="Y5" s="52">
        <v>0</v>
      </c>
      <c r="Z5" s="52">
        <v>0</v>
      </c>
      <c r="AA5" s="52">
        <v>1</v>
      </c>
      <c r="AB5" s="52">
        <v>0</v>
      </c>
      <c r="AC5" s="52">
        <v>0</v>
      </c>
      <c r="AD5" s="52">
        <v>0</v>
      </c>
      <c r="AE5" s="52">
        <v>0</v>
      </c>
      <c r="AF5" s="52">
        <v>10</v>
      </c>
    </row>
    <row r="6" spans="1:40" ht="15" thickBot="1" x14ac:dyDescent="0.35">
      <c r="A6" s="100" t="s">
        <v>714</v>
      </c>
      <c r="B6" s="101" t="s">
        <v>1748</v>
      </c>
      <c r="C6" s="66" t="s">
        <v>1749</v>
      </c>
      <c r="D6" s="68"/>
      <c r="E6" s="52">
        <v>15</v>
      </c>
      <c r="F6" s="52">
        <v>9</v>
      </c>
      <c r="G6" s="52">
        <v>5</v>
      </c>
      <c r="H6" s="78">
        <v>1</v>
      </c>
      <c r="I6" s="52"/>
      <c r="J6" s="52">
        <v>1</v>
      </c>
      <c r="K6" s="52">
        <v>9</v>
      </c>
      <c r="L6" s="52">
        <v>3</v>
      </c>
      <c r="M6" s="52"/>
      <c r="N6" s="81">
        <v>1</v>
      </c>
      <c r="O6" s="52"/>
      <c r="P6" s="52"/>
      <c r="Q6" s="81"/>
      <c r="R6" s="102">
        <v>1</v>
      </c>
      <c r="S6" s="52"/>
      <c r="T6" s="52">
        <v>4</v>
      </c>
      <c r="U6" s="52">
        <v>10</v>
      </c>
      <c r="V6" s="52">
        <v>1</v>
      </c>
      <c r="W6" s="52">
        <v>0</v>
      </c>
      <c r="X6" s="52">
        <v>0</v>
      </c>
      <c r="Y6" s="52">
        <v>0</v>
      </c>
      <c r="Z6" s="52">
        <v>0</v>
      </c>
      <c r="AA6" s="52">
        <v>5</v>
      </c>
      <c r="AB6" s="52">
        <v>0</v>
      </c>
      <c r="AC6" s="52">
        <v>1</v>
      </c>
      <c r="AD6" s="52">
        <v>0</v>
      </c>
      <c r="AE6" s="52">
        <v>0</v>
      </c>
      <c r="AF6" s="52">
        <v>9</v>
      </c>
      <c r="AK6" s="50"/>
      <c r="AL6" s="50"/>
      <c r="AM6" s="50"/>
      <c r="AN6" s="50"/>
    </row>
    <row r="7" spans="1:40" ht="15" thickBot="1" x14ac:dyDescent="0.35">
      <c r="A7" s="103" t="s">
        <v>730</v>
      </c>
      <c r="B7" s="104" t="s">
        <v>1750</v>
      </c>
      <c r="C7" s="69" t="s">
        <v>1751</v>
      </c>
      <c r="D7" s="70"/>
      <c r="E7" s="81">
        <v>20</v>
      </c>
      <c r="F7" s="52">
        <v>15</v>
      </c>
      <c r="G7" s="81">
        <v>5</v>
      </c>
      <c r="H7" s="87"/>
      <c r="I7" s="81"/>
      <c r="J7" s="81">
        <v>16</v>
      </c>
      <c r="K7" s="81">
        <v>1</v>
      </c>
      <c r="L7" s="81">
        <v>3</v>
      </c>
      <c r="M7" s="81"/>
      <c r="N7" s="81"/>
      <c r="O7" s="52"/>
      <c r="P7" s="52"/>
      <c r="Q7" s="52"/>
      <c r="R7" s="102"/>
      <c r="S7" s="52"/>
      <c r="T7" s="52">
        <v>12</v>
      </c>
      <c r="U7" s="52">
        <v>2</v>
      </c>
      <c r="V7" s="52">
        <v>1</v>
      </c>
      <c r="W7" s="52">
        <v>2</v>
      </c>
      <c r="X7" s="52">
        <v>0</v>
      </c>
      <c r="Y7" s="52">
        <v>3</v>
      </c>
      <c r="Z7" s="52">
        <v>0</v>
      </c>
      <c r="AA7" s="52">
        <v>2</v>
      </c>
      <c r="AB7" s="52">
        <v>0</v>
      </c>
      <c r="AC7" s="52">
        <v>0</v>
      </c>
      <c r="AD7" s="52">
        <v>0</v>
      </c>
      <c r="AE7" s="52">
        <v>0</v>
      </c>
      <c r="AF7" s="52">
        <v>18</v>
      </c>
      <c r="AK7" s="50"/>
      <c r="AL7" s="50"/>
      <c r="AM7" s="50"/>
      <c r="AN7" s="50"/>
    </row>
    <row r="8" spans="1:40" x14ac:dyDescent="0.3">
      <c r="A8" s="105" t="s">
        <v>1752</v>
      </c>
      <c r="B8" s="106" t="s">
        <v>1753</v>
      </c>
      <c r="C8" s="71" t="s">
        <v>1754</v>
      </c>
      <c r="D8" s="70"/>
      <c r="E8" s="81">
        <v>15</v>
      </c>
      <c r="F8" s="81">
        <v>9</v>
      </c>
      <c r="G8" s="81">
        <v>6</v>
      </c>
      <c r="H8" s="87"/>
      <c r="I8" s="81"/>
      <c r="J8" s="81"/>
      <c r="K8" s="81">
        <v>9</v>
      </c>
      <c r="L8" s="81">
        <v>6</v>
      </c>
      <c r="M8" s="81"/>
      <c r="N8" s="81"/>
      <c r="O8" s="52"/>
      <c r="P8" s="52"/>
      <c r="Q8" s="78"/>
      <c r="R8" s="102"/>
      <c r="S8" s="52"/>
      <c r="T8" s="52">
        <v>2</v>
      </c>
      <c r="U8" s="52">
        <v>6</v>
      </c>
      <c r="V8" s="52">
        <v>5</v>
      </c>
      <c r="W8" s="52">
        <v>0</v>
      </c>
      <c r="X8" s="52">
        <v>2</v>
      </c>
      <c r="Y8" s="52">
        <v>0</v>
      </c>
      <c r="Z8" s="52">
        <v>0</v>
      </c>
      <c r="AA8" s="52">
        <v>3</v>
      </c>
      <c r="AB8" s="52">
        <v>0</v>
      </c>
      <c r="AC8" s="52">
        <v>1</v>
      </c>
      <c r="AD8" s="52">
        <v>0</v>
      </c>
      <c r="AE8" s="52">
        <v>0</v>
      </c>
      <c r="AF8" s="52">
        <v>11</v>
      </c>
      <c r="AK8" s="50"/>
      <c r="AL8" s="50"/>
      <c r="AM8" s="50"/>
      <c r="AN8" s="50"/>
    </row>
    <row r="9" spans="1:40" x14ac:dyDescent="0.3">
      <c r="A9" s="107" t="s">
        <v>867</v>
      </c>
      <c r="B9" s="108" t="s">
        <v>883</v>
      </c>
      <c r="C9" s="71" t="s">
        <v>1755</v>
      </c>
      <c r="D9" s="70"/>
      <c r="E9" s="81">
        <v>16</v>
      </c>
      <c r="F9" s="81">
        <v>8</v>
      </c>
      <c r="G9" s="81">
        <v>8</v>
      </c>
      <c r="H9" s="87"/>
      <c r="I9" s="81"/>
      <c r="J9" s="81">
        <v>3</v>
      </c>
      <c r="K9" s="81">
        <v>4</v>
      </c>
      <c r="L9" s="81">
        <v>6</v>
      </c>
      <c r="M9" s="81"/>
      <c r="N9" s="81"/>
      <c r="O9" s="52">
        <v>1</v>
      </c>
      <c r="P9" s="78">
        <v>1</v>
      </c>
      <c r="Q9" s="87" t="s">
        <v>17899</v>
      </c>
      <c r="R9" s="102"/>
      <c r="S9" s="52"/>
      <c r="T9" s="52">
        <v>11</v>
      </c>
      <c r="U9" s="52">
        <v>2</v>
      </c>
      <c r="V9" s="52">
        <v>1</v>
      </c>
      <c r="W9" s="52">
        <v>0</v>
      </c>
      <c r="X9" s="52">
        <v>2</v>
      </c>
      <c r="Y9" s="52">
        <v>0</v>
      </c>
      <c r="Z9" s="52">
        <v>0</v>
      </c>
      <c r="AA9" s="52">
        <v>3</v>
      </c>
      <c r="AB9" s="52">
        <v>0</v>
      </c>
      <c r="AC9" s="52">
        <v>0</v>
      </c>
      <c r="AD9" s="52">
        <v>0</v>
      </c>
      <c r="AE9" s="52">
        <v>0</v>
      </c>
      <c r="AF9" s="52">
        <v>13</v>
      </c>
      <c r="AK9" s="50"/>
      <c r="AL9" s="50"/>
      <c r="AM9" s="50"/>
      <c r="AN9" s="50"/>
    </row>
    <row r="10" spans="1:40" x14ac:dyDescent="0.3">
      <c r="A10" s="109" t="s">
        <v>932</v>
      </c>
      <c r="B10" s="110" t="s">
        <v>1757</v>
      </c>
      <c r="C10" s="66" t="s">
        <v>1758</v>
      </c>
      <c r="D10" s="68"/>
      <c r="E10" s="52">
        <v>10</v>
      </c>
      <c r="F10" s="52">
        <v>10</v>
      </c>
      <c r="G10" s="52">
        <v>0</v>
      </c>
      <c r="H10" s="78"/>
      <c r="I10" s="52"/>
      <c r="J10" s="52">
        <v>5</v>
      </c>
      <c r="K10" s="52">
        <v>2</v>
      </c>
      <c r="L10" s="52">
        <v>3</v>
      </c>
      <c r="M10" s="52"/>
      <c r="N10" s="52"/>
      <c r="O10" s="52"/>
      <c r="P10" s="78"/>
      <c r="Q10" s="78"/>
      <c r="R10" s="79"/>
      <c r="S10" s="52"/>
      <c r="T10" s="52">
        <v>3</v>
      </c>
      <c r="U10" s="52">
        <v>5</v>
      </c>
      <c r="V10" s="52">
        <v>2</v>
      </c>
      <c r="W10" s="52">
        <v>0</v>
      </c>
      <c r="X10" s="52">
        <v>0</v>
      </c>
      <c r="Y10" s="52">
        <v>0</v>
      </c>
      <c r="Z10" s="52">
        <v>0</v>
      </c>
      <c r="AA10" s="52">
        <v>1</v>
      </c>
      <c r="AB10" s="52">
        <v>0</v>
      </c>
      <c r="AC10" s="52">
        <v>1</v>
      </c>
      <c r="AD10" s="52">
        <v>0</v>
      </c>
      <c r="AE10" s="52">
        <v>0</v>
      </c>
      <c r="AF10" s="52">
        <v>8</v>
      </c>
      <c r="AK10" s="50"/>
      <c r="AL10" s="50"/>
      <c r="AM10" s="50"/>
      <c r="AN10" s="50"/>
    </row>
    <row r="11" spans="1:40" x14ac:dyDescent="0.3">
      <c r="A11" s="111" t="s">
        <v>1017</v>
      </c>
      <c r="B11" s="111" t="s">
        <v>1759</v>
      </c>
      <c r="C11" s="72" t="s">
        <v>1760</v>
      </c>
      <c r="D11" s="111"/>
      <c r="E11" s="112">
        <v>17</v>
      </c>
      <c r="F11" s="112">
        <v>4</v>
      </c>
      <c r="G11" s="112">
        <v>13</v>
      </c>
      <c r="H11" s="111">
        <v>0</v>
      </c>
      <c r="I11" s="112"/>
      <c r="J11" s="112">
        <v>1</v>
      </c>
      <c r="K11" s="112">
        <v>11</v>
      </c>
      <c r="L11" s="112">
        <v>4</v>
      </c>
      <c r="M11" s="112"/>
      <c r="N11" s="112"/>
      <c r="O11" s="52"/>
      <c r="P11" s="111"/>
      <c r="Q11" s="111"/>
      <c r="R11" s="113" t="s">
        <v>17900</v>
      </c>
      <c r="S11" s="52"/>
      <c r="T11" s="52">
        <v>7</v>
      </c>
      <c r="U11" s="52">
        <v>9</v>
      </c>
      <c r="V11" s="52">
        <v>0</v>
      </c>
      <c r="W11" s="52">
        <v>1</v>
      </c>
      <c r="X11" s="52">
        <v>0</v>
      </c>
      <c r="Y11" s="52">
        <v>0</v>
      </c>
      <c r="Z11" s="52">
        <v>0</v>
      </c>
      <c r="AA11" s="52">
        <v>3</v>
      </c>
      <c r="AB11" s="52">
        <v>0</v>
      </c>
      <c r="AC11" s="52">
        <v>0</v>
      </c>
      <c r="AD11" s="52">
        <v>0</v>
      </c>
      <c r="AE11" s="52">
        <v>0</v>
      </c>
      <c r="AF11" s="52">
        <v>14</v>
      </c>
      <c r="AK11" s="50"/>
      <c r="AL11" s="50"/>
      <c r="AM11" s="50"/>
      <c r="AN11" s="50"/>
    </row>
    <row r="12" spans="1:40" ht="15" thickBot="1" x14ac:dyDescent="0.35">
      <c r="A12" s="114" t="s">
        <v>1035</v>
      </c>
      <c r="B12" s="115" t="s">
        <v>1040</v>
      </c>
      <c r="C12" s="79" t="s">
        <v>1761</v>
      </c>
      <c r="D12" s="78"/>
      <c r="E12" s="52">
        <v>47</v>
      </c>
      <c r="F12" s="52">
        <v>11</v>
      </c>
      <c r="G12" s="52">
        <v>35</v>
      </c>
      <c r="H12" s="78">
        <v>1</v>
      </c>
      <c r="I12" s="52"/>
      <c r="J12" s="52">
        <v>1</v>
      </c>
      <c r="K12" s="52">
        <v>23</v>
      </c>
      <c r="L12" s="52">
        <v>22</v>
      </c>
      <c r="M12" s="52"/>
      <c r="N12" s="52"/>
      <c r="O12" s="79" t="s">
        <v>17901</v>
      </c>
      <c r="P12" s="78"/>
      <c r="Q12" s="78"/>
      <c r="R12" s="79"/>
      <c r="S12" s="52"/>
      <c r="T12" s="52">
        <v>13</v>
      </c>
      <c r="U12" s="52">
        <v>11</v>
      </c>
      <c r="V12" s="52">
        <v>16</v>
      </c>
      <c r="W12" s="52">
        <v>0</v>
      </c>
      <c r="X12" s="52">
        <v>5</v>
      </c>
      <c r="Y12" s="52">
        <v>2</v>
      </c>
      <c r="Z12" s="52">
        <v>2</v>
      </c>
      <c r="AA12" s="52">
        <v>7</v>
      </c>
      <c r="AB12" s="52">
        <v>0</v>
      </c>
      <c r="AC12" s="52">
        <v>3</v>
      </c>
      <c r="AD12" s="52">
        <v>0</v>
      </c>
      <c r="AE12" s="52">
        <v>0</v>
      </c>
      <c r="AF12" s="52">
        <v>35</v>
      </c>
      <c r="AK12" s="50"/>
      <c r="AL12" s="50"/>
      <c r="AM12" s="50"/>
      <c r="AN12" s="50"/>
    </row>
    <row r="13" spans="1:40" ht="15" thickTop="1" x14ac:dyDescent="0.3">
      <c r="A13" s="116" t="s">
        <v>1179</v>
      </c>
      <c r="B13" s="117" t="s">
        <v>1189</v>
      </c>
      <c r="C13" s="97" t="s">
        <v>1762</v>
      </c>
      <c r="D13" s="78"/>
      <c r="E13" s="81">
        <v>20</v>
      </c>
      <c r="F13" s="81">
        <v>8</v>
      </c>
      <c r="G13" s="81">
        <v>12</v>
      </c>
      <c r="H13" s="87"/>
      <c r="I13" s="81"/>
      <c r="J13" s="81">
        <v>1</v>
      </c>
      <c r="K13" s="81">
        <v>17</v>
      </c>
      <c r="L13" s="81">
        <v>1</v>
      </c>
      <c r="M13" s="81"/>
      <c r="N13" s="81"/>
      <c r="O13" s="52"/>
      <c r="P13" s="87"/>
      <c r="Q13" s="87"/>
      <c r="R13" s="102"/>
      <c r="S13" s="52">
        <v>1</v>
      </c>
      <c r="T13" s="52">
        <v>9</v>
      </c>
      <c r="U13" s="52">
        <v>9</v>
      </c>
      <c r="V13" s="52">
        <v>1</v>
      </c>
      <c r="W13" s="52">
        <v>0</v>
      </c>
      <c r="X13" s="52">
        <v>0</v>
      </c>
      <c r="Y13" s="52">
        <v>1</v>
      </c>
      <c r="Z13" s="52">
        <v>0</v>
      </c>
      <c r="AA13" s="52">
        <v>3</v>
      </c>
      <c r="AB13" s="52">
        <v>0</v>
      </c>
      <c r="AC13" s="52">
        <v>1</v>
      </c>
      <c r="AD13" s="52">
        <v>0</v>
      </c>
      <c r="AE13" s="52">
        <v>0</v>
      </c>
      <c r="AF13" s="52">
        <v>16</v>
      </c>
      <c r="AK13" s="50"/>
      <c r="AL13" s="50"/>
      <c r="AM13" s="50"/>
      <c r="AN13" s="50"/>
    </row>
    <row r="14" spans="1:40" x14ac:dyDescent="0.3">
      <c r="A14" s="50"/>
      <c r="B14" s="50"/>
      <c r="C14" s="50"/>
      <c r="D14" s="50"/>
      <c r="E14" s="50"/>
      <c r="F14" s="50"/>
      <c r="G14" s="50"/>
      <c r="H14" s="50"/>
      <c r="I14" s="50"/>
      <c r="J14" s="50"/>
      <c r="K14" s="50"/>
      <c r="L14" s="50"/>
      <c r="M14" s="50" t="s">
        <v>1731</v>
      </c>
      <c r="N14" s="50"/>
      <c r="O14" s="50"/>
      <c r="P14" s="50"/>
      <c r="Q14" s="44"/>
      <c r="R14" s="50"/>
      <c r="S14" s="50" t="s">
        <v>1732</v>
      </c>
      <c r="T14" s="50"/>
      <c r="U14" s="50"/>
      <c r="V14" s="50"/>
      <c r="W14" s="50"/>
      <c r="X14" s="50" t="s">
        <v>1733</v>
      </c>
      <c r="Y14" s="50"/>
      <c r="Z14" s="50"/>
      <c r="AA14" s="50"/>
      <c r="AB14" s="50"/>
      <c r="AC14" s="50" t="s">
        <v>1734</v>
      </c>
      <c r="AD14" s="50"/>
      <c r="AE14" s="50"/>
      <c r="AF14" s="50"/>
      <c r="AG14" s="50"/>
      <c r="AH14" s="50"/>
      <c r="AI14" s="50"/>
      <c r="AJ14" s="50"/>
      <c r="AK14" s="50"/>
      <c r="AL14" s="50"/>
      <c r="AM14" s="50"/>
      <c r="AN14" s="50"/>
    </row>
    <row r="15" spans="1:40" x14ac:dyDescent="0.3">
      <c r="A15" s="51"/>
      <c r="B15" s="50"/>
      <c r="C15" s="50"/>
      <c r="D15" s="50"/>
      <c r="E15" s="45" t="s">
        <v>1487</v>
      </c>
      <c r="F15" s="45" t="s">
        <v>1735</v>
      </c>
      <c r="G15" s="45" t="s">
        <v>1736</v>
      </c>
      <c r="H15" s="45" t="s">
        <v>1737</v>
      </c>
      <c r="I15" s="45" t="s">
        <v>1738</v>
      </c>
      <c r="J15" s="45" t="s">
        <v>343</v>
      </c>
      <c r="K15" s="52"/>
      <c r="L15" s="46" t="s">
        <v>1739</v>
      </c>
      <c r="M15" s="46" t="s">
        <v>1740</v>
      </c>
      <c r="N15" s="46" t="s">
        <v>1741</v>
      </c>
      <c r="O15" s="46" t="s">
        <v>1742</v>
      </c>
      <c r="P15" s="46" t="s">
        <v>1743</v>
      </c>
      <c r="Q15" s="46" t="s">
        <v>1739</v>
      </c>
      <c r="R15" s="46" t="s">
        <v>1740</v>
      </c>
      <c r="S15" s="46" t="s">
        <v>1741</v>
      </c>
      <c r="T15" s="46" t="s">
        <v>1742</v>
      </c>
      <c r="U15" s="46" t="s">
        <v>1743</v>
      </c>
      <c r="V15" s="46" t="s">
        <v>1739</v>
      </c>
      <c r="W15" s="46" t="s">
        <v>1740</v>
      </c>
      <c r="X15" s="46" t="s">
        <v>1741</v>
      </c>
      <c r="Y15" s="46" t="s">
        <v>1742</v>
      </c>
      <c r="Z15" s="46" t="s">
        <v>1743</v>
      </c>
      <c r="AA15" s="46" t="s">
        <v>1739</v>
      </c>
      <c r="AB15" s="46" t="s">
        <v>1740</v>
      </c>
      <c r="AC15" s="46" t="s">
        <v>1741</v>
      </c>
      <c r="AD15" s="46" t="s">
        <v>1742</v>
      </c>
      <c r="AE15" s="46" t="s">
        <v>1743</v>
      </c>
      <c r="AF15" s="50"/>
      <c r="AG15" s="50"/>
      <c r="AH15" s="50"/>
      <c r="AI15" s="50"/>
      <c r="AJ15" s="50"/>
      <c r="AK15" s="50"/>
      <c r="AL15" s="50"/>
      <c r="AM15" s="50"/>
      <c r="AN15" s="50"/>
    </row>
    <row r="16" spans="1:40" x14ac:dyDescent="0.3">
      <c r="A16" s="53" t="s">
        <v>342</v>
      </c>
      <c r="B16" s="53" t="s">
        <v>1744</v>
      </c>
      <c r="C16" s="47" t="s">
        <v>1745</v>
      </c>
      <c r="D16" s="52"/>
      <c r="E16" s="52">
        <v>25</v>
      </c>
      <c r="F16" s="52">
        <v>3</v>
      </c>
      <c r="G16" s="52">
        <v>8</v>
      </c>
      <c r="H16" s="52">
        <v>4</v>
      </c>
      <c r="I16" s="52">
        <v>2</v>
      </c>
      <c r="J16" s="52">
        <v>0</v>
      </c>
      <c r="K16" s="52"/>
      <c r="L16" s="50">
        <v>5</v>
      </c>
      <c r="M16" s="50">
        <v>6</v>
      </c>
      <c r="N16" s="50">
        <v>17</v>
      </c>
      <c r="O16" s="50">
        <v>6</v>
      </c>
      <c r="P16" s="50">
        <v>8</v>
      </c>
      <c r="Q16" s="50">
        <v>24</v>
      </c>
      <c r="R16" s="50">
        <v>12</v>
      </c>
      <c r="S16" s="50">
        <v>3</v>
      </c>
      <c r="T16" s="50">
        <v>0</v>
      </c>
      <c r="U16" s="50">
        <v>3</v>
      </c>
      <c r="V16" s="50">
        <v>8</v>
      </c>
      <c r="W16" s="50">
        <v>9</v>
      </c>
      <c r="X16" s="50">
        <v>12</v>
      </c>
      <c r="Y16" s="50">
        <v>7</v>
      </c>
      <c r="Z16" s="50">
        <v>6</v>
      </c>
      <c r="AA16" s="50"/>
      <c r="AB16" s="50"/>
      <c r="AC16" s="50"/>
      <c r="AD16" s="50"/>
      <c r="AE16" s="50"/>
      <c r="AF16" s="50"/>
      <c r="AG16" s="50"/>
      <c r="AH16" s="50"/>
      <c r="AI16" s="50"/>
      <c r="AJ16" s="50"/>
      <c r="AK16" s="50"/>
      <c r="AL16" s="50"/>
      <c r="AM16" s="50"/>
      <c r="AN16" s="50"/>
    </row>
    <row r="17" spans="1:40" x14ac:dyDescent="0.3">
      <c r="A17" s="54" t="s">
        <v>609</v>
      </c>
      <c r="B17" s="54" t="s">
        <v>1746</v>
      </c>
      <c r="C17" s="47" t="s">
        <v>1747</v>
      </c>
      <c r="D17" s="48"/>
      <c r="E17" s="52">
        <v>11</v>
      </c>
      <c r="F17" s="52">
        <v>0</v>
      </c>
      <c r="G17" s="52">
        <v>0</v>
      </c>
      <c r="H17" s="52">
        <v>0</v>
      </c>
      <c r="I17" s="52">
        <v>0</v>
      </c>
      <c r="J17" s="52">
        <v>0</v>
      </c>
      <c r="K17" s="52"/>
      <c r="L17" s="50">
        <v>1</v>
      </c>
      <c r="M17" s="50">
        <v>1</v>
      </c>
      <c r="N17" s="50">
        <v>3</v>
      </c>
      <c r="O17" s="50">
        <v>3</v>
      </c>
      <c r="P17" s="50">
        <v>3</v>
      </c>
      <c r="Q17" s="50">
        <v>4</v>
      </c>
      <c r="R17" s="50">
        <v>3</v>
      </c>
      <c r="S17" s="50">
        <v>2</v>
      </c>
      <c r="T17" s="50">
        <v>1</v>
      </c>
      <c r="U17" s="50">
        <v>1</v>
      </c>
      <c r="V17" s="50">
        <v>0</v>
      </c>
      <c r="W17" s="50">
        <v>1</v>
      </c>
      <c r="X17" s="50">
        <v>4</v>
      </c>
      <c r="Y17" s="50">
        <v>4</v>
      </c>
      <c r="Z17" s="50">
        <v>2</v>
      </c>
      <c r="AA17" s="50">
        <v>0</v>
      </c>
      <c r="AB17" s="50">
        <v>1</v>
      </c>
      <c r="AC17" s="50">
        <v>7</v>
      </c>
      <c r="AD17" s="50">
        <v>1</v>
      </c>
      <c r="AE17" s="50">
        <v>2</v>
      </c>
      <c r="AF17" s="50"/>
      <c r="AG17" s="50"/>
      <c r="AH17" s="50"/>
      <c r="AI17" s="50"/>
      <c r="AJ17" s="50"/>
      <c r="AK17" s="50"/>
      <c r="AL17" s="50"/>
      <c r="AM17" s="50"/>
      <c r="AN17" s="50"/>
    </row>
    <row r="18" spans="1:40" x14ac:dyDescent="0.3">
      <c r="A18" s="55" t="s">
        <v>714</v>
      </c>
      <c r="B18" s="55" t="s">
        <v>1748</v>
      </c>
      <c r="C18" s="47" t="s">
        <v>1749</v>
      </c>
      <c r="D18" s="48"/>
      <c r="E18" s="52">
        <v>14</v>
      </c>
      <c r="F18" s="52">
        <v>0</v>
      </c>
      <c r="G18" s="52">
        <v>0</v>
      </c>
      <c r="H18" s="52">
        <v>0</v>
      </c>
      <c r="I18" s="52">
        <v>1</v>
      </c>
      <c r="J18" s="52">
        <v>0</v>
      </c>
      <c r="K18" s="52"/>
      <c r="L18" s="50">
        <v>8</v>
      </c>
      <c r="M18" s="50">
        <v>1</v>
      </c>
      <c r="N18" s="50">
        <v>4</v>
      </c>
      <c r="O18" s="50">
        <v>1</v>
      </c>
      <c r="P18" s="50">
        <v>1</v>
      </c>
      <c r="Q18" s="50">
        <v>9</v>
      </c>
      <c r="R18" s="50">
        <v>0</v>
      </c>
      <c r="S18" s="50">
        <v>4</v>
      </c>
      <c r="T18" s="50">
        <v>1</v>
      </c>
      <c r="U18" s="50">
        <v>1</v>
      </c>
      <c r="V18" s="50">
        <v>8</v>
      </c>
      <c r="W18" s="50">
        <v>0</v>
      </c>
      <c r="X18" s="50">
        <v>5</v>
      </c>
      <c r="Y18" s="50">
        <v>2</v>
      </c>
      <c r="Z18" s="50">
        <v>0</v>
      </c>
      <c r="AA18" s="50">
        <v>8</v>
      </c>
      <c r="AB18" s="50">
        <v>1</v>
      </c>
      <c r="AC18" s="50">
        <v>4</v>
      </c>
      <c r="AD18" s="50">
        <v>0</v>
      </c>
      <c r="AE18" s="50">
        <v>2</v>
      </c>
      <c r="AF18" s="50"/>
      <c r="AG18" s="50"/>
      <c r="AH18" s="50"/>
      <c r="AI18" s="50"/>
      <c r="AJ18" s="50"/>
    </row>
    <row r="19" spans="1:40" x14ac:dyDescent="0.3">
      <c r="A19" s="56" t="s">
        <v>730</v>
      </c>
      <c r="B19" s="56" t="s">
        <v>1750</v>
      </c>
      <c r="C19" s="47" t="s">
        <v>1751</v>
      </c>
      <c r="D19" s="48"/>
      <c r="E19" s="52">
        <v>0</v>
      </c>
      <c r="F19" s="52">
        <v>18</v>
      </c>
      <c r="G19" s="52">
        <v>1</v>
      </c>
      <c r="H19" s="52">
        <v>1</v>
      </c>
      <c r="I19" s="52">
        <v>0</v>
      </c>
      <c r="J19" s="52">
        <v>0</v>
      </c>
      <c r="K19" s="52"/>
      <c r="L19" s="50">
        <v>3</v>
      </c>
      <c r="M19" s="50">
        <v>2</v>
      </c>
      <c r="N19" s="50">
        <v>7</v>
      </c>
      <c r="O19" s="50">
        <v>6</v>
      </c>
      <c r="P19" s="50">
        <v>2</v>
      </c>
      <c r="Q19" s="50">
        <v>10</v>
      </c>
      <c r="R19" s="50">
        <v>3</v>
      </c>
      <c r="S19" s="50">
        <v>1</v>
      </c>
      <c r="T19" s="50">
        <v>6</v>
      </c>
      <c r="U19" s="50">
        <v>0</v>
      </c>
      <c r="V19" s="50">
        <v>3</v>
      </c>
      <c r="W19" s="50">
        <v>1</v>
      </c>
      <c r="X19" s="50">
        <v>8</v>
      </c>
      <c r="Y19" s="50">
        <v>7</v>
      </c>
      <c r="Z19" s="50">
        <v>1</v>
      </c>
      <c r="AA19" s="50">
        <v>4</v>
      </c>
      <c r="AB19" s="50">
        <v>2</v>
      </c>
      <c r="AC19" s="50">
        <v>8</v>
      </c>
      <c r="AD19" s="50">
        <v>4</v>
      </c>
      <c r="AE19" s="50">
        <v>2</v>
      </c>
      <c r="AF19" s="50"/>
      <c r="AG19" s="50"/>
      <c r="AH19" s="50"/>
      <c r="AI19" s="50"/>
      <c r="AJ19" s="50"/>
    </row>
    <row r="20" spans="1:40" x14ac:dyDescent="0.3">
      <c r="A20" s="57" t="s">
        <v>1752</v>
      </c>
      <c r="B20" s="57" t="s">
        <v>1753</v>
      </c>
      <c r="C20" s="47" t="s">
        <v>1754</v>
      </c>
      <c r="D20" s="48"/>
      <c r="E20" s="52">
        <v>1</v>
      </c>
      <c r="F20" s="52">
        <v>0</v>
      </c>
      <c r="G20" s="52">
        <v>0</v>
      </c>
      <c r="H20" s="52">
        <v>0</v>
      </c>
      <c r="I20" s="52">
        <v>14</v>
      </c>
      <c r="J20" s="52">
        <v>0</v>
      </c>
      <c r="K20" s="52"/>
      <c r="L20" s="50">
        <v>2</v>
      </c>
      <c r="M20" s="50">
        <v>1</v>
      </c>
      <c r="N20" s="50">
        <v>5</v>
      </c>
      <c r="O20" s="50">
        <v>6</v>
      </c>
      <c r="P20" s="50">
        <v>1</v>
      </c>
      <c r="Q20" s="50">
        <v>8</v>
      </c>
      <c r="R20" s="50">
        <v>3</v>
      </c>
      <c r="S20" s="50">
        <v>2</v>
      </c>
      <c r="T20" s="50">
        <v>2</v>
      </c>
      <c r="U20" s="50">
        <v>0</v>
      </c>
      <c r="V20" s="50">
        <v>2</v>
      </c>
      <c r="W20" s="50">
        <v>3</v>
      </c>
      <c r="X20" s="50">
        <v>3</v>
      </c>
      <c r="Y20" s="50">
        <v>3</v>
      </c>
      <c r="Z20" s="50">
        <v>3</v>
      </c>
      <c r="AA20" s="50">
        <v>4</v>
      </c>
      <c r="AB20" s="50">
        <v>3</v>
      </c>
      <c r="AC20" s="50">
        <v>3</v>
      </c>
      <c r="AD20" s="50">
        <v>2</v>
      </c>
      <c r="AE20" s="50">
        <v>3</v>
      </c>
      <c r="AF20" s="50"/>
      <c r="AG20" s="50"/>
      <c r="AH20" s="50"/>
      <c r="AI20" s="50"/>
      <c r="AJ20" s="50"/>
    </row>
    <row r="21" spans="1:40" x14ac:dyDescent="0.3">
      <c r="A21" s="58" t="s">
        <v>867</v>
      </c>
      <c r="B21" s="58" t="s">
        <v>883</v>
      </c>
      <c r="C21" s="47" t="s">
        <v>1755</v>
      </c>
      <c r="D21" s="48"/>
      <c r="E21" s="52">
        <v>0</v>
      </c>
      <c r="F21" s="52">
        <v>1</v>
      </c>
      <c r="G21" s="52">
        <v>0</v>
      </c>
      <c r="H21" s="52">
        <v>1</v>
      </c>
      <c r="I21" s="52">
        <v>13</v>
      </c>
      <c r="J21" s="52" t="s">
        <v>1756</v>
      </c>
      <c r="K21" s="52"/>
      <c r="L21" s="50">
        <v>0</v>
      </c>
      <c r="M21" s="50">
        <v>1</v>
      </c>
      <c r="N21" s="50">
        <v>3</v>
      </c>
      <c r="O21" s="50">
        <v>8</v>
      </c>
      <c r="P21" s="50">
        <v>4</v>
      </c>
      <c r="Q21" s="50">
        <v>6</v>
      </c>
      <c r="R21" s="50">
        <v>2</v>
      </c>
      <c r="S21" s="50">
        <v>4</v>
      </c>
      <c r="T21" s="50">
        <v>1</v>
      </c>
      <c r="U21" s="50">
        <v>3</v>
      </c>
      <c r="V21" s="50">
        <v>0</v>
      </c>
      <c r="W21" s="50">
        <v>1</v>
      </c>
      <c r="X21" s="50">
        <v>5</v>
      </c>
      <c r="Y21" s="50">
        <v>6</v>
      </c>
      <c r="Z21" s="50">
        <v>4</v>
      </c>
      <c r="AA21" s="50">
        <v>1</v>
      </c>
      <c r="AB21" s="50">
        <v>1</v>
      </c>
      <c r="AC21" s="50">
        <v>3</v>
      </c>
      <c r="AD21" s="50">
        <v>7</v>
      </c>
      <c r="AE21" s="50">
        <v>3</v>
      </c>
      <c r="AF21" s="50"/>
      <c r="AG21" s="50"/>
      <c r="AH21" s="50"/>
      <c r="AI21" s="50"/>
      <c r="AJ21" s="50"/>
    </row>
    <row r="22" spans="1:40" x14ac:dyDescent="0.3">
      <c r="A22" s="59" t="s">
        <v>932</v>
      </c>
      <c r="B22" s="59" t="s">
        <v>1757</v>
      </c>
      <c r="C22" s="47" t="s">
        <v>1758</v>
      </c>
      <c r="D22" s="48"/>
      <c r="E22" s="52">
        <v>2</v>
      </c>
      <c r="F22" s="52">
        <v>6</v>
      </c>
      <c r="G22" s="52">
        <v>2</v>
      </c>
      <c r="H22" s="52">
        <v>0</v>
      </c>
      <c r="I22" s="52">
        <v>0</v>
      </c>
      <c r="J22" s="52">
        <v>0</v>
      </c>
      <c r="K22" s="52"/>
      <c r="L22" s="50">
        <v>4</v>
      </c>
      <c r="M22" s="50">
        <v>2</v>
      </c>
      <c r="N22" s="50">
        <v>1</v>
      </c>
      <c r="O22" s="50">
        <v>2</v>
      </c>
      <c r="P22" s="50">
        <v>1</v>
      </c>
      <c r="Q22" s="50">
        <v>10</v>
      </c>
      <c r="R22" s="50">
        <v>0</v>
      </c>
      <c r="S22" s="50">
        <v>0</v>
      </c>
      <c r="T22" s="50">
        <v>0</v>
      </c>
      <c r="U22" s="50">
        <v>0</v>
      </c>
      <c r="V22" s="50">
        <v>2</v>
      </c>
      <c r="W22" s="50">
        <v>0</v>
      </c>
      <c r="X22" s="50">
        <v>5</v>
      </c>
      <c r="Y22" s="50">
        <v>2</v>
      </c>
      <c r="Z22" s="50">
        <v>1</v>
      </c>
      <c r="AA22" s="50">
        <v>5</v>
      </c>
      <c r="AB22" s="50">
        <v>3</v>
      </c>
      <c r="AC22" s="50">
        <v>1</v>
      </c>
      <c r="AD22" s="50">
        <v>1</v>
      </c>
      <c r="AE22" s="50">
        <v>0</v>
      </c>
      <c r="AF22" s="50"/>
      <c r="AG22" s="50"/>
      <c r="AH22" s="50"/>
      <c r="AI22" s="50"/>
      <c r="AJ22" s="50"/>
    </row>
    <row r="23" spans="1:40" x14ac:dyDescent="0.3">
      <c r="A23" s="52" t="s">
        <v>1017</v>
      </c>
      <c r="B23" s="52" t="s">
        <v>1759</v>
      </c>
      <c r="C23" s="47" t="s">
        <v>1760</v>
      </c>
      <c r="D23" s="52"/>
      <c r="E23" s="52">
        <v>0</v>
      </c>
      <c r="F23" s="52">
        <v>17</v>
      </c>
      <c r="G23" s="52">
        <v>0</v>
      </c>
      <c r="H23" s="52">
        <v>0</v>
      </c>
      <c r="I23" s="52">
        <v>0</v>
      </c>
      <c r="J23" s="52">
        <v>0</v>
      </c>
      <c r="K23" s="52"/>
      <c r="L23" s="50">
        <v>2</v>
      </c>
      <c r="M23" s="50">
        <v>4</v>
      </c>
      <c r="N23" s="50">
        <v>6</v>
      </c>
      <c r="O23" s="50">
        <v>4</v>
      </c>
      <c r="P23" s="50">
        <v>1</v>
      </c>
      <c r="Q23" s="50">
        <v>8</v>
      </c>
      <c r="R23" s="50">
        <v>3</v>
      </c>
      <c r="S23" s="50">
        <v>4</v>
      </c>
      <c r="T23" s="50">
        <v>2</v>
      </c>
      <c r="U23" s="50">
        <v>0</v>
      </c>
      <c r="V23" s="50">
        <v>3</v>
      </c>
      <c r="W23" s="50">
        <v>4</v>
      </c>
      <c r="X23" s="50">
        <v>3</v>
      </c>
      <c r="Y23" s="50">
        <v>5</v>
      </c>
      <c r="Z23" s="50">
        <v>2</v>
      </c>
      <c r="AA23" s="50">
        <v>4</v>
      </c>
      <c r="AB23" s="50">
        <v>3</v>
      </c>
      <c r="AC23" s="50">
        <v>6</v>
      </c>
      <c r="AD23" s="50">
        <v>2</v>
      </c>
      <c r="AE23" s="50">
        <v>2</v>
      </c>
      <c r="AF23" s="50"/>
      <c r="AG23" s="50"/>
      <c r="AH23" s="50"/>
      <c r="AI23" s="50"/>
      <c r="AJ23" s="50"/>
    </row>
    <row r="24" spans="1:40" x14ac:dyDescent="0.3">
      <c r="A24" s="60" t="s">
        <v>1035</v>
      </c>
      <c r="B24" s="60" t="s">
        <v>1040</v>
      </c>
      <c r="C24" s="52" t="s">
        <v>1761</v>
      </c>
      <c r="D24" s="52"/>
      <c r="E24" s="52">
        <v>1</v>
      </c>
      <c r="F24" s="52">
        <v>0</v>
      </c>
      <c r="G24" s="52">
        <v>0</v>
      </c>
      <c r="H24" s="52">
        <v>0</v>
      </c>
      <c r="I24" s="52">
        <v>46</v>
      </c>
      <c r="J24" s="52">
        <v>0</v>
      </c>
      <c r="K24" s="52"/>
      <c r="L24" s="50">
        <v>9</v>
      </c>
      <c r="M24" s="50">
        <v>11</v>
      </c>
      <c r="N24" s="50">
        <v>20</v>
      </c>
      <c r="O24" s="50">
        <v>5</v>
      </c>
      <c r="P24" s="50">
        <v>2</v>
      </c>
      <c r="Q24" s="50">
        <v>16</v>
      </c>
      <c r="R24" s="50">
        <v>10</v>
      </c>
      <c r="S24" s="50">
        <v>10</v>
      </c>
      <c r="T24" s="50">
        <v>8</v>
      </c>
      <c r="U24" s="50">
        <v>3</v>
      </c>
      <c r="V24" s="50">
        <v>3</v>
      </c>
      <c r="W24" s="50">
        <v>8</v>
      </c>
      <c r="X24" s="50">
        <v>25</v>
      </c>
      <c r="Y24" s="50">
        <v>8</v>
      </c>
      <c r="Z24" s="50">
        <v>3</v>
      </c>
      <c r="AA24" s="50">
        <v>5</v>
      </c>
      <c r="AB24" s="50">
        <v>6</v>
      </c>
      <c r="AC24" s="50">
        <v>18</v>
      </c>
      <c r="AD24" s="50">
        <v>9</v>
      </c>
      <c r="AE24" s="50">
        <v>9</v>
      </c>
      <c r="AF24" s="50"/>
      <c r="AG24" s="50"/>
      <c r="AH24" s="50"/>
      <c r="AI24" s="50"/>
      <c r="AJ24" s="50"/>
    </row>
    <row r="25" spans="1:40" x14ac:dyDescent="0.3">
      <c r="A25" s="61" t="s">
        <v>1179</v>
      </c>
      <c r="B25" s="61" t="s">
        <v>1189</v>
      </c>
      <c r="C25" s="47" t="s">
        <v>1762</v>
      </c>
      <c r="D25" s="52"/>
      <c r="E25" s="52">
        <v>17</v>
      </c>
      <c r="F25" s="52"/>
      <c r="G25" s="52">
        <v>1</v>
      </c>
      <c r="H25" s="52"/>
      <c r="I25" s="52"/>
      <c r="J25" s="52" t="s">
        <v>17995</v>
      </c>
      <c r="K25" s="52"/>
      <c r="L25" s="50">
        <v>4</v>
      </c>
      <c r="M25" s="50">
        <v>2</v>
      </c>
      <c r="N25" s="50">
        <v>11</v>
      </c>
      <c r="O25" s="50">
        <v>3</v>
      </c>
      <c r="P25" s="50">
        <v>0</v>
      </c>
      <c r="Q25" s="50">
        <v>10</v>
      </c>
      <c r="R25" s="50">
        <v>3</v>
      </c>
      <c r="S25" s="50">
        <v>4</v>
      </c>
      <c r="T25" s="50">
        <v>1</v>
      </c>
      <c r="U25" s="50">
        <v>2</v>
      </c>
      <c r="V25" s="50">
        <v>1</v>
      </c>
      <c r="W25" s="50">
        <v>2</v>
      </c>
      <c r="X25" s="50">
        <v>6</v>
      </c>
      <c r="Y25" s="50">
        <v>4</v>
      </c>
      <c r="Z25" s="50">
        <v>7</v>
      </c>
      <c r="AA25" s="50">
        <v>5</v>
      </c>
      <c r="AB25" s="50">
        <v>0</v>
      </c>
      <c r="AC25" s="50">
        <v>8</v>
      </c>
      <c r="AD25" s="50">
        <v>5</v>
      </c>
      <c r="AE25" s="50">
        <v>2</v>
      </c>
      <c r="AF25" s="50"/>
      <c r="AG25" s="50"/>
      <c r="AH25" s="50"/>
      <c r="AI25" s="50"/>
      <c r="AJ25" s="50"/>
    </row>
    <row r="26" spans="1:40" x14ac:dyDescent="0.3">
      <c r="A26" s="50"/>
      <c r="B26" s="50"/>
      <c r="C26" s="50"/>
      <c r="D26" s="50"/>
      <c r="E26" s="49" t="s">
        <v>1763</v>
      </c>
      <c r="F26" s="49" t="s">
        <v>1764</v>
      </c>
      <c r="G26" s="49" t="s">
        <v>1765</v>
      </c>
      <c r="H26" s="49" t="s">
        <v>1766</v>
      </c>
      <c r="I26" s="49" t="s">
        <v>1767</v>
      </c>
      <c r="J26" s="49" t="s">
        <v>1768</v>
      </c>
      <c r="K26" s="49" t="s">
        <v>1769</v>
      </c>
      <c r="L26" s="49" t="s">
        <v>1770</v>
      </c>
      <c r="M26" s="49" t="s">
        <v>1771</v>
      </c>
      <c r="N26" s="49" t="s">
        <v>1772</v>
      </c>
      <c r="O26" s="49" t="s">
        <v>1773</v>
      </c>
      <c r="P26" s="49" t="s">
        <v>1774</v>
      </c>
      <c r="Q26" s="49" t="s">
        <v>1775</v>
      </c>
      <c r="R26" s="49" t="s">
        <v>1776</v>
      </c>
      <c r="S26" s="49" t="s">
        <v>1777</v>
      </c>
      <c r="T26" s="49" t="s">
        <v>1778</v>
      </c>
      <c r="U26" s="49" t="s">
        <v>1779</v>
      </c>
      <c r="V26" s="49" t="s">
        <v>1780</v>
      </c>
      <c r="W26" s="49" t="s">
        <v>1781</v>
      </c>
      <c r="X26" s="49" t="s">
        <v>1782</v>
      </c>
      <c r="Y26" s="49" t="s">
        <v>1783</v>
      </c>
      <c r="Z26" s="49" t="s">
        <v>1784</v>
      </c>
      <c r="AA26" s="49" t="s">
        <v>1785</v>
      </c>
      <c r="AB26" s="49" t="s">
        <v>1786</v>
      </c>
      <c r="AC26" s="49" t="s">
        <v>1787</v>
      </c>
      <c r="AD26" s="49" t="s">
        <v>1788</v>
      </c>
      <c r="AE26" s="49" t="s">
        <v>1789</v>
      </c>
      <c r="AF26" s="49" t="s">
        <v>1790</v>
      </c>
      <c r="AG26" s="49" t="s">
        <v>1791</v>
      </c>
      <c r="AH26" s="49" t="s">
        <v>1792</v>
      </c>
      <c r="AI26" s="49" t="s">
        <v>1793</v>
      </c>
      <c r="AJ26" s="49" t="s">
        <v>1794</v>
      </c>
      <c r="AK26" s="49" t="s">
        <v>1795</v>
      </c>
      <c r="AL26" s="49" t="s">
        <v>1796</v>
      </c>
      <c r="AM26" s="49" t="s">
        <v>1797</v>
      </c>
      <c r="AN26" s="49" t="s">
        <v>1798</v>
      </c>
    </row>
    <row r="27" spans="1:40" x14ac:dyDescent="0.3">
      <c r="A27" s="53" t="s">
        <v>342</v>
      </c>
      <c r="B27" s="53" t="s">
        <v>1744</v>
      </c>
      <c r="C27" s="47" t="s">
        <v>1745</v>
      </c>
      <c r="D27" s="52"/>
      <c r="E27" s="50">
        <v>0</v>
      </c>
      <c r="F27" s="50">
        <v>0</v>
      </c>
      <c r="G27" s="50">
        <v>4</v>
      </c>
      <c r="H27" s="50">
        <v>0</v>
      </c>
      <c r="I27" s="50">
        <v>5</v>
      </c>
      <c r="J27" s="50">
        <v>1</v>
      </c>
      <c r="K27" s="50">
        <v>0</v>
      </c>
      <c r="L27" s="50">
        <v>0</v>
      </c>
      <c r="M27" s="50">
        <v>0</v>
      </c>
      <c r="N27" s="50">
        <v>10</v>
      </c>
      <c r="O27" s="50">
        <v>0</v>
      </c>
      <c r="P27" s="50">
        <v>0</v>
      </c>
      <c r="Q27" s="50">
        <v>0</v>
      </c>
      <c r="R27" s="50">
        <v>0</v>
      </c>
      <c r="S27" s="50">
        <v>0</v>
      </c>
      <c r="T27" s="50">
        <v>0</v>
      </c>
      <c r="U27" s="50">
        <v>0</v>
      </c>
      <c r="V27" s="50">
        <v>0</v>
      </c>
      <c r="W27" s="50">
        <v>0</v>
      </c>
      <c r="X27" s="50">
        <v>1</v>
      </c>
      <c r="Y27" s="50">
        <v>0</v>
      </c>
      <c r="Z27" s="50">
        <v>0</v>
      </c>
      <c r="AA27" s="50">
        <v>4</v>
      </c>
      <c r="AB27" s="50">
        <v>5</v>
      </c>
      <c r="AC27" s="50">
        <v>1</v>
      </c>
      <c r="AD27" s="50">
        <v>1</v>
      </c>
      <c r="AE27" s="50">
        <v>0</v>
      </c>
      <c r="AF27" s="50">
        <v>1</v>
      </c>
      <c r="AG27" s="50">
        <v>1</v>
      </c>
      <c r="AH27" s="50">
        <v>0</v>
      </c>
      <c r="AI27" s="50">
        <v>1</v>
      </c>
      <c r="AJ27" s="50">
        <v>2</v>
      </c>
      <c r="AK27" s="50">
        <v>2</v>
      </c>
      <c r="AL27" s="50">
        <v>2</v>
      </c>
      <c r="AM27" s="50">
        <v>1</v>
      </c>
      <c r="AN27" s="50">
        <v>0</v>
      </c>
    </row>
    <row r="28" spans="1:40" x14ac:dyDescent="0.3">
      <c r="A28" s="54" t="s">
        <v>609</v>
      </c>
      <c r="B28" s="54" t="s">
        <v>1746</v>
      </c>
      <c r="C28" s="47" t="s">
        <v>1747</v>
      </c>
      <c r="D28" s="48"/>
      <c r="E28" s="50">
        <v>0</v>
      </c>
      <c r="F28" s="50">
        <v>0</v>
      </c>
      <c r="G28" s="50">
        <v>0</v>
      </c>
      <c r="H28" s="50">
        <v>0</v>
      </c>
      <c r="I28" s="50">
        <v>5</v>
      </c>
      <c r="J28" s="50">
        <v>0</v>
      </c>
      <c r="K28" s="50">
        <v>0</v>
      </c>
      <c r="L28" s="50">
        <v>0</v>
      </c>
      <c r="M28" s="50">
        <v>0</v>
      </c>
      <c r="N28" s="50">
        <v>2</v>
      </c>
      <c r="O28" s="50">
        <v>0</v>
      </c>
      <c r="P28" s="50">
        <v>0</v>
      </c>
      <c r="Q28" s="50">
        <v>0</v>
      </c>
      <c r="R28" s="50">
        <v>0</v>
      </c>
      <c r="S28" s="50">
        <v>0</v>
      </c>
      <c r="T28" s="50">
        <v>1</v>
      </c>
      <c r="U28" s="50">
        <v>0</v>
      </c>
      <c r="V28" s="50">
        <v>0</v>
      </c>
      <c r="W28" s="50">
        <v>0</v>
      </c>
      <c r="X28" s="50">
        <v>0</v>
      </c>
      <c r="Y28" s="50">
        <v>0</v>
      </c>
      <c r="Z28" s="50">
        <v>0</v>
      </c>
      <c r="AA28" s="50">
        <v>0</v>
      </c>
      <c r="AB28" s="50">
        <v>0</v>
      </c>
      <c r="AC28" s="50">
        <v>2</v>
      </c>
      <c r="AD28" s="50">
        <v>1</v>
      </c>
      <c r="AE28" s="50">
        <v>0</v>
      </c>
      <c r="AF28" s="50">
        <v>0</v>
      </c>
      <c r="AG28" s="50">
        <v>0</v>
      </c>
      <c r="AH28" s="50">
        <v>0</v>
      </c>
      <c r="AI28" s="50">
        <v>0</v>
      </c>
      <c r="AJ28" s="50">
        <v>0</v>
      </c>
      <c r="AK28" s="50">
        <v>0</v>
      </c>
      <c r="AL28" s="50">
        <v>0</v>
      </c>
      <c r="AM28" s="50">
        <v>0</v>
      </c>
      <c r="AN28" s="50">
        <v>0</v>
      </c>
    </row>
    <row r="29" spans="1:40" x14ac:dyDescent="0.3">
      <c r="A29" s="55" t="s">
        <v>714</v>
      </c>
      <c r="B29" s="55" t="s">
        <v>1748</v>
      </c>
      <c r="C29" s="47" t="s">
        <v>1749</v>
      </c>
      <c r="D29" s="48"/>
      <c r="E29" s="50">
        <v>1</v>
      </c>
      <c r="F29" s="50">
        <v>2</v>
      </c>
      <c r="G29" s="50">
        <v>2</v>
      </c>
      <c r="H29" s="50">
        <v>1</v>
      </c>
      <c r="I29" s="50">
        <v>4</v>
      </c>
      <c r="J29" s="50">
        <v>0</v>
      </c>
      <c r="K29" s="50">
        <v>0</v>
      </c>
      <c r="L29" s="50">
        <v>0</v>
      </c>
      <c r="M29" s="50">
        <v>0</v>
      </c>
      <c r="N29" s="50">
        <v>2</v>
      </c>
      <c r="O29" s="50">
        <v>0</v>
      </c>
      <c r="P29" s="50">
        <v>0</v>
      </c>
      <c r="Q29" s="50">
        <v>0</v>
      </c>
      <c r="R29" s="50">
        <v>0</v>
      </c>
      <c r="S29" s="50">
        <v>0</v>
      </c>
      <c r="T29" s="50">
        <v>0</v>
      </c>
      <c r="U29" s="50">
        <v>1</v>
      </c>
      <c r="V29" s="50">
        <v>0</v>
      </c>
      <c r="W29" s="50">
        <v>0</v>
      </c>
      <c r="X29" s="50">
        <v>0</v>
      </c>
      <c r="Y29" s="50">
        <v>0</v>
      </c>
      <c r="Z29" s="50">
        <v>0</v>
      </c>
      <c r="AA29" s="50">
        <v>0</v>
      </c>
      <c r="AB29" s="50">
        <v>0</v>
      </c>
      <c r="AC29" s="50">
        <v>0</v>
      </c>
      <c r="AD29" s="50">
        <v>1</v>
      </c>
      <c r="AE29" s="50">
        <v>0</v>
      </c>
      <c r="AF29" s="50">
        <v>0</v>
      </c>
      <c r="AG29" s="50">
        <v>0</v>
      </c>
      <c r="AH29" s="50">
        <v>0</v>
      </c>
      <c r="AI29" s="50">
        <v>0</v>
      </c>
      <c r="AJ29" s="50">
        <v>0</v>
      </c>
      <c r="AK29" s="50">
        <v>0</v>
      </c>
      <c r="AL29" s="50">
        <v>0</v>
      </c>
      <c r="AM29" s="50">
        <v>0</v>
      </c>
      <c r="AN29" s="50">
        <v>1</v>
      </c>
    </row>
    <row r="30" spans="1:40" x14ac:dyDescent="0.3">
      <c r="A30" s="56" t="s">
        <v>730</v>
      </c>
      <c r="B30" s="56" t="s">
        <v>1750</v>
      </c>
      <c r="C30" s="47" t="s">
        <v>1751</v>
      </c>
      <c r="D30" s="48"/>
      <c r="E30" s="50">
        <v>0</v>
      </c>
      <c r="F30" s="50">
        <v>1</v>
      </c>
      <c r="G30" s="50">
        <v>1</v>
      </c>
      <c r="H30" s="50">
        <v>4</v>
      </c>
      <c r="I30" s="50">
        <v>6</v>
      </c>
      <c r="J30" s="50">
        <v>0</v>
      </c>
      <c r="K30" s="50">
        <v>0</v>
      </c>
      <c r="L30" s="50">
        <v>1</v>
      </c>
      <c r="M30" s="50">
        <v>0</v>
      </c>
      <c r="N30" s="50">
        <v>2</v>
      </c>
      <c r="O30" s="50">
        <v>0</v>
      </c>
      <c r="P30" s="50">
        <v>0</v>
      </c>
      <c r="Q30" s="50">
        <v>0</v>
      </c>
      <c r="R30" s="50">
        <v>0</v>
      </c>
      <c r="S30" s="50">
        <v>0</v>
      </c>
      <c r="T30" s="50">
        <v>0</v>
      </c>
      <c r="U30" s="50">
        <v>0</v>
      </c>
      <c r="V30" s="50">
        <v>1</v>
      </c>
      <c r="W30" s="50">
        <v>0</v>
      </c>
      <c r="X30" s="50">
        <v>0</v>
      </c>
      <c r="Y30" s="50">
        <v>0</v>
      </c>
      <c r="Z30" s="50">
        <v>0</v>
      </c>
      <c r="AA30" s="50">
        <v>0</v>
      </c>
      <c r="AB30" s="50">
        <v>1</v>
      </c>
      <c r="AC30" s="50">
        <v>1</v>
      </c>
      <c r="AD30" s="50">
        <v>0</v>
      </c>
      <c r="AE30" s="50">
        <v>0</v>
      </c>
      <c r="AF30" s="50">
        <v>0</v>
      </c>
      <c r="AG30" s="50">
        <v>2</v>
      </c>
      <c r="AH30" s="50">
        <v>0</v>
      </c>
      <c r="AI30" s="50">
        <v>0</v>
      </c>
      <c r="AJ30" s="50">
        <v>0</v>
      </c>
      <c r="AK30" s="50">
        <v>0</v>
      </c>
      <c r="AL30" s="50">
        <v>0</v>
      </c>
      <c r="AM30" s="50">
        <v>0</v>
      </c>
      <c r="AN30" s="50">
        <v>0</v>
      </c>
    </row>
    <row r="31" spans="1:40" x14ac:dyDescent="0.3">
      <c r="A31" s="57" t="s">
        <v>1752</v>
      </c>
      <c r="B31" s="57" t="s">
        <v>1753</v>
      </c>
      <c r="C31" s="47" t="s">
        <v>1754</v>
      </c>
      <c r="D31" s="48"/>
      <c r="E31" s="50">
        <v>1</v>
      </c>
      <c r="F31" s="50">
        <v>1</v>
      </c>
      <c r="G31" s="50">
        <v>1</v>
      </c>
      <c r="H31" s="50">
        <v>0</v>
      </c>
      <c r="I31" s="50">
        <v>4</v>
      </c>
      <c r="J31" s="50">
        <v>1</v>
      </c>
      <c r="K31" s="50">
        <v>0</v>
      </c>
      <c r="L31" s="50">
        <v>0</v>
      </c>
      <c r="M31" s="50">
        <v>0</v>
      </c>
      <c r="N31" s="50">
        <v>3</v>
      </c>
      <c r="O31" s="50">
        <v>0</v>
      </c>
      <c r="P31" s="50">
        <v>0</v>
      </c>
      <c r="Q31" s="50">
        <v>0</v>
      </c>
      <c r="R31" s="50">
        <v>0</v>
      </c>
      <c r="S31" s="50">
        <v>0</v>
      </c>
      <c r="T31" s="50">
        <v>1</v>
      </c>
      <c r="U31" s="50">
        <v>1</v>
      </c>
      <c r="V31" s="50">
        <v>0</v>
      </c>
      <c r="W31" s="50">
        <v>0</v>
      </c>
      <c r="X31" s="50">
        <v>0</v>
      </c>
      <c r="Y31" s="50">
        <v>0</v>
      </c>
      <c r="Z31" s="50">
        <v>0</v>
      </c>
      <c r="AA31" s="50">
        <v>0</v>
      </c>
      <c r="AB31" s="50">
        <v>0</v>
      </c>
      <c r="AC31" s="50">
        <v>0</v>
      </c>
      <c r="AD31" s="50">
        <v>1</v>
      </c>
      <c r="AE31" s="50">
        <v>0</v>
      </c>
      <c r="AF31" s="50">
        <v>0</v>
      </c>
      <c r="AG31" s="50">
        <v>1</v>
      </c>
      <c r="AH31" s="50">
        <v>0</v>
      </c>
      <c r="AI31" s="50">
        <v>0</v>
      </c>
      <c r="AJ31" s="50">
        <v>0</v>
      </c>
      <c r="AK31" s="50">
        <v>0</v>
      </c>
      <c r="AL31" s="50">
        <v>0</v>
      </c>
      <c r="AM31" s="50">
        <v>0</v>
      </c>
      <c r="AN31" s="50">
        <v>0</v>
      </c>
    </row>
    <row r="32" spans="1:40" x14ac:dyDescent="0.3">
      <c r="A32" s="58" t="s">
        <v>867</v>
      </c>
      <c r="B32" s="58" t="s">
        <v>883</v>
      </c>
      <c r="C32" s="47" t="s">
        <v>1755</v>
      </c>
      <c r="D32" s="48"/>
      <c r="E32" s="50">
        <v>1</v>
      </c>
      <c r="F32" s="50">
        <v>0</v>
      </c>
      <c r="G32" s="50">
        <v>0</v>
      </c>
      <c r="H32" s="50">
        <v>2</v>
      </c>
      <c r="I32" s="50">
        <v>3</v>
      </c>
      <c r="J32" s="50">
        <v>0</v>
      </c>
      <c r="K32" s="50">
        <v>0</v>
      </c>
      <c r="L32" s="50">
        <v>0</v>
      </c>
      <c r="M32" s="50">
        <v>0</v>
      </c>
      <c r="N32" s="50">
        <v>3</v>
      </c>
      <c r="O32" s="50">
        <v>0</v>
      </c>
      <c r="P32" s="50">
        <v>0</v>
      </c>
      <c r="Q32" s="50">
        <v>0</v>
      </c>
      <c r="R32" s="50">
        <v>1</v>
      </c>
      <c r="S32" s="50">
        <v>0</v>
      </c>
      <c r="T32" s="50">
        <v>1</v>
      </c>
      <c r="U32" s="50">
        <v>1</v>
      </c>
      <c r="V32" s="50">
        <v>1</v>
      </c>
      <c r="W32" s="50">
        <v>0</v>
      </c>
      <c r="X32" s="50">
        <v>0</v>
      </c>
      <c r="Y32" s="50">
        <v>1</v>
      </c>
      <c r="Z32" s="50">
        <v>0</v>
      </c>
      <c r="AA32" s="50">
        <v>0</v>
      </c>
      <c r="AB32" s="50">
        <v>0</v>
      </c>
      <c r="AC32" s="50">
        <v>0</v>
      </c>
      <c r="AD32" s="50">
        <v>1</v>
      </c>
      <c r="AE32" s="50">
        <v>0</v>
      </c>
      <c r="AF32" s="50">
        <v>0</v>
      </c>
      <c r="AG32" s="50">
        <v>0</v>
      </c>
      <c r="AH32" s="50">
        <v>0</v>
      </c>
      <c r="AI32" s="50">
        <v>0</v>
      </c>
      <c r="AJ32" s="50">
        <v>1</v>
      </c>
      <c r="AK32" s="50">
        <v>0</v>
      </c>
      <c r="AL32" s="50">
        <v>0</v>
      </c>
      <c r="AM32" s="50">
        <v>0</v>
      </c>
      <c r="AN32" s="50">
        <v>0</v>
      </c>
    </row>
    <row r="33" spans="1:40" x14ac:dyDescent="0.3">
      <c r="A33" s="59" t="s">
        <v>932</v>
      </c>
      <c r="B33" s="59" t="s">
        <v>1757</v>
      </c>
      <c r="C33" s="47" t="s">
        <v>1758</v>
      </c>
      <c r="D33" s="48"/>
      <c r="E33" s="50">
        <v>0</v>
      </c>
      <c r="F33" s="50">
        <v>0</v>
      </c>
      <c r="G33" s="50">
        <v>0</v>
      </c>
      <c r="H33" s="50">
        <v>0</v>
      </c>
      <c r="I33" s="50">
        <v>2</v>
      </c>
      <c r="J33" s="50">
        <v>1</v>
      </c>
      <c r="K33" s="50">
        <v>0</v>
      </c>
      <c r="L33" s="50">
        <v>0</v>
      </c>
      <c r="M33" s="50">
        <v>0</v>
      </c>
      <c r="N33" s="50">
        <v>3</v>
      </c>
      <c r="O33" s="50">
        <v>0</v>
      </c>
      <c r="P33" s="50">
        <v>0</v>
      </c>
      <c r="Q33" s="50">
        <v>0</v>
      </c>
      <c r="R33" s="50">
        <v>0</v>
      </c>
      <c r="S33" s="50">
        <v>0</v>
      </c>
      <c r="T33" s="50">
        <v>0</v>
      </c>
      <c r="U33" s="50">
        <v>1</v>
      </c>
      <c r="V33" s="50">
        <v>1</v>
      </c>
      <c r="W33" s="50">
        <v>0</v>
      </c>
      <c r="X33" s="50">
        <v>0</v>
      </c>
      <c r="Y33" s="50">
        <v>0</v>
      </c>
      <c r="Z33" s="50">
        <v>0</v>
      </c>
      <c r="AA33" s="50">
        <v>0</v>
      </c>
      <c r="AB33" s="50">
        <v>1</v>
      </c>
      <c r="AC33" s="50">
        <v>0</v>
      </c>
      <c r="AD33" s="50">
        <v>0</v>
      </c>
      <c r="AE33" s="50">
        <v>0</v>
      </c>
      <c r="AF33" s="50">
        <v>0</v>
      </c>
      <c r="AG33" s="50">
        <v>1</v>
      </c>
      <c r="AH33" s="50">
        <v>0</v>
      </c>
      <c r="AI33" s="50">
        <v>0</v>
      </c>
      <c r="AJ33" s="50">
        <v>1</v>
      </c>
      <c r="AK33" s="50">
        <v>0</v>
      </c>
      <c r="AL33" s="50">
        <v>0</v>
      </c>
      <c r="AM33" s="50">
        <v>0</v>
      </c>
      <c r="AN33" s="50">
        <v>0</v>
      </c>
    </row>
    <row r="34" spans="1:40" x14ac:dyDescent="0.3">
      <c r="A34" s="52" t="s">
        <v>1017</v>
      </c>
      <c r="B34" s="52" t="s">
        <v>1759</v>
      </c>
      <c r="C34" s="47" t="s">
        <v>1760</v>
      </c>
      <c r="D34" s="52"/>
      <c r="E34" s="50">
        <v>0</v>
      </c>
      <c r="F34" s="50">
        <v>0</v>
      </c>
      <c r="G34" s="50">
        <v>1</v>
      </c>
      <c r="H34" s="50">
        <v>3</v>
      </c>
      <c r="I34" s="50">
        <v>4</v>
      </c>
      <c r="J34" s="50">
        <v>4</v>
      </c>
      <c r="K34" s="50">
        <v>0</v>
      </c>
      <c r="L34" s="50">
        <v>0</v>
      </c>
      <c r="M34" s="50">
        <v>0</v>
      </c>
      <c r="N34" s="50">
        <v>1</v>
      </c>
      <c r="O34" s="50">
        <v>0</v>
      </c>
      <c r="P34" s="50">
        <v>0</v>
      </c>
      <c r="Q34" s="50">
        <v>0</v>
      </c>
      <c r="R34" s="50">
        <v>0</v>
      </c>
      <c r="S34" s="50">
        <v>0</v>
      </c>
      <c r="T34" s="50">
        <v>0</v>
      </c>
      <c r="U34" s="50">
        <v>0</v>
      </c>
      <c r="V34" s="50">
        <v>0</v>
      </c>
      <c r="W34" s="50">
        <v>0</v>
      </c>
      <c r="X34" s="50">
        <v>0</v>
      </c>
      <c r="Y34" s="50">
        <v>0</v>
      </c>
      <c r="Z34" s="50">
        <v>0</v>
      </c>
      <c r="AA34" s="50">
        <v>0</v>
      </c>
      <c r="AB34" s="50">
        <v>0</v>
      </c>
      <c r="AC34" s="50">
        <v>0</v>
      </c>
      <c r="AD34" s="50">
        <v>2</v>
      </c>
      <c r="AE34" s="50">
        <v>0</v>
      </c>
      <c r="AF34" s="50">
        <v>2</v>
      </c>
      <c r="AG34" s="50">
        <v>0</v>
      </c>
      <c r="AH34" s="50">
        <v>0</v>
      </c>
      <c r="AI34" s="50">
        <v>0</v>
      </c>
      <c r="AJ34" s="50">
        <v>0</v>
      </c>
      <c r="AK34" s="50">
        <v>0</v>
      </c>
      <c r="AL34" s="50">
        <v>0</v>
      </c>
      <c r="AM34" s="50">
        <v>0</v>
      </c>
      <c r="AN34" s="50">
        <v>0</v>
      </c>
    </row>
    <row r="35" spans="1:40" x14ac:dyDescent="0.3">
      <c r="A35" s="60" t="s">
        <v>1035</v>
      </c>
      <c r="B35" s="60" t="s">
        <v>1040</v>
      </c>
      <c r="C35" s="52" t="s">
        <v>1761</v>
      </c>
      <c r="D35" s="52"/>
      <c r="E35" s="50">
        <v>0</v>
      </c>
      <c r="F35" s="50">
        <v>2</v>
      </c>
      <c r="G35" s="50">
        <v>1</v>
      </c>
      <c r="H35" s="50">
        <v>4</v>
      </c>
      <c r="I35" s="50">
        <v>14</v>
      </c>
      <c r="J35" s="50">
        <v>1</v>
      </c>
      <c r="K35" s="50">
        <v>1</v>
      </c>
      <c r="L35" s="50">
        <v>0</v>
      </c>
      <c r="M35" s="50">
        <v>2</v>
      </c>
      <c r="N35" s="50">
        <v>10</v>
      </c>
      <c r="O35" s="50">
        <v>0</v>
      </c>
      <c r="P35" s="50">
        <v>0</v>
      </c>
      <c r="Q35" s="50">
        <v>0</v>
      </c>
      <c r="R35" s="50">
        <v>0</v>
      </c>
      <c r="S35" s="50">
        <v>0</v>
      </c>
      <c r="T35" s="50">
        <v>0</v>
      </c>
      <c r="U35" s="50">
        <v>1</v>
      </c>
      <c r="V35" s="50">
        <v>0</v>
      </c>
      <c r="W35" s="50">
        <v>0</v>
      </c>
      <c r="X35" s="50">
        <v>0</v>
      </c>
      <c r="Y35" s="50">
        <v>3</v>
      </c>
      <c r="Z35" s="50">
        <v>0</v>
      </c>
      <c r="AA35" s="50">
        <v>0</v>
      </c>
      <c r="AB35" s="50">
        <v>1</v>
      </c>
      <c r="AC35" s="50">
        <v>3</v>
      </c>
      <c r="AD35" s="50">
        <v>1</v>
      </c>
      <c r="AE35" s="50">
        <v>2</v>
      </c>
      <c r="AF35" s="50">
        <v>0</v>
      </c>
      <c r="AG35" s="50">
        <v>0</v>
      </c>
      <c r="AH35" s="50">
        <v>0</v>
      </c>
      <c r="AI35" s="50">
        <v>0</v>
      </c>
      <c r="AJ35" s="50">
        <v>1</v>
      </c>
      <c r="AK35" s="50">
        <v>0</v>
      </c>
      <c r="AL35" s="50">
        <v>0</v>
      </c>
      <c r="AM35" s="50">
        <v>0</v>
      </c>
      <c r="AN35" s="50">
        <v>0</v>
      </c>
    </row>
    <row r="36" spans="1:40" x14ac:dyDescent="0.3">
      <c r="A36" s="61" t="s">
        <v>1179</v>
      </c>
      <c r="B36" s="61" t="s">
        <v>1189</v>
      </c>
      <c r="C36" s="47" t="s">
        <v>1762</v>
      </c>
      <c r="D36" s="52"/>
      <c r="E36" s="50">
        <v>1</v>
      </c>
      <c r="F36" s="50">
        <v>2</v>
      </c>
      <c r="G36" s="50">
        <v>0</v>
      </c>
      <c r="H36" s="50">
        <v>1</v>
      </c>
      <c r="I36" s="50">
        <v>5</v>
      </c>
      <c r="J36" s="50">
        <v>0</v>
      </c>
      <c r="K36" s="50">
        <v>0</v>
      </c>
      <c r="L36" s="50">
        <v>0</v>
      </c>
      <c r="M36" s="50">
        <v>1</v>
      </c>
      <c r="N36" s="50">
        <v>4</v>
      </c>
      <c r="O36" s="50">
        <v>0</v>
      </c>
      <c r="P36" s="50">
        <v>0</v>
      </c>
      <c r="Q36" s="50">
        <v>0</v>
      </c>
      <c r="R36" s="50">
        <v>0</v>
      </c>
      <c r="S36" s="50">
        <v>0</v>
      </c>
      <c r="T36" s="50">
        <v>0</v>
      </c>
      <c r="U36" s="50">
        <v>1</v>
      </c>
      <c r="V36" s="50">
        <v>2</v>
      </c>
      <c r="W36" s="50">
        <v>0</v>
      </c>
      <c r="X36" s="50">
        <v>0</v>
      </c>
      <c r="Y36" s="50">
        <v>0</v>
      </c>
      <c r="Z36" s="50">
        <v>0</v>
      </c>
      <c r="AA36" s="50">
        <v>0</v>
      </c>
      <c r="AB36" s="50">
        <v>1</v>
      </c>
      <c r="AC36" s="50">
        <v>0</v>
      </c>
      <c r="AD36" s="50">
        <v>2</v>
      </c>
      <c r="AE36" s="50">
        <v>0</v>
      </c>
      <c r="AF36" s="50">
        <v>0</v>
      </c>
      <c r="AG36" s="50">
        <v>0</v>
      </c>
      <c r="AH36" s="50">
        <v>0</v>
      </c>
      <c r="AI36" s="50">
        <v>0</v>
      </c>
      <c r="AJ36" s="50">
        <v>0</v>
      </c>
      <c r="AK36" s="50">
        <v>0</v>
      </c>
      <c r="AL36" s="50">
        <v>0</v>
      </c>
      <c r="AM36" s="50">
        <v>0</v>
      </c>
      <c r="AN36" s="50">
        <v>0</v>
      </c>
    </row>
    <row r="42" spans="1:40" x14ac:dyDescent="0.3">
      <c r="A42" s="77"/>
      <c r="B42" s="78"/>
      <c r="C42" s="79"/>
      <c r="D42" s="78"/>
      <c r="E42" s="45" t="s">
        <v>1807</v>
      </c>
      <c r="F42" s="45" t="s">
        <v>1808</v>
      </c>
      <c r="G42" s="45" t="s">
        <v>1809</v>
      </c>
      <c r="H42" s="62" t="s">
        <v>1810</v>
      </c>
      <c r="I42" s="45" t="s">
        <v>1811</v>
      </c>
      <c r="J42" s="63" t="s">
        <v>1812</v>
      </c>
      <c r="K42" s="63" t="s">
        <v>1814</v>
      </c>
      <c r="L42" s="63" t="s">
        <v>1816</v>
      </c>
      <c r="M42" s="63" t="s">
        <v>1817</v>
      </c>
      <c r="N42" s="64" t="s">
        <v>1818</v>
      </c>
      <c r="O42" s="64" t="s">
        <v>1819</v>
      </c>
      <c r="P42" s="64" t="s">
        <v>1820</v>
      </c>
      <c r="Q42" s="64" t="s">
        <v>1821</v>
      </c>
      <c r="R42" s="65" t="s">
        <v>1822</v>
      </c>
      <c r="S42" s="63" t="s">
        <v>1823</v>
      </c>
      <c r="T42" s="63" t="s">
        <v>1824</v>
      </c>
      <c r="U42" s="52"/>
      <c r="V42" s="45" t="s">
        <v>1825</v>
      </c>
      <c r="W42" s="45" t="s">
        <v>1826</v>
      </c>
      <c r="X42" s="45" t="s">
        <v>1827</v>
      </c>
      <c r="Y42" s="45" t="s">
        <v>1828</v>
      </c>
      <c r="Z42" s="45" t="s">
        <v>1829</v>
      </c>
      <c r="AA42" s="45" t="s">
        <v>1822</v>
      </c>
      <c r="AB42" s="45" t="s">
        <v>1830</v>
      </c>
      <c r="AC42" s="45" t="s">
        <v>1831</v>
      </c>
      <c r="AD42" s="45" t="s">
        <v>1832</v>
      </c>
      <c r="AE42" s="45" t="s">
        <v>1833</v>
      </c>
      <c r="AF42" s="45" t="s">
        <v>1834</v>
      </c>
      <c r="AG42" s="45" t="s">
        <v>1835</v>
      </c>
      <c r="AH42" s="45" t="s">
        <v>1836</v>
      </c>
      <c r="AI42" s="45" t="s">
        <v>1837</v>
      </c>
      <c r="AJ42" s="52"/>
    </row>
    <row r="43" spans="1:40" x14ac:dyDescent="0.3">
      <c r="A43" s="80" t="s">
        <v>1254</v>
      </c>
      <c r="B43" s="80" t="s">
        <v>1799</v>
      </c>
      <c r="C43" s="66" t="s">
        <v>1802</v>
      </c>
      <c r="D43" s="78"/>
      <c r="E43" s="52">
        <v>34</v>
      </c>
      <c r="F43" s="52">
        <v>27</v>
      </c>
      <c r="G43" s="52">
        <v>7</v>
      </c>
      <c r="H43" s="78">
        <v>0</v>
      </c>
      <c r="I43" s="52"/>
      <c r="J43" s="52">
        <v>16</v>
      </c>
      <c r="K43" s="52">
        <v>10</v>
      </c>
      <c r="L43" s="52">
        <v>4</v>
      </c>
      <c r="M43" s="52">
        <v>3</v>
      </c>
      <c r="N43" s="81">
        <v>0</v>
      </c>
      <c r="O43" s="81">
        <v>0</v>
      </c>
      <c r="P43" s="81">
        <v>0</v>
      </c>
      <c r="Q43" s="82">
        <v>0</v>
      </c>
      <c r="R43" s="83">
        <v>0</v>
      </c>
      <c r="S43" s="52">
        <v>1</v>
      </c>
      <c r="T43" s="52"/>
      <c r="U43" s="52"/>
      <c r="V43" s="52">
        <v>16</v>
      </c>
      <c r="W43" s="52">
        <v>15</v>
      </c>
      <c r="X43" s="52">
        <v>0</v>
      </c>
      <c r="Y43" s="52">
        <v>0</v>
      </c>
      <c r="Z43" s="52">
        <v>0</v>
      </c>
      <c r="AA43" s="52">
        <v>3</v>
      </c>
      <c r="AB43" s="52">
        <v>3</v>
      </c>
      <c r="AC43" s="52">
        <v>1</v>
      </c>
      <c r="AD43" s="52">
        <v>2</v>
      </c>
      <c r="AE43" s="52">
        <v>0</v>
      </c>
      <c r="AF43" s="52">
        <v>0</v>
      </c>
      <c r="AG43" s="52">
        <v>0</v>
      </c>
      <c r="AH43" s="52">
        <v>0</v>
      </c>
      <c r="AI43" s="52">
        <v>28</v>
      </c>
      <c r="AJ43" s="52"/>
    </row>
    <row r="44" spans="1:40" x14ac:dyDescent="0.3">
      <c r="A44" s="84" t="s">
        <v>1400</v>
      </c>
      <c r="B44" s="84" t="s">
        <v>1800</v>
      </c>
      <c r="C44" s="66" t="s">
        <v>1803</v>
      </c>
      <c r="D44" s="67"/>
      <c r="E44" s="52">
        <v>22</v>
      </c>
      <c r="F44" s="52">
        <v>4</v>
      </c>
      <c r="G44" s="52">
        <v>17</v>
      </c>
      <c r="H44" s="78">
        <v>1</v>
      </c>
      <c r="I44" s="52"/>
      <c r="J44" s="52">
        <v>16</v>
      </c>
      <c r="K44" s="52">
        <v>1</v>
      </c>
      <c r="L44" s="52">
        <v>3</v>
      </c>
      <c r="M44" s="52">
        <v>2</v>
      </c>
      <c r="N44" s="81">
        <v>0</v>
      </c>
      <c r="O44" s="52">
        <v>0</v>
      </c>
      <c r="P44" s="52">
        <v>0</v>
      </c>
      <c r="Q44" s="52">
        <v>0</v>
      </c>
      <c r="R44" s="78">
        <v>0</v>
      </c>
      <c r="S44" s="52"/>
      <c r="T44" s="52"/>
      <c r="U44" s="52"/>
      <c r="V44" s="52">
        <v>9</v>
      </c>
      <c r="W44" s="52">
        <v>3</v>
      </c>
      <c r="X44" s="52">
        <v>2</v>
      </c>
      <c r="Y44" s="52">
        <v>2</v>
      </c>
      <c r="Z44" s="52">
        <v>1</v>
      </c>
      <c r="AA44" s="52">
        <v>5</v>
      </c>
      <c r="AB44" s="52">
        <v>1</v>
      </c>
      <c r="AC44" s="52">
        <v>3</v>
      </c>
      <c r="AD44" s="52">
        <v>1</v>
      </c>
      <c r="AE44" s="52">
        <v>1</v>
      </c>
      <c r="AF44" s="52">
        <v>0</v>
      </c>
      <c r="AG44" s="52">
        <v>0</v>
      </c>
      <c r="AH44" s="52">
        <v>0</v>
      </c>
      <c r="AI44" s="52">
        <v>16</v>
      </c>
      <c r="AJ44" s="52"/>
    </row>
    <row r="45" spans="1:40" ht="15" thickBot="1" x14ac:dyDescent="0.35">
      <c r="A45" s="85" t="s">
        <v>1486</v>
      </c>
      <c r="B45" s="86" t="s">
        <v>1801</v>
      </c>
      <c r="C45" s="66" t="s">
        <v>1804</v>
      </c>
      <c r="D45" s="68"/>
      <c r="E45" s="52">
        <v>27</v>
      </c>
      <c r="F45" s="52">
        <v>10</v>
      </c>
      <c r="G45" s="52">
        <v>17</v>
      </c>
      <c r="H45" s="78">
        <v>1</v>
      </c>
      <c r="I45" s="52"/>
      <c r="J45" s="52">
        <v>26</v>
      </c>
      <c r="K45" s="52">
        <v>0</v>
      </c>
      <c r="L45" s="52">
        <v>1</v>
      </c>
      <c r="M45" s="52">
        <v>0</v>
      </c>
      <c r="N45" s="81">
        <v>0</v>
      </c>
      <c r="O45" s="52">
        <v>0</v>
      </c>
      <c r="P45" s="52">
        <v>0</v>
      </c>
      <c r="Q45" s="81">
        <v>0</v>
      </c>
      <c r="R45" s="87">
        <v>1</v>
      </c>
      <c r="S45" s="52"/>
      <c r="T45" s="52"/>
      <c r="U45" s="52"/>
      <c r="V45" s="52">
        <v>11</v>
      </c>
      <c r="W45" s="52">
        <v>7</v>
      </c>
      <c r="X45" s="52">
        <v>6</v>
      </c>
      <c r="Y45" s="52">
        <v>2</v>
      </c>
      <c r="Z45" s="52">
        <v>0</v>
      </c>
      <c r="AA45" s="52">
        <v>2</v>
      </c>
      <c r="AB45" s="52">
        <v>3</v>
      </c>
      <c r="AC45" s="52">
        <v>1</v>
      </c>
      <c r="AD45" s="52">
        <v>0</v>
      </c>
      <c r="AE45" s="52">
        <v>1</v>
      </c>
      <c r="AF45" s="52">
        <v>0</v>
      </c>
      <c r="AG45" s="52">
        <v>0</v>
      </c>
      <c r="AH45" s="52">
        <v>0</v>
      </c>
      <c r="AI45" s="52">
        <v>23</v>
      </c>
      <c r="AJ45" s="52"/>
    </row>
    <row r="46" spans="1:40" ht="15" thickBot="1" x14ac:dyDescent="0.35">
      <c r="A46" s="88" t="s">
        <v>1585</v>
      </c>
      <c r="B46" s="89" t="s">
        <v>1593</v>
      </c>
      <c r="C46" s="69" t="s">
        <v>1805</v>
      </c>
      <c r="D46" s="70"/>
      <c r="E46" s="81">
        <v>23</v>
      </c>
      <c r="F46" s="52">
        <v>20</v>
      </c>
      <c r="G46" s="81">
        <v>3</v>
      </c>
      <c r="H46" s="87">
        <v>0</v>
      </c>
      <c r="I46" s="81"/>
      <c r="J46" s="81">
        <v>1</v>
      </c>
      <c r="K46" s="81">
        <v>6</v>
      </c>
      <c r="L46" s="81">
        <v>14</v>
      </c>
      <c r="M46" s="81"/>
      <c r="N46" s="81">
        <v>1</v>
      </c>
      <c r="O46" s="52"/>
      <c r="P46" s="52"/>
      <c r="Q46" s="52"/>
      <c r="R46" s="87"/>
      <c r="S46" s="52"/>
      <c r="T46" s="52">
        <v>1</v>
      </c>
      <c r="U46" s="52"/>
      <c r="V46" s="52">
        <v>7</v>
      </c>
      <c r="W46" s="52">
        <v>6</v>
      </c>
      <c r="X46" s="52">
        <v>8</v>
      </c>
      <c r="Y46" s="52">
        <v>0</v>
      </c>
      <c r="Z46" s="52">
        <v>2</v>
      </c>
      <c r="AA46" s="52">
        <v>0</v>
      </c>
      <c r="AB46" s="52">
        <v>2</v>
      </c>
      <c r="AC46" s="52">
        <v>3</v>
      </c>
      <c r="AD46" s="52">
        <v>2</v>
      </c>
      <c r="AE46" s="52">
        <v>0</v>
      </c>
      <c r="AF46" s="52">
        <v>0</v>
      </c>
      <c r="AG46" s="52">
        <v>1</v>
      </c>
      <c r="AH46" s="52">
        <v>1</v>
      </c>
      <c r="AI46" s="52">
        <v>14</v>
      </c>
      <c r="AJ46" s="52"/>
    </row>
    <row r="47" spans="1:40" x14ac:dyDescent="0.3">
      <c r="A47" s="90" t="s">
        <v>1667</v>
      </c>
      <c r="B47" s="91" t="s">
        <v>1721</v>
      </c>
      <c r="C47" s="71" t="s">
        <v>1806</v>
      </c>
      <c r="D47" s="70"/>
      <c r="E47" s="81">
        <v>19</v>
      </c>
      <c r="F47" s="81">
        <v>11</v>
      </c>
      <c r="G47" s="81">
        <v>8</v>
      </c>
      <c r="H47" s="87">
        <v>0</v>
      </c>
      <c r="I47" s="81"/>
      <c r="J47" s="81">
        <v>6</v>
      </c>
      <c r="K47" s="81">
        <v>4</v>
      </c>
      <c r="L47" s="81">
        <v>7</v>
      </c>
      <c r="M47" s="81">
        <v>1</v>
      </c>
      <c r="N47" s="81"/>
      <c r="O47" s="52"/>
      <c r="P47" s="52">
        <v>1</v>
      </c>
      <c r="Q47" s="78"/>
      <c r="R47" s="87"/>
      <c r="S47" s="52"/>
      <c r="T47" s="52"/>
      <c r="U47" s="52"/>
      <c r="V47" s="52">
        <v>8</v>
      </c>
      <c r="W47" s="52">
        <v>1</v>
      </c>
      <c r="X47" s="52">
        <v>9</v>
      </c>
      <c r="Y47" s="52">
        <v>0</v>
      </c>
      <c r="Z47" s="52">
        <v>1</v>
      </c>
      <c r="AA47" s="52">
        <v>0</v>
      </c>
      <c r="AB47" s="52">
        <v>1</v>
      </c>
      <c r="AC47" s="52">
        <v>0</v>
      </c>
      <c r="AD47" s="52">
        <v>0</v>
      </c>
      <c r="AE47" s="52">
        <v>0</v>
      </c>
      <c r="AF47" s="52">
        <v>0</v>
      </c>
      <c r="AG47" s="52">
        <v>0</v>
      </c>
      <c r="AH47" s="52">
        <v>0</v>
      </c>
      <c r="AI47" s="52">
        <v>18</v>
      </c>
      <c r="AJ47" s="52"/>
    </row>
    <row r="50" spans="1:35" x14ac:dyDescent="0.3">
      <c r="A50" s="75"/>
      <c r="B50" s="75"/>
      <c r="C50" s="50"/>
      <c r="D50" s="50"/>
      <c r="E50" s="50"/>
      <c r="F50" s="50"/>
      <c r="G50" s="50"/>
      <c r="H50" s="50"/>
      <c r="I50" s="50"/>
      <c r="J50" s="50"/>
      <c r="K50" s="50"/>
      <c r="L50" s="50"/>
      <c r="M50" s="50"/>
      <c r="N50" s="50"/>
      <c r="O50" s="50"/>
      <c r="P50" s="50"/>
      <c r="Q50" s="44" t="s">
        <v>1730</v>
      </c>
      <c r="R50" s="50"/>
      <c r="S50" s="50"/>
      <c r="T50" s="50"/>
      <c r="U50" s="50"/>
      <c r="V50" s="50"/>
      <c r="W50" s="50"/>
      <c r="X50" s="50"/>
      <c r="Y50" s="50"/>
      <c r="Z50" s="50"/>
      <c r="AA50" s="50"/>
      <c r="AB50" s="50"/>
      <c r="AC50" s="50"/>
      <c r="AD50" s="50"/>
      <c r="AE50" s="50"/>
      <c r="AF50" s="50"/>
      <c r="AG50" s="50"/>
      <c r="AH50" s="50"/>
      <c r="AI50" s="50"/>
    </row>
    <row r="51" spans="1:35" x14ac:dyDescent="0.3">
      <c r="A51" s="74"/>
      <c r="B51" s="74"/>
      <c r="C51" s="73"/>
      <c r="D51" s="50"/>
      <c r="E51" s="50"/>
      <c r="F51" s="50"/>
      <c r="G51" s="50"/>
      <c r="H51" s="50"/>
      <c r="I51" s="50"/>
      <c r="J51" s="50"/>
      <c r="K51" s="50"/>
      <c r="L51" s="50"/>
      <c r="M51" s="50" t="s">
        <v>1731</v>
      </c>
      <c r="N51" s="50"/>
      <c r="O51" s="50"/>
      <c r="P51" s="50"/>
      <c r="Q51" s="44"/>
      <c r="R51" s="50"/>
      <c r="S51" s="50" t="s">
        <v>1732</v>
      </c>
      <c r="T51" s="50"/>
      <c r="U51" s="50"/>
      <c r="V51" s="50"/>
      <c r="W51" s="50"/>
      <c r="X51" s="50" t="s">
        <v>1733</v>
      </c>
      <c r="Y51" s="50"/>
      <c r="Z51" s="50"/>
      <c r="AA51" s="50"/>
      <c r="AB51" s="50"/>
      <c r="AC51" s="50" t="s">
        <v>1734</v>
      </c>
      <c r="AD51" s="50"/>
      <c r="AE51" s="50"/>
      <c r="AF51" s="50"/>
      <c r="AG51" s="50"/>
      <c r="AH51" s="50"/>
      <c r="AI51" s="50"/>
    </row>
    <row r="52" spans="1:35" x14ac:dyDescent="0.3">
      <c r="A52" s="52"/>
      <c r="B52" s="52"/>
      <c r="C52" s="52"/>
      <c r="D52" s="52"/>
      <c r="E52" s="45" t="s">
        <v>1487</v>
      </c>
      <c r="F52" s="45" t="s">
        <v>1735</v>
      </c>
      <c r="G52" s="45" t="s">
        <v>1736</v>
      </c>
      <c r="H52" s="45" t="s">
        <v>1737</v>
      </c>
      <c r="I52" s="45" t="s">
        <v>1738</v>
      </c>
      <c r="J52" s="45" t="s">
        <v>343</v>
      </c>
      <c r="K52" s="52"/>
      <c r="L52" s="46" t="s">
        <v>1739</v>
      </c>
      <c r="M52" s="46" t="s">
        <v>1740</v>
      </c>
      <c r="N52" s="46" t="s">
        <v>1741</v>
      </c>
      <c r="O52" s="46" t="s">
        <v>1742</v>
      </c>
      <c r="P52" s="46" t="s">
        <v>1743</v>
      </c>
      <c r="Q52" s="46" t="s">
        <v>1739</v>
      </c>
      <c r="R52" s="46" t="s">
        <v>1740</v>
      </c>
      <c r="S52" s="46" t="s">
        <v>1741</v>
      </c>
      <c r="T52" s="46" t="s">
        <v>1742</v>
      </c>
      <c r="U52" s="46" t="s">
        <v>1743</v>
      </c>
      <c r="V52" s="46" t="s">
        <v>1739</v>
      </c>
      <c r="W52" s="46" t="s">
        <v>1740</v>
      </c>
      <c r="X52" s="46" t="s">
        <v>1741</v>
      </c>
      <c r="Y52" s="46" t="s">
        <v>1742</v>
      </c>
      <c r="Z52" s="46" t="s">
        <v>1743</v>
      </c>
      <c r="AA52" s="46" t="s">
        <v>1739</v>
      </c>
      <c r="AB52" s="46" t="s">
        <v>1740</v>
      </c>
      <c r="AC52" s="46" t="s">
        <v>1741</v>
      </c>
      <c r="AD52" s="46" t="s">
        <v>1742</v>
      </c>
      <c r="AE52" s="46" t="s">
        <v>1743</v>
      </c>
      <c r="AF52" s="50"/>
      <c r="AG52" s="50"/>
      <c r="AH52" s="50"/>
      <c r="AI52" s="50"/>
    </row>
    <row r="53" spans="1:35" x14ac:dyDescent="0.3">
      <c r="A53" s="92" t="s">
        <v>1254</v>
      </c>
      <c r="B53" s="92" t="s">
        <v>1799</v>
      </c>
      <c r="C53" s="47" t="s">
        <v>1802</v>
      </c>
      <c r="D53" s="52"/>
      <c r="E53" s="52">
        <v>0</v>
      </c>
      <c r="F53" s="52">
        <v>32</v>
      </c>
      <c r="G53" s="52">
        <v>0</v>
      </c>
      <c r="H53" s="52">
        <v>0</v>
      </c>
      <c r="I53" s="52">
        <v>0</v>
      </c>
      <c r="J53" s="52" t="s">
        <v>1813</v>
      </c>
      <c r="K53" s="52"/>
      <c r="L53" s="50">
        <v>6</v>
      </c>
      <c r="M53" s="50">
        <v>8</v>
      </c>
      <c r="N53" s="50">
        <v>11</v>
      </c>
      <c r="O53" s="50">
        <v>6</v>
      </c>
      <c r="P53" s="50">
        <v>3</v>
      </c>
      <c r="Q53" s="50">
        <v>18</v>
      </c>
      <c r="R53" s="50">
        <v>5</v>
      </c>
      <c r="S53" s="50">
        <v>7</v>
      </c>
      <c r="T53" s="50">
        <v>2</v>
      </c>
      <c r="U53" s="50">
        <v>2</v>
      </c>
      <c r="V53" s="50">
        <v>2</v>
      </c>
      <c r="W53" s="50">
        <v>8</v>
      </c>
      <c r="X53" s="50">
        <v>16</v>
      </c>
      <c r="Y53" s="50">
        <v>7</v>
      </c>
      <c r="Z53" s="50">
        <v>1</v>
      </c>
      <c r="AA53" s="50">
        <v>10</v>
      </c>
      <c r="AB53" s="50">
        <v>7</v>
      </c>
      <c r="AC53" s="50">
        <v>7</v>
      </c>
      <c r="AD53" s="50">
        <v>7</v>
      </c>
      <c r="AE53" s="50">
        <v>3</v>
      </c>
      <c r="AF53" s="50"/>
      <c r="AG53" s="50"/>
      <c r="AH53" s="50"/>
      <c r="AI53" s="50"/>
    </row>
    <row r="54" spans="1:35" x14ac:dyDescent="0.3">
      <c r="A54" s="93" t="s">
        <v>1400</v>
      </c>
      <c r="B54" s="93" t="s">
        <v>1800</v>
      </c>
      <c r="C54" s="47" t="s">
        <v>1803</v>
      </c>
      <c r="D54" s="48"/>
      <c r="E54" s="52">
        <v>0</v>
      </c>
      <c r="F54" s="52">
        <v>21</v>
      </c>
      <c r="G54" s="52">
        <v>1</v>
      </c>
      <c r="H54" s="52">
        <v>0</v>
      </c>
      <c r="I54" s="52">
        <v>0</v>
      </c>
      <c r="J54" s="52">
        <v>0</v>
      </c>
      <c r="K54" s="52"/>
      <c r="L54" s="50">
        <v>3</v>
      </c>
      <c r="M54" s="50">
        <v>6</v>
      </c>
      <c r="N54" s="50">
        <v>9</v>
      </c>
      <c r="O54" s="50">
        <v>4</v>
      </c>
      <c r="P54" s="50">
        <v>0</v>
      </c>
      <c r="Q54" s="50">
        <v>5</v>
      </c>
      <c r="R54" s="50">
        <v>1</v>
      </c>
      <c r="S54" s="50">
        <v>9</v>
      </c>
      <c r="T54" s="50">
        <v>6</v>
      </c>
      <c r="U54" s="50">
        <v>1</v>
      </c>
      <c r="V54" s="50">
        <v>3</v>
      </c>
      <c r="W54" s="50">
        <v>4</v>
      </c>
      <c r="X54" s="50">
        <v>8</v>
      </c>
      <c r="Y54" s="50">
        <v>6</v>
      </c>
      <c r="Z54" s="50">
        <v>1</v>
      </c>
      <c r="AA54" s="50">
        <v>0</v>
      </c>
      <c r="AB54" s="50">
        <v>1</v>
      </c>
      <c r="AC54" s="50">
        <v>8</v>
      </c>
      <c r="AD54" s="50">
        <v>8</v>
      </c>
      <c r="AE54" s="50">
        <v>5</v>
      </c>
      <c r="AF54" s="50"/>
      <c r="AG54" s="50"/>
      <c r="AH54" s="50"/>
      <c r="AI54" s="50"/>
    </row>
    <row r="55" spans="1:35" x14ac:dyDescent="0.3">
      <c r="A55" s="94" t="s">
        <v>1486</v>
      </c>
      <c r="B55" s="94" t="s">
        <v>1801</v>
      </c>
      <c r="C55" s="47" t="s">
        <v>1804</v>
      </c>
      <c r="D55" s="48"/>
      <c r="E55" s="52">
        <v>27</v>
      </c>
      <c r="F55" s="52">
        <v>0</v>
      </c>
      <c r="G55" s="52">
        <v>0</v>
      </c>
      <c r="H55" s="52">
        <v>0</v>
      </c>
      <c r="I55" s="52">
        <v>0</v>
      </c>
      <c r="J55" s="52">
        <v>0</v>
      </c>
      <c r="K55" s="52" t="s">
        <v>1815</v>
      </c>
      <c r="L55" s="50">
        <v>5</v>
      </c>
      <c r="M55" s="50">
        <v>11</v>
      </c>
      <c r="N55" s="50">
        <v>9</v>
      </c>
      <c r="O55" s="50">
        <v>3</v>
      </c>
      <c r="P55" s="50">
        <v>0</v>
      </c>
      <c r="Q55" s="50">
        <v>11</v>
      </c>
      <c r="R55" s="50">
        <v>4</v>
      </c>
      <c r="S55" s="50">
        <v>4</v>
      </c>
      <c r="T55" s="50">
        <v>6</v>
      </c>
      <c r="U55" s="50">
        <v>3</v>
      </c>
      <c r="V55" s="50">
        <v>5</v>
      </c>
      <c r="W55" s="50">
        <v>6</v>
      </c>
      <c r="X55" s="50">
        <v>11</v>
      </c>
      <c r="Y55" s="50">
        <v>3</v>
      </c>
      <c r="Z55" s="50">
        <v>3</v>
      </c>
      <c r="AA55" s="50">
        <v>2</v>
      </c>
      <c r="AB55" s="50">
        <v>4</v>
      </c>
      <c r="AC55" s="50">
        <v>6</v>
      </c>
      <c r="AD55" s="50">
        <v>10</v>
      </c>
      <c r="AE55" s="50">
        <v>6</v>
      </c>
      <c r="AF55" s="50"/>
      <c r="AG55" s="50"/>
      <c r="AH55" s="50"/>
      <c r="AI55" s="50"/>
    </row>
    <row r="56" spans="1:35" x14ac:dyDescent="0.3">
      <c r="A56" s="95" t="s">
        <v>1585</v>
      </c>
      <c r="B56" s="95" t="s">
        <v>1593</v>
      </c>
      <c r="C56" s="47" t="s">
        <v>1805</v>
      </c>
      <c r="D56" s="48"/>
      <c r="E56" s="52">
        <v>0</v>
      </c>
      <c r="F56" s="52">
        <v>0</v>
      </c>
      <c r="G56" s="52">
        <v>2</v>
      </c>
      <c r="H56" s="52">
        <v>1</v>
      </c>
      <c r="I56" s="52">
        <v>20</v>
      </c>
      <c r="J56" s="52">
        <v>0</v>
      </c>
      <c r="K56" s="52"/>
      <c r="L56" s="50">
        <v>3</v>
      </c>
      <c r="M56" s="50">
        <v>3</v>
      </c>
      <c r="N56" s="50">
        <v>7</v>
      </c>
      <c r="O56" s="50">
        <v>5</v>
      </c>
      <c r="P56" s="50">
        <v>5</v>
      </c>
      <c r="Q56" s="50">
        <v>19</v>
      </c>
      <c r="R56" s="50">
        <v>1</v>
      </c>
      <c r="S56" s="50">
        <v>3</v>
      </c>
      <c r="T56" s="50">
        <v>0</v>
      </c>
      <c r="U56" s="50">
        <v>0</v>
      </c>
      <c r="V56" s="50">
        <v>5</v>
      </c>
      <c r="W56" s="50">
        <v>4</v>
      </c>
      <c r="X56" s="50">
        <v>10</v>
      </c>
      <c r="Y56" s="50">
        <v>4</v>
      </c>
      <c r="Z56" s="50">
        <v>0</v>
      </c>
      <c r="AA56" s="50">
        <v>10</v>
      </c>
      <c r="AB56" s="50">
        <v>4</v>
      </c>
      <c r="AC56" s="50">
        <v>5</v>
      </c>
      <c r="AD56" s="50">
        <v>2</v>
      </c>
      <c r="AE56" s="50">
        <v>2</v>
      </c>
      <c r="AF56" s="50"/>
      <c r="AG56" s="50"/>
      <c r="AH56" s="50"/>
      <c r="AI56" s="50"/>
    </row>
    <row r="57" spans="1:35" x14ac:dyDescent="0.3">
      <c r="A57" s="96" t="s">
        <v>1667</v>
      </c>
      <c r="B57" s="96" t="s">
        <v>1721</v>
      </c>
      <c r="C57" s="47" t="s">
        <v>1806</v>
      </c>
      <c r="D57" s="48"/>
      <c r="E57" s="52">
        <v>0</v>
      </c>
      <c r="F57" s="52">
        <v>0</v>
      </c>
      <c r="G57" s="52">
        <v>0</v>
      </c>
      <c r="H57" s="52">
        <v>0</v>
      </c>
      <c r="I57" s="52">
        <v>19</v>
      </c>
      <c r="J57" s="52">
        <v>0</v>
      </c>
      <c r="K57" s="52"/>
      <c r="L57" s="50">
        <v>0</v>
      </c>
      <c r="M57" s="50">
        <v>6</v>
      </c>
      <c r="N57" s="50">
        <v>8</v>
      </c>
      <c r="O57" s="50">
        <v>4</v>
      </c>
      <c r="P57" s="50">
        <v>1</v>
      </c>
      <c r="Q57" s="50">
        <v>8</v>
      </c>
      <c r="R57" s="50">
        <v>2</v>
      </c>
      <c r="S57" s="50">
        <v>2</v>
      </c>
      <c r="T57" s="50">
        <v>2</v>
      </c>
      <c r="U57" s="50">
        <v>5</v>
      </c>
      <c r="V57" s="50">
        <v>2</v>
      </c>
      <c r="W57" s="50">
        <v>3</v>
      </c>
      <c r="X57" s="50">
        <v>6</v>
      </c>
      <c r="Y57" s="50">
        <v>5</v>
      </c>
      <c r="Z57" s="50">
        <v>3</v>
      </c>
      <c r="AA57" s="50">
        <v>1</v>
      </c>
      <c r="AB57" s="50">
        <v>3</v>
      </c>
      <c r="AC57" s="50">
        <v>7</v>
      </c>
      <c r="AD57" s="50">
        <v>6</v>
      </c>
      <c r="AE57" s="50">
        <v>2</v>
      </c>
      <c r="AF57" s="50"/>
      <c r="AG57" s="50"/>
      <c r="AH57" s="50"/>
      <c r="AI57" s="50"/>
    </row>
    <row r="58" spans="1:35" x14ac:dyDescent="0.3">
      <c r="A58" s="52"/>
      <c r="B58" s="52"/>
      <c r="C58" s="52"/>
      <c r="D58" s="52"/>
      <c r="E58" s="49" t="s">
        <v>1763</v>
      </c>
      <c r="F58" s="49" t="s">
        <v>1764</v>
      </c>
      <c r="G58" s="49" t="s">
        <v>1765</v>
      </c>
      <c r="H58" s="49" t="s">
        <v>1766</v>
      </c>
      <c r="I58" s="49" t="s">
        <v>1767</v>
      </c>
      <c r="J58" s="49" t="s">
        <v>1768</v>
      </c>
      <c r="K58" s="49" t="s">
        <v>1769</v>
      </c>
      <c r="L58" s="49" t="s">
        <v>1770</v>
      </c>
      <c r="M58" s="49" t="s">
        <v>1771</v>
      </c>
      <c r="N58" s="49" t="s">
        <v>1772</v>
      </c>
      <c r="O58" s="49" t="s">
        <v>1773</v>
      </c>
      <c r="P58" s="49" t="s">
        <v>1774</v>
      </c>
      <c r="Q58" s="49" t="s">
        <v>1775</v>
      </c>
      <c r="R58" s="49" t="s">
        <v>1776</v>
      </c>
      <c r="S58" s="49" t="s">
        <v>1777</v>
      </c>
      <c r="T58" s="49" t="s">
        <v>1778</v>
      </c>
      <c r="U58" s="49" t="s">
        <v>1779</v>
      </c>
      <c r="V58" s="49" t="s">
        <v>1780</v>
      </c>
      <c r="W58" s="49" t="s">
        <v>1781</v>
      </c>
      <c r="X58" s="49" t="s">
        <v>1782</v>
      </c>
      <c r="Y58" s="49" t="s">
        <v>1783</v>
      </c>
      <c r="Z58" s="49" t="s">
        <v>1784</v>
      </c>
      <c r="AA58" s="49" t="s">
        <v>1785</v>
      </c>
      <c r="AB58" s="49" t="s">
        <v>1786</v>
      </c>
      <c r="AC58" s="49" t="s">
        <v>1787</v>
      </c>
      <c r="AD58" s="49" t="s">
        <v>1788</v>
      </c>
      <c r="AE58" s="49" t="s">
        <v>1789</v>
      </c>
      <c r="AF58" s="49" t="s">
        <v>1790</v>
      </c>
      <c r="AG58" s="49" t="s">
        <v>1791</v>
      </c>
      <c r="AH58" s="49" t="s">
        <v>1792</v>
      </c>
      <c r="AI58" s="49" t="s">
        <v>1794</v>
      </c>
    </row>
    <row r="59" spans="1:35" x14ac:dyDescent="0.3">
      <c r="A59" s="92" t="s">
        <v>1254</v>
      </c>
      <c r="B59" s="92" t="s">
        <v>1799</v>
      </c>
      <c r="C59" s="47" t="s">
        <v>1802</v>
      </c>
      <c r="D59" s="52"/>
      <c r="E59" s="50">
        <v>1</v>
      </c>
      <c r="F59" s="50">
        <v>3</v>
      </c>
      <c r="G59" s="50">
        <v>1</v>
      </c>
      <c r="H59" s="50">
        <v>0</v>
      </c>
      <c r="I59" s="50">
        <v>6</v>
      </c>
      <c r="J59" s="50">
        <v>1</v>
      </c>
      <c r="K59" s="50">
        <v>0</v>
      </c>
      <c r="L59" s="50">
        <v>0</v>
      </c>
      <c r="M59" s="50">
        <v>1</v>
      </c>
      <c r="N59" s="50">
        <v>8</v>
      </c>
      <c r="O59" s="50">
        <v>1</v>
      </c>
      <c r="P59" s="50">
        <v>0</v>
      </c>
      <c r="Q59" s="50">
        <v>1</v>
      </c>
      <c r="R59" s="50">
        <v>1</v>
      </c>
      <c r="S59" s="50">
        <v>1</v>
      </c>
      <c r="T59" s="50">
        <v>0</v>
      </c>
      <c r="U59" s="50">
        <v>1</v>
      </c>
      <c r="V59" s="50">
        <v>0</v>
      </c>
      <c r="W59" s="50">
        <v>1</v>
      </c>
      <c r="X59" s="50">
        <v>0</v>
      </c>
      <c r="Y59" s="50">
        <v>0</v>
      </c>
      <c r="Z59" s="50">
        <v>0</v>
      </c>
      <c r="AA59" s="50">
        <v>2</v>
      </c>
      <c r="AB59" s="50">
        <v>1</v>
      </c>
      <c r="AC59" s="50">
        <v>1</v>
      </c>
      <c r="AD59" s="50">
        <v>2</v>
      </c>
      <c r="AE59" s="50">
        <v>0</v>
      </c>
      <c r="AF59" s="50">
        <v>0</v>
      </c>
      <c r="AG59" s="50">
        <v>0</v>
      </c>
      <c r="AH59" s="50">
        <v>0</v>
      </c>
      <c r="AI59" s="50">
        <v>1</v>
      </c>
    </row>
    <row r="60" spans="1:35" x14ac:dyDescent="0.3">
      <c r="A60" s="93" t="s">
        <v>1400</v>
      </c>
      <c r="B60" s="93" t="s">
        <v>1800</v>
      </c>
      <c r="C60" s="47" t="s">
        <v>1803</v>
      </c>
      <c r="D60" s="48"/>
      <c r="E60" s="50">
        <v>3</v>
      </c>
      <c r="F60" s="50">
        <v>2</v>
      </c>
      <c r="G60" s="50">
        <v>0</v>
      </c>
      <c r="H60" s="50">
        <v>1</v>
      </c>
      <c r="I60" s="50">
        <v>1</v>
      </c>
      <c r="J60" s="50">
        <v>0</v>
      </c>
      <c r="K60" s="50">
        <v>0</v>
      </c>
      <c r="L60" s="50">
        <v>0</v>
      </c>
      <c r="M60" s="50">
        <v>0</v>
      </c>
      <c r="N60" s="50">
        <v>12</v>
      </c>
      <c r="O60" s="50">
        <v>0</v>
      </c>
      <c r="P60" s="50">
        <v>0</v>
      </c>
      <c r="Q60" s="50">
        <v>0</v>
      </c>
      <c r="R60" s="50">
        <v>0</v>
      </c>
      <c r="S60" s="50">
        <v>0</v>
      </c>
      <c r="T60" s="50">
        <v>0</v>
      </c>
      <c r="U60" s="50">
        <v>0</v>
      </c>
      <c r="V60" s="50">
        <v>0</v>
      </c>
      <c r="W60" s="50">
        <v>0</v>
      </c>
      <c r="X60" s="50">
        <v>0</v>
      </c>
      <c r="Y60" s="50">
        <v>1</v>
      </c>
      <c r="Z60" s="50">
        <v>0</v>
      </c>
      <c r="AA60" s="50">
        <v>0</v>
      </c>
      <c r="AB60" s="50">
        <v>2</v>
      </c>
      <c r="AC60" s="50">
        <v>0</v>
      </c>
      <c r="AD60" s="50">
        <v>0</v>
      </c>
      <c r="AE60" s="50">
        <v>0</v>
      </c>
      <c r="AF60" s="50">
        <v>0</v>
      </c>
      <c r="AG60" s="50">
        <v>0</v>
      </c>
      <c r="AH60" s="50">
        <v>0</v>
      </c>
      <c r="AI60" s="50">
        <v>0</v>
      </c>
    </row>
    <row r="61" spans="1:35" x14ac:dyDescent="0.3">
      <c r="A61" s="94" t="s">
        <v>1486</v>
      </c>
      <c r="B61" s="94" t="s">
        <v>1801</v>
      </c>
      <c r="C61" s="47" t="s">
        <v>1804</v>
      </c>
      <c r="D61" s="48"/>
      <c r="E61" s="50">
        <v>1</v>
      </c>
      <c r="F61" s="50">
        <v>0</v>
      </c>
      <c r="G61" s="50">
        <v>0</v>
      </c>
      <c r="H61" s="50">
        <v>5</v>
      </c>
      <c r="I61" s="50">
        <v>5</v>
      </c>
      <c r="J61" s="50">
        <v>0</v>
      </c>
      <c r="K61" s="50">
        <v>0</v>
      </c>
      <c r="L61" s="50">
        <v>0</v>
      </c>
      <c r="M61" s="50">
        <v>0</v>
      </c>
      <c r="N61" s="50">
        <v>6</v>
      </c>
      <c r="O61" s="50">
        <v>0</v>
      </c>
      <c r="P61" s="50">
        <v>0</v>
      </c>
      <c r="Q61" s="50">
        <v>0</v>
      </c>
      <c r="R61" s="50">
        <v>0</v>
      </c>
      <c r="S61" s="50">
        <v>0</v>
      </c>
      <c r="T61" s="50">
        <v>0</v>
      </c>
      <c r="U61" s="50">
        <v>0</v>
      </c>
      <c r="V61" s="50">
        <v>0</v>
      </c>
      <c r="W61" s="50">
        <v>0</v>
      </c>
      <c r="X61" s="50">
        <v>0</v>
      </c>
      <c r="Y61" s="50">
        <v>4</v>
      </c>
      <c r="Z61" s="50">
        <v>0</v>
      </c>
      <c r="AA61" s="50">
        <v>0</v>
      </c>
      <c r="AB61" s="50">
        <v>3</v>
      </c>
      <c r="AC61" s="50">
        <v>0</v>
      </c>
      <c r="AD61" s="50">
        <v>2</v>
      </c>
      <c r="AE61" s="50">
        <v>1</v>
      </c>
      <c r="AF61" s="50">
        <v>1</v>
      </c>
      <c r="AG61" s="50">
        <v>0</v>
      </c>
      <c r="AH61" s="50">
        <v>0</v>
      </c>
      <c r="AI61" s="50">
        <v>0</v>
      </c>
    </row>
    <row r="62" spans="1:35" x14ac:dyDescent="0.3">
      <c r="A62" s="95" t="s">
        <v>1585</v>
      </c>
      <c r="B62" s="95" t="s">
        <v>1593</v>
      </c>
      <c r="C62" s="47" t="s">
        <v>1805</v>
      </c>
      <c r="D62" s="48"/>
      <c r="E62" s="50">
        <v>0</v>
      </c>
      <c r="F62" s="50">
        <v>0</v>
      </c>
      <c r="G62" s="50">
        <v>0</v>
      </c>
      <c r="H62" s="50">
        <v>1</v>
      </c>
      <c r="I62" s="50">
        <v>7</v>
      </c>
      <c r="J62" s="50">
        <v>0</v>
      </c>
      <c r="K62" s="50">
        <v>0</v>
      </c>
      <c r="L62" s="50">
        <v>1</v>
      </c>
      <c r="M62" s="50">
        <v>1</v>
      </c>
      <c r="N62" s="50">
        <v>5</v>
      </c>
      <c r="O62" s="50">
        <v>0</v>
      </c>
      <c r="P62" s="50">
        <v>1</v>
      </c>
      <c r="Q62" s="50">
        <v>0</v>
      </c>
      <c r="R62" s="50">
        <v>0</v>
      </c>
      <c r="S62" s="50">
        <v>0</v>
      </c>
      <c r="T62" s="50">
        <v>0</v>
      </c>
      <c r="U62" s="50">
        <v>1</v>
      </c>
      <c r="V62" s="50">
        <v>2</v>
      </c>
      <c r="W62" s="50">
        <v>0</v>
      </c>
      <c r="X62" s="50">
        <v>1</v>
      </c>
      <c r="Y62" s="50">
        <v>0</v>
      </c>
      <c r="Z62" s="50">
        <v>0</v>
      </c>
      <c r="AA62" s="50">
        <v>0</v>
      </c>
      <c r="AB62" s="50">
        <v>0</v>
      </c>
      <c r="AC62" s="50">
        <v>1</v>
      </c>
      <c r="AD62" s="50">
        <v>1</v>
      </c>
      <c r="AE62" s="50">
        <v>0</v>
      </c>
      <c r="AF62" s="50">
        <v>1</v>
      </c>
      <c r="AG62" s="50">
        <v>0</v>
      </c>
      <c r="AH62" s="50">
        <v>0</v>
      </c>
      <c r="AI62" s="50">
        <v>0</v>
      </c>
    </row>
    <row r="63" spans="1:35" x14ac:dyDescent="0.3">
      <c r="A63" s="96" t="s">
        <v>1667</v>
      </c>
      <c r="B63" s="96" t="s">
        <v>1721</v>
      </c>
      <c r="C63" s="47" t="s">
        <v>1806</v>
      </c>
      <c r="D63" s="48"/>
      <c r="E63" s="50">
        <v>0</v>
      </c>
      <c r="F63" s="50">
        <v>0</v>
      </c>
      <c r="G63" s="50">
        <v>0</v>
      </c>
      <c r="H63" s="50">
        <v>0</v>
      </c>
      <c r="I63" s="50">
        <v>5</v>
      </c>
      <c r="J63" s="50">
        <v>1</v>
      </c>
      <c r="K63" s="50">
        <v>0</v>
      </c>
      <c r="L63" s="50">
        <v>0</v>
      </c>
      <c r="M63" s="50">
        <v>0</v>
      </c>
      <c r="N63" s="50">
        <v>3</v>
      </c>
      <c r="O63" s="50">
        <v>0</v>
      </c>
      <c r="P63" s="50">
        <v>0</v>
      </c>
      <c r="Q63" s="50">
        <v>0</v>
      </c>
      <c r="R63" s="50">
        <v>0</v>
      </c>
      <c r="S63" s="50">
        <v>1</v>
      </c>
      <c r="T63" s="50">
        <v>0</v>
      </c>
      <c r="U63" s="50">
        <v>0</v>
      </c>
      <c r="V63" s="50">
        <v>2</v>
      </c>
      <c r="W63" s="50">
        <v>0</v>
      </c>
      <c r="X63" s="50">
        <v>0</v>
      </c>
      <c r="Y63" s="50">
        <v>2</v>
      </c>
      <c r="Z63" s="50">
        <v>0</v>
      </c>
      <c r="AA63" s="50">
        <v>1</v>
      </c>
      <c r="AB63" s="50">
        <v>0</v>
      </c>
      <c r="AC63" s="50">
        <v>0</v>
      </c>
      <c r="AD63" s="50">
        <v>0</v>
      </c>
      <c r="AE63" s="50">
        <v>1</v>
      </c>
      <c r="AF63" s="50">
        <v>1</v>
      </c>
      <c r="AG63" s="50">
        <v>1</v>
      </c>
      <c r="AH63" s="50">
        <v>0</v>
      </c>
      <c r="AI63" s="50">
        <v>0</v>
      </c>
    </row>
    <row r="65" spans="1:34" x14ac:dyDescent="0.3">
      <c r="N65">
        <f>SUM(N59:N63,N27:N36)</f>
        <v>74</v>
      </c>
      <c r="V65">
        <f>SUM(V59:V63,V27:V36)</f>
        <v>9</v>
      </c>
      <c r="Y65">
        <f>SUM(Y59:Y63,Y27:Y36)</f>
        <v>11</v>
      </c>
      <c r="AB65">
        <f>SUM(AB59:AB63,AB27:AB36)</f>
        <v>15</v>
      </c>
    </row>
    <row r="66" spans="1:34" x14ac:dyDescent="0.3">
      <c r="M66" t="s">
        <v>1731</v>
      </c>
      <c r="P66" s="50"/>
      <c r="R66" s="50" t="s">
        <v>1732</v>
      </c>
      <c r="S66" s="50"/>
      <c r="U66" s="50"/>
      <c r="Y66" s="50" t="s">
        <v>1733</v>
      </c>
      <c r="Z66" s="50"/>
      <c r="AD66" s="50"/>
      <c r="AE66" s="50"/>
      <c r="AF66" s="50" t="s">
        <v>1734</v>
      </c>
      <c r="AG66" s="50"/>
      <c r="AH66" s="50"/>
    </row>
    <row r="67" spans="1:34" x14ac:dyDescent="0.3">
      <c r="H67" s="135" t="s">
        <v>17885</v>
      </c>
      <c r="I67" s="136">
        <v>192</v>
      </c>
      <c r="L67" s="46" t="s">
        <v>1739</v>
      </c>
      <c r="M67" s="46" t="s">
        <v>1740</v>
      </c>
      <c r="N67" s="46" t="s">
        <v>1741</v>
      </c>
      <c r="O67" s="46" t="s">
        <v>1742</v>
      </c>
      <c r="P67" s="46" t="s">
        <v>1743</v>
      </c>
      <c r="R67" s="46" t="s">
        <v>1739</v>
      </c>
      <c r="S67" s="46" t="s">
        <v>1740</v>
      </c>
      <c r="T67" s="46" t="s">
        <v>1741</v>
      </c>
      <c r="U67" s="46" t="s">
        <v>1742</v>
      </c>
      <c r="V67" s="121" t="s">
        <v>1743</v>
      </c>
      <c r="X67" s="46" t="s">
        <v>1739</v>
      </c>
      <c r="Y67" s="46" t="s">
        <v>1740</v>
      </c>
      <c r="Z67" s="46" t="s">
        <v>1741</v>
      </c>
      <c r="AA67" s="46" t="s">
        <v>1742</v>
      </c>
      <c r="AB67" s="46" t="s">
        <v>1743</v>
      </c>
      <c r="AD67" s="46" t="s">
        <v>1739</v>
      </c>
      <c r="AE67" s="46" t="s">
        <v>1740</v>
      </c>
      <c r="AF67" s="46" t="s">
        <v>1741</v>
      </c>
      <c r="AG67" s="46" t="s">
        <v>1742</v>
      </c>
      <c r="AH67" s="46" t="s">
        <v>1743</v>
      </c>
    </row>
    <row r="68" spans="1:34" x14ac:dyDescent="0.3">
      <c r="A68" s="49" t="s">
        <v>1763</v>
      </c>
      <c r="B68" s="49" t="s">
        <v>1764</v>
      </c>
      <c r="C68" s="49" t="s">
        <v>1765</v>
      </c>
      <c r="D68" s="49" t="s">
        <v>1766</v>
      </c>
      <c r="E68" s="49" t="s">
        <v>1767</v>
      </c>
      <c r="F68" s="49" t="s">
        <v>1768</v>
      </c>
      <c r="H68" s="137" t="s">
        <v>17886</v>
      </c>
      <c r="I68" s="138">
        <v>142</v>
      </c>
      <c r="L68">
        <f>SUM(L53:L57,L16:L25)</f>
        <v>55</v>
      </c>
      <c r="M68">
        <f>SUM(M16:M25,M53:M57)</f>
        <v>65</v>
      </c>
      <c r="N68">
        <f>SUM(N53:N57,N16:N25)</f>
        <v>121</v>
      </c>
      <c r="O68">
        <f>SUM(O53:O57,O16:O25)</f>
        <v>66</v>
      </c>
      <c r="P68">
        <f>SUM(P53:P57,P16:P25)</f>
        <v>32</v>
      </c>
      <c r="R68">
        <f>SUM(Q53:Q57,Q16:Q25)</f>
        <v>166</v>
      </c>
      <c r="S68">
        <f>SUM(R53:R57,R16:R25)</f>
        <v>52</v>
      </c>
      <c r="T68">
        <f>SUM(S53:S57,S16:S25)</f>
        <v>59</v>
      </c>
      <c r="U68">
        <f>SUM(T53:T57,T16:T25)</f>
        <v>38</v>
      </c>
      <c r="V68">
        <f>SUM(U53:U57,U16:U25)</f>
        <v>24</v>
      </c>
      <c r="X68">
        <f>SUM(V53:V57,V16:V25)</f>
        <v>47</v>
      </c>
      <c r="Y68">
        <f>SUM(W53:W57,W16:W25)</f>
        <v>54</v>
      </c>
      <c r="Z68">
        <f>SUM(X53:X57,X16:X25)</f>
        <v>127</v>
      </c>
      <c r="AA68">
        <f>SUM(Y53:Y57,Y16:Y25)</f>
        <v>73</v>
      </c>
      <c r="AB68">
        <f>SUM(Z53:Z57,Z16:Z25)</f>
        <v>37</v>
      </c>
      <c r="AD68">
        <f>SUM(AA53:AA57,AA16:AA25)</f>
        <v>59</v>
      </c>
      <c r="AE68">
        <f>SUM(AB53:AB57,AB16:AB25)</f>
        <v>39</v>
      </c>
      <c r="AF68">
        <f>SUM(AC53:AC57,AC16:AC25)</f>
        <v>91</v>
      </c>
      <c r="AG68">
        <f>SUM(AD53:AD57,AD16:AD25)</f>
        <v>64</v>
      </c>
      <c r="AH68">
        <f>SUM(AE53:AE57,AE16:AE25)</f>
        <v>43</v>
      </c>
    </row>
    <row r="69" spans="1:34" x14ac:dyDescent="0.3">
      <c r="A69">
        <f t="shared" ref="A69:F69" si="0">SUM(E27:E36,E59:E63)</f>
        <v>9</v>
      </c>
      <c r="B69">
        <f t="shared" si="0"/>
        <v>13</v>
      </c>
      <c r="C69">
        <f t="shared" si="0"/>
        <v>11</v>
      </c>
      <c r="D69">
        <f t="shared" si="0"/>
        <v>22</v>
      </c>
      <c r="E69">
        <f t="shared" si="0"/>
        <v>76</v>
      </c>
      <c r="F69">
        <f t="shared" si="0"/>
        <v>10</v>
      </c>
      <c r="R69">
        <f>COUNTIF(Kopējie!CH2:CH340,"Neinteresē")</f>
        <v>166</v>
      </c>
      <c r="S69">
        <f>COUNTIF(Kopējie!CH2:CH340,"Ne sevišķi")</f>
        <v>52</v>
      </c>
      <c r="T69">
        <f>COUNTIF(Kopējie!CH2:CH340,"Viduvēji")</f>
        <v>59</v>
      </c>
      <c r="U69">
        <f>COUNTIF(Kopējie!CH2:CH340,"Ļoti")</f>
        <v>38</v>
      </c>
      <c r="V69">
        <f>COUNTIF(Kopējie!CH2:CH340,"Ārkārtīgi")</f>
        <v>24</v>
      </c>
      <c r="X69">
        <f>COUNTIF(Kopējie!CI2:CI340,"Neinteresē")</f>
        <v>48</v>
      </c>
      <c r="Y69">
        <f>COUNTIF(Kopējie!CI2:CI340,"Ne sevišķi")</f>
        <v>54</v>
      </c>
      <c r="Z69">
        <f>COUNTIF(Kopējie!CI2:CI340,"Viduvēji")</f>
        <v>127</v>
      </c>
      <c r="AA69">
        <f>COUNTIF(Kopējie!CI2:CI340,"Ļoti")</f>
        <v>73</v>
      </c>
      <c r="AB69">
        <f>COUNTIF(Kopējie!CI2:CI340,"Ārkārtīgi")</f>
        <v>37</v>
      </c>
      <c r="AD69">
        <f>COUNTIF(Kopējie!CJ2:CJ340,"Neinteresē")</f>
        <v>59</v>
      </c>
      <c r="AE69">
        <f>COUNTIF(Kopējie!CJ2:CJ340,"Ne sevišķi")</f>
        <v>40</v>
      </c>
      <c r="AF69">
        <f>COUNTIF(Kopējie!CJ2:CJ340,"Viduvēji")</f>
        <v>91</v>
      </c>
      <c r="AG69">
        <f>COUNTIF(Kopējie!CJ2:CJ340,"Ļoti")</f>
        <v>64</v>
      </c>
      <c r="AH69">
        <f>COUNTIF(Kopējie!CJ2:CJ340,"Ārkārtīgi")</f>
        <v>43</v>
      </c>
    </row>
    <row r="70" spans="1:34" x14ac:dyDescent="0.3">
      <c r="K70" s="120" t="s">
        <v>17985</v>
      </c>
      <c r="L70">
        <f>COUNTIFS(Kopējie!K2:K340,"vīriešu",Kopējie!CG2:CG340,"Neinteresē")</f>
        <v>33</v>
      </c>
      <c r="M70">
        <f>COUNTIFS(Kopējie!K2:K340,"vīriešu",Kopējie!CG2:CG340,"Ne sevišķi")</f>
        <v>28</v>
      </c>
      <c r="N70">
        <f>COUNTIFS(Kopējie!K2:K340,"vīriešu",Kopējie!CG2:CG340,"viduvēji")</f>
        <v>71</v>
      </c>
      <c r="O70">
        <f>COUNTIFS(Kopējie!K2:K340,"vīriešu",Kopējie!CG2:CG340,"ļoti")</f>
        <v>39</v>
      </c>
      <c r="P70">
        <f>COUNTIFS(Kopējie!K2:K340,"vīriešu",Kopējie!CG2:CG340,"ārkārtīgi")</f>
        <v>19</v>
      </c>
      <c r="R70">
        <f>COUNTIF(Kopējie!CH2:CH340,"Neinteresē")</f>
        <v>166</v>
      </c>
    </row>
    <row r="71" spans="1:34" x14ac:dyDescent="0.3">
      <c r="K71" s="120" t="s">
        <v>17986</v>
      </c>
      <c r="L71">
        <f>COUNTIFS(Kopējie!K2:K340,"sieviešu",Kopējie!CG2:CG340,"Neinteresē")</f>
        <v>22</v>
      </c>
      <c r="M71">
        <f>COUNTIFS(Kopējie!K2:K340,"sieviešu",Kopējie!CG2:CG340,"Ne sevišķi")</f>
        <v>36</v>
      </c>
      <c r="N71">
        <f>COUNTIFS(Kopējie!K2:K340,"sieviešu",Kopējie!CG2:CG340,"viduvēji")</f>
        <v>46</v>
      </c>
      <c r="O71">
        <f>COUNTIFS(Kopējie!K2:K340,"sieviešu",Kopējie!CG2:CG340,"ļoti")</f>
        <v>26</v>
      </c>
      <c r="P71">
        <f>COUNTIFS(Kopējie!K2:K340,"sieviešu",Kopējie!CG2:CG340,"ārkārtīgi")</f>
        <v>12</v>
      </c>
      <c r="W71" s="120" t="s">
        <v>17985</v>
      </c>
      <c r="X71">
        <f>COUNTIFS(Kopējie!K2:K340,"vīriešu",Kopējie!CI2:CI340,"Neinteresē")</f>
        <v>31</v>
      </c>
      <c r="Y71">
        <f>COUNTIFS(Kopējie!K2:K340,"vīriešu",Kopējie!CI2:CI340,"Ne sevišķi")</f>
        <v>29</v>
      </c>
      <c r="Z71">
        <f>COUNTIFS(Kopējie!K2:K340,"vīriešu",Kopējie!CI2:CI340,"Viduvēji")</f>
        <v>73</v>
      </c>
      <c r="AA71">
        <f>COUNTIFS(Kopējie!K2:K340,"vīriešu",Kopējie!CI2:CI340,"Ļoti")</f>
        <v>37</v>
      </c>
      <c r="AB71">
        <f>COUNTIFS(Kopējie!K2:K340,"vīriešu",Kopējie!CI2:CI340,"Ārkārtīgi")</f>
        <v>20</v>
      </c>
      <c r="AC71" s="120" t="s">
        <v>17985</v>
      </c>
      <c r="AD71">
        <f>COUNTIFS(Kopējie!K2:K340,"vīriešu",Kopējie!CJ2:CJ340,"Neinteresē")</f>
        <v>54</v>
      </c>
      <c r="AE71">
        <v>29</v>
      </c>
      <c r="AF71">
        <f>COUNTIFS(Kopējie!K2:K340,"vīriešu",Kopējie!CJ2:CJ340,"Viduvēji")</f>
        <v>48</v>
      </c>
      <c r="AG71">
        <f>COUNTIFS(Kopējie!K2:K340,"vīriešu",Kopējie!CJ2:CJ340,"Ļoti")</f>
        <v>20</v>
      </c>
      <c r="AH71">
        <f>COUNTIFS(Kopējie!K2:K340,"vīriešu",Kopējie!CJ2:CJ340,"Ārkārtīgi")</f>
        <v>3</v>
      </c>
    </row>
    <row r="72" spans="1:34" x14ac:dyDescent="0.3">
      <c r="Q72" s="120" t="s">
        <v>17985</v>
      </c>
      <c r="R72">
        <v>129</v>
      </c>
      <c r="S72">
        <f>COUNTIFS(Kopējie!K2:K340,"vīriešu",Kopējie!CH2:CH340,"Ne sevišķi")</f>
        <v>29</v>
      </c>
      <c r="T72">
        <f>COUNTIFS(Kopējie!K2:K340,"vīriešu",Kopējie!CH2:CH340,"viduvēji")</f>
        <v>16</v>
      </c>
      <c r="U72">
        <f>COUNTIFS(Kopējie!K2:K340,"vīriešu",Kopējie!CH2:CH340,"ļoti")</f>
        <v>11</v>
      </c>
      <c r="V72">
        <f>COUNTIFS(Kopējie!K2:K340,"vīriešu",Kopējie!CH2:CH340,"ārkārtīgi")</f>
        <v>7</v>
      </c>
      <c r="W72" s="120" t="s">
        <v>17986</v>
      </c>
      <c r="X72">
        <f>COUNTIFS(Kopējie!K2:K340,"sieviešu",Kopējie!CI2:CI340,"Neinteresē")</f>
        <v>17</v>
      </c>
      <c r="Y72">
        <f>COUNTIFS(Kopējie!K2:K340,"sieviešu",Kopējie!CI2:CI340,"Ne sevišķi")</f>
        <v>24</v>
      </c>
      <c r="Z72">
        <f>COUNTIFS(Kopējie!K2:K340,"sieviešu",Kopējie!CI2:CI340,"Viduvēji")</f>
        <v>51</v>
      </c>
      <c r="AA72">
        <f>COUNTIFS(Kopējie!K2:K340,"sieviešu",Kopējie!CI2:CI340,"Ļoti")</f>
        <v>34</v>
      </c>
      <c r="AB72">
        <f>COUNTIFS(Kopējie!K2:K340,"sieviešu",Kopējie!CI2:CI340,"Ārkārtīgi")</f>
        <v>16</v>
      </c>
      <c r="AC72" s="120" t="s">
        <v>17986</v>
      </c>
      <c r="AD72">
        <f>COUNTIFS(Kopējie!K2:K340,"sieviešu",Kopējie!CJ2:CJ340,"Neinteresē")</f>
        <v>5</v>
      </c>
      <c r="AE72">
        <f>COUNTIFS(Kopējie!K2:K340,"sieviešu",Kopējie!CJ2:CJ340,"Ne sevišķi")</f>
        <v>11</v>
      </c>
      <c r="AF72">
        <f>COUNTIFS(Kopējie!K2:K340,"sieviešu",Kopējie!CJ2:CJ340,"Viduvēji")</f>
        <v>42</v>
      </c>
      <c r="AG72">
        <f>COUNTIFS(Kopējie!K2:K340,"sieviešu",Kopējie!CJ2:CJ340,"Ļoti")</f>
        <v>42</v>
      </c>
      <c r="AH72">
        <f>COUNTIFS(Kopējie!K2:K340,"sieviešu",Kopējie!CJ2:CJ340,"Ārkārtīgi")</f>
        <v>39</v>
      </c>
    </row>
    <row r="73" spans="1:34" x14ac:dyDescent="0.3">
      <c r="Q73" s="120" t="s">
        <v>17986</v>
      </c>
      <c r="R73">
        <f>COUNTIFS(Kopējie!K2:K340,"sieviešu",Kopējie!CH2:CH340,"Neinteresē")</f>
        <v>37</v>
      </c>
      <c r="S73">
        <f>COUNTIFS(Kopējie!K2:K340,"sieviešu",Kopējie!CH2:CH340,"Ne sevišķi")</f>
        <v>23</v>
      </c>
      <c r="T73">
        <f>COUNTIFS(Kopējie!K2:K340,"sieviešu",Kopējie!CH2:CH340,"Viduvēji")</f>
        <v>41</v>
      </c>
      <c r="U73">
        <f>COUNTIFS(Kopējie!K2:K340,"sieviešu",Kopējie!CH2:CH340,"ļoti")</f>
        <v>27</v>
      </c>
      <c r="V73">
        <f>COUNTIFS(Kopējie!K2:K340,"sieviešu",Kopējie!CH2:CH340,"ārkārtīgi")</f>
        <v>14</v>
      </c>
      <c r="AF73">
        <f>COUNTIFS(Kopējie!K2:K340,"Cita atbilde",Kopējie!CJ2:CJ340,"Viduvēji")</f>
        <v>1</v>
      </c>
      <c r="AG73">
        <f>COUNTIFS(Kopējie!K2:K340,"Cita atbilde",Kopējie!CJ2:CJ340,"Ļoti")</f>
        <v>2</v>
      </c>
      <c r="AH73">
        <f>COUNTIFS(Kopējie!K2:K340,"Cita atbilde",Kopējie!CJ2:CJ340,"Ārkārtīgi")</f>
        <v>1</v>
      </c>
    </row>
    <row r="74" spans="1:34" x14ac:dyDescent="0.3">
      <c r="T74">
        <f>COUNTIFS(Kopējie!K2:K340,"Cita atbilde",Kopējie!CH2:CH340,"Viduvēji")</f>
        <v>2</v>
      </c>
      <c r="V74">
        <f>COUNTIFS(Kopējie!K2:K340,"cita atbilde",Kopējie!CH2:CH340,"ārkārtīgi")</f>
        <v>3</v>
      </c>
    </row>
    <row r="75" spans="1:34" x14ac:dyDescent="0.3">
      <c r="AE75">
        <v>1</v>
      </c>
    </row>
    <row r="76" spans="1:34" x14ac:dyDescent="0.3">
      <c r="K76" s="120" t="s">
        <v>1812</v>
      </c>
      <c r="L76">
        <v>20</v>
      </c>
      <c r="M76">
        <f>COUNTIFS(Kopējie!M2:M340,"Jā",Kopējie!N2:N340,"Nē",Kopējie!O2:O340,"Nē",Kopējie!P2:P340,"Nē",Kopējie!Q2:Q340,"Nē",Kopējie!CG2:CG340,"Ne sevišķi")</f>
        <v>31</v>
      </c>
      <c r="N76">
        <v>39</v>
      </c>
      <c r="O76">
        <f>COUNTIFS(Kopējie!M2:M340,"Jā",Kopējie!N2:N340,"Nē",Kopējie!O2:O340,"Nē",Kopējie!P2:P340,"Nē",Kopējie!Q2:Q340,"Nē",Kopējie!CG2:CG340,"Ļoti")</f>
        <v>25</v>
      </c>
      <c r="P76">
        <f>COUNTIFS(Kopējie!M2:M340,"Jā",Kopējie!N2:N340,"Nē",Kopējie!O2:O340,"Nē",Kopējie!P2:P340,"Nē",Kopējie!Q2:Q340,"Nē",Kopējie!CG2:CG340,"Ārkārtīgi")</f>
        <v>10</v>
      </c>
      <c r="Q76" s="120" t="s">
        <v>1812</v>
      </c>
      <c r="R76">
        <v>61</v>
      </c>
      <c r="S76">
        <f>COUNTIFS(Kopējie!M2:M340,"Jā",Kopējie!N2:N340,"Nē",Kopējie!O2:O340,"Nē",Kopējie!P2:P340,"Nē",Kopējie!Q2:Q340,"Nē",Kopējie!CH2:CH340,"Ne sevišķi")</f>
        <v>20</v>
      </c>
      <c r="T76">
        <f>COUNTIFS(Kopējie!M2:M340,"Jā",Kopējie!N2:N340,"Nē",Kopējie!O2:O340,"Nē",Kopējie!P2:P340,"Nē",Kopējie!Q2:Q340,"Nē",Kopējie!CH2:CH340,"Viduvēji")</f>
        <v>20</v>
      </c>
      <c r="U76">
        <f>COUNTIFS(Kopējie!M2:M340,"Jā",Kopējie!N2:N340,"Nē",Kopējie!O2:O340,"Nē",Kopējie!P2:P340,"Nē",Kopējie!Q2:Q340,"Nē",Kopējie!CH2:CH340,"Ļoti")</f>
        <v>17</v>
      </c>
      <c r="V76">
        <f>COUNTIFS(Kopējie!M2:M340,"Jā",Kopējie!N2:N340,"Nē",Kopējie!O2:O340,"Nē",Kopējie!P2:P340,"Nē",Kopējie!Q2:Q340,"Nē",Kopējie!CH2:CH340,"Ārkārtīgi")</f>
        <v>7</v>
      </c>
      <c r="W76" s="120" t="s">
        <v>1812</v>
      </c>
      <c r="X76">
        <f>COUNTIFS(Kopējie!M2:M340,"Jā",Kopējie!N2:N340,"Nē",Kopējie!O2:O340,"Nē",Kopējie!P2:P340,"Nē",Kopējie!Q2:Q340,"Nē",Kopējie!CI2:CI340,"Neinteresē")</f>
        <v>16</v>
      </c>
      <c r="Y76">
        <f>COUNTIFS(Kopējie!M2:M340,"Jā",Kopējie!N2:N340,"Nē",Kopējie!O2:O340,"Nē",Kopējie!P2:P340,"Nē",Kopējie!Q2:Q340,"Nē",Kopējie!CI2:CI340,"Ne sevišķi")</f>
        <v>21</v>
      </c>
      <c r="Z76">
        <f>COUNTIFS(Kopējie!M2:M340,"Jā",Kopējie!N2:N340,"Nē",Kopējie!O2:O340,"Nē",Kopējie!P2:P340,"Nē",Kopējie!Q2:Q340,"Nē",Kopējie!CI2:CI340,"Viduvēji")</f>
        <v>46</v>
      </c>
      <c r="AA76">
        <f>COUNTIFS(Kopējie!M2:M340,"Jā",Kopējie!N2:N340,"Nē",Kopējie!O2:O340,"Nē",Kopējie!P2:P340,"Nē",Kopējie!Q2:Q340,"Nē",Kopējie!CI2:CI340,"Ļoti")</f>
        <v>30</v>
      </c>
      <c r="AB76">
        <v>12</v>
      </c>
      <c r="AD76">
        <f>COUNTIFS(Kopējie!M2:M340,"Jā",Kopējie!N2:N340,"Nē",Kopējie!O2:O340,"Nē",Kopējie!P2:P340,"Nē",Kopējie!Q2:Q340,"Nē",Kopējie!CJ2:CJ340,"Neinteresē")</f>
        <v>14</v>
      </c>
      <c r="AE76">
        <v>15</v>
      </c>
      <c r="AF76">
        <f>COUNTIFS(Kopējie!M2:M340,"Jā",Kopējie!N2:N340,"Nē",Kopējie!O2:O340,"Nē",Kopējie!P2:P340,"Nē",Kopējie!Q2:Q340,"Nē",Kopējie!CJ2:CJ340,"Viduvēji")</f>
        <v>29</v>
      </c>
      <c r="AG76">
        <f>COUNTIFS(Kopējie!M2:M340,"Jā",Kopējie!N2:N340,"Nē",Kopējie!O2:O340,"Nē",Kopējie!P2:P340,"Nē",Kopējie!Q2:Q340,"Nē",Kopējie!CJ2:CJ340,"Ļoti")</f>
        <v>28</v>
      </c>
      <c r="AH76">
        <f>COUNTIFS(Kopējie!M2:M340,"Jā",Kopējie!N2:N340,"Nē",Kopējie!O2:O340,"Nē",Kopējie!P2:P340,"Nē",Kopējie!Q2:Q340,"Nē",Kopējie!CJ2:CJ340,"Ārkārtīgi")</f>
        <v>17</v>
      </c>
    </row>
    <row r="77" spans="1:34" x14ac:dyDescent="0.3">
      <c r="K77" s="120" t="s">
        <v>1814</v>
      </c>
      <c r="L77">
        <f>COUNTIFS(Kopējie!M2:M340,"Nē",Kopējie!N2:N340,"Jā",Kopējie!O2:O340,"Nē",Kopējie!P2:P340,"Nē",Kopējie!Q2:Q340,"Nē",Kopējie!CG2:CG340,"Neinteresē")</f>
        <v>22</v>
      </c>
      <c r="M77">
        <f>COUNTIFS(Kopējie!M2:M340,"Nē",Kopējie!N2:N340,"Jā",Kopējie!O2:O340,"Nē",Kopējie!P2:P340,"Nē",Kopējie!Q2:Q340,"Nē",Kopējie!CG2:CG340,"Ne sevišķi")</f>
        <v>19</v>
      </c>
      <c r="N77">
        <f>COUNTIFS(Kopējie!M2:M340,"Nē",Kopējie!N2:N340,"Jā",Kopējie!O2:O340,"Nē",Kopējie!P2:P340,"Nē",Kopējie!Q2:Q340,"Nē",Kopējie!CG2:CG340,"Viduvēji")</f>
        <v>39</v>
      </c>
      <c r="O77">
        <v>18</v>
      </c>
      <c r="P77">
        <f>COUNTIFS(Kopējie!M2:M340,"Nē",Kopējie!N2:N340,"Jā",Kopējie!O2:O340,"Nē",Kopējie!P2:P340,"Nē",Kopējie!Q2:Q340,"Nē",Kopējie!CG2:CG340,"Ārkārtīgi")</f>
        <v>12</v>
      </c>
      <c r="Q77" s="120" t="s">
        <v>1814</v>
      </c>
      <c r="R77">
        <f>COUNTIFS(Kopējie!M2:M340,"Nē",Kopējie!N2:N340,"Jā",Kopējie!O2:O340,"Nē",Kopējie!P2:P340,"Nē",Kopējie!Q2:Q340,"Nē",Kopējie!CH2:CH340,"Neinteresē")</f>
        <v>51</v>
      </c>
      <c r="S77">
        <f>COUNTIFS(Kopējie!M2:M340,"Nē",Kopējie!N2:N340,"Jā",Kopējie!O2:O340,"Nē",Kopējie!P2:P340,"Nē",Kopējie!Q2:Q340,"Nē",Kopējie!CH2:CH340,"Ne sevišķi")</f>
        <v>21</v>
      </c>
      <c r="T77">
        <v>22</v>
      </c>
      <c r="U77">
        <f>COUNTIFS(Kopējie!M2:M340,"Nē",Kopējie!N2:N340,"Jā",Kopējie!O2:O340,"Nē",Kopējie!P2:P340,"Nē",Kopējie!Q2:Q340,"Nē",Kopējie!CH2:CH340,"Ļoti")</f>
        <v>7</v>
      </c>
      <c r="V77">
        <f>COUNTIFS(Kopējie!M2:M340,"Nē",Kopējie!N2:N340,"Jā",Kopējie!O2:O340,"Nē",Kopējie!P2:P340,"Nē",Kopējie!Q2:Q340,"Nē",Kopējie!CH2:CH340,"Ārkārtīgi")</f>
        <v>9</v>
      </c>
      <c r="W77" s="120" t="s">
        <v>1814</v>
      </c>
      <c r="X77">
        <f>COUNTIFS(Kopējie!M2:M340,"Nē",Kopējie!N2:N340,"Jā",Kopējie!O2:O340,"Nē",Kopējie!P2:P340,"Nē",Kopējie!Q2:Q340,"Nē",Kopējie!CI2:CI340,"Neinteresē")</f>
        <v>19</v>
      </c>
      <c r="Y77">
        <v>16</v>
      </c>
      <c r="Z77">
        <f>COUNTIFS(Kopējie!M2:M340,"Nē",Kopējie!N2:N340,"Jā",Kopējie!O2:O340,"Nē",Kopējie!P2:P340,"Nē",Kopējie!Q2:Q340,"Nē",Kopējie!CI2:CI340,"Viduvēji")</f>
        <v>43</v>
      </c>
      <c r="AA77">
        <f>COUNTIFS(Kopējie!M2:M340,"Nē",Kopējie!N2:N340,"Jā",Kopējie!O2:O340,"Nē",Kopējie!P2:P340,"Nē",Kopējie!Q2:Q340,"Nē",Kopējie!CI2:CI340,"Ļoti")</f>
        <v>17</v>
      </c>
      <c r="AB77">
        <f>COUNTIFS(Kopējie!M2:M340,"Nē",Kopējie!N2:N340,"Jā",Kopējie!O2:O340,"Nē",Kopējie!P2:P340,"Nē",Kopējie!Q2:Q340,"Nē",Kopējie!CI2:CI340,"Ārkārtīgi")</f>
        <v>15</v>
      </c>
      <c r="AD77">
        <f>COUNTIFS(Kopējie!M2:M340,"Nē",Kopējie!N2:N340,"Jā",Kopējie!O2:O340,"Nē",Kopējie!P2:P340,"Nē",Kopējie!Q2:Q340,"Nē",Kopējie!CJ2:CJ340,"Neinteresē")</f>
        <v>25</v>
      </c>
      <c r="AE77">
        <f>COUNTIFS(Kopējie!M2:M340,"Nē",Kopējie!N2:N340,"Jā",Kopējie!O2:O340,"Nē",Kopējie!P2:P340,"Nē",Kopējie!Q2:Q340,"Nē",Kopējie!CJ2:CJ340,"Ne sevišķi")</f>
        <v>8</v>
      </c>
      <c r="AF77">
        <f>COUNTIFS(Kopējie!M2:M340,"Nē",Kopējie!N2:N340,"Jā",Kopējie!O2:O340,"Nē",Kopējie!P2:P340,"Nē",Kopējie!Q2:Q340,"Nē",Kopējie!CJ2:CJ340,"Viduvēji")</f>
        <v>38</v>
      </c>
      <c r="AG77">
        <v>15</v>
      </c>
      <c r="AH77">
        <f>COUNTIFS(Kopējie!M2:M340,"Nē",Kopējie!N2:N340,"Jā",Kopējie!O2:O340,"Nē",Kopējie!P2:P340,"Nē",Kopējie!Q2:Q340,"Nē",Kopējie!CJ2:CJ340,"Ārkārtīgi")</f>
        <v>12</v>
      </c>
    </row>
    <row r="78" spans="1:34" x14ac:dyDescent="0.3">
      <c r="K78" s="120" t="s">
        <v>1816</v>
      </c>
      <c r="L78">
        <f>COUNTIFS(Kopējie!M2:M340,"Jā",Kopējie!N2:N340,"Jā",Kopējie!O2:O340,"Nē",Kopējie!P2:P340,"Nē",Kopējie!Q2:Q340,"Nē",Kopējie!CG2:CG340,"Neinteresē")</f>
        <v>11</v>
      </c>
      <c r="M78">
        <f>COUNTIFS(Kopējie!M2:M340,"Jā",Kopējie!N2:N340,"Jā",Kopējie!O2:O340,"Nē",Kopējie!P2:P340,"Nē",Kopējie!Q2:Q340,"Nē",Kopējie!CG2:CG340,"Ne sevišķi")</f>
        <v>14</v>
      </c>
      <c r="N78">
        <f>COUNTIFS(Kopējie!M2:M340,"Jā",Kopējie!N2:N340,"Jā",Kopējie!O2:O340,"Nē",Kopējie!P2:P340,"Nē",Kopējie!Q2:Q340,"Nē",Kopējie!CG2:CG340,"Viduvēji")</f>
        <v>35</v>
      </c>
      <c r="O78">
        <f>COUNTIFS(Kopējie!M2:M340,"Jā",Kopējie!N2:N340,"Jā",Kopējie!O2:O340,"Nē",Kopējie!P2:P340,"Nē",Kopējie!Q2:Q340,"Nē",Kopējie!CG2:CG340,"Ļoti")</f>
        <v>18</v>
      </c>
      <c r="P78">
        <f>COUNTIFS(Kopējie!M2:M340,"Jā",Kopējie!N2:N340,"Jā",Kopējie!O2:O340,"Nē",Kopējie!P2:P340,"Nē",Kopējie!Q2:Q340,"Nē",Kopējie!CG2:CG340,"Ārkārtīgi")</f>
        <v>8</v>
      </c>
      <c r="R78">
        <f>COUNTIFS(Kopējie!M2:M340,"Jā",Kopējie!N2:N340,"Jā",Kopējie!O2:O340,"Nē",Kopējie!P2:P340,"Nē",Kopējie!Q2:Q340,"Nē",Kopējie!CH2:CH340,"Neinteresē")</f>
        <v>44</v>
      </c>
      <c r="S78">
        <f>COUNTIFS(Kopējie!M2:M340,"Jā",Kopējie!N2:N340,"Jā",Kopējie!O2:O340,"Nē",Kopējie!P2:P340,"Nē",Kopējie!Q2:Q340,"Nē",Kopējie!CH2:CH340,"Ne sevišķi")</f>
        <v>10</v>
      </c>
      <c r="T78">
        <f>COUNTIFS(Kopējie!M2:M340,"Jā",Kopējie!N2:N340,"Jā",Kopējie!O2:O340,"Nē",Kopējie!P2:P340,"Nē",Kopējie!Q2:Q340,"Nē",Kopējie!CH2:CH340,"Viduvēji")</f>
        <v>13</v>
      </c>
      <c r="U78">
        <f>COUNTIFS(Kopējie!M2:M340,"Jā",Kopējie!N2:N340,"Jā",Kopējie!O2:O340,"Nē",Kopējie!P2:P340,"Nē",Kopējie!Q2:Q340,"Nē",Kopējie!CH2:CH340,"Ļoti")</f>
        <v>12</v>
      </c>
      <c r="V78">
        <f>COUNTIFS(Kopējie!M2:M340,"Jā",Kopējie!N2:N340,"Jā",Kopējie!O2:O340,"Nē",Kopējie!P2:P340,"Nē",Kopējie!Q2:Q340,"Nē",Kopējie!CH2:CH340,"Ārkārtīgi")</f>
        <v>7</v>
      </c>
      <c r="X78">
        <f>COUNTIFS(Kopējie!M2:M340,"Jā",Kopējie!N2:N340,"Jā",Kopējie!O2:O340,"Nē",Kopējie!P2:P340,"Nē",Kopējie!Q2:Q340,"Nē",Kopējie!CI2:CI340,"Neinteresē")</f>
        <v>11</v>
      </c>
      <c r="Y78">
        <f>COUNTIFS(Kopējie!M2:M340,"Jā",Kopējie!N2:N340,"Jā",Kopējie!O2:O340,"Nē",Kopējie!P2:P340,"Nē",Kopējie!Q2:Q340,"Nē",Kopējie!CI2:CI340,"Ne sevišķi")</f>
        <v>13</v>
      </c>
      <c r="Z78">
        <f>COUNTIFS(Kopējie!M2:M340,"Jā",Kopējie!N2:N340,"Jā",Kopējie!O2:O340,"Nē",Kopējie!P2:P340,"Nē",Kopējie!Q2:Q340,"Nē",Kopējie!CI2:CI340,"Viduvēji")</f>
        <v>32</v>
      </c>
      <c r="AA78">
        <f>COUNTIFS(Kopējie!M2:M340,"Jā",Kopējie!N2:N340,"Jā",Kopējie!O2:O340,"Nē",Kopējie!P2:P340,"Nē",Kopējie!Q2:Q340,"Nē",Kopējie!CI2:CI340,"Ļoti")</f>
        <v>22</v>
      </c>
      <c r="AB78">
        <f>COUNTIFS(Kopējie!M2:M340,"Jā",Kopējie!N2:N340,"Jā",Kopējie!O2:O340,"Nē",Kopējie!P2:P340,"Nē",Kopējie!Q2:Q340,"Nē",Kopējie!CI2:CI340,"Ārkārtīgi")</f>
        <v>8</v>
      </c>
      <c r="AD78">
        <f>COUNTIFS(Kopējie!M2:M340,"Jā",Kopējie!N2:N340,"Jā",Kopējie!O2:O340,"Nē",Kopējie!P2:P340,"Nē",Kopējie!Q2:Q340,"Nē",Kopējie!CJ2:CJ340,"Neinteresē")</f>
        <v>18</v>
      </c>
      <c r="AE78">
        <f>COUNTIFS(Kopējie!M2:M340,"Jā",Kopējie!N2:N340,"Jā",Kopējie!O2:O340,"Nē",Kopējie!P2:P340,"Nē",Kopējie!Q2:Q340,"Nē",Kopējie!CJ2:CJ340,"Ne sevišķi")</f>
        <v>15</v>
      </c>
      <c r="AF78">
        <f>COUNTIFS(Kopējie!M2:M340,"Jā",Kopējie!N2:N340,"Jā",Kopējie!O2:O340,"Nē",Kopējie!P2:P340,"Nē",Kopējie!Q2:Q340,"Nē",Kopējie!CJ2:CJ340,"Viduvēji")</f>
        <v>19</v>
      </c>
      <c r="AG78">
        <f>COUNTIFS(Kopējie!M2:M340,"Jā",Kopējie!N2:N340,"Jā",Kopējie!O2:O340,"Nē",Kopējie!P2:P340,"Nē",Kopējie!Q2:Q340,"Nē",Kopējie!CJ2:CJ340,"Ļoti")</f>
        <v>16</v>
      </c>
      <c r="AH78">
        <f>COUNTIFS(Kopējie!M2:M340,"Jā",Kopējie!N2:N340,"Jā",Kopējie!O2:O340,"Nē",Kopējie!P2:P340,"Nē",Kopējie!Q2:Q340,"Nē",Kopējie!CJ2:CJ340,"Ārkārtīgi")</f>
        <v>11</v>
      </c>
    </row>
    <row r="79" spans="1:34" ht="129.6" x14ac:dyDescent="0.3">
      <c r="I79" s="181" t="s">
        <v>18256</v>
      </c>
      <c r="L79">
        <f>COUNTIFS(Kopējie!M2:M340,"Jā",Kopējie!N2:N340,"Jā",Kopējie!O2:O340,"Nē",Kopējie!P2:P340,"Nē",Kopējie!Q2:Q340,"Nē",Kopējie!CG2:CG340,"Neinteresē",Kopējie!BT2:BT340,"Apvienotais saraksts")</f>
        <v>0</v>
      </c>
      <c r="M79">
        <f>COUNTIFS(Kopējie!M2:M340,"Jā",Kopējie!N2:N340,"Jā",Kopējie!O2:O340,"Nē",Kopējie!P2:P340,"Nē",Kopējie!Q2:Q340,"Nē",Kopējie!CG2:CG340,"Ne sevišķi",Kopējie!BT2:BT340,"Apvienotais saraksts")</f>
        <v>0</v>
      </c>
      <c r="N79">
        <f>COUNTIFS(Kopējie!M2:M340,"Jā",Kopējie!N2:N340,"Jā",Kopējie!O2:O340,"Nē",Kopējie!P2:P340,"Nē",Kopējie!Q2:Q340,"Nē",Kopējie!CG2:CG340,"Viduvēji",Kopējie!BT2:BT340,"Apvienotais saraksts")</f>
        <v>0</v>
      </c>
      <c r="O79">
        <f>COUNTIFS(Kopējie!M2:M340,"Jā",Kopējie!N2:N340,"Jā",Kopējie!O2:O340,"Nē",Kopējie!P2:P340,"Nē",Kopējie!Q2:Q340,"Nē",Kopējie!CG2:CG340,"Ļoti",Kopējie!BT2:BT340,"Apvienotais saraksts")</f>
        <v>0</v>
      </c>
      <c r="P79">
        <f>COUNTIFS(Kopējie!M2:M340,"Jā",Kopējie!N2:N340,"Jā",Kopējie!O2:O340,"Nē",Kopējie!P2:P340,"Nē",Kopējie!Q2:Q340,"Nē",Kopējie!BT2:BT340,"Apvienotais saraksts",Kopējie!CG2:CG340,"Ārkārtīgi")</f>
        <v>0</v>
      </c>
    </row>
    <row r="80" spans="1:34" x14ac:dyDescent="0.3">
      <c r="N80">
        <f>SUM(L76:P76)</f>
        <v>125</v>
      </c>
      <c r="S80">
        <f>SUM(R76:V76)</f>
        <v>125</v>
      </c>
      <c r="X80">
        <f>SUM(X76:AB76)</f>
        <v>125</v>
      </c>
    </row>
    <row r="81" spans="9:25" x14ac:dyDescent="0.3">
      <c r="N81">
        <f>SUM(L77:P77)</f>
        <v>110</v>
      </c>
      <c r="S81">
        <f>SUM(R77:V77)</f>
        <v>110</v>
      </c>
      <c r="Y81">
        <f>SUM(X78:AB78)</f>
        <v>86</v>
      </c>
    </row>
    <row r="82" spans="9:25" x14ac:dyDescent="0.3">
      <c r="J82" t="s">
        <v>18258</v>
      </c>
      <c r="K82" t="s">
        <v>18259</v>
      </c>
      <c r="L82" t="s">
        <v>18260</v>
      </c>
      <c r="M82" t="s">
        <v>18261</v>
      </c>
    </row>
    <row r="83" spans="9:25" x14ac:dyDescent="0.3">
      <c r="I83" t="s">
        <v>18257</v>
      </c>
      <c r="J83">
        <f>COUNTIFS(Kopējie!M2:M340,"Jā",Kopējie!N2:N340,"Jā",Kopējie!O2:O340,"Nē",Kopējie!P2:P340,"Nē",Kopējie!Q2:Q340,"Nē",Kopējie!BR2:BR340,"jā, visu, ko iespējams šķirot",Kopējie!BT2:BT340,"Apvienotais saraksts")</f>
        <v>0</v>
      </c>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2DFC-CDD6-45B5-AB86-0424382F9CF4}">
  <dimension ref="A3:AB34"/>
  <sheetViews>
    <sheetView topLeftCell="F2" workbookViewId="0">
      <selection activeCell="U21" sqref="U21"/>
    </sheetView>
  </sheetViews>
  <sheetFormatPr defaultRowHeight="14.4" x14ac:dyDescent="0.3"/>
  <sheetData>
    <row r="3" spans="1:28" x14ac:dyDescent="0.3">
      <c r="A3" s="49" t="s">
        <v>17959</v>
      </c>
      <c r="D3" s="49" t="s">
        <v>338</v>
      </c>
      <c r="E3" s="49"/>
      <c r="F3" s="49"/>
      <c r="G3" s="49"/>
      <c r="H3" s="49"/>
      <c r="I3" s="49"/>
      <c r="J3" s="49"/>
      <c r="K3" s="49" t="s">
        <v>813</v>
      </c>
      <c r="L3" s="49"/>
      <c r="M3" s="49"/>
      <c r="N3" s="49"/>
      <c r="O3" s="49"/>
      <c r="P3" s="49"/>
      <c r="Q3" s="49"/>
      <c r="R3" s="49"/>
      <c r="S3" s="49"/>
      <c r="T3" s="49"/>
      <c r="U3" s="49" t="s">
        <v>727</v>
      </c>
    </row>
    <row r="4" spans="1:28" x14ac:dyDescent="0.3">
      <c r="C4" s="126" t="s">
        <v>17964</v>
      </c>
      <c r="D4" s="126" t="s">
        <v>17965</v>
      </c>
      <c r="E4" s="126" t="s">
        <v>17966</v>
      </c>
      <c r="F4" s="126" t="s">
        <v>17967</v>
      </c>
      <c r="G4" s="126" t="s">
        <v>17968</v>
      </c>
      <c r="H4" s="126" t="s">
        <v>17969</v>
      </c>
      <c r="I4" s="126" t="s">
        <v>17970</v>
      </c>
      <c r="J4" s="126"/>
      <c r="K4" s="126"/>
      <c r="L4" s="126" t="s">
        <v>17964</v>
      </c>
      <c r="M4" s="126" t="s">
        <v>17965</v>
      </c>
      <c r="N4" s="126" t="s">
        <v>17966</v>
      </c>
      <c r="O4" s="126" t="s">
        <v>17967</v>
      </c>
      <c r="P4" s="126" t="s">
        <v>17968</v>
      </c>
      <c r="Q4" s="126" t="s">
        <v>17969</v>
      </c>
      <c r="R4" s="126" t="s">
        <v>17970</v>
      </c>
      <c r="S4" s="126"/>
      <c r="T4" s="126"/>
      <c r="U4" s="126" t="s">
        <v>17964</v>
      </c>
      <c r="V4" s="126" t="s">
        <v>17965</v>
      </c>
      <c r="W4" s="126" t="s">
        <v>17966</v>
      </c>
      <c r="X4" s="126" t="s">
        <v>17967</v>
      </c>
      <c r="Y4" s="126" t="s">
        <v>17968</v>
      </c>
      <c r="Z4" s="126" t="s">
        <v>17969</v>
      </c>
      <c r="AA4" s="126" t="s">
        <v>17970</v>
      </c>
      <c r="AB4" s="126"/>
    </row>
    <row r="5" spans="1:28" x14ac:dyDescent="0.3">
      <c r="A5" s="49"/>
      <c r="B5" s="44" t="s">
        <v>17971</v>
      </c>
      <c r="C5">
        <f>COUNTIFS(Tabula1[City],"Rīga",Tabula1[Dzimtā valoda(s): '[Latviešu']],"Jā",Tabula1[Dzimtā valoda(s): '[Krievu  ']],"Jā",Tabula1[Dzimtā valoda(s): '[Ukraiņu ']],"Nē",Tabula1[Dzimtā valoda(s): '[Angļu']],"Nē",Tabula1[Dzimtā valoda(s): '[Poļu']],"Nē",Tabula1[Cik bieži izmantojat latviešu valodu šajos kontekstos?  '[Ģimenē']],"(Gandrīz) katru dienu")</f>
        <v>7</v>
      </c>
      <c r="D5" s="76">
        <f>COUNTIFS(Tabula1[City],"Rīga",Tabula1[Dzimtā valoda(s): '[Latviešu']],"Jā",Tabula1[Dzimtā valoda(s): '[Krievu  ']],"Jā",Tabula1[Dzimtā valoda(s): '[Ukraiņu ']],"Nē",Tabula1[Dzimtā valoda(s): '[Angļu']],"Nē",Tabula1[Dzimtā valoda(s): '[Poļu']],"Nē",Tabula1[Cik bieži izmantojat latviešu valodu šajos kontekstos?  '[Skolā (ārpus nodarbībām)']],"(Gandrīz) katru dienu")</f>
        <v>10</v>
      </c>
      <c r="E5" s="76">
        <f>COUNTIFS(Tabula1[City],"Rīga",Tabula1[Dzimtā valoda(s): '[Latviešu']],"Jā",Tabula1[Dzimtā valoda(s): '[Krievu  ']],"Jā",Tabula1[Dzimtā valoda(s): '[Ukraiņu ']],"Nē",Tabula1[Dzimtā valoda(s): '[Angļu']],"Nē",Tabula1[Dzimtā valoda(s): '[Poļu']],"Nē",Tabula1[Cik bieži izmantojat latviešu valodu šajos kontekstos?  '[Darbā']],"(Gandrīz) katru dienu")</f>
        <v>7</v>
      </c>
      <c r="F5" s="76">
        <f>COUNTIFS(Tabula1[City],"Rīga",Tabula1[Dzimtā valoda(s): '[Latviešu']],"Jā",Tabula1[Dzimtā valoda(s): '[Krievu  ']],"Jā",Tabula1[Dzimtā valoda(s): '[Ukraiņu ']],"Nē",Tabula1[Dzimtā valoda(s): '[Angļu']],"Nē",Tabula1[Dzimtā valoda(s): '[Poļu']],"Nē",Tabula1[Cik bieži izmantojat latviešu valodu šajos kontekstos?  '[Ar draugiem']],"(Gandrīz) katru dienu")</f>
        <v>7</v>
      </c>
      <c r="G5" s="76">
        <f>COUNTIFS(Tabula1[City],"Rīga",Tabula1[Dzimtā valoda(s): '[Latviešu']],"Jā",Tabula1[Dzimtā valoda(s): '[Krievu  ']],"Jā",Tabula1[Dzimtā valoda(s): '[Ukraiņu ']],"Nē",Tabula1[Dzimtā valoda(s): '[Angļu']],"Nē",Tabula1[Dzimtā valoda(s): '[Poļu']],"Nē",Tabula1[Cik bieži izmantojat latviešu valodu šajos kontekstos?  '[Sportā']],"(Gandrīz) katru dienu")</f>
        <v>6</v>
      </c>
      <c r="H5" s="76">
        <f>COUNTIFS(Tabula1[City],"Rīga",Tabula1[Dzimtā valoda(s): '[Latviešu']],"Jā",Tabula1[Dzimtā valoda(s): '[Krievu  ']],"Jā",Tabula1[Dzimtā valoda(s): '[Ukraiņu ']],"Nē",Tabula1[Dzimtā valoda(s): '[Angļu']],"Nē",Tabula1[Dzimtā valoda(s): '[Poļu']],"Nē",Tabula1[Cik bieži izmantojat latviešu valodu šajos kontekstos?  '[Hobijos / citās interešu grupās']],"(Gandrīz) katru dienu")</f>
        <v>6</v>
      </c>
      <c r="I5" s="76">
        <f>COUNTIFS(Tabula1[City],"Rīga",Tabula1[Dzimtā valoda(s): '[Latviešu']],"Jā",Tabula1[Dzimtā valoda(s): '[Krievu  ']],"Jā",Tabula1[Dzimtā valoda(s): '[Ukraiņu ']],"Nē",Tabula1[Dzimtā valoda(s): '[Angļu']],"Nē",Tabula1[Dzimtā valoda(s): '[Poļu']],"Nē",Tabula1[Cik bieži izmantojat latviešu valodu šajos kontekstos?  '[Uz ielas / veikalā utt.']],"(Gandrīz) katru dienu")</f>
        <v>11</v>
      </c>
      <c r="J5" s="49"/>
      <c r="K5" s="44" t="s">
        <v>17971</v>
      </c>
      <c r="L5" s="76">
        <f>COUNTIFS(Tabula1[City],"Daugavpils",Tabula1[Dzimtā valoda(s): '[Latviešu']],"Jā",Tabula1[Dzimtā valoda(s): '[Krievu  ']],"Jā",Tabula1[Dzimtā valoda(s): '[Ukraiņu ']],"Nē",Tabula1[Dzimtā valoda(s): '[Angļu']],"Nē",Tabula1[Dzimtā valoda(s): '[Poļu']],"Nē",Tabula1[Cik bieži izmantojat latviešu valodu šajos kontekstos?  '[Ģimenē']],"(Gandrīz) katru dienu")</f>
        <v>12</v>
      </c>
      <c r="M5" s="76">
        <f>COUNTIFS(Tabula1[City],"Daugavpils",Tabula1[Dzimtā valoda(s): '[Latviešu']],"Jā",Tabula1[Dzimtā valoda(s): '[Krievu  ']],"Jā",Tabula1[Dzimtā valoda(s): '[Ukraiņu ']],"Nē",Tabula1[Dzimtā valoda(s): '[Angļu']],"Nē",Tabula1[Dzimtā valoda(s): '[Poļu']],"Nē",Tabula1[Cik bieži izmantojat latviešu valodu šajos kontekstos?  '[Skolā (ārpus nodarbībām)']],"(Gandrīz) katru dienu")</f>
        <v>27</v>
      </c>
      <c r="N5" s="76">
        <f>COUNTIFS(Tabula1[City],"Daugavpils",Tabula1[Dzimtā valoda(s): '[Latviešu']],"Jā",Tabula1[Dzimtā valoda(s): '[Krievu  ']],"Jā",Tabula1[Dzimtā valoda(s): '[Ukraiņu ']],"Nē",Tabula1[Dzimtā valoda(s): '[Angļu']],"Nē",Tabula1[Dzimtā valoda(s): '[Poļu']],"Nē",Tabula1[Cik bieži izmantojat latviešu valodu šajos kontekstos?  '[Darbā']],"(Gandrīz) katru dienu")</f>
        <v>23</v>
      </c>
      <c r="O5" s="76">
        <f>COUNTIFS(Tabula1[City],"Daugavpils",Tabula1[Dzimtā valoda(s): '[Latviešu']],"Jā",Tabula1[Dzimtā valoda(s): '[Krievu  ']],"Jā",Tabula1[Dzimtā valoda(s): '[Ukraiņu ']],"Nē",Tabula1[Dzimtā valoda(s): '[Angļu']],"Nē",Tabula1[Dzimtā valoda(s): '[Poļu']],"Nē",Tabula1[Cik bieži izmantojat latviešu valodu šajos kontekstos?  '[Ar draugiem']],"(Gandrīz) katru dienu")</f>
        <v>7</v>
      </c>
      <c r="P5" s="76">
        <f>COUNTIFS(Tabula1[City],"Daugavpils",Tabula1[Dzimtā valoda(s): '[Latviešu']],"Jā",Tabula1[Dzimtā valoda(s): '[Krievu  ']],"Jā",Tabula1[Dzimtā valoda(s): '[Ukraiņu ']],"Nē",Tabula1[Dzimtā valoda(s): '[Angļu']],"Nē",Tabula1[Dzimtā valoda(s): '[Poļu']],"Nē",Tabula1[Cik bieži izmantojat latviešu valodu šajos kontekstos?  '[Sportā']],"(Gandrīz) katru dienu")</f>
        <v>8</v>
      </c>
      <c r="Q5" s="76">
        <f>COUNTIFS(Tabula1[City],"Daugavpils",Tabula1[Dzimtā valoda(s): '[Latviešu']],"Jā",Tabula1[Dzimtā valoda(s): '[Krievu  ']],"Jā",Tabula1[Dzimtā valoda(s): '[Ukraiņu ']],"Nē",Tabula1[Dzimtā valoda(s): '[Angļu']],"Nē",Tabula1[Dzimtā valoda(s): '[Poļu']],"Nē",Tabula1[Cik bieži izmantojat latviešu valodu šajos kontekstos?  '[Hobijos / citās interešu grupās']],"(Gandrīz) katru dienu")</f>
        <v>7</v>
      </c>
      <c r="R5" s="76">
        <f>COUNTIFS(Tabula1[City],"Daugavpils",Tabula1[Dzimtā valoda(s): '[Latviešu']],"Jā",Tabula1[Dzimtā valoda(s): '[Krievu  ']],"Jā",Tabula1[Dzimtā valoda(s): '[Ukraiņu ']],"Nē",Tabula1[Dzimtā valoda(s): '[Angļu']],"Nē",Tabula1[Dzimtā valoda(s): '[Poļu']],"Nē",Tabula1[Cik bieži izmantojat latviešu valodu šajos kontekstos?  '[Uz ielas / veikalā utt.']],"(Gandrīz) katru dienu")</f>
        <v>13</v>
      </c>
      <c r="S5" s="49"/>
      <c r="T5" s="44" t="s">
        <v>17971</v>
      </c>
      <c r="U5" s="76">
        <f>COUNTIFS(Tabula1[City],"Liepāja",Tabula1[Dzimtā valoda(s): '[Latviešu']],"Jā",Tabula1[Dzimtā valoda(s): '[Krievu  ']],"Jā",Tabula1[Dzimtā valoda(s): '[Ukraiņu ']],"Nē",Tabula1[Dzimtā valoda(s): '[Angļu']],"Nē",Tabula1[Dzimtā valoda(s): '[Poļu']],"Nē",Tabula1[Cik bieži izmantojat latviešu valodu šajos kontekstos?  '[Ģimenē']],"(Gandrīz) katru dienu")</f>
        <v>7</v>
      </c>
      <c r="V5">
        <f>COUNTIFS(Tabula1[City],"Liepāja",Tabula1[Dzimtā valoda(s): '[Latviešu']],"Jā",Tabula1[Dzimtā valoda(s): '[Krievu  ']],"Jā",Tabula1[Dzimtā valoda(s): '[Ukraiņu ']],"Nē",Tabula1[Dzimtā valoda(s): '[Angļu']],"Nē",Tabula1[Dzimtā valoda(s): '[Poļu']],"Nē",Tabula1[Cik bieži izmantojat latviešu valodu šajos kontekstos?  '[Skolā (ārpus nodarbībām)']],"(Gandrīz) katru dienu")</f>
        <v>14</v>
      </c>
      <c r="W5">
        <f>COUNTIFS(Tabula1[City],"Liepāja",Tabula1[Dzimtā valoda(s): '[Latviešu']],"Jā",Tabula1[Dzimtā valoda(s): '[Krievu  ']],"Jā",Tabula1[Dzimtā valoda(s): '[Ukraiņu ']],"Nē",Tabula1[Dzimtā valoda(s): '[Angļu']],"Nē",Tabula1[Dzimtā valoda(s): '[Poļu']],"Nē",Tabula1[Cik bieži izmantojat latviešu valodu šajos kontekstos?  '[Darbā']],"(Gandrīz) katru dienu")</f>
        <v>11</v>
      </c>
      <c r="X5">
        <f>COUNTIFS(Tabula1[City],"Liepāja",Tabula1[Dzimtā valoda(s): '[Latviešu']],"Jā",Tabula1[Dzimtā valoda(s): '[Krievu  ']],"Jā",Tabula1[Dzimtā valoda(s): '[Ukraiņu ']],"Nē",Tabula1[Dzimtā valoda(s): '[Angļu']],"Nē",Tabula1[Dzimtā valoda(s): '[Poļu']],"Nē",Tabula1[Cik bieži izmantojat latviešu valodu šajos kontekstos?  '[Ar draugiem']],"(Gandrīz) katru dienu")</f>
        <v>7</v>
      </c>
      <c r="Y5">
        <f>COUNTIFS(Tabula1[City],"Liepāja",Tabula1[Dzimtā valoda(s): '[Latviešu']],"Jā",Tabula1[Dzimtā valoda(s): '[Krievu  ']],"Jā",Tabula1[Dzimtā valoda(s): '[Ukraiņu ']],"Nē",Tabula1[Dzimtā valoda(s): '[Angļu']],"Nē",Tabula1[Dzimtā valoda(s): '[Poļu']],"Nē",Tabula1[Cik bieži izmantojat latviešu valodu šajos kontekstos?  '[Sportā']],"(Gandrīz) katru dienu")</f>
        <v>9</v>
      </c>
      <c r="Z5">
        <f>COUNTIFS(Tabula1[City],"Liepāja",Tabula1[Dzimtā valoda(s): '[Latviešu']],"Jā",Tabula1[Dzimtā valoda(s): '[Krievu  ']],"Jā",Tabula1[Dzimtā valoda(s): '[Ukraiņu ']],"Nē",Tabula1[Dzimtā valoda(s): '[Angļu']],"Nē",Tabula1[Dzimtā valoda(s): '[Poļu']],"Nē",Tabula1[Cik bieži izmantojat latviešu valodu šajos kontekstos?  '[Hobijos / citās interešu grupās']],"(Gandrīz) katru dienu")</f>
        <v>7</v>
      </c>
      <c r="AA5">
        <f>COUNTIFS(Tabula1[City],"Liepāja",Tabula1[Dzimtā valoda(s): '[Latviešu']],"Jā",Tabula1[Dzimtā valoda(s): '[Krievu  ']],"Jā",Tabula1[Dzimtā valoda(s): '[Ukraiņu ']],"Nē",Tabula1[Dzimtā valoda(s): '[Angļu']],"Nē",Tabula1[Dzimtā valoda(s): '[Poļu']],"Nē",Tabula1[Cik bieži izmantojat latviešu valodu šajos kontekstos?  '[Uz ielas / veikalā utt.']],"(Gandrīz) katru dienu")</f>
        <v>11</v>
      </c>
    </row>
    <row r="6" spans="1:28" x14ac:dyDescent="0.3">
      <c r="B6" s="44" t="s">
        <v>17972</v>
      </c>
      <c r="C6" s="50">
        <f>COUNTIFS(Tabula1[City],"Rīga",Tabula1[Dzimtā valoda(s): '[Latviešu']],"Jā",Tabula1[Dzimtā valoda(s): '[Krievu  ']],"Jā",Tabula1[Dzimtā valoda(s): '[Ukraiņu ']],"Nē",Tabula1[Dzimtā valoda(s): '[Angļu']],"Nē",Tabula1[Dzimtā valoda(s): '[Poļu']],"Nē",Tabula1[Cik bieži izmantojat latviešu valodu šajos kontekstos?  '[Ģimenē']],"Pāris reižu nedēļā")</f>
        <v>1</v>
      </c>
      <c r="D6" s="50">
        <f>COUNTIFS(Tabula1[City],"Rīga",Tabula1[Dzimtā valoda(s): '[Latviešu']],"Jā",Tabula1[Dzimtā valoda(s): '[Krievu  ']],"Jā",Tabula1[Dzimtā valoda(s): '[Ukraiņu ']],"Nē",Tabula1[Dzimtā valoda(s): '[Angļu']],"Nē",Tabula1[Dzimtā valoda(s): '[Poļu']],"Nē",Tabula1[Cik bieži izmantojat latviešu valodu šajos kontekstos?  '[Skolā (ārpus nodarbībām)']],"Pāris reižu nedēļā")</f>
        <v>1</v>
      </c>
      <c r="E6" s="50">
        <f>COUNTIFS(Tabula1[City],"Rīga",Tabula1[Dzimtā valoda(s): '[Latviešu']],"Jā",Tabula1[Dzimtā valoda(s): '[Krievu  ']],"Jā",Tabula1[Dzimtā valoda(s): '[Ukraiņu ']],"Nē",Tabula1[Dzimtā valoda(s): '[Angļu']],"Nē",Tabula1[Dzimtā valoda(s): '[Poļu']],"Nē",Tabula1[Cik bieži izmantojat latviešu valodu šajos kontekstos?  '[Darbā']],"Pāris reižu nedēļā")</f>
        <v>3</v>
      </c>
      <c r="F6" s="50">
        <f>COUNTIFS(Tabula1[City],"Rīga",Tabula1[Dzimtā valoda(s): '[Latviešu']],"Jā",Tabula1[Dzimtā valoda(s): '[Krievu  ']],"Jā",Tabula1[Dzimtā valoda(s): '[Ukraiņu ']],"Nē",Tabula1[Dzimtā valoda(s): '[Angļu']],"Nē",Tabula1[Dzimtā valoda(s): '[Poļu']],"Nē",Tabula1[Cik bieži izmantojat latviešu valodu šajos kontekstos?  '[Ar draugiem']],"Pāris reižu nedēļā")</f>
        <v>2</v>
      </c>
      <c r="G6" s="50">
        <f>COUNTIFS(Tabula1[City],"Rīga",Tabula1[Dzimtā valoda(s): '[Latviešu']],"Jā",Tabula1[Dzimtā valoda(s): '[Krievu  ']],"Jā",Tabula1[Dzimtā valoda(s): '[Ukraiņu ']],"Nē",Tabula1[Dzimtā valoda(s): '[Angļu']],"Nē",Tabula1[Dzimtā valoda(s): '[Poļu']],"Nē",Tabula1[Cik bieži izmantojat latviešu valodu šajos kontekstos?  '[Sportā']],"Pāris reižu nedēļā")</f>
        <v>4</v>
      </c>
      <c r="H6" s="50">
        <f>COUNTIFS(Tabula1[City],"Rīga",Tabula1[Dzimtā valoda(s): '[Latviešu']],"Jā",Tabula1[Dzimtā valoda(s): '[Krievu  ']],"Jā",Tabula1[Dzimtā valoda(s): '[Ukraiņu ']],"Nē",Tabula1[Dzimtā valoda(s): '[Angļu']],"Nē",Tabula1[Dzimtā valoda(s): '[Poļu']],"Nē",Tabula1[Cik bieži izmantojat latviešu valodu šajos kontekstos?  '[Hobijos / citās interešu grupās']],"Pāris reižu nedēļā")</f>
        <v>2</v>
      </c>
      <c r="I6" s="50">
        <f>COUNTIFS(Tabula1[City],"Rīga",Tabula1[Dzimtā valoda(s): '[Latviešu']],"Jā",Tabula1[Dzimtā valoda(s): '[Krievu  ']],"Jā",Tabula1[Dzimtā valoda(s): '[Ukraiņu ']],"Nē",Tabula1[Dzimtā valoda(s): '[Angļu']],"Nē",Tabula1[Dzimtā valoda(s): '[Poļu']],"Nē",Tabula1[Cik bieži izmantojat latviešu valodu šajos kontekstos?  '[Uz ielas / veikalā utt.']],"Pāris reižu nedēļā")</f>
        <v>3</v>
      </c>
      <c r="J6" s="126"/>
      <c r="K6" s="44" t="s">
        <v>17972</v>
      </c>
      <c r="L6" s="50">
        <f>COUNTIFS(Tabula1[City],"Daugavpils",Tabula1[Dzimtā valoda(s): '[Latviešu']],"Jā",Tabula1[Dzimtā valoda(s): '[Krievu  ']],"Jā",Tabula1[Dzimtā valoda(s): '[Ukraiņu ']],"Nē",Tabula1[Dzimtā valoda(s): '[Angļu']],"Nē",Tabula1[Dzimtā valoda(s): '[Poļu']],"Nē",Tabula1[Cik bieži izmantojat latviešu valodu šajos kontekstos?  '[Ģimenē']],"Pāris reižu nedēļā")</f>
        <v>6</v>
      </c>
      <c r="M6" s="50">
        <f>COUNTIFS(Tabula1[City],"Daugavpils",Tabula1[Dzimtā valoda(s): '[Latviešu']],"Jā",Tabula1[Dzimtā valoda(s): '[Krievu  ']],"Jā",Tabula1[Dzimtā valoda(s): '[Ukraiņu ']],"Nē",Tabula1[Dzimtā valoda(s): '[Angļu']],"Nē",Tabula1[Dzimtā valoda(s): '[Poļu']],"Nē",Tabula1[Cik bieži izmantojat latviešu valodu šajos kontekstos?  '[Skolā (ārpus nodarbībām)']],"Pāris reižu nedēļā")</f>
        <v>10</v>
      </c>
      <c r="N6" s="50">
        <f>COUNTIFS(Tabula1[City],"Daugavpils",Tabula1[Dzimtā valoda(s): '[Latviešu']],"Jā",Tabula1[Dzimtā valoda(s): '[Krievu  ']],"Jā",Tabula1[Dzimtā valoda(s): '[Ukraiņu ']],"Nē",Tabula1[Dzimtā valoda(s): '[Angļu']],"Nē",Tabula1[Dzimtā valoda(s): '[Poļu']],"Nē",Tabula1[Cik bieži izmantojat latviešu valodu šajos kontekstos?  '[Darbā']],"Pāris reižu nedēļā")</f>
        <v>6</v>
      </c>
      <c r="O6" s="50">
        <f>COUNTIFS(Tabula1[City],"Daugavpils",Tabula1[Dzimtā valoda(s): '[Latviešu']],"Jā",Tabula1[Dzimtā valoda(s): '[Krievu  ']],"Jā",Tabula1[Dzimtā valoda(s): '[Ukraiņu ']],"Nē",Tabula1[Dzimtā valoda(s): '[Angļu']],"Nē",Tabula1[Dzimtā valoda(s): '[Poļu']],"Nē",Tabula1[Cik bieži izmantojat latviešu valodu šajos kontekstos?  '[Ar draugiem']],"Pāris reižu nedēļā")</f>
        <v>8</v>
      </c>
      <c r="P6" s="50">
        <f>COUNTIFS(Tabula1[City],"Daugavpils",Tabula1[Dzimtā valoda(s): '[Latviešu']],"Jā",Tabula1[Dzimtā valoda(s): '[Krievu  ']],"Jā",Tabula1[Dzimtā valoda(s): '[Ukraiņu ']],"Nē",Tabula1[Dzimtā valoda(s): '[Angļu']],"Nē",Tabula1[Dzimtā valoda(s): '[Poļu']],"Nē",Tabula1[Cik bieži izmantojat latviešu valodu šajos kontekstos?  '[Sportā']],"Pāris reižu nedēļā")</f>
        <v>5</v>
      </c>
      <c r="Q6" s="50">
        <f>COUNTIFS(Tabula1[City],"Daugavpils",Tabula1[Dzimtā valoda(s): '[Latviešu']],"Jā",Tabula1[Dzimtā valoda(s): '[Krievu  ']],"Jā",Tabula1[Dzimtā valoda(s): '[Ukraiņu ']],"Nē",Tabula1[Dzimtā valoda(s): '[Angļu']],"Nē",Tabula1[Dzimtā valoda(s): '[Poļu']],"Nē",Tabula1[Cik bieži izmantojat latviešu valodu šajos kontekstos?  '[Hobijos / citās interešu grupās']],"Pāris reižu nedēļā")</f>
        <v>8</v>
      </c>
      <c r="R6" s="50">
        <f>COUNTIFS(Tabula1[City],"Daugavpils",Tabula1[Dzimtā valoda(s): '[Latviešu']],"Jā",Tabula1[Dzimtā valoda(s): '[Krievu  ']],"Jā",Tabula1[Dzimtā valoda(s): '[Ukraiņu ']],"Nē",Tabula1[Dzimtā valoda(s): '[Angļu']],"Nē",Tabula1[Dzimtā valoda(s): '[Poļu']],"Nē",Tabula1[Cik bieži izmantojat latviešu valodu šajos kontekstos?  '[Uz ielas / veikalā utt.']],"Pāris reižu nedēļā")</f>
        <v>12</v>
      </c>
      <c r="S6" s="126"/>
      <c r="T6" s="44" t="s">
        <v>17972</v>
      </c>
      <c r="U6" s="50">
        <f>COUNTIFS(Tabula1[City],"Liepāja",Tabula1[Dzimtā valoda(s): '[Latviešu']],"Jā",Tabula1[Dzimtā valoda(s): '[Krievu  ']],"Jā",Tabula1[Dzimtā valoda(s): '[Ukraiņu ']],"Nē",Tabula1[Dzimtā valoda(s): '[Angļu']],"Nē",Tabula1[Dzimtā valoda(s): '[Poļu']],"Nē",Tabula1[Cik bieži izmantojat latviešu valodu šajos kontekstos?  '[Ģimenē']],"Pāris reižu nedēļā")</f>
        <v>1</v>
      </c>
      <c r="V6" s="50">
        <f>COUNTIFS(Tabula1[City],"Liepāja",Tabula1[Dzimtā valoda(s): '[Latviešu']],"Jā",Tabula1[Dzimtā valoda(s): '[Krievu  ']],"Jā",Tabula1[Dzimtā valoda(s): '[Ukraiņu ']],"Nē",Tabula1[Dzimtā valoda(s): '[Angļu']],"Nē",Tabula1[Dzimtā valoda(s): '[Poļu']],"Nē",Tabula1[Cik bieži izmantojat latviešu valodu šajos kontekstos?  '[Skolā (ārpus nodarbībām)']],"Pāris reižu nedēļā")</f>
        <v>0</v>
      </c>
      <c r="W6" s="50">
        <f>COUNTIFS(Tabula1[City],"Liepāja",Tabula1[Dzimtā valoda(s): '[Latviešu']],"Jā",Tabula1[Dzimtā valoda(s): '[Krievu  ']],"Jā",Tabula1[Dzimtā valoda(s): '[Ukraiņu ']],"Nē",Tabula1[Dzimtā valoda(s): '[Angļu']],"Nē",Tabula1[Dzimtā valoda(s): '[Poļu']],"Nē",Tabula1[Cik bieži izmantojat latviešu valodu šajos kontekstos?  '[Darbā']],"Pāris reižu nedēļā")</f>
        <v>0</v>
      </c>
      <c r="X6" s="50">
        <f>COUNTIFS(Tabula1[City],"Liepāja",Tabula1[Dzimtā valoda(s): '[Latviešu']],"Jā",Tabula1[Dzimtā valoda(s): '[Krievu  ']],"Jā",Tabula1[Dzimtā valoda(s): '[Ukraiņu ']],"Nē",Tabula1[Dzimtā valoda(s): '[Angļu']],"Nē",Tabula1[Dzimtā valoda(s): '[Poļu']],"Nē",Tabula1[Cik bieži izmantojat latviešu valodu šajos kontekstos?  '[Ar draugiem']],"Pāris reižu nedēļā")</f>
        <v>2</v>
      </c>
      <c r="Y6" s="50">
        <f>COUNTIFS(Tabula1[City],"Liepāja",Tabula1[Dzimtā valoda(s): '[Latviešu']],"Jā",Tabula1[Dzimtā valoda(s): '[Krievu  ']],"Jā",Tabula1[Dzimtā valoda(s): '[Ukraiņu ']],"Nē",Tabula1[Dzimtā valoda(s): '[Angļu']],"Nē",Tabula1[Dzimtā valoda(s): '[Poļu']],"Nē",Tabula1[Cik bieži izmantojat latviešu valodu šajos kontekstos?  '[Sportā']],"Pāris reižu nedēļā")</f>
        <v>0</v>
      </c>
      <c r="Z6" s="50">
        <f>COUNTIFS(Tabula1[City],"Liepāja",Tabula1[Dzimtā valoda(s): '[Latviešu']],"Jā",Tabula1[Dzimtā valoda(s): '[Krievu  ']],"Jā",Tabula1[Dzimtā valoda(s): '[Ukraiņu ']],"Nē",Tabula1[Dzimtā valoda(s): '[Angļu']],"Nē",Tabula1[Dzimtā valoda(s): '[Poļu']],"Nē",Tabula1[Cik bieži izmantojat latviešu valodu šajos kontekstos?  '[Hobijos / citās interešu grupās']],"Pāris reižu nedēļā")</f>
        <v>0</v>
      </c>
      <c r="AA6" s="50">
        <f>COUNTIFS(Tabula1[City],"Liepāja",Tabula1[Dzimtā valoda(s): '[Latviešu']],"Jā",Tabula1[Dzimtā valoda(s): '[Krievu  ']],"Jā",Tabula1[Dzimtā valoda(s): '[Ukraiņu ']],"Nē",Tabula1[Dzimtā valoda(s): '[Angļu']],"Nē",Tabula1[Dzimtā valoda(s): '[Poļu']],"Nē",Tabula1[Cik bieži izmantojat latviešu valodu šajos kontekstos?  '[Uz ielas / veikalā utt.']],"Pāris reižu nedēļā")</f>
        <v>4</v>
      </c>
      <c r="AB6" s="126"/>
    </row>
    <row r="7" spans="1:28" x14ac:dyDescent="0.3">
      <c r="B7" s="44" t="s">
        <v>17973</v>
      </c>
      <c r="C7">
        <f>COUNTIFS(Tabula1[City],"Rīga",Tabula1[Dzimtā valoda(s): '[Latviešu']],"Jā",Tabula1[Dzimtā valoda(s): '[Krievu  ']],"Jā",Tabula1[Dzimtā valoda(s): '[Ukraiņu ']],"Nē",Tabula1[Dzimtā valoda(s): '[Angļu']],"Nē",Tabula1[Dzimtā valoda(s): '[Poļu']],"Nē",Tabula1[Cik bieži izmantojat latviešu valodu šajos kontekstos?  '[Ģimenē']],"Reizi nedēļā")</f>
        <v>1</v>
      </c>
      <c r="D7">
        <f>COUNTIFS(Tabula1[City],"Rīga",Tabula1[Dzimtā valoda(s): '[Latviešu']],"Jā",Tabula1[Dzimtā valoda(s): '[Krievu  ']],"Jā",Tabula1[Dzimtā valoda(s): '[Ukraiņu ']],"Nē",Tabula1[Dzimtā valoda(s): '[Angļu']],"Nē",Tabula1[Dzimtā valoda(s): '[Poļu']],"Nē",Tabula1[Cik bieži izmantojat latviešu valodu šajos kontekstos?  '[Skolā (ārpus nodarbībām)']],"Reizi nedēļā")</f>
        <v>3</v>
      </c>
      <c r="E7">
        <f>COUNTIFS(Tabula1[City],"Rīga",Tabula1[Dzimtā valoda(s): '[Latviešu']],"Jā",Tabula1[Dzimtā valoda(s): '[Krievu  ']],"Jā",Tabula1[Dzimtā valoda(s): '[Ukraiņu ']],"Nē",Tabula1[Dzimtā valoda(s): '[Angļu']],"Nē",Tabula1[Dzimtā valoda(s): '[Poļu']],"Nē",Tabula1[Cik bieži izmantojat latviešu valodu šajos kontekstos?  '[Darbā']],"Reizi nedēļā")</f>
        <v>0</v>
      </c>
      <c r="F7">
        <f>COUNTIFS(Tabula1[City],"Rīga",Tabula1[Dzimtā valoda(s): '[Latviešu']],"Jā",Tabula1[Dzimtā valoda(s): '[Krievu  ']],"Jā",Tabula1[Dzimtā valoda(s): '[Ukraiņu ']],"Nē",Tabula1[Dzimtā valoda(s): '[Angļu']],"Nē",Tabula1[Dzimtā valoda(s): '[Poļu']],"Nē",Tabula1[Cik bieži izmantojat latviešu valodu šajos kontekstos?  '[Ar draugiem']],"Reizi nedēļā")</f>
        <v>1</v>
      </c>
      <c r="G7">
        <f>COUNTIFS(Tabula1[City],"Rīga",Tabula1[Dzimtā valoda(s): '[Latviešu']],"Jā",Tabula1[Dzimtā valoda(s): '[Krievu  ']],"Jā",Tabula1[Dzimtā valoda(s): '[Ukraiņu ']],"Nē",Tabula1[Dzimtā valoda(s): '[Angļu']],"Nē",Tabula1[Dzimtā valoda(s): '[Poļu']],"Nē",Tabula1[Cik bieži izmantojat latviešu valodu šajos kontekstos?  '[Sportā']],"Reizi nedēļā")</f>
        <v>0</v>
      </c>
      <c r="H7">
        <f>COUNTIFS(Tabula1[City],"Rīga",Tabula1[Dzimtā valoda(s): '[Latviešu']],"Jā",Tabula1[Dzimtā valoda(s): '[Krievu  ']],"Jā",Tabula1[Dzimtā valoda(s): '[Ukraiņu ']],"Nē",Tabula1[Dzimtā valoda(s): '[Angļu']],"Nē",Tabula1[Dzimtā valoda(s): '[Poļu']],"Nē",Tabula1[Cik bieži izmantojat latviešu valodu šajos kontekstos?  '[Hobijos / citās interešu grupās']],"Reizi nedēļā")</f>
        <v>0</v>
      </c>
      <c r="I7">
        <f>COUNTIFS(Tabula1[City],"Rīga",Tabula1[Dzimtā valoda(s): '[Latviešu']],"Jā",Tabula1[Dzimtā valoda(s): '[Krievu  ']],"Jā",Tabula1[Dzimtā valoda(s): '[Ukraiņu ']],"Nē",Tabula1[Dzimtā valoda(s): '[Angļu']],"Nē",Tabula1[Dzimtā valoda(s): '[Poļu']],"Nē",Tabula1[Cik bieži izmantojat latviešu valodu šajos kontekstos?  '[Uz ielas / veikalā utt.']],"Reizi nedēļā")</f>
        <v>0</v>
      </c>
      <c r="K7" s="44" t="s">
        <v>17973</v>
      </c>
      <c r="L7">
        <f>COUNTIFS(Tabula1[City],"Daugavpils",Tabula1[Dzimtā valoda(s): '[Latviešu']],"Jā",Tabula1[Dzimtā valoda(s): '[Krievu  ']],"Jā",Tabula1[Dzimtā valoda(s): '[Ukraiņu ']],"Nē",Tabula1[Dzimtā valoda(s): '[Angļu']],"Nē",Tabula1[Dzimtā valoda(s): '[Poļu']],"Nē",Tabula1[Cik bieži izmantojat latviešu valodu šajos kontekstos?  '[Ģimenē']],"Reizi nedēļā")</f>
        <v>3</v>
      </c>
      <c r="M7">
        <f>COUNTIFS(Tabula1[City],"Daugavpils",Tabula1[Dzimtā valoda(s): '[Latviešu']],"Jā",Tabula1[Dzimtā valoda(s): '[Krievu  ']],"Jā",Tabula1[Dzimtā valoda(s): '[Ukraiņu ']],"Nē",Tabula1[Dzimtā valoda(s): '[Angļu']],"Nē",Tabula1[Dzimtā valoda(s): '[Poļu']],"Nē",Tabula1[Cik bieži izmantojat latviešu valodu šajos kontekstos?  '[Skolā (ārpus nodarbībām)']],"Reizi nedēļā")</f>
        <v>2</v>
      </c>
      <c r="N7">
        <f>COUNTIFS(Tabula1[City],"Daugavpils",Tabula1[Dzimtā valoda(s): '[Latviešu']],"Jā",Tabula1[Dzimtā valoda(s): '[Krievu  ']],"Jā",Tabula1[Dzimtā valoda(s): '[Ukraiņu ']],"Nē",Tabula1[Dzimtā valoda(s): '[Angļu']],"Nē",Tabula1[Dzimtā valoda(s): '[Poļu']],"Nē",Tabula1[Cik bieži izmantojat latviešu valodu šajos kontekstos?  '[Darbā']],"Reizi nedēļā")</f>
        <v>1</v>
      </c>
      <c r="O7">
        <f>COUNTIFS(Tabula1[City],"Daugavpils",Tabula1[Dzimtā valoda(s): '[Latviešu']],"Jā",Tabula1[Dzimtā valoda(s): '[Krievu  ']],"Jā",Tabula1[Dzimtā valoda(s): '[Ukraiņu ']],"Nē",Tabula1[Dzimtā valoda(s): '[Angļu']],"Nē",Tabula1[Dzimtā valoda(s): '[Poļu']],"Nē",Tabula1[Cik bieži izmantojat latviešu valodu šajos kontekstos?  '[Ar draugiem']],"Reizi nedēļā")</f>
        <v>6</v>
      </c>
      <c r="P7">
        <f>COUNTIFS(Tabula1[City],"Daugavpils",Tabula1[Dzimtā valoda(s): '[Latviešu']],"Jā",Tabula1[Dzimtā valoda(s): '[Krievu  ']],"Jā",Tabula1[Dzimtā valoda(s): '[Ukraiņu ']],"Nē",Tabula1[Dzimtā valoda(s): '[Angļu']],"Nē",Tabula1[Dzimtā valoda(s): '[Poļu']],"Nē",Tabula1[Cik bieži izmantojat latviešu valodu šajos kontekstos?  '[Sportā']],"Reizi nedēļā")</f>
        <v>2</v>
      </c>
      <c r="Q7">
        <f>COUNTIFS(Tabula1[City],"Daugavpils",Tabula1[Dzimtā valoda(s): '[Latviešu']],"Jā",Tabula1[Dzimtā valoda(s): '[Krievu  ']],"Jā",Tabula1[Dzimtā valoda(s): '[Ukraiņu ']],"Nē",Tabula1[Dzimtā valoda(s): '[Angļu']],"Nē",Tabula1[Dzimtā valoda(s): '[Poļu']],"Nē",Tabula1[Cik bieži izmantojat latviešu valodu šajos kontekstos?  '[Hobijos / citās interešu grupās']],"Reizi nedēļā")</f>
        <v>2</v>
      </c>
      <c r="R7">
        <f>COUNTIFS(Tabula1[City],"Daugavpils",Tabula1[Dzimtā valoda(s): '[Latviešu']],"Jā",Tabula1[Dzimtā valoda(s): '[Krievu  ']],"Jā",Tabula1[Dzimtā valoda(s): '[Ukraiņu ']],"Nē",Tabula1[Dzimtā valoda(s): '[Angļu']],"Nē",Tabula1[Dzimtā valoda(s): '[Poļu']],"Nē",Tabula1[Cik bieži izmantojat latviešu valodu šajos kontekstos?  '[Uz ielas / veikalā utt.']],"Reizi nedēļā")</f>
        <v>5</v>
      </c>
      <c r="T7" s="44" t="s">
        <v>17973</v>
      </c>
      <c r="U7">
        <f>COUNTIFS(Tabula1[City],"Liepāja",Tabula1[Dzimtā valoda(s): '[Latviešu']],"Jā",Tabula1[Dzimtā valoda(s): '[Krievu  ']],"Jā",Tabula1[Dzimtā valoda(s): '[Ukraiņu ']],"Nē",Tabula1[Dzimtā valoda(s): '[Angļu']],"Nē",Tabula1[Dzimtā valoda(s): '[Poļu']],"Nē",Tabula1[Cik bieži izmantojat latviešu valodu šajos kontekstos?  '[Ģimenē']],"Reizi nedēļā")</f>
        <v>0</v>
      </c>
      <c r="V7">
        <f>COUNTIFS(Tabula1[City],"Liepāja",Tabula1[Dzimtā valoda(s): '[Latviešu']],"Jā",Tabula1[Dzimtā valoda(s): '[Krievu  ']],"Jā",Tabula1[Dzimtā valoda(s): '[Ukraiņu ']],"Nē",Tabula1[Dzimtā valoda(s): '[Angļu']],"Nē",Tabula1[Dzimtā valoda(s): '[Poļu']],"Nē",Tabula1[Cik bieži izmantojat latviešu valodu šajos kontekstos?  '[Skolā (ārpus nodarbībām)']],"Reizi nedēļā")</f>
        <v>0</v>
      </c>
      <c r="W7">
        <f>COUNTIFS(Tabula1[City],"Liepāja",Tabula1[Dzimtā valoda(s): '[Latviešu']],"Jā",Tabula1[Dzimtā valoda(s): '[Krievu  ']],"Jā",Tabula1[Dzimtā valoda(s): '[Ukraiņu ']],"Nē",Tabula1[Dzimtā valoda(s): '[Angļu']],"Nē",Tabula1[Dzimtā valoda(s): '[Poļu']],"Nē",Tabula1[Cik bieži izmantojat latviešu valodu šajos kontekstos?  '[Darbā']],"Reizi nedēļā")</f>
        <v>1</v>
      </c>
      <c r="X7">
        <f>COUNTIFS(Tabula1[City],"Liepāja",Tabula1[Dzimtā valoda(s): '[Latviešu']],"Jā",Tabula1[Dzimtā valoda(s): '[Krievu  ']],"Jā",Tabula1[Dzimtā valoda(s): '[Ukraiņu ']],"Nē",Tabula1[Dzimtā valoda(s): '[Angļu']],"Nē",Tabula1[Dzimtā valoda(s): '[Poļu']],"Nē",Tabula1[Cik bieži izmantojat latviešu valodu šajos kontekstos?  '[Ar draugiem']],"Reizi nedēļā")</f>
        <v>1</v>
      </c>
      <c r="Y7">
        <f>COUNTIFS(Tabula1[City],"Liepāja",Tabula1[Dzimtā valoda(s): '[Latviešu']],"Jā",Tabula1[Dzimtā valoda(s): '[Krievu  ']],"Jā",Tabula1[Dzimtā valoda(s): '[Ukraiņu ']],"Nē",Tabula1[Dzimtā valoda(s): '[Angļu']],"Nē",Tabula1[Dzimtā valoda(s): '[Poļu']],"Nē",Tabula1[Cik bieži izmantojat latviešu valodu šajos kontekstos?  '[Sportā']],"Reizi nedēļā")</f>
        <v>0</v>
      </c>
      <c r="Z7">
        <f>COUNTIFS(Tabula1[City],"Liepāja",Tabula1[Dzimtā valoda(s): '[Latviešu']],"Jā",Tabula1[Dzimtā valoda(s): '[Krievu  ']],"Jā",Tabula1[Dzimtā valoda(s): '[Ukraiņu ']],"Nē",Tabula1[Dzimtā valoda(s): '[Angļu']],"Nē",Tabula1[Dzimtā valoda(s): '[Poļu']],"Nē",Tabula1[Cik bieži izmantojat latviešu valodu šajos kontekstos?  '[Hobijos / citās interešu grupās']],"Reizi nedēļā")</f>
        <v>2</v>
      </c>
      <c r="AA7">
        <f>COUNTIFS(Tabula1[City],"Liepāja",Tabula1[Dzimtā valoda(s): '[Latviešu']],"Jā",Tabula1[Dzimtā valoda(s): '[Krievu  ']],"Jā",Tabula1[Dzimtā valoda(s): '[Ukraiņu ']],"Nē",Tabula1[Dzimtā valoda(s): '[Angļu']],"Nē",Tabula1[Dzimtā valoda(s): '[Poļu']],"Nē",Tabula1[Cik bieži izmantojat latviešu valodu šajos kontekstos?  '[Uz ielas / veikalā utt.']],"Reizi nedēļā")</f>
        <v>0</v>
      </c>
    </row>
    <row r="8" spans="1:28" x14ac:dyDescent="0.3">
      <c r="B8" s="44" t="s">
        <v>17974</v>
      </c>
      <c r="C8">
        <f>COUNTIFS(Tabula1[City],"Rīga",Tabula1[Dzimtā valoda(s): '[Latviešu']],"Jā",Tabula1[Dzimtā valoda(s): '[Krievu  ']],"Jā",Tabula1[Dzimtā valoda(s): '[Ukraiņu ']],"Nē",Tabula1[Dzimtā valoda(s): '[Angļu']],"Nē",Tabula1[Dzimtā valoda(s): '[Poļu']],"Nē",Tabula1[Cik bieži izmantojat latviešu valodu šajos kontekstos?  '[Ģimenē']],"Pāris reižu mēnesī")</f>
        <v>1</v>
      </c>
      <c r="D8">
        <f>COUNTIFS(Tabula1[City],"Rīga",Tabula1[Dzimtā valoda(s): '[Latviešu']],"Jā",Tabula1[Dzimtā valoda(s): '[Krievu  ']],"Jā",Tabula1[Dzimtā valoda(s): '[Ukraiņu ']],"Nē",Tabula1[Dzimtā valoda(s): '[Angļu']],"Nē",Tabula1[Dzimtā valoda(s): '[Poļu']],"Nē",Tabula1[Cik bieži izmantojat latviešu valodu šajos kontekstos?  '[Skolā (ārpus nodarbībām)']],"Pāris reižu mēnesī")</f>
        <v>0</v>
      </c>
      <c r="E8">
        <f>COUNTIFS(Tabula1[City],"Rīga",Tabula1[Dzimtā valoda(s): '[Latviešu']],"Jā",Tabula1[Dzimtā valoda(s): '[Krievu  ']],"Jā",Tabula1[Dzimtā valoda(s): '[Ukraiņu ']],"Nē",Tabula1[Dzimtā valoda(s): '[Angļu']],"Nē",Tabula1[Dzimtā valoda(s): '[Poļu']],"Nē",Tabula1[Cik bieži izmantojat latviešu valodu šajos kontekstos?  '[Darbā']],"Pāris reižu mēnesī")</f>
        <v>0</v>
      </c>
      <c r="F8">
        <f>COUNTIFS(Tabula1[City],"Rīga",Tabula1[Dzimtā valoda(s): '[Latviešu']],"Jā",Tabula1[Dzimtā valoda(s): '[Krievu  ']],"Jā",Tabula1[Dzimtā valoda(s): '[Ukraiņu ']],"Nē",Tabula1[Dzimtā valoda(s): '[Angļu']],"Nē",Tabula1[Dzimtā valoda(s): '[Poļu']],"Nē",Tabula1[Cik bieži izmantojat latviešu valodu šajos kontekstos?  '[Ar draugiem']],"Pāris reižu mēnesī")</f>
        <v>0</v>
      </c>
      <c r="G8">
        <f>COUNTIFS(Tabula1[City],"Rīga",Tabula1[Dzimtā valoda(s): '[Latviešu']],"Jā",Tabula1[Dzimtā valoda(s): '[Krievu  ']],"Jā",Tabula1[Dzimtā valoda(s): '[Ukraiņu ']],"Nē",Tabula1[Dzimtā valoda(s): '[Angļu']],"Nē",Tabula1[Dzimtā valoda(s): '[Poļu']],"Nē",Tabula1[Cik bieži izmantojat latviešu valodu šajos kontekstos?  '[Sportā']],"Pāris reižu mēnesī")</f>
        <v>1</v>
      </c>
      <c r="H8">
        <f>COUNTIFS(Tabula1[City],"Rīga",Tabula1[Dzimtā valoda(s): '[Latviešu']],"Jā",Tabula1[Dzimtā valoda(s): '[Krievu  ']],"Jā",Tabula1[Dzimtā valoda(s): '[Ukraiņu ']],"Nē",Tabula1[Dzimtā valoda(s): '[Angļu']],"Nē",Tabula1[Dzimtā valoda(s): '[Poļu']],"Nē",Tabula1[Cik bieži izmantojat latviešu valodu šajos kontekstos?  '[Hobijos / citās interešu grupās']],"Pāris reižu mēnesī")</f>
        <v>2</v>
      </c>
      <c r="I8">
        <v>0</v>
      </c>
      <c r="K8" s="44" t="s">
        <v>17974</v>
      </c>
      <c r="L8">
        <f>COUNTIFS(Tabula1[City],"Daugavpils",Tabula1[Dzimtā valoda(s): '[Latviešu']],"Jā",Tabula1[Dzimtā valoda(s): '[Krievu  ']],"Jā",Tabula1[Dzimtā valoda(s): '[Ukraiņu ']],"Nē",Tabula1[Dzimtā valoda(s): '[Angļu']],"Nē",Tabula1[Dzimtā valoda(s): '[Poļu']],"Nē",Tabula1[Cik bieži izmantojat latviešu valodu šajos kontekstos?  '[Ģimenē']],"Pāris reižu mēnesī")</f>
        <v>11</v>
      </c>
      <c r="M8">
        <f>COUNTIFS(Tabula1[City],"Daugavpils",Tabula1[Dzimtā valoda(s): '[Latviešu']],"Jā",Tabula1[Dzimtā valoda(s): '[Krievu  ']],"Jā",Tabula1[Dzimtā valoda(s): '[Ukraiņu ']],"Nē",Tabula1[Dzimtā valoda(s): '[Angļu']],"Nē",Tabula1[Dzimtā valoda(s): '[Poļu']],"Nē",Tabula1[Cik bieži izmantojat latviešu valodu šajos kontekstos?  '[Skolā (ārpus nodarbībām)']],"Pāris reižu mēnesī")</f>
        <v>5</v>
      </c>
      <c r="N8">
        <f>COUNTIFS(Tabula1[City],"Daugavpils",Tabula1[Dzimtā valoda(s): '[Latviešu']],"Jā",Tabula1[Dzimtā valoda(s): '[Krievu  ']],"Jā",Tabula1[Dzimtā valoda(s): '[Ukraiņu ']],"Nē",Tabula1[Dzimtā valoda(s): '[Angļu']],"Nē",Tabula1[Dzimtā valoda(s): '[Poļu']],"Nē",Tabula1[Cik bieži izmantojat latviešu valodu šajos kontekstos?  '[Darbā']],"Pāris reižu mēnesī")</f>
        <v>0</v>
      </c>
      <c r="O8">
        <f>COUNTIFS(Tabula1[City],"Daugavpils",Tabula1[Dzimtā valoda(s): '[Latviešu']],"Jā",Tabula1[Dzimtā valoda(s): '[Krievu  ']],"Jā",Tabula1[Dzimtā valoda(s): '[Ukraiņu ']],"Nē",Tabula1[Dzimtā valoda(s): '[Angļu']],"Nē",Tabula1[Dzimtā valoda(s): '[Poļu']],"Nē",Tabula1[Cik bieži izmantojat latviešu valodu šajos kontekstos?  '[Ar draugiem']],"Pāris reižu mēnesī")</f>
        <v>12</v>
      </c>
      <c r="P8">
        <f>COUNTIFS(Tabula1[City],"Daugavpils",Tabula1[Dzimtā valoda(s): '[Latviešu']],"Jā",Tabula1[Dzimtā valoda(s): '[Krievu  ']],"Jā",Tabula1[Dzimtā valoda(s): '[Ukraiņu ']],"Nē",Tabula1[Dzimtā valoda(s): '[Angļu']],"Nē",Tabula1[Dzimtā valoda(s): '[Poļu']],"Nē",Tabula1[Cik bieži izmantojat latviešu valodu šajos kontekstos?  '[Sportā']],"Pāris reižu mēnesī")</f>
        <v>4</v>
      </c>
      <c r="Q8">
        <f>COUNTIFS(Tabula1[City],"Daugavpils",Tabula1[Dzimtā valoda(s): '[Latviešu']],"Jā",Tabula1[Dzimtā valoda(s): '[Krievu  ']],"Jā",Tabula1[Dzimtā valoda(s): '[Ukraiņu ']],"Nē",Tabula1[Dzimtā valoda(s): '[Angļu']],"Nē",Tabula1[Dzimtā valoda(s): '[Poļu']],"Nē",Tabula1[Cik bieži izmantojat latviešu valodu šajos kontekstos?  '[Hobijos / citās interešu grupās']],"Pāris reižu mēnesī")</f>
        <v>6</v>
      </c>
      <c r="R8">
        <f>COUNTIFS(Tabula1[City],"Daugavpils",Tabula1[Dzimtā valoda(s): '[Latviešu']],"Jā",Tabula1[Dzimtā valoda(s): '[Krievu  ']],"Jā",Tabula1[Dzimtā valoda(s): '[Ukraiņu ']],"Nē",Tabula1[Dzimtā valoda(s): '[Angļu']],"Nē",Tabula1[Dzimtā valoda(s): '[Poļu']],"Nē",Tabula1[Cik bieži izmantojat latviešu valodu šajos kontekstos?  '[Uz ielas / veikalā utt.']],"Pāris reižu mēnesī")</f>
        <v>11</v>
      </c>
      <c r="T8" s="44" t="s">
        <v>17974</v>
      </c>
      <c r="U8">
        <f>COUNTIFS(Tabula1[City],"Liepāja",Tabula1[Dzimtā valoda(s): '[Latviešu']],"Jā",Tabula1[Dzimtā valoda(s): '[Krievu  ']],"Jā",Tabula1[Dzimtā valoda(s): '[Ukraiņu ']],"Nē",Tabula1[Dzimtā valoda(s): '[Angļu']],"Nē",Tabula1[Dzimtā valoda(s): '[Poļu']],"Nē",Tabula1[Cik bieži izmantojat latviešu valodu šajos kontekstos?  '[Ģimenē']],"Pāris reižu mēnesī")</f>
        <v>1</v>
      </c>
      <c r="V8">
        <f>COUNTIFS(Tabula1[City],"Liepāja",Tabula1[Dzimtā valoda(s): '[Latviešu']],"Jā",Tabula1[Dzimtā valoda(s): '[Krievu  ']],"Jā",Tabula1[Dzimtā valoda(s): '[Ukraiņu ']],"Nē",Tabula1[Dzimtā valoda(s): '[Angļu']],"Nē",Tabula1[Dzimtā valoda(s): '[Poļu']],"Nē",Tabula1[Cik bieži izmantojat latviešu valodu šajos kontekstos?  '[Skolā (ārpus nodarbībām)']],"Pāris reižu mēnesī")</f>
        <v>1</v>
      </c>
      <c r="W8">
        <f>COUNTIFS(Tabula1[City],"Liepāja",Tabula1[Dzimtā valoda(s): '[Latviešu']],"Jā",Tabula1[Dzimtā valoda(s): '[Krievu  ']],"Jā",Tabula1[Dzimtā valoda(s): '[Ukraiņu ']],"Nē",Tabula1[Dzimtā valoda(s): '[Angļu']],"Nē",Tabula1[Dzimtā valoda(s): '[Poļu']],"Nē",Tabula1[Cik bieži izmantojat latviešu valodu šajos kontekstos?  '[Darbā']],"Pāris reižu mēnesī")</f>
        <v>1</v>
      </c>
      <c r="X8">
        <f>COUNTIFS(Tabula1[City],"Liepāja",Tabula1[Dzimtā valoda(s): '[Latviešu']],"Jā",Tabula1[Dzimtā valoda(s): '[Krievu  ']],"Jā",Tabula1[Dzimtā valoda(s): '[Ukraiņu ']],"Nē",Tabula1[Dzimtā valoda(s): '[Angļu']],"Nē",Tabula1[Dzimtā valoda(s): '[Poļu']],"Nē",Tabula1[Cik bieži izmantojat latviešu valodu šajos kontekstos?  '[Ar draugiem']],"Pāris reižu mēnesī")</f>
        <v>1</v>
      </c>
      <c r="Y8">
        <f>COUNTIFS(Tabula1[City],"Liepāja",Tabula1[Dzimtā valoda(s): '[Latviešu']],"Jā",Tabula1[Dzimtā valoda(s): '[Krievu  ']],"Jā",Tabula1[Dzimtā valoda(s): '[Ukraiņu ']],"Nē",Tabula1[Dzimtā valoda(s): '[Angļu']],"Nē",Tabula1[Dzimtā valoda(s): '[Poļu']],"Nē",Tabula1[Cik bieži izmantojat latviešu valodu šajos kontekstos?  '[Sportā']],"Pāris reižu mēnesī")</f>
        <v>2</v>
      </c>
      <c r="Z8">
        <f>COUNTIFS(Tabula1[City],"Liepāja",Tabula1[Dzimtā valoda(s): '[Latviešu']],"Jā",Tabula1[Dzimtā valoda(s): '[Krievu  ']],"Jā",Tabula1[Dzimtā valoda(s): '[Ukraiņu ']],"Nē",Tabula1[Dzimtā valoda(s): '[Angļu']],"Nē",Tabula1[Dzimtā valoda(s): '[Poļu']],"Nē",Tabula1[Cik bieži izmantojat latviešu valodu šajos kontekstos?  '[Hobijos / citās interešu grupās']],"Pāris reižu mēnesī")</f>
        <v>1</v>
      </c>
      <c r="AA8">
        <f>COUNTIFS(Tabula1[City],"Liepāja",Tabula1[Dzimtā valoda(s): '[Latviešu']],"Jā",Tabula1[Dzimtā valoda(s): '[Krievu  ']],"Jā",Tabula1[Dzimtā valoda(s): '[Ukraiņu ']],"Nē",Tabula1[Dzimtā valoda(s): '[Angļu']],"Nē",Tabula1[Dzimtā valoda(s): '[Poļu']],"Nē",Tabula1[Cik bieži izmantojat latviešu valodu šajos kontekstos?  '[Uz ielas / veikalā utt.']],"Pāris reižu mēnesī")</f>
        <v>2</v>
      </c>
    </row>
    <row r="9" spans="1:28" x14ac:dyDescent="0.3">
      <c r="B9" s="44" t="s">
        <v>17975</v>
      </c>
      <c r="C9">
        <f>COUNTIFS(Tabula1[City],"Rīga",Tabula1[Dzimtā valoda(s): '[Latviešu']],"Jā",Tabula1[Dzimtā valoda(s): '[Krievu  ']],"Jā",Tabula1[Dzimtā valoda(s): '[Ukraiņu ']],"Nē",Tabula1[Dzimtā valoda(s): '[Angļu']],"Nē",Tabula1[Dzimtā valoda(s): '[Poļu']],"Nē",Tabula1[Cik bieži izmantojat latviešu valodu šajos kontekstos?  '[Ģimenē']],"(Gandrīz) nekad")</f>
        <v>4</v>
      </c>
      <c r="D9">
        <f>COUNTIFS(Tabula1[City],"Rīga",Tabula1[Dzimtā valoda(s): '[Latviešu']],"Jā",Tabula1[Dzimtā valoda(s): '[Krievu  ']],"Jā",Tabula1[Dzimtā valoda(s): '[Ukraiņu ']],"Nē",Tabula1[Dzimtā valoda(s): '[Angļu']],"Nē",Tabula1[Dzimtā valoda(s): '[Poļu']],"Nē",Tabula1[Cik bieži izmantojat latviešu valodu šajos kontekstos?  '[Skolā (ārpus nodarbībām)']],"(Gandrīz) nekad")</f>
        <v>0</v>
      </c>
      <c r="E9">
        <f>COUNTIFS(Tabula1[City],"Rīga",Tabula1[Dzimtā valoda(s): '[Latviešu']],"Jā",Tabula1[Dzimtā valoda(s): '[Krievu  ']],"Jā",Tabula1[Dzimtā valoda(s): '[Ukraiņu ']],"Nē",Tabula1[Dzimtā valoda(s): '[Angļu']],"Nē",Tabula1[Dzimtā valoda(s): '[Poļu']],"Nē",Tabula1[Cik bieži izmantojat latviešu valodu šajos kontekstos?  '[Darbā']],"(Gandrīz) nekad")</f>
        <v>4</v>
      </c>
      <c r="F9">
        <f>COUNTIFS(Tabula1[City],"Rīga",Tabula1[Dzimtā valoda(s): '[Latviešu']],"Jā",Tabula1[Dzimtā valoda(s): '[Krievu  ']],"Jā",Tabula1[Dzimtā valoda(s): '[Ukraiņu ']],"Nē",Tabula1[Dzimtā valoda(s): '[Angļu']],"Nē",Tabula1[Dzimtā valoda(s): '[Poļu']],"Nē",Tabula1[Cik bieži izmantojat latviešu valodu šajos kontekstos?  '[Ar draugiem']],"(Gandrīz) nekad")</f>
        <v>4</v>
      </c>
      <c r="G9">
        <f>COUNTIFS(Tabula1[City],"Rīga",Tabula1[Dzimtā valoda(s): '[Latviešu']],"Jā",Tabula1[Dzimtā valoda(s): '[Krievu  ']],"Jā",Tabula1[Dzimtā valoda(s): '[Ukraiņu ']],"Nē",Tabula1[Dzimtā valoda(s): '[Angļu']],"Nē",Tabula1[Dzimtā valoda(s): '[Poļu']],"Nē",Tabula1[Cik bieži izmantojat latviešu valodu šajos kontekstos?  '[Sportā']],"(Gandrīz) nekad")</f>
        <v>3</v>
      </c>
      <c r="H9">
        <f>COUNTIFS(Tabula1[City],"Rīga",Tabula1[Dzimtā valoda(s): '[Latviešu']],"Jā",Tabula1[Dzimtā valoda(s): '[Krievu  ']],"Jā",Tabula1[Dzimtā valoda(s): '[Ukraiņu ']],"Nē",Tabula1[Dzimtā valoda(s): '[Angļu']],"Nē",Tabula1[Dzimtā valoda(s): '[Poļu']],"Nē",Tabula1[Cik bieži izmantojat latviešu valodu šajos kontekstos?  '[Hobijos / citās interešu grupās']],"(Gandrīz) nekad")</f>
        <v>4</v>
      </c>
      <c r="I9">
        <v>0</v>
      </c>
      <c r="K9" s="44" t="s">
        <v>17975</v>
      </c>
      <c r="L9">
        <f>COUNTIFS(Tabula1[City],"Daugavpils",Tabula1[Dzimtā valoda(s): '[Latviešu']],"Jā",Tabula1[Dzimtā valoda(s): '[Krievu  ']],"Jā",Tabula1[Dzimtā valoda(s): '[Ukraiņu ']],"Nē",Tabula1[Dzimtā valoda(s): '[Angļu']],"Nē",Tabula1[Dzimtā valoda(s): '[Poļu']],"Nē",Tabula1[Cik bieži izmantojat latviešu valodu šajos kontekstos?  '[Ģimenē']],"(Gandrīz) nekad")</f>
        <v>23</v>
      </c>
      <c r="M9">
        <f>COUNTIFS(Tabula1[City],"Daugavpils",Tabula1[Dzimtā valoda(s): '[Latviešu']],"Jā",Tabula1[Dzimtā valoda(s): '[Krievu  ']],"Jā",Tabula1[Dzimtā valoda(s): '[Ukraiņu ']],"Nē",Tabula1[Dzimtā valoda(s): '[Angļu']],"Nē",Tabula1[Dzimtā valoda(s): '[Poļu']],"Nē",Tabula1[Cik bieži izmantojat latviešu valodu šajos kontekstos?  '[Skolā (ārpus nodarbībām)']],"(Gandrīz) nekad")</f>
        <v>11</v>
      </c>
      <c r="N9">
        <f>COUNTIFS(Tabula1[City],"Daugavpils",Tabula1[Dzimtā valoda(s): '[Latviešu']],"Jā",Tabula1[Dzimtā valoda(s): '[Krievu  ']],"Jā",Tabula1[Dzimtā valoda(s): '[Ukraiņu ']],"Nē",Tabula1[Dzimtā valoda(s): '[Angļu']],"Nē",Tabula1[Dzimtā valoda(s): '[Poļu']],"Nē",Tabula1[Cik bieži izmantojat latviešu valodu šajos kontekstos?  '[Darbā']],"(Gandrīz) nekad")</f>
        <v>25</v>
      </c>
      <c r="O9">
        <f>COUNTIFS(Tabula1[City],"Daugavpils",Tabula1[Dzimtā valoda(s): '[Latviešu']],"Jā",Tabula1[Dzimtā valoda(s): '[Krievu  ']],"Jā",Tabula1[Dzimtā valoda(s): '[Ukraiņu ']],"Nē",Tabula1[Dzimtā valoda(s): '[Angļu']],"Nē",Tabula1[Dzimtā valoda(s): '[Poļu']],"Nē",Tabula1[Cik bieži izmantojat latviešu valodu šajos kontekstos?  '[Ar draugiem']],"(Gandrīz) nekad")</f>
        <v>22</v>
      </c>
      <c r="P9">
        <f>COUNTIFS(Tabula1[City],"Daugavpils",Tabula1[Dzimtā valoda(s): '[Latviešu']],"Jā",Tabula1[Dzimtā valoda(s): '[Krievu  ']],"Jā",Tabula1[Dzimtā valoda(s): '[Ukraiņu ']],"Nē",Tabula1[Dzimtā valoda(s): '[Angļu']],"Nē",Tabula1[Dzimtā valoda(s): '[Poļu']],"Nē",Tabula1[Cik bieži izmantojat latviešu valodu šajos kontekstos?  '[Sportā']],"(Gandrīz) nekad")</f>
        <v>36</v>
      </c>
      <c r="Q9">
        <f>COUNTIFS(Tabula1[City],"Daugavpils",Tabula1[Dzimtā valoda(s): '[Latviešu']],"Jā",Tabula1[Dzimtā valoda(s): '[Krievu  ']],"Jā",Tabula1[Dzimtā valoda(s): '[Ukraiņu ']],"Nē",Tabula1[Dzimtā valoda(s): '[Angļu']],"Nē",Tabula1[Dzimtā valoda(s): '[Poļu']],"Nē",Tabula1[Cik bieži izmantojat latviešu valodu šajos kontekstos?  '[Hobijos / citās interešu grupās']],"(Gandrīz) nekad")</f>
        <v>32</v>
      </c>
      <c r="R9">
        <f>COUNTIFS(Tabula1[City],"Daugavpils",Tabula1[Dzimtā valoda(s): '[Latviešu']],"Jā",Tabula1[Dzimtā valoda(s): '[Krievu  ']],"Jā",Tabula1[Dzimtā valoda(s): '[Ukraiņu ']],"Nē",Tabula1[Dzimtā valoda(s): '[Angļu']],"Nē",Tabula1[Dzimtā valoda(s): '[Poļu']],"Nē",Tabula1[Cik bieži izmantojat latviešu valodu šajos kontekstos?  '[Uz ielas / veikalā utt.']],"(Gandrīz) nekad")</f>
        <v>14</v>
      </c>
      <c r="T9" s="44" t="s">
        <v>17975</v>
      </c>
      <c r="U9">
        <f>COUNTIFS(Tabula1[City],"Liepāja",Tabula1[Dzimtā valoda(s): '[Latviešu']],"Jā",Tabula1[Dzimtā valoda(s): '[Krievu  ']],"Jā",Tabula1[Dzimtā valoda(s): '[Ukraiņu ']],"Nē",Tabula1[Dzimtā valoda(s): '[Angļu']],"Nē",Tabula1[Dzimtā valoda(s): '[Poļu']],"Nē",Tabula1[Cik bieži izmantojat latviešu valodu šajos kontekstos?  '[Ģimenē']],"(Gandrīz) nekad")</f>
        <v>8</v>
      </c>
      <c r="V9">
        <f>COUNTIFS(Tabula1[City],"Liepāja",Tabula1[Dzimtā valoda(s): '[Latviešu']],"Jā",Tabula1[Dzimtā valoda(s): '[Krievu  ']],"Jā",Tabula1[Dzimtā valoda(s): '[Ukraiņu ']],"Nē",Tabula1[Dzimtā valoda(s): '[Angļu']],"Nē",Tabula1[Dzimtā valoda(s): '[Poļu']],"Nē",Tabula1[Cik bieži izmantojat latviešu valodu šajos kontekstos?  '[Skolā (ārpus nodarbībām)']],"(Gandrīz) nekad")</f>
        <v>2</v>
      </c>
      <c r="W9">
        <f>COUNTIFS(Tabula1[City],"Liepāja",Tabula1[Dzimtā valoda(s): '[Latviešu']],"Jā",Tabula1[Dzimtā valoda(s): '[Krievu  ']],"Jā",Tabula1[Dzimtā valoda(s): '[Ukraiņu ']],"Nē",Tabula1[Dzimtā valoda(s): '[Angļu']],"Nē",Tabula1[Dzimtā valoda(s): '[Poļu']],"Nē",Tabula1[Cik bieži izmantojat latviešu valodu šajos kontekstos?  '[Darbā']],"(Gandrīz) nekad")</f>
        <v>4</v>
      </c>
      <c r="X9">
        <f>COUNTIFS(Tabula1[City],"Liepāja",Tabula1[Dzimtā valoda(s): '[Latviešu']],"Jā",Tabula1[Dzimtā valoda(s): '[Krievu  ']],"Jā",Tabula1[Dzimtā valoda(s): '[Ukraiņu ']],"Nē",Tabula1[Dzimtā valoda(s): '[Angļu']],"Nē",Tabula1[Dzimtā valoda(s): '[Poļu']],"Nē",Tabula1[Cik bieži izmantojat latviešu valodu šajos kontekstos?  '[Ar draugiem']],"(Gandrīz) nekad")</f>
        <v>6</v>
      </c>
      <c r="Y9">
        <f>COUNTIFS(Tabula1[City],"Liepāja",Tabula1[Dzimtā valoda(s): '[Latviešu']],"Jā",Tabula1[Dzimtā valoda(s): '[Krievu  ']],"Jā",Tabula1[Dzimtā valoda(s): '[Ukraiņu ']],"Nē",Tabula1[Dzimtā valoda(s): '[Angļu']],"Nē",Tabula1[Dzimtā valoda(s): '[Poļu']],"Nē",Tabula1[Cik bieži izmantojat latviešu valodu šajos kontekstos?  '[Sportā']],"(Gandrīz) nekad")</f>
        <v>6</v>
      </c>
      <c r="Z9">
        <f>COUNTIFS(Tabula1[City],"Liepāja",Tabula1[Dzimtā valoda(s): '[Latviešu']],"Jā",Tabula1[Dzimtā valoda(s): '[Krievu  ']],"Jā",Tabula1[Dzimtā valoda(s): '[Ukraiņu ']],"Nē",Tabula1[Dzimtā valoda(s): '[Angļu']],"Nē",Tabula1[Dzimtā valoda(s): '[Poļu']],"Nē",Tabula1[Cik bieži izmantojat latviešu valodu šajos kontekstos?  '[Hobijos / citās interešu grupās']],"(Gandrīz) nekad")</f>
        <v>7</v>
      </c>
      <c r="AA9">
        <f>COUNTIFS(Tabula1[City],"Liepāja",Tabula1[Dzimtā valoda(s): '[Latviešu']],"Jā",Tabula1[Dzimtā valoda(s): '[Krievu  ']],"Jā",Tabula1[Dzimtā valoda(s): '[Ukraiņu ']],"Nē",Tabula1[Dzimtā valoda(s): '[Angļu']],"Nē",Tabula1[Dzimtā valoda(s): '[Poļu']],"Nē",Tabula1[Cik bieži izmantojat latviešu valodu šajos kontekstos?  '[Uz ielas / veikalā utt.']],"(Gandrīz) nekad")</f>
        <v>0</v>
      </c>
    </row>
    <row r="13" spans="1:28" x14ac:dyDescent="0.3">
      <c r="A13" s="49" t="s">
        <v>17960</v>
      </c>
      <c r="D13" s="49" t="s">
        <v>338</v>
      </c>
      <c r="E13" s="49"/>
      <c r="F13" s="49"/>
      <c r="G13" s="49"/>
      <c r="H13" s="49"/>
      <c r="I13" s="49"/>
      <c r="J13" s="49"/>
      <c r="K13" s="49" t="s">
        <v>813</v>
      </c>
      <c r="L13" s="49"/>
      <c r="M13" s="49"/>
      <c r="N13" s="49"/>
      <c r="O13" s="49"/>
      <c r="P13" s="49"/>
      <c r="Q13" s="49"/>
      <c r="R13" s="49"/>
      <c r="S13" s="49"/>
      <c r="T13" s="49"/>
      <c r="U13" s="49" t="s">
        <v>727</v>
      </c>
    </row>
    <row r="14" spans="1:28" x14ac:dyDescent="0.3">
      <c r="C14" s="126" t="s">
        <v>17964</v>
      </c>
      <c r="D14" s="126" t="s">
        <v>17965</v>
      </c>
      <c r="E14" s="126" t="s">
        <v>17966</v>
      </c>
      <c r="F14" s="126" t="s">
        <v>17967</v>
      </c>
      <c r="G14" s="126" t="s">
        <v>17968</v>
      </c>
      <c r="H14" s="126" t="s">
        <v>17969</v>
      </c>
      <c r="I14" s="126" t="s">
        <v>17970</v>
      </c>
      <c r="J14" s="126"/>
      <c r="K14" s="126"/>
      <c r="L14" s="126" t="s">
        <v>17964</v>
      </c>
      <c r="M14" s="126" t="s">
        <v>17965</v>
      </c>
      <c r="N14" s="126" t="s">
        <v>17966</v>
      </c>
      <c r="O14" s="126" t="s">
        <v>17967</v>
      </c>
      <c r="P14" s="126" t="s">
        <v>17968</v>
      </c>
      <c r="Q14" s="126" t="s">
        <v>17969</v>
      </c>
      <c r="R14" s="126" t="s">
        <v>17970</v>
      </c>
      <c r="S14" s="126"/>
      <c r="T14" s="126"/>
      <c r="U14" s="126" t="s">
        <v>17964</v>
      </c>
      <c r="V14" s="126" t="s">
        <v>17965</v>
      </c>
      <c r="W14" s="126" t="s">
        <v>17966</v>
      </c>
      <c r="X14" s="126" t="s">
        <v>17967</v>
      </c>
      <c r="Y14" s="126" t="s">
        <v>17968</v>
      </c>
      <c r="Z14" s="126" t="s">
        <v>17969</v>
      </c>
      <c r="AA14" s="126" t="s">
        <v>17970</v>
      </c>
      <c r="AB14" s="126"/>
    </row>
    <row r="15" spans="1:28" x14ac:dyDescent="0.3">
      <c r="B15" s="44" t="s">
        <v>17971</v>
      </c>
      <c r="C15">
        <f>COUNTIFS(Tabula1[City],"Rīga",Tabula1[Dzimtā valoda(s): '[Latviešu']],"Jā",Tabula1[Dzimtā valoda(s): '[Krievu  ']],"Jā",Tabula1[Dzimtā valoda(s): '[Ukraiņu ']],"Nē",Tabula1[Dzimtā valoda(s): '[Angļu']],"Nē",Tabula1[Dzimtā valoda(s): '[Poļu']],"Nē",Tabula1[Cik bieži izmantojat krievu valodu šajos kontekstos?  '[Ģimenē']],"(Gandrīz) katru dienu")</f>
        <v>11</v>
      </c>
      <c r="D15">
        <f>COUNTIFS(Tabula1[City],"Rīga",Tabula1[Dzimtā valoda(s): '[Latviešu']],"Jā",Tabula1[Dzimtā valoda(s): '[Krievu  ']],"Jā",Tabula1[Dzimtā valoda(s): '[Ukraiņu ']],"Nē",Tabula1[Dzimtā valoda(s): '[Angļu']],"Nē",Tabula1[Dzimtā valoda(s): '[Poļu']],"Nē",Tabula1[Cik bieži izmantojat krievu valodu šajos kontekstos?  '[Skolā (ārpus nodarbībām)']],"(Gandrīz) katru dienu")</f>
        <v>10</v>
      </c>
      <c r="E15">
        <f>COUNTIFS(Tabula1[City],"Rīga",Tabula1[Dzimtā valoda(s): '[Latviešu']],"Jā",Tabula1[Dzimtā valoda(s): '[Krievu  ']],"Jā",Tabula1[Dzimtā valoda(s): '[Ukraiņu ']],"Nē",Tabula1[Dzimtā valoda(s): '[Angļu']],"Nē",Tabula1[Dzimtā valoda(s): '[Poļu']],"Nē",Tabula1[Cik bieži izmantojat krievu valodu šajos kontekstos?  '[Darbā']],"(Gandrīz) katru dienu")</f>
        <v>5</v>
      </c>
      <c r="F15">
        <f>COUNTIFS(Tabula1[City],"Rīga",Tabula1[Dzimtā valoda(s): '[Latviešu']],"Jā",Tabula1[Dzimtā valoda(s): '[Krievu  ']],"Jā",Tabula1[Dzimtā valoda(s): '[Ukraiņu ']],"Nē",Tabula1[Dzimtā valoda(s): '[Angļu']],"Nē",Tabula1[Dzimtā valoda(s): '[Poļu']],"Nē",Tabula1[Cik bieži izmantojat krievu valodu šajos kontekstos?  '[Ar draugiem']],"(Gandrīz) katru dienu")</f>
        <v>10</v>
      </c>
      <c r="G15">
        <f>COUNTIFS(Tabula1[City],"Rīga",Tabula1[Dzimtā valoda(s): '[Latviešu']],"Jā",Tabula1[Dzimtā valoda(s): '[Krievu  ']],"Jā",Tabula1[Dzimtā valoda(s): '[Ukraiņu ']],"Nē",Tabula1[Dzimtā valoda(s): '[Angļu']],"Nē",Tabula1[Dzimtā valoda(s): '[Poļu']],"Nē",Tabula1[Cik bieži izmantojat krievu valodu šajos kontekstos?  '[Sportā']],"(Gandrīz) katru dienu")</f>
        <v>9</v>
      </c>
      <c r="H15">
        <f>COUNTIFS(Tabula1[City],"Rīga",Tabula1[Dzimtā valoda(s): '[Latviešu']],"Jā",Tabula1[Dzimtā valoda(s): '[Krievu  ']],"Jā",Tabula1[Dzimtā valoda(s): '[Ukraiņu ']],"Nē",Tabula1[Dzimtā valoda(s): '[Angļu']],"Nē",Tabula1[Dzimtā valoda(s): '[Poļu']],"Nē",Tabula1[Cik bieži izmantojat krievu valodu šajos kontekstos?  '[Hobijos / citās interešu grupās']],"(Gandrīz) katru dienu")</f>
        <v>8</v>
      </c>
      <c r="I15">
        <f>COUNTIFS(Tabula1[City],"Rīga",Tabula1[Dzimtā valoda(s): '[Latviešu']],"Jā",Tabula1[Dzimtā valoda(s): '[Krievu  ']],"Jā",Tabula1[Dzimtā valoda(s): '[Ukraiņu ']],"Nē",Tabula1[Dzimtā valoda(s): '[Angļu']],"Nē",Tabula1[Dzimtā valoda(s): '[Poļu']],"Nē",Tabula1[Cik bieži izmantojat krievu valodu šajos kontekstos?  '[Uz ielas / veikalā utt.']],"(Gandrīz) katru dienu")</f>
        <v>2</v>
      </c>
      <c r="K15" s="44" t="s">
        <v>17971</v>
      </c>
      <c r="L15">
        <f>COUNTIFS(Tabula1[City],"Daugavpils",Tabula1[Dzimtā valoda(s): '[Latviešu']],"Jā",Tabula1[Dzimtā valoda(s): '[Krievu  ']],"Jā",Tabula1[Dzimtā valoda(s): '[Ukraiņu ']],"Nē",Tabula1[Dzimtā valoda(s): '[Angļu']],"Nē",Tabula1[Dzimtā valoda(s): '[Poļu']],"Nē",Tabula1[Cik bieži izmantojat krievu valodu šajos kontekstos?  '[Ģimenē']],"(Gandrīz) katru dienu")</f>
        <v>51</v>
      </c>
      <c r="M15">
        <f>COUNTIFS(Tabula1[City],"Daugavpils",Tabula1[Dzimtā valoda(s): '[Latviešu']],"Jā",Tabula1[Dzimtā valoda(s): '[Krievu  ']],"Jā",Tabula1[Dzimtā valoda(s): '[Ukraiņu ']],"Nē",Tabula1[Dzimtā valoda(s): '[Angļu']],"Nē",Tabula1[Dzimtā valoda(s): '[Poļu']],"Nē",Tabula1[Cik bieži izmantojat krievu valodu šajos kontekstos?  '[Skolā (ārpus nodarbībām)']],"(Gandrīz) katru dienu")</f>
        <v>47</v>
      </c>
      <c r="N15">
        <f>COUNTIFS(Tabula1[City],"Daugavpils",Tabula1[Dzimtā valoda(s): '[Latviešu']],"Jā",Tabula1[Dzimtā valoda(s): '[Krievu  ']],"Jā",Tabula1[Dzimtā valoda(s): '[Ukraiņu ']],"Nē",Tabula1[Dzimtā valoda(s): '[Angļu']],"Nē",Tabula1[Dzimtā valoda(s): '[Poļu']],"Nē",Tabula1[Cik bieži izmantojat krievu valodu šajos kontekstos?  '[Darbā']],"(Gandrīz) katru dienu")</f>
        <v>33</v>
      </c>
      <c r="O15">
        <f>COUNTIFS(Tabula1[City],"Daugavpils",Tabula1[Dzimtā valoda(s): '[Latviešu']],"Jā",Tabula1[Dzimtā valoda(s): '[Krievu  ']],"Jā",Tabula1[Dzimtā valoda(s): '[Ukraiņu ']],"Nē",Tabula1[Dzimtā valoda(s): '[Angļu']],"Nē",Tabula1[Dzimtā valoda(s): '[Poļu']],"Nē",Tabula1[Cik bieži izmantojat krievu valodu šajos kontekstos?  '[Ar draugiem']],"(Gandrīz) katru dienu")</f>
        <v>52</v>
      </c>
      <c r="P15">
        <f>COUNTIFS(Tabula1[City],"Daugavpils",Tabula1[Dzimtā valoda(s): '[Latviešu']],"Jā",Tabula1[Dzimtā valoda(s): '[Krievu  ']],"Jā",Tabula1[Dzimtā valoda(s): '[Ukraiņu ']],"Nē",Tabula1[Dzimtā valoda(s): '[Angļu']],"Nē",Tabula1[Dzimtā valoda(s): '[Poļu']],"Nē",Tabula1[Cik bieži izmantojat krievu valodu šajos kontekstos?  '[Sportā']],"(Gandrīz) katru dienu")</f>
        <v>40</v>
      </c>
      <c r="Q15">
        <f>COUNTIFS(Tabula1[City],"Daugavpils",Tabula1[Dzimtā valoda(s): '[Latviešu']],"Jā",Tabula1[Dzimtā valoda(s): '[Krievu  ']],"Jā",Tabula1[Dzimtā valoda(s): '[Ukraiņu ']],"Nē",Tabula1[Dzimtā valoda(s): '[Angļu']],"Nē",Tabula1[Dzimtā valoda(s): '[Poļu']],"Nē",Tabula1[Cik bieži izmantojat krievu valodu šajos kontekstos?  '[Hobijos / citās interešu grupās']],"(Gandrīz) katru dienu")</f>
        <v>45</v>
      </c>
      <c r="R15">
        <f>COUNTIFS(Tabula1[City],"Daugavpils",Tabula1[Dzimtā valoda(s): '[Latviešu']],"Jā",Tabula1[Dzimtā valoda(s): '[Krievu  ']],"Jā",Tabula1[Dzimtā valoda(s): '[Ukraiņu ']],"Nē",Tabula1[Dzimtā valoda(s): '[Angļu']],"Nē",Tabula1[Dzimtā valoda(s): '[Poļu']],"Nē",Tabula1[Cik bieži izmantojat krievu valodu šajos kontekstos?  '[Uz ielas / veikalā utt.']],"(Gandrīz) katru dienu")</f>
        <v>46</v>
      </c>
      <c r="T15" s="44" t="s">
        <v>17971</v>
      </c>
      <c r="U15">
        <f>COUNTIFS(Tabula1[City],"Liepāja",Tabula1[Dzimtā valoda(s): '[Latviešu']],"Jā",Tabula1[Dzimtā valoda(s): '[Krievu  ']],"Jā",Tabula1[Dzimtā valoda(s): '[Ukraiņu ']],"Nē",Tabula1[Dzimtā valoda(s): '[Angļu']],"Nē",Tabula1[Dzimtā valoda(s): '[Poļu']],"Nē",Tabula1[Cik bieži izmantojat krievu valodu šajos kontekstos?  '[Ģimenē']],"(Gandrīz) katru dienu")</f>
        <v>15</v>
      </c>
      <c r="V15">
        <f>COUNTIFS(Tabula1[City],"Liepāja",Tabula1[Dzimtā valoda(s): '[Latviešu']],"Jā",Tabula1[Dzimtā valoda(s): '[Krievu  ']],"Jā",Tabula1[Dzimtā valoda(s): '[Ukraiņu ']],"Nē",Tabula1[Dzimtā valoda(s): '[Angļu']],"Nē",Tabula1[Dzimtā valoda(s): '[Poļu']],"Nē",Tabula1[Cik bieži izmantojat krievu valodu šajos kontekstos?  '[Skolā (ārpus nodarbībām)']],"(Gandrīz) katru dienu")</f>
        <v>13</v>
      </c>
      <c r="W15">
        <f>COUNTIFS(Tabula1[City],"Liepāja",Tabula1[Dzimtā valoda(s): '[Latviešu']],"Jā",Tabula1[Dzimtā valoda(s): '[Krievu  ']],"Jā",Tabula1[Dzimtā valoda(s): '[Ukraiņu ']],"Nē",Tabula1[Dzimtā valoda(s): '[Angļu']],"Nē",Tabula1[Dzimtā valoda(s): '[Poļu']],"Nē",Tabula1[Cik bieži izmantojat krievu valodu šajos kontekstos?  '[Darbā']],"(Gandrīz) katru dienu")</f>
        <v>6</v>
      </c>
      <c r="X15">
        <f>COUNTIFS(Tabula1[City],"Liepāja",Tabula1[Dzimtā valoda(s): '[Latviešu']],"Jā",Tabula1[Dzimtā valoda(s): '[Krievu  ']],"Jā",Tabula1[Dzimtā valoda(s): '[Ukraiņu ']],"Nē",Tabula1[Dzimtā valoda(s): '[Angļu']],"Nē",Tabula1[Dzimtā valoda(s): '[Poļu']],"Nē",Tabula1[Cik bieži izmantojat krievu valodu šajos kontekstos?  '[Ar draugiem']],"(Gandrīz) katru dienu")</f>
        <v>15</v>
      </c>
      <c r="Y15">
        <f>COUNTIFS(Tabula1[City],"Liepāja",Tabula1[Dzimtā valoda(s): '[Latviešu']],"Jā",Tabula1[Dzimtā valoda(s): '[Krievu  ']],"Jā",Tabula1[Dzimtā valoda(s): '[Ukraiņu ']],"Nē",Tabula1[Dzimtā valoda(s): '[Angļu']],"Nē",Tabula1[Dzimtā valoda(s): '[Poļu']],"Nē",Tabula1[Cik bieži izmantojat krievu valodu šajos kontekstos?  '[Sportā']],"(Gandrīz) katru dienu")</f>
        <v>10</v>
      </c>
      <c r="Z15">
        <f>COUNTIFS(Tabula1[City],"Liepāja",Tabula1[Dzimtā valoda(s): '[Latviešu']],"Jā",Tabula1[Dzimtā valoda(s): '[Krievu  ']],"Jā",Tabula1[Dzimtā valoda(s): '[Ukraiņu ']],"Nē",Tabula1[Dzimtā valoda(s): '[Angļu']],"Nē",Tabula1[Dzimtā valoda(s): '[Poļu']],"Nē",Tabula1[Cik bieži izmantojat krievu valodu šajos kontekstos?  '[Hobijos / citās interešu grupās']],"(Gandrīz) katru dienu")</f>
        <v>10</v>
      </c>
      <c r="AA15">
        <f>COUNTIFS(Tabula1[City],"Liepāja",Tabula1[Dzimtā valoda(s): '[Latviešu']],"Jā",Tabula1[Dzimtā valoda(s): '[Krievu  ']],"Jā",Tabula1[Dzimtā valoda(s): '[Ukraiņu ']],"Nē",Tabula1[Dzimtā valoda(s): '[Angļu']],"Nē",Tabula1[Dzimtā valoda(s): '[Poļu']],"Nē",Tabula1[Cik bieži izmantojat krievu valodu šajos kontekstos?  '[Uz ielas / veikalā utt.']],"(Gandrīz) katru dienu")</f>
        <v>5</v>
      </c>
    </row>
    <row r="16" spans="1:28" x14ac:dyDescent="0.3">
      <c r="B16" s="44" t="s">
        <v>17972</v>
      </c>
      <c r="C16">
        <f>COUNTIFS(Tabula1[City],"Rīga",Tabula1[Dzimtā valoda(s): '[Latviešu']],"Jā",Tabula1[Dzimtā valoda(s): '[Krievu  ']],"Jā",Tabula1[Dzimtā valoda(s): '[Ukraiņu ']],"Nē",Tabula1[Dzimtā valoda(s): '[Angļu']],"Nē",Tabula1[Dzimtā valoda(s): '[Poļu']],"Nē",Tabula1[Cik bieži izmantojat krievu valodu šajos kontekstos?  '[Ģimenē']],"Pāris reižu nedēļā")</f>
        <v>2</v>
      </c>
      <c r="D16">
        <f>COUNTIFS(Tabula1[City],"Rīga",Tabula1[Dzimtā valoda(s): '[Latviešu']],"Jā",Tabula1[Dzimtā valoda(s): '[Krievu  ']],"Jā",Tabula1[Dzimtā valoda(s): '[Ukraiņu ']],"Nē",Tabula1[Dzimtā valoda(s): '[Angļu']],"Nē",Tabula1[Dzimtā valoda(s): '[Poļu']],"Nē",Tabula1[Cik bieži izmantojat krievu valodu šajos kontekstos?  '[Skolā (ārpus nodarbībām)']],"Pāris reižu nedēļā")</f>
        <v>1</v>
      </c>
      <c r="E16">
        <f>COUNTIFS(Tabula1[City],"Rīga",Tabula1[Dzimtā valoda(s): '[Latviešu']],"Jā",Tabula1[Dzimtā valoda(s): '[Krievu  ']],"Jā",Tabula1[Dzimtā valoda(s): '[Ukraiņu ']],"Nē",Tabula1[Dzimtā valoda(s): '[Angļu']],"Nē",Tabula1[Dzimtā valoda(s): '[Poļu']],"Nē",Tabula1[Cik bieži izmantojat krievu valodu šajos kontekstos?  '[Darbā']],"Pāris reižu nedēļā")</f>
        <v>2</v>
      </c>
      <c r="F16">
        <f>COUNTIFS(Tabula1[City],"Rīga",Tabula1[Dzimtā valoda(s): '[Latviešu']],"Jā",Tabula1[Dzimtā valoda(s): '[Krievu  ']],"Jā",Tabula1[Dzimtā valoda(s): '[Ukraiņu ']],"Nē",Tabula1[Dzimtā valoda(s): '[Angļu']],"Nē",Tabula1[Dzimtā valoda(s): '[Poļu']],"Nē",Tabula1[Cik bieži izmantojat krievu valodu šajos kontekstos?  '[Ar draugiem']],"Pāris reižu nedēļā")</f>
        <v>3</v>
      </c>
      <c r="G16">
        <f>COUNTIFS(Tabula1[City],"Rīga",Tabula1[Dzimtā valoda(s): '[Latviešu']],"Jā",Tabula1[Dzimtā valoda(s): '[Krievu  ']],"Jā",Tabula1[Dzimtā valoda(s): '[Ukraiņu ']],"Nē",Tabula1[Dzimtā valoda(s): '[Angļu']],"Nē",Tabula1[Dzimtā valoda(s): '[Poļu']],"Nē",Tabula1[Cik bieži izmantojat krievu valodu šajos kontekstos?  '[Sportā']],"Pāris reižu nedēļā")</f>
        <v>0</v>
      </c>
      <c r="H16">
        <f>COUNTIFS(Tabula1[City],"Rīga",Tabula1[Dzimtā valoda(s): '[Latviešu']],"Jā",Tabula1[Dzimtā valoda(s): '[Krievu  ']],"Jā",Tabula1[Dzimtā valoda(s): '[Ukraiņu ']],"Nē",Tabula1[Dzimtā valoda(s): '[Angļu']],"Nē",Tabula1[Dzimtā valoda(s): '[Poļu']],"Nē",Tabula1[Cik bieži izmantojat krievu valodu šajos kontekstos?  '[Hobijos / citās interešu grupās']],"Pāris reižu nedēļā")</f>
        <v>1</v>
      </c>
      <c r="I16">
        <f>COUNTIFS(Tabula1[City],"Rīga",Tabula1[Dzimtā valoda(s): '[Latviešu']],"Jā",Tabula1[Dzimtā valoda(s): '[Krievu  ']],"Jā",Tabula1[Dzimtā valoda(s): '[Ukraiņu ']],"Nē",Tabula1[Dzimtā valoda(s): '[Angļu']],"Nē",Tabula1[Dzimtā valoda(s): '[Poļu']],"Nē",Tabula1[Cik bieži izmantojat krievu valodu šajos kontekstos?  '[Uz ielas / veikalā utt.']],"Pāris reižu nedēļā")</f>
        <v>1</v>
      </c>
      <c r="K16" s="44" t="s">
        <v>17972</v>
      </c>
      <c r="L16">
        <f>COUNTIFS(Tabula1[City],"Daugavpils",Tabula1[Dzimtā valoda(s): '[Latviešu']],"Jā",Tabula1[Dzimtā valoda(s): '[Krievu  ']],"Jā",Tabula1[Dzimtā valoda(s): '[Ukraiņu ']],"Nē",Tabula1[Dzimtā valoda(s): '[Angļu']],"Nē",Tabula1[Dzimtā valoda(s): '[Poļu']],"Nē",Tabula1[Cik bieži izmantojat krievu valodu šajos kontekstos?  '[Ģimenē']],"Pāris reižu nedēļā")</f>
        <v>1</v>
      </c>
      <c r="M16">
        <f>COUNTIFS(Tabula1[City],"Daugavpils",Tabula1[Dzimtā valoda(s): '[Latviešu']],"Jā",Tabula1[Dzimtā valoda(s): '[Krievu  ']],"Jā",Tabula1[Dzimtā valoda(s): '[Ukraiņu ']],"Nē",Tabula1[Dzimtā valoda(s): '[Angļu']],"Nē",Tabula1[Dzimtā valoda(s): '[Poļu']],"Nē",Tabula1[Cik bieži izmantojat krievu valodu šajos kontekstos?  '[Skolā (ārpus nodarbībām)']],"Pāris reižu nedēļā")</f>
        <v>4</v>
      </c>
      <c r="N16">
        <f>COUNTIFS(Tabula1[City],"Daugavpils",Tabula1[Dzimtā valoda(s): '[Latviešu']],"Jā",Tabula1[Dzimtā valoda(s): '[Krievu  ']],"Jā",Tabula1[Dzimtā valoda(s): '[Ukraiņu ']],"Nē",Tabula1[Dzimtā valoda(s): '[Angļu']],"Nē",Tabula1[Dzimtā valoda(s): '[Poļu']],"Nē",Tabula1[Cik bieži izmantojat krievu valodu šajos kontekstos?  '[Darbā']],"Pāris reižu nedēļā")</f>
        <v>2</v>
      </c>
      <c r="O16">
        <f>COUNTIFS(Tabula1[City],"Daugavpils",Tabula1[Dzimtā valoda(s): '[Latviešu']],"Jā",Tabula1[Dzimtā valoda(s): '[Krievu  ']],"Jā",Tabula1[Dzimtā valoda(s): '[Ukraiņu ']],"Nē",Tabula1[Dzimtā valoda(s): '[Angļu']],"Nē",Tabula1[Dzimtā valoda(s): '[Poļu']],"Nē",Tabula1[Cik bieži izmantojat krievu valodu šajos kontekstos?  '[Ar draugiem']],"Pāris reižu nedēļā")</f>
        <v>3</v>
      </c>
      <c r="P16">
        <f>COUNTIFS(Tabula1[City],"Daugavpils",Tabula1[Dzimtā valoda(s): '[Latviešu']],"Jā",Tabula1[Dzimtā valoda(s): '[Krievu  ']],"Jā",Tabula1[Dzimtā valoda(s): '[Ukraiņu ']],"Nē",Tabula1[Dzimtā valoda(s): '[Angļu']],"Nē",Tabula1[Dzimtā valoda(s): '[Poļu']],"Nē",Tabula1[Cik bieži izmantojat krievu valodu šajos kontekstos?  '[Sportā']],"Pāris reižu nedēļā")</f>
        <v>2</v>
      </c>
      <c r="Q16">
        <f>COUNTIFS(Tabula1[City],"Daugavpils",Tabula1[Dzimtā valoda(s): '[Latviešu']],"Jā",Tabula1[Dzimtā valoda(s): '[Krievu  ']],"Jā",Tabula1[Dzimtā valoda(s): '[Ukraiņu ']],"Nē",Tabula1[Dzimtā valoda(s): '[Angļu']],"Nē",Tabula1[Dzimtā valoda(s): '[Poļu']],"Nē",Tabula1[Cik bieži izmantojat krievu valodu šajos kontekstos?  '[Hobijos / citās interešu grupās']],"Pāris reižu nedēļā")</f>
        <v>4</v>
      </c>
      <c r="R16">
        <f>COUNTIFS(Tabula1[City],"Daugavpils",Tabula1[Dzimtā valoda(s): '[Latviešu']],"Jā",Tabula1[Dzimtā valoda(s): '[Krievu  ']],"Jā",Tabula1[Dzimtā valoda(s): '[Ukraiņu ']],"Nē",Tabula1[Dzimtā valoda(s): '[Angļu']],"Nē",Tabula1[Dzimtā valoda(s): '[Poļu']],"Nē",Tabula1[Cik bieži izmantojat krievu valodu šajos kontekstos?  '[Uz ielas / veikalā utt.']],"Pāris reižu nedēļā")</f>
        <v>2</v>
      </c>
      <c r="T16" s="44" t="s">
        <v>17972</v>
      </c>
      <c r="U16">
        <f>COUNTIFS(Tabula1[City],"Liepāja",Tabula1[Dzimtā valoda(s): '[Latviešu']],"Jā",Tabula1[Dzimtā valoda(s): '[Krievu  ']],"Jā",Tabula1[Dzimtā valoda(s): '[Ukraiņu ']],"Nē",Tabula1[Dzimtā valoda(s): '[Angļu']],"Nē",Tabula1[Dzimtā valoda(s): '[Poļu']],"Nē",Tabula1[Cik bieži izmantojat krievu valodu šajos kontekstos?  '[Ģimenē']],"Pāris reižu nedēļā")</f>
        <v>2</v>
      </c>
      <c r="V16">
        <f>COUNTIFS(Tabula1[City],"Liepāja",Tabula1[Dzimtā valoda(s): '[Latviešu']],"Jā",Tabula1[Dzimtā valoda(s): '[Krievu  ']],"Jā",Tabula1[Dzimtā valoda(s): '[Ukraiņu ']],"Nē",Tabula1[Dzimtā valoda(s): '[Angļu']],"Nē",Tabula1[Dzimtā valoda(s): '[Poļu']],"Nē",Tabula1[Cik bieži izmantojat krievu valodu šajos kontekstos?  '[Skolā (ārpus nodarbībām)']],"Pāris reižu nedēļā")</f>
        <v>2</v>
      </c>
      <c r="W16">
        <f>COUNTIFS(Tabula1[City],"Liepāja",Tabula1[Dzimtā valoda(s): '[Latviešu']],"Jā",Tabula1[Dzimtā valoda(s): '[Krievu  ']],"Jā",Tabula1[Dzimtā valoda(s): '[Ukraiņu ']],"Nē",Tabula1[Dzimtā valoda(s): '[Angļu']],"Nē",Tabula1[Dzimtā valoda(s): '[Poļu']],"Nē",Tabula1[Cik bieži izmantojat krievu valodu šajos kontekstos?  '[Darbā']],"Pāris reižu nedēļā")</f>
        <v>3</v>
      </c>
      <c r="X16">
        <f>COUNTIFS(Tabula1[City],"Liepāja",Tabula1[Dzimtā valoda(s): '[Latviešu']],"Jā",Tabula1[Dzimtā valoda(s): '[Krievu  ']],"Jā",Tabula1[Dzimtā valoda(s): '[Ukraiņu ']],"Nē",Tabula1[Dzimtā valoda(s): '[Angļu']],"Nē",Tabula1[Dzimtā valoda(s): '[Poļu']],"Nē",Tabula1[Cik bieži izmantojat krievu valodu šajos kontekstos?  '[Ar draugiem']],"Pāris reižu nedēļā")</f>
        <v>1</v>
      </c>
      <c r="Y16">
        <f>COUNTIFS(Tabula1[City],"Liepāja",Tabula1[Dzimtā valoda(s): '[Latviešu']],"Jā",Tabula1[Dzimtā valoda(s): '[Krievu  ']],"Jā",Tabula1[Dzimtā valoda(s): '[Ukraiņu ']],"Nē",Tabula1[Dzimtā valoda(s): '[Angļu']],"Nē",Tabula1[Dzimtā valoda(s): '[Poļu']],"Nē",Tabula1[Cik bieži izmantojat krievu valodu šajos kontekstos?  '[Sportā']],"Pāris reižu nedēļā")</f>
        <v>1</v>
      </c>
      <c r="Z16">
        <f>COUNTIFS(Tabula1[City],"Liepāja",Tabula1[Dzimtā valoda(s): '[Latviešu']],"Jā",Tabula1[Dzimtā valoda(s): '[Krievu  ']],"Jā",Tabula1[Dzimtā valoda(s): '[Ukraiņu ']],"Nē",Tabula1[Dzimtā valoda(s): '[Angļu']],"Nē",Tabula1[Dzimtā valoda(s): '[Poļu']],"Nē",Tabula1[Cik bieži izmantojat krievu valodu šajos kontekstos?  '[Hobijos / citās interešu grupās']],"Pāris reižu nedēļā")</f>
        <v>3</v>
      </c>
      <c r="AA16">
        <f>COUNTIFS(Tabula1[City],"Liepāja",Tabula1[Dzimtā valoda(s): '[Latviešu']],"Jā",Tabula1[Dzimtā valoda(s): '[Krievu  ']],"Jā",Tabula1[Dzimtā valoda(s): '[Ukraiņu ']],"Nē",Tabula1[Dzimtā valoda(s): '[Angļu']],"Nē",Tabula1[Dzimtā valoda(s): '[Poļu']],"Nē",Tabula1[Cik bieži izmantojat krievu valodu šajos kontekstos?  '[Uz ielas / veikalā utt.']],"Pāris reižu nedēļā")</f>
        <v>6</v>
      </c>
    </row>
    <row r="17" spans="1:27" x14ac:dyDescent="0.3">
      <c r="B17" s="44" t="s">
        <v>17973</v>
      </c>
      <c r="C17">
        <f>COUNTIFS(Tabula1[City],"Rīga",Tabula1[Dzimtā valoda(s): '[Latviešu']],"Jā",Tabula1[Dzimtā valoda(s): '[Krievu  ']],"Jā",Tabula1[Dzimtā valoda(s): '[Ukraiņu ']],"Nē",Tabula1[Dzimtā valoda(s): '[Angļu']],"Nē",Tabula1[Dzimtā valoda(s): '[Poļu']],"Nē",Tabula1[Cik bieži izmantojat krievu valodu šajos kontekstos?  '[Ģimenē']],"Reizi nedēļā")</f>
        <v>0</v>
      </c>
      <c r="D17">
        <f>COUNTIFS(Tabula1[City],"Rīga",Tabula1[Dzimtā valoda(s): '[Latviešu']],"Jā",Tabula1[Dzimtā valoda(s): '[Krievu  ']],"Jā",Tabula1[Dzimtā valoda(s): '[Ukraiņu ']],"Nē",Tabula1[Dzimtā valoda(s): '[Angļu']],"Nē",Tabula1[Dzimtā valoda(s): '[Poļu']],"Nē",Tabula1[Cik bieži izmantojat krievu valodu šajos kontekstos?  '[Skolā (ārpus nodarbībām)']],"Reizi nedēļā")</f>
        <v>1</v>
      </c>
      <c r="E17">
        <f>COUNTIFS(Tabula1[City],"Rīga",Tabula1[Dzimtā valoda(s): '[Latviešu']],"Jā",Tabula1[Dzimtā valoda(s): '[Krievu  ']],"Jā",Tabula1[Dzimtā valoda(s): '[Ukraiņu ']],"Nē",Tabula1[Dzimtā valoda(s): '[Angļu']],"Nē",Tabula1[Dzimtā valoda(s): '[Poļu']],"Nē",Tabula1[Cik bieži izmantojat krievu valodu šajos kontekstos?  '[Darbā']],"Reizi nedēļā")</f>
        <v>2</v>
      </c>
      <c r="F17">
        <f>COUNTIFS(Tabula1[City],"Rīga",Tabula1[Dzimtā valoda(s): '[Latviešu']],"Jā",Tabula1[Dzimtā valoda(s): '[Krievu  ']],"Jā",Tabula1[Dzimtā valoda(s): '[Ukraiņu ']],"Nē",Tabula1[Dzimtā valoda(s): '[Angļu']],"Nē",Tabula1[Dzimtā valoda(s): '[Poļu']],"Nē",Tabula1[Cik bieži izmantojat krievu valodu šajos kontekstos?  '[Ar draugiem']],"Reizi nedēļā")</f>
        <v>0</v>
      </c>
      <c r="G17">
        <f>COUNTIFS(Tabula1[City],"Rīga",Tabula1[Dzimtā valoda(s): '[Latviešu']],"Jā",Tabula1[Dzimtā valoda(s): '[Krievu  ']],"Jā",Tabula1[Dzimtā valoda(s): '[Ukraiņu ']],"Nē",Tabula1[Dzimtā valoda(s): '[Angļu']],"Nē",Tabula1[Dzimtā valoda(s): '[Poļu']],"Nē",Tabula1[Cik bieži izmantojat krievu valodu šajos kontekstos?  '[Sportā']],"Reizi nedēļā")</f>
        <v>1</v>
      </c>
      <c r="H17">
        <f>COUNTIFS(Tabula1[City],"Rīga",Tabula1[Dzimtā valoda(s): '[Latviešu']],"Jā",Tabula1[Dzimtā valoda(s): '[Krievu  ']],"Jā",Tabula1[Dzimtā valoda(s): '[Ukraiņu ']],"Nē",Tabula1[Dzimtā valoda(s): '[Angļu']],"Nē",Tabula1[Dzimtā valoda(s): '[Poļu']],"Nē",Tabula1[Cik bieži izmantojat krievu valodu šajos kontekstos?  '[Hobijos / citās interešu grupās']],"Reizi nedēļā")</f>
        <v>0</v>
      </c>
      <c r="I17">
        <f>COUNTIFS(Tabula1[City],"Rīga",Tabula1[Dzimtā valoda(s): '[Latviešu']],"Jā",Tabula1[Dzimtā valoda(s): '[Krievu  ']],"Jā",Tabula1[Dzimtā valoda(s): '[Ukraiņu ']],"Nē",Tabula1[Dzimtā valoda(s): '[Angļu']],"Nē",Tabula1[Dzimtā valoda(s): '[Poļu']],"Nē",Tabula1[Cik bieži izmantojat krievu valodu šajos kontekstos?  '[Uz ielas / veikalā utt.']],"Reizi nedēļā")</f>
        <v>3</v>
      </c>
      <c r="K17" s="44" t="s">
        <v>17973</v>
      </c>
      <c r="L17">
        <f>COUNTIFS(Tabula1[City],"Daugavpils",Tabula1[Dzimtā valoda(s): '[Latviešu']],"Jā",Tabula1[Dzimtā valoda(s): '[Krievu  ']],"Jā",Tabula1[Dzimtā valoda(s): '[Ukraiņu ']],"Nē",Tabula1[Dzimtā valoda(s): '[Angļu']],"Nē",Tabula1[Dzimtā valoda(s): '[Poļu']],"Nē",Tabula1[Cik bieži izmantojat krievu valodu šajos kontekstos?  '[Ģimenē']],"Reizi nedēļā")</f>
        <v>1</v>
      </c>
      <c r="M17">
        <f>COUNTIFS(Tabula1[City],"Daugavpils",Tabula1[Dzimtā valoda(s): '[Latviešu']],"Jā",Tabula1[Dzimtā valoda(s): '[Krievu  ']],"Jā",Tabula1[Dzimtā valoda(s): '[Ukraiņu ']],"Nē",Tabula1[Dzimtā valoda(s): '[Angļu']],"Nē",Tabula1[Dzimtā valoda(s): '[Poļu']],"Nē",Tabula1[Cik bieži izmantojat krievu valodu šajos kontekstos?  '[Skolā (ārpus nodarbībām)']],"Reizi nedēļā")</f>
        <v>1</v>
      </c>
      <c r="N17">
        <f>COUNTIFS(Tabula1[City],"Daugavpils",Tabula1[Dzimtā valoda(s): '[Latviešu']],"Jā",Tabula1[Dzimtā valoda(s): '[Krievu  ']],"Jā",Tabula1[Dzimtā valoda(s): '[Ukraiņu ']],"Nē",Tabula1[Dzimtā valoda(s): '[Angļu']],"Nē",Tabula1[Dzimtā valoda(s): '[Poļu']],"Nē",Tabula1[Cik bieži izmantojat krievu valodu šajos kontekstos?  '[Darbā']],"Reizi nedēļā")</f>
        <v>2</v>
      </c>
      <c r="O17">
        <f>COUNTIFS(Tabula1[City],"Daugavpils",Tabula1[Dzimtā valoda(s): '[Latviešu']],"Jā",Tabula1[Dzimtā valoda(s): '[Krievu  ']],"Jā",Tabula1[Dzimtā valoda(s): '[Ukraiņu ']],"Nē",Tabula1[Dzimtā valoda(s): '[Angļu']],"Nē",Tabula1[Dzimtā valoda(s): '[Poļu']],"Nē",Tabula1[Cik bieži izmantojat krievu valodu šajos kontekstos?  '[Ar draugiem']],"Reizi nedēļā")</f>
        <v>0</v>
      </c>
      <c r="P17">
        <f>COUNTIFS(Tabula1[City],"Daugavpils",Tabula1[Dzimtā valoda(s): '[Latviešu']],"Jā",Tabula1[Dzimtā valoda(s): '[Krievu  ']],"Jā",Tabula1[Dzimtā valoda(s): '[Ukraiņu ']],"Nē",Tabula1[Dzimtā valoda(s): '[Angļu']],"Nē",Tabula1[Dzimtā valoda(s): '[Poļu']],"Nē",Tabula1[Cik bieži izmantojat krievu valodu šajos kontekstos?  '[Sportā']],"Reizi nedēļā")</f>
        <v>2</v>
      </c>
      <c r="Q17">
        <f>COUNTIFS(Tabula1[City],"Daugavpils",Tabula1[Dzimtā valoda(s): '[Latviešu']],"Jā",Tabula1[Dzimtā valoda(s): '[Krievu  ']],"Jā",Tabula1[Dzimtā valoda(s): '[Ukraiņu ']],"Nē",Tabula1[Dzimtā valoda(s): '[Angļu']],"Nē",Tabula1[Dzimtā valoda(s): '[Poļu']],"Nē",Tabula1[Cik bieži izmantojat krievu valodu šajos kontekstos?  '[Hobijos / citās interešu grupās']],"Reizi nedēļā")</f>
        <v>1</v>
      </c>
      <c r="R17">
        <f>COUNTIFS(Tabula1[City],"Daugavpils",Tabula1[Dzimtā valoda(s): '[Latviešu']],"Jā",Tabula1[Dzimtā valoda(s): '[Krievu  ']],"Jā",Tabula1[Dzimtā valoda(s): '[Ukraiņu ']],"Nē",Tabula1[Dzimtā valoda(s): '[Angļu']],"Nē",Tabula1[Dzimtā valoda(s): '[Poļu']],"Nē",Tabula1[Cik bieži izmantojat krievu valodu šajos kontekstos?  '[Uz ielas / veikalā utt.']],"Reizi nedēļā")</f>
        <v>4</v>
      </c>
      <c r="T17" s="44" t="s">
        <v>17973</v>
      </c>
      <c r="U17">
        <f>COUNTIFS(Tabula1[City],"Liepāja",Tabula1[Dzimtā valoda(s): '[Latviešu']],"Jā",Tabula1[Dzimtā valoda(s): '[Krievu  ']],"Jā",Tabula1[Dzimtā valoda(s): '[Ukraiņu ']],"Nē",Tabula1[Dzimtā valoda(s): '[Angļu']],"Nē",Tabula1[Dzimtā valoda(s): '[Poļu']],"Nē",Tabula1[Cik bieži izmantojat krievu valodu šajos kontekstos?  '[Ģimenē']],"Reizi nedēļā")</f>
        <v>0</v>
      </c>
      <c r="V17">
        <f>COUNTIFS(Tabula1[City],"Liepāja",Tabula1[Dzimtā valoda(s): '[Latviešu']],"Jā",Tabula1[Dzimtā valoda(s): '[Krievu  ']],"Jā",Tabula1[Dzimtā valoda(s): '[Ukraiņu ']],"Nē",Tabula1[Dzimtā valoda(s): '[Angļu']],"Nē",Tabula1[Dzimtā valoda(s): '[Poļu']],"Nē",Tabula1[Cik bieži izmantojat krievu valodu šajos kontekstos?  '[Skolā (ārpus nodarbībām)']],"Reizi nedēļā")</f>
        <v>0</v>
      </c>
      <c r="W17">
        <f>COUNTIFS(Tabula1[City],"Liepāja",Tabula1[Dzimtā valoda(s): '[Latviešu']],"Jā",Tabula1[Dzimtā valoda(s): '[Krievu  ']],"Jā",Tabula1[Dzimtā valoda(s): '[Ukraiņu ']],"Nē",Tabula1[Dzimtā valoda(s): '[Angļu']],"Nē",Tabula1[Dzimtā valoda(s): '[Poļu']],"Nē",Tabula1[Cik bieži izmantojat krievu valodu šajos kontekstos?  '[Darbā']],"Reizi nedēļā")</f>
        <v>1</v>
      </c>
      <c r="X17">
        <f>COUNTIFS(Tabula1[City],"Liepāja",Tabula1[Dzimtā valoda(s): '[Latviešu']],"Jā",Tabula1[Dzimtā valoda(s): '[Krievu  ']],"Jā",Tabula1[Dzimtā valoda(s): '[Ukraiņu ']],"Nē",Tabula1[Dzimtā valoda(s): '[Angļu']],"Nē",Tabula1[Dzimtā valoda(s): '[Poļu']],"Nē",Tabula1[Cik bieži izmantojat krievu valodu šajos kontekstos?  '[Ar draugiem']],"Reizi nedēļā")</f>
        <v>0</v>
      </c>
      <c r="Y17">
        <f>COUNTIFS(Tabula1[City],"Liepāja",Tabula1[Dzimtā valoda(s): '[Latviešu']],"Jā",Tabula1[Dzimtā valoda(s): '[Krievu  ']],"Jā",Tabula1[Dzimtā valoda(s): '[Ukraiņu ']],"Nē",Tabula1[Dzimtā valoda(s): '[Angļu']],"Nē",Tabula1[Dzimtā valoda(s): '[Poļu']],"Nē",Tabula1[Cik bieži izmantojat krievu valodu šajos kontekstos?  '[Sportā']],"Reizi nedēļā")</f>
        <v>0</v>
      </c>
      <c r="Z17">
        <f>COUNTIFS(Tabula1[City],"Liepāja",Tabula1[Dzimtā valoda(s): '[Latviešu']],"Jā",Tabula1[Dzimtā valoda(s): '[Krievu  ']],"Jā",Tabula1[Dzimtā valoda(s): '[Ukraiņu ']],"Nē",Tabula1[Dzimtā valoda(s): '[Angļu']],"Nē",Tabula1[Dzimtā valoda(s): '[Poļu']],"Nē",Tabula1[Cik bieži izmantojat krievu valodu šajos kontekstos?  '[Hobijos / citās interešu grupās']],"Reizi nedēļā")</f>
        <v>0</v>
      </c>
      <c r="AA17">
        <f>COUNTIFS(Tabula1[City],"Liepāja",Tabula1[Dzimtā valoda(s): '[Latviešu']],"Jā",Tabula1[Dzimtā valoda(s): '[Krievu  ']],"Jā",Tabula1[Dzimtā valoda(s): '[Ukraiņu ']],"Nē",Tabula1[Dzimtā valoda(s): '[Angļu']],"Nē",Tabula1[Dzimtā valoda(s): '[Poļu']],"Nē",Tabula1[Cik bieži izmantojat krievu valodu šajos kontekstos?  '[Uz ielas / veikalā utt.']],"Reizi nedēļā")</f>
        <v>0</v>
      </c>
    </row>
    <row r="18" spans="1:27" x14ac:dyDescent="0.3">
      <c r="B18" s="44" t="s">
        <v>17974</v>
      </c>
      <c r="C18">
        <f>COUNTIFS(Tabula1[City],"Rīga",Tabula1[Dzimtā valoda(s): '[Latviešu']],"Jā",Tabula1[Dzimtā valoda(s): '[Krievu  ']],"Jā",Tabula1[Dzimtā valoda(s): '[Ukraiņu ']],"Nē",Tabula1[Dzimtā valoda(s): '[Angļu']],"Nē",Tabula1[Dzimtā valoda(s): '[Poļu']],"Nē",Tabula1[Cik bieži izmantojat krievu valodu šajos kontekstos?  '[Ģimenē']],"Pāris reižu mēnesī")</f>
        <v>1</v>
      </c>
      <c r="D18">
        <f>COUNTIFS(Tabula1[City],"Rīga",Tabula1[Dzimtā valoda(s): '[Latviešu']],"Jā",Tabula1[Dzimtā valoda(s): '[Krievu  ']],"Jā",Tabula1[Dzimtā valoda(s): '[Ukraiņu ']],"Nē",Tabula1[Dzimtā valoda(s): '[Angļu']],"Nē",Tabula1[Dzimtā valoda(s): '[Poļu']],"Nē",Tabula1[Cik bieži izmantojat krievu valodu šajos kontekstos?  '[Skolā (ārpus nodarbībām)']],"Pāris reižu mēnesī")</f>
        <v>0</v>
      </c>
      <c r="E18">
        <f>COUNTIFS(Tabula1[City],"Rīga",Tabula1[Dzimtā valoda(s): '[Latviešu']],"Jā",Tabula1[Dzimtā valoda(s): '[Krievu  ']],"Jā",Tabula1[Dzimtā valoda(s): '[Ukraiņu ']],"Nē",Tabula1[Dzimtā valoda(s): '[Angļu']],"Nē",Tabula1[Dzimtā valoda(s): '[Poļu']],"Nē",Tabula1[Cik bieži izmantojat krievu valodu šajos kontekstos?  '[Darbā']],"Pāris reižu mēnesī")</f>
        <v>0</v>
      </c>
      <c r="F18">
        <f>COUNTIFS(Tabula1[City],"Rīga",Tabula1[Dzimtā valoda(s): '[Latviešu']],"Jā",Tabula1[Dzimtā valoda(s): '[Krievu  ']],"Jā",Tabula1[Dzimtā valoda(s): '[Ukraiņu ']],"Nē",Tabula1[Dzimtā valoda(s): '[Angļu']],"Nē",Tabula1[Dzimtā valoda(s): '[Poļu']],"Nē",Tabula1[Cik bieži izmantojat krievu valodu šajos kontekstos?  '[Ar draugiem']],"Pāris reižu mēnesī")</f>
        <v>0</v>
      </c>
      <c r="G18">
        <f>COUNTIFS(Tabula1[City],"Rīga",Tabula1[Dzimtā valoda(s): '[Latviešu']],"Jā",Tabula1[Dzimtā valoda(s): '[Krievu  ']],"Jā",Tabula1[Dzimtā valoda(s): '[Ukraiņu ']],"Nē",Tabula1[Dzimtā valoda(s): '[Angļu']],"Nē",Tabula1[Dzimtā valoda(s): '[Poļu']],"Nē",Tabula1[Cik bieži izmantojat krievu valodu šajos kontekstos?  '[Sportā']],"Pāris reižu mēnesī")</f>
        <v>2</v>
      </c>
      <c r="H18">
        <f>COUNTIFS(Tabula1[City],"Rīga",Tabula1[Dzimtā valoda(s): '[Latviešu']],"Jā",Tabula1[Dzimtā valoda(s): '[Krievu  ']],"Jā",Tabula1[Dzimtā valoda(s): '[Ukraiņu ']],"Nē",Tabula1[Dzimtā valoda(s): '[Angļu']],"Nē",Tabula1[Dzimtā valoda(s): '[Poļu']],"Nē",Tabula1[Cik bieži izmantojat krievu valodu šajos kontekstos?  '[Hobijos / citās interešu grupās']],"Pāris reižu mēnesī")</f>
        <v>1</v>
      </c>
      <c r="I18">
        <f>COUNTIFS(Tabula1[City],"Rīga",Tabula1[Dzimtā valoda(s): '[Latviešu']],"Jā",Tabula1[Dzimtā valoda(s): '[Krievu  ']],"Jā",Tabula1[Dzimtā valoda(s): '[Ukraiņu ']],"Nē",Tabula1[Dzimtā valoda(s): '[Angļu']],"Nē",Tabula1[Dzimtā valoda(s): '[Poļu']],"Nē",Tabula1[Cik bieži izmantojat krievu valodu šajos kontekstos?  '[Uz ielas / veikalā utt.']],"Pāris reižu mēnesī")</f>
        <v>3</v>
      </c>
      <c r="K18" s="44" t="s">
        <v>17974</v>
      </c>
      <c r="L18">
        <f>COUNTIFS(Tabula1[City],"Daugavpils",Tabula1[Dzimtā valoda(s): '[Latviešu']],"Jā",Tabula1[Dzimtā valoda(s): '[Krievu  ']],"Jā",Tabula1[Dzimtā valoda(s): '[Ukraiņu ']],"Nē",Tabula1[Dzimtā valoda(s): '[Angļu']],"Nē",Tabula1[Dzimtā valoda(s): '[Poļu']],"Nē",Tabula1[Cik bieži izmantojat krievu valodu šajos kontekstos?  '[Ģimenē']],"Pāris reižu mēnesī")</f>
        <v>1</v>
      </c>
      <c r="M18">
        <f>COUNTIFS(Tabula1[City],"Daugavpils",Tabula1[Dzimtā valoda(s): '[Latviešu']],"Jā",Tabula1[Dzimtā valoda(s): '[Krievu  ']],"Jā",Tabula1[Dzimtā valoda(s): '[Ukraiņu ']],"Nē",Tabula1[Dzimtā valoda(s): '[Angļu']],"Nē",Tabula1[Dzimtā valoda(s): '[Poļu']],"Nē",Tabula1[Cik bieži izmantojat krievu valodu šajos kontekstos?  '[Skolā (ārpus nodarbībām)']],"Pāris reižu mēnesī")</f>
        <v>1</v>
      </c>
      <c r="N18">
        <f>COUNTIFS(Tabula1[City],"Daugavpils",Tabula1[Dzimtā valoda(s): '[Latviešu']],"Jā",Tabula1[Dzimtā valoda(s): '[Krievu  ']],"Jā",Tabula1[Dzimtā valoda(s): '[Ukraiņu ']],"Nē",Tabula1[Dzimtā valoda(s): '[Angļu']],"Nē",Tabula1[Dzimtā valoda(s): '[Poļu']],"Nē",Tabula1[Cik bieži izmantojat krievu valodu šajos kontekstos?  '[Darbā']],"Pāris reižu mēnesī")</f>
        <v>2</v>
      </c>
      <c r="O18">
        <v>0</v>
      </c>
      <c r="P18">
        <f>COUNTIFS(Tabula1[City],"Daugavpils",Tabula1[Dzimtā valoda(s): '[Latviešu']],"Jā",Tabula1[Dzimtā valoda(s): '[Krievu  ']],"Jā",Tabula1[Dzimtā valoda(s): '[Ukraiņu ']],"Nē",Tabula1[Dzimtā valoda(s): '[Angļu']],"Nē",Tabula1[Dzimtā valoda(s): '[Poļu']],"Nē",Tabula1[Cik bieži izmantojat krievu valodu šajos kontekstos?  '[Sportā']],"Pāris reižu mēnesī")</f>
        <v>3</v>
      </c>
      <c r="Q18">
        <f>COUNTIFS(Tabula1[City],"Daugavpils",Tabula1[Dzimtā valoda(s): '[Latviešu']],"Jā",Tabula1[Dzimtā valoda(s): '[Krievu  ']],"Jā",Tabula1[Dzimtā valoda(s): '[Ukraiņu ']],"Nē",Tabula1[Dzimtā valoda(s): '[Angļu']],"Nē",Tabula1[Dzimtā valoda(s): '[Poļu']],"Nē",Tabula1[Cik bieži izmantojat krievu valodu šajos kontekstos?  '[Hobijos / citās interešu grupās']],"Pāris reižu mēnesī")</f>
        <v>2</v>
      </c>
      <c r="R18">
        <f>COUNTIFS(Tabula1[City],"Daugavpils",Tabula1[Dzimtā valoda(s): '[Latviešu']],"Jā",Tabula1[Dzimtā valoda(s): '[Krievu  ']],"Jā",Tabula1[Dzimtā valoda(s): '[Ukraiņu ']],"Nē",Tabula1[Dzimtā valoda(s): '[Angļu']],"Nē",Tabula1[Dzimtā valoda(s): '[Poļu']],"Nē",Tabula1[Cik bieži izmantojat krievu valodu šajos kontekstos?  '[Uz ielas / veikalā utt.']],"Pāris reižu mēnesī")</f>
        <v>1</v>
      </c>
      <c r="T18" s="44" t="s">
        <v>17974</v>
      </c>
      <c r="U18">
        <f>COUNTIFS(Tabula1[City],"Liepāja",Tabula1[Dzimtā valoda(s): '[Latviešu']],"Jā",Tabula1[Dzimtā valoda(s): '[Krievu  ']],"Jā",Tabula1[Dzimtā valoda(s): '[Ukraiņu ']],"Nē",Tabula1[Dzimtā valoda(s): '[Angļu']],"Nē",Tabula1[Dzimtā valoda(s): '[Poļu']],"Nē",Tabula1[Cik bieži izmantojat krievu valodu šajos kontekstos?  '[Ģimenē']],"Pāris reižu mēnesī")</f>
        <v>0</v>
      </c>
      <c r="V18">
        <f>COUNTIFS(Tabula1[City],"Liepāja",Tabula1[Dzimtā valoda(s): '[Latviešu']],"Jā",Tabula1[Dzimtā valoda(s): '[Krievu  ']],"Jā",Tabula1[Dzimtā valoda(s): '[Ukraiņu ']],"Nē",Tabula1[Dzimtā valoda(s): '[Angļu']],"Nē",Tabula1[Dzimtā valoda(s): '[Poļu']],"Nē",Tabula1[Cik bieži izmantojat krievu valodu šajos kontekstos?  '[Skolā (ārpus nodarbībām)']],"Pāris reižu mēnesī")</f>
        <v>1</v>
      </c>
      <c r="W18">
        <f>COUNTIFS(Tabula1[City],"Liepāja",Tabula1[Dzimtā valoda(s): '[Latviešu']],"Jā",Tabula1[Dzimtā valoda(s): '[Krievu  ']],"Jā",Tabula1[Dzimtā valoda(s): '[Ukraiņu ']],"Nē",Tabula1[Dzimtā valoda(s): '[Angļu']],"Nē",Tabula1[Dzimtā valoda(s): '[Poļu']],"Nē",Tabula1[Cik bieži izmantojat krievu valodu šajos kontekstos?  '[Darbā']],"Pāris reižu mēnesī")</f>
        <v>0</v>
      </c>
      <c r="X18">
        <f>COUNTIFS(Tabula1[City],"Liepāja",Tabula1[Dzimtā valoda(s): '[Latviešu']],"Jā",Tabula1[Dzimtā valoda(s): '[Krievu  ']],"Jā",Tabula1[Dzimtā valoda(s): '[Ukraiņu ']],"Nē",Tabula1[Dzimtā valoda(s): '[Angļu']],"Nē",Tabula1[Dzimtā valoda(s): '[Poļu']],"Nē",Tabula1[Cik bieži izmantojat krievu valodu šajos kontekstos?  '[Ar draugiem']],"Pāris reižu mēnesī")</f>
        <v>1</v>
      </c>
      <c r="Y18">
        <f>COUNTIFS(Tabula1[City],"Liepāja",Tabula1[Dzimtā valoda(s): '[Latviešu']],"Jā",Tabula1[Dzimtā valoda(s): '[Krievu  ']],"Jā",Tabula1[Dzimtā valoda(s): '[Ukraiņu ']],"Nē",Tabula1[Dzimtā valoda(s): '[Angļu']],"Nē",Tabula1[Dzimtā valoda(s): '[Poļu']],"Nē",Tabula1[Cik bieži izmantojat krievu valodu šajos kontekstos?  '[Sportā']],"Pāris reižu mēnesī")</f>
        <v>2</v>
      </c>
      <c r="Z18">
        <f>COUNTIFS(Tabula1[City],"Liepāja",Tabula1[Dzimtā valoda(s): '[Latviešu']],"Jā",Tabula1[Dzimtā valoda(s): '[Krievu  ']],"Jā",Tabula1[Dzimtā valoda(s): '[Ukraiņu ']],"Nē",Tabula1[Dzimtā valoda(s): '[Angļu']],"Nē",Tabula1[Dzimtā valoda(s): '[Poļu']],"Nē",Tabula1[Cik bieži izmantojat krievu valodu šajos kontekstos?  '[Hobijos / citās interešu grupās']],"Pāris reižu mēnesī")</f>
        <v>2</v>
      </c>
      <c r="AA18">
        <f>COUNTIFS(Tabula1[City],"Liepāja",Tabula1[Dzimtā valoda(s): '[Latviešu']],"Jā",Tabula1[Dzimtā valoda(s): '[Krievu  ']],"Jā",Tabula1[Dzimtā valoda(s): '[Ukraiņu ']],"Nē",Tabula1[Dzimtā valoda(s): '[Angļu']],"Nē",Tabula1[Dzimtā valoda(s): '[Poļu']],"Nē",Tabula1[Cik bieži izmantojat krievu valodu šajos kontekstos?  '[Uz ielas / veikalā utt.']],"Pāris reižu mēnesī")</f>
        <v>4</v>
      </c>
    </row>
    <row r="19" spans="1:27" x14ac:dyDescent="0.3">
      <c r="B19" s="44" t="s">
        <v>17975</v>
      </c>
      <c r="C19">
        <v>0</v>
      </c>
      <c r="D19">
        <f>COUNTIFS(Tabula1[City],"Rīga",Tabula1[Dzimtā valoda(s): '[Latviešu']],"Jā",Tabula1[Dzimtā valoda(s): '[Krievu  ']],"Jā",Tabula1[Dzimtā valoda(s): '[Ukraiņu ']],"Nē",Tabula1[Dzimtā valoda(s): '[Angļu']],"Nē",Tabula1[Dzimtā valoda(s): '[Poļu']],"Nē",Tabula1[Cik bieži izmantojat krievu valodu šajos kontekstos?  '[Skolā (ārpus nodarbībām)']],"(Gandrīz) nekad")</f>
        <v>2</v>
      </c>
      <c r="E19">
        <f>COUNTIFS(Tabula1[City],"Rīga",Tabula1[Dzimtā valoda(s): '[Latviešu']],"Jā",Tabula1[Dzimtā valoda(s): '[Krievu  ']],"Jā",Tabula1[Dzimtā valoda(s): '[Ukraiņu ']],"Nē",Tabula1[Dzimtā valoda(s): '[Angļu']],"Nē",Tabula1[Dzimtā valoda(s): '[Poļu']],"Nē",Tabula1[Cik bieži izmantojat krievu valodu šajos kontekstos?  '[Darbā']],"(Gandrīz) nekad")</f>
        <v>5</v>
      </c>
      <c r="F19">
        <f>COUNTIFS(Tabula1[City],"Rīga",Tabula1[Dzimtā valoda(s): '[Latviešu']],"Jā",Tabula1[Dzimtā valoda(s): '[Krievu  ']],"Jā",Tabula1[Dzimtā valoda(s): '[Ukraiņu ']],"Nē",Tabula1[Dzimtā valoda(s): '[Angļu']],"Nē",Tabula1[Dzimtā valoda(s): '[Poļu']],"Nē",Tabula1[Cik bieži izmantojat krievu valodu šajos kontekstos?  '[Ar draugiem']],"(Gandrīz) nekad")</f>
        <v>1</v>
      </c>
      <c r="G19">
        <f>COUNTIFS(Tabula1[City],"Rīga",Tabula1[Dzimtā valoda(s): '[Latviešu']],"Jā",Tabula1[Dzimtā valoda(s): '[Krievu  ']],"Jā",Tabula1[Dzimtā valoda(s): '[Ukraiņu ']],"Nē",Tabula1[Dzimtā valoda(s): '[Angļu']],"Nē",Tabula1[Dzimtā valoda(s): '[Poļu']],"Nē",Tabula1[Cik bieži izmantojat krievu valodu šajos kontekstos?  '[Sportā']],"(Gandrīz) nekad")</f>
        <v>2</v>
      </c>
      <c r="H19">
        <f>COUNTIFS(Tabula1[City],"Rīga",Tabula1[Dzimtā valoda(s): '[Latviešu']],"Jā",Tabula1[Dzimtā valoda(s): '[Krievu  ']],"Jā",Tabula1[Dzimtā valoda(s): '[Ukraiņu ']],"Nē",Tabula1[Dzimtā valoda(s): '[Angļu']],"Nē",Tabula1[Dzimtā valoda(s): '[Poļu']],"Nē",Tabula1[Cik bieži izmantojat krievu valodu šajos kontekstos?  '[Hobijos / citās interešu grupās']],"(Gandrīz) nekad")</f>
        <v>4</v>
      </c>
      <c r="I19">
        <f>COUNTIFS(Tabula1[City],"Rīga",Tabula1[Dzimtā valoda(s): '[Latviešu']],"Jā",Tabula1[Dzimtā valoda(s): '[Krievu  ']],"Jā",Tabula1[Dzimtā valoda(s): '[Ukraiņu ']],"Nē",Tabula1[Dzimtā valoda(s): '[Angļu']],"Nē",Tabula1[Dzimtā valoda(s): '[Poļu']],"Nē",Tabula1[Cik bieži izmantojat krievu valodu šajos kontekstos?  '[Uz ielas / veikalā utt.']],"(Gandrīz) nekad")</f>
        <v>5</v>
      </c>
      <c r="K19" s="44" t="s">
        <v>17975</v>
      </c>
      <c r="L19">
        <f>COUNTIFS(Tabula1[City],"Daugavpils",Tabula1[Dzimtā valoda(s): '[Latviešu']],"Jā",Tabula1[Dzimtā valoda(s): '[Krievu  ']],"Jā",Tabula1[Dzimtā valoda(s): '[Ukraiņu ']],"Nē",Tabula1[Dzimtā valoda(s): '[Angļu']],"Nē",Tabula1[Dzimtā valoda(s): '[Poļu']],"Nē",Tabula1[Cik bieži izmantojat krievu valodu šajos kontekstos?  '[Ģimenē']],"(Gandrīz) nekad")</f>
        <v>1</v>
      </c>
      <c r="M19">
        <f>COUNTIFS(Tabula1[City],"Daugavpils",Tabula1[Dzimtā valoda(s): '[Latviešu']],"Jā",Tabula1[Dzimtā valoda(s): '[Krievu  ']],"Jā",Tabula1[Dzimtā valoda(s): '[Ukraiņu ']],"Nē",Tabula1[Dzimtā valoda(s): '[Angļu']],"Nē",Tabula1[Dzimtā valoda(s): '[Poļu']],"Nē",Tabula1[Cik bieži izmantojat krievu valodu šajos kontekstos?  '[Skolā (ārpus nodarbībām)']],"(Gandrīz) nekad")</f>
        <v>2</v>
      </c>
      <c r="N19">
        <f>COUNTIFS(Tabula1[City],"Daugavpils",Tabula1[Dzimtā valoda(s): '[Latviešu']],"Jā",Tabula1[Dzimtā valoda(s): '[Krievu  ']],"Jā",Tabula1[Dzimtā valoda(s): '[Ukraiņu ']],"Nē",Tabula1[Dzimtā valoda(s): '[Angļu']],"Nē",Tabula1[Dzimtā valoda(s): '[Poļu']],"Nē",Tabula1[Cik bieži izmantojat krievu valodu šajos kontekstos?  '[Darbā']],"(Gandrīz) nekad")</f>
        <v>16</v>
      </c>
      <c r="O19">
        <v>0</v>
      </c>
      <c r="P19">
        <f>COUNTIFS(Tabula1[City],"Daugavpils",Tabula1[Dzimtā valoda(s): '[Latviešu']],"Jā",Tabula1[Dzimtā valoda(s): '[Krievu  ']],"Jā",Tabula1[Dzimtā valoda(s): '[Ukraiņu ']],"Nē",Tabula1[Dzimtā valoda(s): '[Angļu']],"Nē",Tabula1[Dzimtā valoda(s): '[Poļu']],"Nē",Tabula1[Cik bieži izmantojat krievu valodu šajos kontekstos?  '[Sportā']],"(Gandrīz) nekad")</f>
        <v>8</v>
      </c>
      <c r="Q19">
        <f>COUNTIFS(Tabula1[City],"Daugavpils",Tabula1[Dzimtā valoda(s): '[Latviešu']],"Jā",Tabula1[Dzimtā valoda(s): '[Krievu  ']],"Jā",Tabula1[Dzimtā valoda(s): '[Ukraiņu ']],"Nē",Tabula1[Dzimtā valoda(s): '[Angļu']],"Nē",Tabula1[Dzimtā valoda(s): '[Poļu']],"Nē",Tabula1[Cik bieži izmantojat krievu valodu šajos kontekstos?  '[Hobijos / citās interešu grupās']],"(Gandrīz) nekad")</f>
        <v>3</v>
      </c>
      <c r="R19">
        <f>COUNTIFS(Tabula1[City],"Daugavpils",Tabula1[Dzimtā valoda(s): '[Latviešu']],"Jā",Tabula1[Dzimtā valoda(s): '[Krievu  ']],"Jā",Tabula1[Dzimtā valoda(s): '[Ukraiņu ']],"Nē",Tabula1[Dzimtā valoda(s): '[Angļu']],"Nē",Tabula1[Dzimtā valoda(s): '[Poļu']],"Nē",Tabula1[Cik bieži izmantojat krievu valodu šajos kontekstos?  '[Uz ielas / veikalā utt.']],"(Gandrīz) nekad")</f>
        <v>2</v>
      </c>
      <c r="T19" s="44" t="s">
        <v>17975</v>
      </c>
      <c r="U19">
        <f>COUNTIFS(Tabula1[City],"Liepāja",Tabula1[Dzimtā valoda(s): '[Latviešu']],"Jā",Tabula1[Dzimtā valoda(s): '[Krievu  ']],"Jā",Tabula1[Dzimtā valoda(s): '[Ukraiņu ']],"Nē",Tabula1[Dzimtā valoda(s): '[Angļu']],"Nē",Tabula1[Dzimtā valoda(s): '[Poļu']],"Nē",Tabula1[Cik bieži izmantojat krievu valodu šajos kontekstos?  '[Ģimenē']],"(Gandrīz) nekad")</f>
        <v>0</v>
      </c>
      <c r="V19">
        <f>COUNTIFS(Tabula1[City],"Liepāja",Tabula1[Dzimtā valoda(s): '[Latviešu']],"Jā",Tabula1[Dzimtā valoda(s): '[Krievu  ']],"Jā",Tabula1[Dzimtā valoda(s): '[Ukraiņu ']],"Nē",Tabula1[Dzimtā valoda(s): '[Angļu']],"Nē",Tabula1[Dzimtā valoda(s): '[Poļu']],"Nē",Tabula1[Cik bieži izmantojat krievu valodu šajos kontekstos?  '[Skolā (ārpus nodarbībām)']],"(Gandrīz) nekad")</f>
        <v>1</v>
      </c>
      <c r="W19">
        <f>COUNTIFS(Tabula1[City],"Liepāja",Tabula1[Dzimtā valoda(s): '[Latviešu']],"Jā",Tabula1[Dzimtā valoda(s): '[Krievu  ']],"Jā",Tabula1[Dzimtā valoda(s): '[Ukraiņu ']],"Nē",Tabula1[Dzimtā valoda(s): '[Angļu']],"Nē",Tabula1[Dzimtā valoda(s): '[Poļu']],"Nē",Tabula1[Cik bieži izmantojat krievu valodu šajos kontekstos?  '[Darbā']],"(Gandrīz) nekad")</f>
        <v>7</v>
      </c>
      <c r="X19">
        <f>COUNTIFS(Tabula1[City],"Liepāja",Tabula1[Dzimtā valoda(s): '[Latviešu']],"Jā",Tabula1[Dzimtā valoda(s): '[Krievu  ']],"Jā",Tabula1[Dzimtā valoda(s): '[Ukraiņu ']],"Nē",Tabula1[Dzimtā valoda(s): '[Angļu']],"Nē",Tabula1[Dzimtā valoda(s): '[Poļu']],"Nē",Tabula1[Cik bieži izmantojat krievu valodu šajos kontekstos?  '[Ar draugiem']],"(Gandrīz) nekad")</f>
        <v>0</v>
      </c>
      <c r="Y19">
        <f>COUNTIFS(Tabula1[City],"Liepāja",Tabula1[Dzimtā valoda(s): '[Latviešu']],"Jā",Tabula1[Dzimtā valoda(s): '[Krievu  ']],"Jā",Tabula1[Dzimtā valoda(s): '[Ukraiņu ']],"Nē",Tabula1[Dzimtā valoda(s): '[Angļu']],"Nē",Tabula1[Dzimtā valoda(s): '[Poļu']],"Nē",Tabula1[Cik bieži izmantojat krievu valodu šajos kontekstos?  '[Sportā']],"(Gandrīz) nekad")</f>
        <v>4</v>
      </c>
      <c r="Z19">
        <f>COUNTIFS(Tabula1[City],"Liepāja",Tabula1[Dzimtā valoda(s): '[Latviešu']],"Jā",Tabula1[Dzimtā valoda(s): '[Krievu  ']],"Jā",Tabula1[Dzimtā valoda(s): '[Ukraiņu ']],"Nē",Tabula1[Dzimtā valoda(s): '[Angļu']],"Nē",Tabula1[Dzimtā valoda(s): '[Poļu']],"Nē",Tabula1[Cik bieži izmantojat krievu valodu šajos kontekstos?  '[Hobijos / citās interešu grupās']],"(Gandrīz) nekad")</f>
        <v>2</v>
      </c>
      <c r="AA19">
        <f>COUNTIFS(Tabula1[City],"Liepāja",Tabula1[Dzimtā valoda(s): '[Latviešu']],"Jā",Tabula1[Dzimtā valoda(s): '[Krievu  ']],"Jā",Tabula1[Dzimtā valoda(s): '[Ukraiņu ']],"Nē",Tabula1[Dzimtā valoda(s): '[Angļu']],"Nē",Tabula1[Dzimtā valoda(s): '[Poļu']],"Nē",Tabula1[Cik bieži izmantojat krievu valodu šajos kontekstos?  '[Uz ielas / veikalā utt.']],"(Gandrīz) nekad")</f>
        <v>2</v>
      </c>
    </row>
    <row r="23" spans="1:27" x14ac:dyDescent="0.3">
      <c r="A23" s="121" t="s">
        <v>18172</v>
      </c>
      <c r="H23" s="121" t="s">
        <v>1266</v>
      </c>
      <c r="M23" s="121" t="s">
        <v>1300</v>
      </c>
    </row>
    <row r="24" spans="1:27" x14ac:dyDescent="0.3">
      <c r="A24" t="s">
        <v>18173</v>
      </c>
      <c r="B24" t="s">
        <v>18174</v>
      </c>
      <c r="C24" t="s">
        <v>18175</v>
      </c>
      <c r="G24" t="s">
        <v>18173</v>
      </c>
      <c r="H24" t="s">
        <v>18174</v>
      </c>
      <c r="I24" t="s">
        <v>18175</v>
      </c>
      <c r="L24" t="s">
        <v>18173</v>
      </c>
      <c r="M24" t="s">
        <v>18174</v>
      </c>
      <c r="N24" t="s">
        <v>18175</v>
      </c>
    </row>
    <row r="25" spans="1:27" x14ac:dyDescent="0.3">
      <c r="A25">
        <f>COUNTIF(Kopējie!DK2:DK340,"jā, valsts iestādē")</f>
        <v>25</v>
      </c>
      <c r="B25">
        <f>COUNTIF(Kopējie!DK2:DK340,"jā, nevalstiskā organizācijā")</f>
        <v>13</v>
      </c>
      <c r="C25">
        <f>COUNTIF(Kopējie!DK2:DK340,"jā, privāta darba devēja labā")</f>
        <v>31</v>
      </c>
      <c r="F25" s="44" t="s">
        <v>17971</v>
      </c>
      <c r="G25">
        <f>COUNTIFS(Kopējie!DK2:DK340,"jā, valsts iestādē",Kopējie!DZ2:DZ340,"(Gandrīz) katru dienu")</f>
        <v>20</v>
      </c>
      <c r="H25">
        <f>COUNTIFS(Kopējie!DK2:DK340,"jā, nevalstiskā organizācijā",Kopējie!DZ2:DZ340,"(Gandrīz) katru dienu")</f>
        <v>7</v>
      </c>
      <c r="I25">
        <f>COUNTIFS(Kopējie!DK2:DK340,"jā, privāta darba devēja labā",Kopējie!DZ2:DZ340,"(Gandrīz) katru dienu")</f>
        <v>21</v>
      </c>
      <c r="K25" s="44" t="s">
        <v>17971</v>
      </c>
      <c r="L25">
        <f>COUNTIFS(Kopējie!DK2:DK340,"jā, valsts iestādē",Kopējie!EG2:EG340,"(Gandrīz) katru dienu")</f>
        <v>8</v>
      </c>
      <c r="M25">
        <f>COUNTIFS(Kopējie!DK2:DK340,"jā, nevalstiskā organizācijā",Kopējie!EG2:EG340,"(Gandrīz) katru dienu")</f>
        <v>8</v>
      </c>
      <c r="N25">
        <f>COUNTIFS(Kopējie!DK2:DK340,"jā, privāta darba devēja labā",Kopējie!EG2:EG340,"(Gandrīz) katru dienu")</f>
        <v>14</v>
      </c>
    </row>
    <row r="26" spans="1:27" x14ac:dyDescent="0.3">
      <c r="B26">
        <f>COUNTIF(Kopējie!DK2:DK340,"jā, nevalstiskā organizācijā")</f>
        <v>13</v>
      </c>
      <c r="F26" s="44" t="s">
        <v>17972</v>
      </c>
      <c r="G26">
        <f>COUNTIFS(Kopējie!DK2:DK340,"jā, valsts iestādē",Kopējie!DZ2:DZ340,"pāris reižu nedēļā")</f>
        <v>1</v>
      </c>
      <c r="H26">
        <f>COUNTIFS(Kopējie!DK2:DK340,"jā, nevalstiskā organizācijā",Kopējie!DZ2:DZ340,"pāris reižu nedēļā")</f>
        <v>2</v>
      </c>
      <c r="I26">
        <f>COUNTIFS(Kopējie!DK2:DK340,"jā, privāta darba devēja labā",Kopējie!DZ2:DZ340,"pāris reižu nedēļā")</f>
        <v>5</v>
      </c>
      <c r="K26" s="44" t="s">
        <v>17972</v>
      </c>
      <c r="L26">
        <f>COUNTIFS(Kopējie!DK2:DK340,"jā, valsts iestādē",Kopējie!EG2:EG340,"pāris reižu nedēļā")</f>
        <v>3</v>
      </c>
      <c r="M26">
        <f>COUNTIFS(Kopējie!DK2:DK340,"jā, nevalstiskā organizācijā",Kopējie!EG2:EG340,"pāris reižu nedēļā")</f>
        <v>2</v>
      </c>
      <c r="N26">
        <f>COUNTIFS(Kopējie!DK2:DK340,"jā, privāta darba devēja labā",Kopējie!EG2:EG340,"pāris reižu nedēļā")</f>
        <v>6</v>
      </c>
    </row>
    <row r="27" spans="1:27" x14ac:dyDescent="0.3">
      <c r="F27" s="44" t="s">
        <v>17973</v>
      </c>
      <c r="G27">
        <f>COUNTIFS(Kopējie!DK2:DK340,"jā, valsts iestādē",Kopējie!DZ2:DZ340,"reizi nedēļā")</f>
        <v>0</v>
      </c>
      <c r="H27">
        <f>COUNTIFS(Kopējie!DK2:DK340,"jā, nevalstiskā organizācijā",Kopējie!DZ2:DZ340,"reizi nedēļā")</f>
        <v>1</v>
      </c>
      <c r="I27">
        <f>COUNTIFS(Kopējie!DK2:DK340,"jā, privāta darba devēja labā",Kopējie!DZ2:DZ340,"reizi nedēļā")</f>
        <v>1</v>
      </c>
      <c r="K27" s="44" t="s">
        <v>17973</v>
      </c>
      <c r="L27">
        <f>COUNTIFS(Kopējie!DK2:DK340,"jā, valsts iestādē",Kopējie!EG2:EG340,"reizi nedēļā")</f>
        <v>0</v>
      </c>
      <c r="M27">
        <f>COUNTIFS(Kopējie!DK2:DK340,"jā, nevalstiskā organizācijā",Kopējie!EG2:EG340,"reizi nedēļā")</f>
        <v>0</v>
      </c>
      <c r="N27">
        <f>COUNTIFS(Kopējie!DK2:DK340,"jā, privāta darba devēja labā",Kopējie!EG2:EG340,"reizi nedēļā")</f>
        <v>2</v>
      </c>
    </row>
    <row r="28" spans="1:27" x14ac:dyDescent="0.3">
      <c r="F28" s="44" t="s">
        <v>17974</v>
      </c>
      <c r="G28">
        <f>COUNTIFS(Kopējie!DK2:DK340,"jā, valsts iestādē",Kopējie!DZ2:DZ340,"pāris reižu mēnesī")</f>
        <v>0</v>
      </c>
      <c r="H28">
        <f>COUNTIFS(Kopējie!DK2:DK340,"jā, nevalstiskā organizācijā",Kopējie!DZ2:DZ340,"pāris reižu mēnesī")</f>
        <v>1</v>
      </c>
      <c r="I28">
        <f>COUNTIFS(Kopējie!DK2:DK340,"jā, privāta darba devēja labā",Kopējie!DZ2:DZ340,"pāris reižu mēnesī")</f>
        <v>1</v>
      </c>
      <c r="K28" s="44" t="s">
        <v>17974</v>
      </c>
      <c r="L28">
        <f>COUNTIFS(Kopējie!DK2:DK340,"jā, valsts iestādē",Kopējie!EG2:EG340,"pāris reižu mēnesī")</f>
        <v>2</v>
      </c>
      <c r="M28">
        <f>COUNTIFS(Kopējie!DK2:DK340,"jā, nevalstiskā organizācijā",Kopējie!EG2:EG340,"pāris reižu mēnesī")</f>
        <v>0</v>
      </c>
      <c r="N28">
        <f>COUNTIFS(Kopējie!DK2:DK340,"jā, privāta darba devēja labā",Kopējie!EG2:EG340,"pāris reižu mēnesī")</f>
        <v>2</v>
      </c>
    </row>
    <row r="29" spans="1:27" x14ac:dyDescent="0.3">
      <c r="F29" s="44" t="s">
        <v>17975</v>
      </c>
      <c r="G29">
        <f>COUNTIFS(Kopējie!DK2:DK340,"jā, valsts iestādē",Kopējie!DZ2:DZ340,"(gandrīz) nekad")</f>
        <v>4</v>
      </c>
      <c r="H29">
        <f>COUNTIFS(Kopējie!DK2:DK340,"jā, nevalstiskā organizācijā",Kopējie!DZ2:DZ340,"(gandrīz) nekad")</f>
        <v>1</v>
      </c>
      <c r="I29">
        <f>COUNTIFS(Kopējie!DK2:DK340,"jā, privāta darba devēja labā",Kopējie!DZ2:DZ340,"(gandrīz) nekad")</f>
        <v>3</v>
      </c>
      <c r="K29" s="44" t="s">
        <v>17975</v>
      </c>
      <c r="L29">
        <f>COUNTIFS(Kopējie!DK2:DK340,"jā, valsts iestādē",Kopējie!EG2:EG340,"(gandrīz) nekad")</f>
        <v>12</v>
      </c>
      <c r="M29">
        <f>COUNTIFS(Kopējie!DK2:DK340,"jā, nevalstiskā organizācijā",Kopējie!EG2:EG340,"(gandrīz) nekad")</f>
        <v>2</v>
      </c>
      <c r="N29">
        <f>COUNTIFS(Kopējie!DK2:DK340,"jā, privāta darba devēja labā",Kopējie!EG2:EG340,"(gandrīz) nekad")</f>
        <v>7</v>
      </c>
    </row>
    <row r="30" spans="1:27" x14ac:dyDescent="0.3">
      <c r="G30">
        <f>COUNTIFS(Kopējie!DK2:DK340,"jā, valsts iestādē",Kopējie!DZ2:DZ340,"(gandrīz) nekad",Kopējie!A2:A340,"Daugavpils")</f>
        <v>3</v>
      </c>
    </row>
    <row r="31" spans="1:27" x14ac:dyDescent="0.3">
      <c r="G31">
        <f>COUNTIFS(Kopējie!DK2:DK340,"jā, valsts iestādē",Kopējie!DZ2:DZ340,"(gandrīz) nekad",Kopējie!A2:A340,"Rīga")</f>
        <v>0</v>
      </c>
      <c r="K31">
        <f>COUNTIFS(Kopējie!DK2:DK340,"jā, valsts iestādē",Kopējie!EG2:EG340,"(gandrīz) katru dienu",Kopējie!A2:A340,"Daugavpils")</f>
        <v>3</v>
      </c>
    </row>
    <row r="32" spans="1:27" x14ac:dyDescent="0.3">
      <c r="G32">
        <f>COUNTIFS(Kopējie!DK2:DK340,"jā, valsts iestādē",Kopējie!DZ2:DZ340,"(gandrīz) nekad",Kopējie!A2:A340,"Liepāja")</f>
        <v>1</v>
      </c>
      <c r="K32">
        <f>COUNTIFS(Kopējie!DK2:DK340,"jā, valsts iestādē",Kopējie!EG2:EG340,"(gandrīz) katru dienu",Kopējie!A2:A340,"Rīga")</f>
        <v>4</v>
      </c>
    </row>
    <row r="34" spans="1:1" x14ac:dyDescent="0.3">
      <c r="A34" s="12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6250-AD77-4933-9345-8137071645E3}">
  <dimension ref="A1:P14"/>
  <sheetViews>
    <sheetView workbookViewId="0">
      <selection activeCell="P9" sqref="P9"/>
    </sheetView>
  </sheetViews>
  <sheetFormatPr defaultRowHeight="14.4" x14ac:dyDescent="0.3"/>
  <sheetData>
    <row r="1" spans="1:16" x14ac:dyDescent="0.3">
      <c r="C1" s="49" t="s">
        <v>338</v>
      </c>
    </row>
    <row r="2" spans="1:16" x14ac:dyDescent="0.3">
      <c r="C2" s="44" t="s">
        <v>17959</v>
      </c>
      <c r="D2" s="44" t="s">
        <v>17960</v>
      </c>
      <c r="E2" s="44" t="s">
        <v>17961</v>
      </c>
      <c r="F2" s="44" t="s">
        <v>17962</v>
      </c>
      <c r="G2" s="44" t="s">
        <v>17898</v>
      </c>
      <c r="H2" s="44" t="s">
        <v>17963</v>
      </c>
    </row>
    <row r="3" spans="1:16" x14ac:dyDescent="0.3">
      <c r="A3" t="s">
        <v>17957</v>
      </c>
      <c r="C3">
        <v>75</v>
      </c>
      <c r="D3">
        <v>21</v>
      </c>
      <c r="E3">
        <v>17</v>
      </c>
      <c r="F3">
        <v>2</v>
      </c>
      <c r="G3">
        <v>1</v>
      </c>
      <c r="H3">
        <v>0</v>
      </c>
      <c r="K3">
        <f>COUNTIFS(Kopējie!A2:A340,"Rīga",Kopējie!FB2:FB340,"latviešu")</f>
        <v>75</v>
      </c>
      <c r="L3">
        <f>COUNTIFS(Kopējie!A2:A340,"Rīga",Kopējie!FB2:FB340,"krievu")</f>
        <v>21</v>
      </c>
      <c r="M3">
        <v>17</v>
      </c>
      <c r="N3">
        <v>2</v>
      </c>
      <c r="O3">
        <v>1</v>
      </c>
      <c r="P3">
        <v>0</v>
      </c>
    </row>
    <row r="4" spans="1:16" x14ac:dyDescent="0.3">
      <c r="A4" t="s">
        <v>17958</v>
      </c>
      <c r="C4">
        <v>91</v>
      </c>
      <c r="D4">
        <v>6</v>
      </c>
      <c r="E4">
        <v>10</v>
      </c>
      <c r="F4">
        <v>2</v>
      </c>
      <c r="G4">
        <v>1</v>
      </c>
      <c r="H4">
        <v>3</v>
      </c>
      <c r="K4">
        <f>COUNTIFS(Kopējie!A2:A340,"Rīga",Kopējie!FD2:FD340,"latviešu")</f>
        <v>94</v>
      </c>
      <c r="L4">
        <f>COUNTIFS(Kopējie!A2:A340,"Rīga",Kopējie!FD2:FD340,"krievu")</f>
        <v>6</v>
      </c>
      <c r="M4">
        <f>COUNTIFS(Kopējie!A2:A340,"Rīga",Kopējie!FD2:FD340,"vienlīdz latviešu un krievu")</f>
        <v>10</v>
      </c>
      <c r="N4">
        <v>2</v>
      </c>
      <c r="O4">
        <v>1</v>
      </c>
      <c r="P4">
        <v>3</v>
      </c>
    </row>
    <row r="6" spans="1:16" x14ac:dyDescent="0.3">
      <c r="A6" s="49"/>
      <c r="C6" s="49" t="s">
        <v>813</v>
      </c>
    </row>
    <row r="7" spans="1:16" x14ac:dyDescent="0.3">
      <c r="C7" s="44" t="s">
        <v>17959</v>
      </c>
      <c r="D7" s="44" t="s">
        <v>17960</v>
      </c>
      <c r="E7" s="44" t="s">
        <v>17961</v>
      </c>
      <c r="F7" s="44" t="s">
        <v>17962</v>
      </c>
      <c r="G7" s="44" t="s">
        <v>17898</v>
      </c>
      <c r="H7" s="44" t="s">
        <v>17963</v>
      </c>
    </row>
    <row r="8" spans="1:16" x14ac:dyDescent="0.3">
      <c r="A8" t="s">
        <v>17957</v>
      </c>
      <c r="C8">
        <v>64</v>
      </c>
      <c r="D8">
        <v>28</v>
      </c>
      <c r="E8">
        <v>28</v>
      </c>
      <c r="F8">
        <v>0</v>
      </c>
      <c r="G8">
        <v>0</v>
      </c>
      <c r="H8">
        <v>0</v>
      </c>
      <c r="K8">
        <f>COUNTIFS(Kopējie!A2:A340,"Daugavpils",Kopējie!FB2:FB340,"latviešu")</f>
        <v>64</v>
      </c>
      <c r="L8">
        <f>COUNTIFS(Kopējie!A2:A340,"Daugavpils",Kopējie!FB2:FB340,"krievu")</f>
        <v>28</v>
      </c>
      <c r="M8">
        <v>28</v>
      </c>
      <c r="N8">
        <v>0</v>
      </c>
      <c r="O8">
        <v>0</v>
      </c>
      <c r="P8">
        <v>0</v>
      </c>
    </row>
    <row r="9" spans="1:16" x14ac:dyDescent="0.3">
      <c r="A9" t="s">
        <v>17958</v>
      </c>
      <c r="C9">
        <v>85</v>
      </c>
      <c r="D9">
        <v>8</v>
      </c>
      <c r="E9">
        <v>19</v>
      </c>
      <c r="F9">
        <v>1</v>
      </c>
      <c r="G9">
        <v>0</v>
      </c>
      <c r="H9">
        <v>5</v>
      </c>
      <c r="K9">
        <f>COUNTIFS(Kopējie!A2:A340,"Daugavpils",Kopējie!FD2:FD340,"latviešu")</f>
        <v>87</v>
      </c>
      <c r="L9">
        <f>COUNTIFS(Kopējie!A2:A340,"Daugavpils",Kopējie!FD2:FD340,"krievu")</f>
        <v>8</v>
      </c>
      <c r="M9">
        <f>COUNTIFS(Kopējie!A2:A340,"Daugavpils",Kopējie!FD2:FD340,"vienlīdz latviešu un krievu")</f>
        <v>19</v>
      </c>
      <c r="N9">
        <v>1</v>
      </c>
      <c r="O9">
        <v>0</v>
      </c>
      <c r="P9">
        <f>COUNTIFS(Kopējie!A2:A340,"Daugavpils",Kopējie!FD2:FD340,"vidusskolā neesmu gājis")</f>
        <v>5</v>
      </c>
    </row>
    <row r="11" spans="1:16" x14ac:dyDescent="0.3">
      <c r="A11" s="49"/>
      <c r="C11" s="49" t="s">
        <v>727</v>
      </c>
    </row>
    <row r="12" spans="1:16" x14ac:dyDescent="0.3">
      <c r="C12" s="44" t="s">
        <v>17959</v>
      </c>
      <c r="D12" s="44" t="s">
        <v>17960</v>
      </c>
      <c r="E12" s="44" t="s">
        <v>17961</v>
      </c>
      <c r="F12" s="44" t="s">
        <v>17962</v>
      </c>
      <c r="G12" s="44" t="s">
        <v>17898</v>
      </c>
      <c r="H12" s="44" t="s">
        <v>17963</v>
      </c>
    </row>
    <row r="13" spans="1:16" x14ac:dyDescent="0.3">
      <c r="A13" t="s">
        <v>17957</v>
      </c>
      <c r="C13">
        <v>71</v>
      </c>
      <c r="D13">
        <v>15</v>
      </c>
      <c r="E13">
        <v>15</v>
      </c>
      <c r="F13">
        <v>1</v>
      </c>
      <c r="G13">
        <v>1</v>
      </c>
      <c r="H13">
        <v>0</v>
      </c>
      <c r="K13">
        <f>COUNTIFS(Kopējie!A2:A340,"Liepāja",Kopējie!FB2:FB340,"latviešu")</f>
        <v>71</v>
      </c>
      <c r="L13">
        <f>COUNTIFS(Kopējie!A2:A340,"Liepāja",Kopējie!FB2:FB340,"krievu")</f>
        <v>15</v>
      </c>
      <c r="M13">
        <f>COUNTIFS(Kopējie!A2:A340,"Liepāja",Kopējie!FB2:FB340,"vienlīdz latviešu un krievu")</f>
        <v>15</v>
      </c>
      <c r="N13">
        <v>1</v>
      </c>
      <c r="O13">
        <v>1</v>
      </c>
      <c r="P13">
        <v>0</v>
      </c>
    </row>
    <row r="14" spans="1:16" x14ac:dyDescent="0.3">
      <c r="A14" t="s">
        <v>17958</v>
      </c>
      <c r="C14">
        <v>80</v>
      </c>
      <c r="D14">
        <v>6</v>
      </c>
      <c r="E14">
        <v>14</v>
      </c>
      <c r="F14">
        <v>0</v>
      </c>
      <c r="G14">
        <v>1</v>
      </c>
      <c r="H14">
        <v>1</v>
      </c>
      <c r="K14">
        <f>COUNTIFS(Kopējie!A2:A340,"Liepāja",Kopējie!FD2:FD340,"latviešu")</f>
        <v>81</v>
      </c>
      <c r="L14">
        <f>COUNTIFS(Kopējie!A2:A340,"Liepāja",Kopējie!FD2:FD340,"krievu")</f>
        <v>6</v>
      </c>
      <c r="M14">
        <f>COUNTIFS(Kopējie!A2:A340,"Liepāja",Kopējie!FD2:FD340,"vienlīdz latviešu un krievu")</f>
        <v>13</v>
      </c>
      <c r="N14">
        <v>0</v>
      </c>
      <c r="O14">
        <v>1</v>
      </c>
      <c r="P14">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7DBC-C2FA-45D8-8A35-0C601B94CE25}">
  <dimension ref="A1:AE56"/>
  <sheetViews>
    <sheetView topLeftCell="A49" workbookViewId="0">
      <selection activeCell="L27" sqref="L27"/>
    </sheetView>
  </sheetViews>
  <sheetFormatPr defaultRowHeight="14.4" x14ac:dyDescent="0.3"/>
  <sheetData>
    <row r="1" spans="1:31" x14ac:dyDescent="0.3">
      <c r="A1" s="120"/>
      <c r="B1" s="120"/>
      <c r="C1" s="120"/>
      <c r="D1" s="120"/>
      <c r="E1" s="120"/>
      <c r="F1" s="120"/>
      <c r="G1" s="120" t="s">
        <v>18014</v>
      </c>
      <c r="H1" s="120"/>
      <c r="I1" s="120"/>
      <c r="J1" s="120"/>
      <c r="K1" s="120" t="s">
        <v>18015</v>
      </c>
      <c r="L1" s="120"/>
      <c r="M1" s="120"/>
      <c r="N1" s="120"/>
      <c r="R1" s="120"/>
      <c r="S1" s="120"/>
      <c r="T1" s="120" t="s">
        <v>1812</v>
      </c>
      <c r="U1" s="120"/>
      <c r="V1" s="120"/>
      <c r="W1" s="120"/>
      <c r="X1" s="120"/>
      <c r="Y1" s="120"/>
      <c r="Z1" s="120"/>
      <c r="AA1" s="120" t="s">
        <v>1814</v>
      </c>
      <c r="AB1" s="120"/>
      <c r="AC1" s="120"/>
      <c r="AD1" s="120"/>
    </row>
    <row r="2" spans="1:31" x14ac:dyDescent="0.3">
      <c r="A2" s="121"/>
      <c r="B2" s="121" t="s">
        <v>18003</v>
      </c>
      <c r="C2" s="121" t="s">
        <v>18004</v>
      </c>
      <c r="D2" s="121" t="s">
        <v>18005</v>
      </c>
      <c r="E2" s="121" t="s">
        <v>18006</v>
      </c>
      <c r="F2" s="121" t="s">
        <v>18007</v>
      </c>
      <c r="G2" s="121" t="s">
        <v>18008</v>
      </c>
      <c r="H2" s="121"/>
      <c r="I2" s="121"/>
      <c r="J2" s="121" t="s">
        <v>18003</v>
      </c>
      <c r="K2" s="121" t="s">
        <v>18004</v>
      </c>
      <c r="L2" s="121" t="s">
        <v>18005</v>
      </c>
      <c r="M2" s="121" t="s">
        <v>18006</v>
      </c>
      <c r="N2" s="121" t="s">
        <v>18007</v>
      </c>
      <c r="O2" s="121" t="s">
        <v>18008</v>
      </c>
      <c r="P2" s="121"/>
      <c r="R2" s="121" t="s">
        <v>18003</v>
      </c>
      <c r="S2" s="121" t="s">
        <v>18004</v>
      </c>
      <c r="T2" s="121" t="s">
        <v>18005</v>
      </c>
      <c r="U2" s="121" t="s">
        <v>18006</v>
      </c>
      <c r="V2" s="121" t="s">
        <v>18007</v>
      </c>
      <c r="W2" s="121" t="s">
        <v>18008</v>
      </c>
      <c r="X2" s="121"/>
      <c r="Y2" s="121"/>
      <c r="Z2" s="121" t="s">
        <v>18003</v>
      </c>
      <c r="AA2" s="121" t="s">
        <v>18004</v>
      </c>
      <c r="AB2" s="121" t="s">
        <v>18005</v>
      </c>
      <c r="AC2" s="121" t="s">
        <v>18006</v>
      </c>
      <c r="AD2" s="121" t="s">
        <v>18007</v>
      </c>
      <c r="AE2" s="121" t="s">
        <v>18008</v>
      </c>
    </row>
    <row r="3" spans="1:31" x14ac:dyDescent="0.3">
      <c r="A3" s="121" t="s">
        <v>345</v>
      </c>
      <c r="B3" s="122">
        <f>COUNTIFS(Kopējie!E2:E340,"lv",Kopējie!M2:M340,"jā",Kopējie!N2:N340,"jā",Kopējie!O2:O340,"nē",Kopējie!P2:P340,"nē",Kopējie!Q2:Q340,"nē",Kopējie!AR2:AR340,"Jā")</f>
        <v>22</v>
      </c>
      <c r="C3" s="122">
        <f>COUNTIFS(Kopējie!E2:E340,"lv",Kopējie!M2:M340,"jā",Kopējie!N2:N340,"jā",Kopējie!O2:O340,"nē",Kopējie!P2:P340,"nē",Kopējie!Q2:Q340,"nē",Kopējie!AS2:AS340,"Jā")</f>
        <v>19</v>
      </c>
      <c r="D3" s="122">
        <f>COUNTIFS(Kopējie!E2:E340,"lv",Kopējie!M2:M340,"jā",Kopējie!N2:N340,"jā",Kopējie!O2:O340,"nē",Kopējie!P2:P340,"nē",Kopējie!Q2:Q340,"nē",Kopējie!AT2:AT340,"Jā")</f>
        <v>20</v>
      </c>
      <c r="E3" s="122">
        <f>COUNTIFS(Kopējie!E2:E340,"lv",Kopējie!M2:M340,"jā",Kopējie!N2:N340,"jā",Kopējie!O2:O340,"nē",Kopējie!P2:P340,"nē",Kopējie!Q2:Q340,"nē",Kopējie!AU2:AU340,"Jā")</f>
        <v>23</v>
      </c>
      <c r="F3" s="122">
        <f>COUNTIFS(Kopējie!E2:E340,"lv",Kopējie!M2:M340,"jā",Kopējie!N2:N340,"jā",Kopējie!O2:O340,"nē",Kopējie!P2:P340,"nē",Kopējie!Q2:Q340,"nē",Kopējie!AV2:AV340,"Jā")</f>
        <v>15</v>
      </c>
      <c r="G3" s="122">
        <f>COUNTIFS(Kopējie!E2:E340,"lv",Kopējie!M2:M340,"jā",Kopējie!N2:N340,"jā",Kopējie!O2:O340,"nē",Kopējie!P2:P340,"nē",Kopējie!Q2:Q340,"nē",Kopējie!AW2:AW340,"Jā")</f>
        <v>14</v>
      </c>
      <c r="H3" s="121"/>
      <c r="I3" s="121" t="s">
        <v>345</v>
      </c>
      <c r="J3" s="122">
        <f>COUNTIFS(Kopējie!E2:E340,"ru",Kopējie!M2:M340,"Jā",Kopējie!N2:N340,"Jā",Kopējie!O2:O340,"Nē",Kopējie!P2:P340,"Nē",Kopējie!Q2:Q340,"Nē",Kopējie!AR2:AR340,"Jā")</f>
        <v>23</v>
      </c>
      <c r="K3" s="122">
        <f>COUNTIFS(Kopējie!E2:E340,"ru",Kopējie!M2:M340,"Jā",Kopējie!N2:N340,"Jā",Kopējie!O2:O340,"Nē",Kopējie!P2:P340,"Nē",Kopējie!Q2:Q340,"Nē",Kopējie!AS2:AS340,"Jā")</f>
        <v>16</v>
      </c>
      <c r="L3" s="122">
        <f>COUNTIFS(Kopējie!E2:E340,"ru",Kopējie!M2:M340,"Jā",Kopējie!N2:N340,"Jā",Kopējie!O2:O340,"Nē",Kopējie!P2:P340,"Nē",Kopējie!Q2:Q340,"Nē",Kopējie!AT2:AT340,"Jā")</f>
        <v>17</v>
      </c>
      <c r="M3" s="122">
        <f>COUNTIFS(Kopējie!E2:E340,"ru",Kopējie!M2:M340,"Jā",Kopējie!N2:N340,"Jā",Kopējie!O2:O340,"Nē",Kopējie!P2:P340,"Nē",Kopējie!Q2:Q340,"Nē",Kopējie!AU2:AU340,"Jā")</f>
        <v>19</v>
      </c>
      <c r="N3" s="122">
        <f>COUNTIFS(Kopējie!E2:E340,"ru",Kopējie!M2:M340,"Jā",Kopējie!N2:N340,"Jā",Kopējie!O2:O340,"Nē",Kopējie!P2:P340,"Nē",Kopējie!Q2:Q340,"Nē",Kopējie!AV2:AV340,"Jā")</f>
        <v>19</v>
      </c>
      <c r="O3" s="122">
        <f>COUNTIFS(Kopējie!E2:E340,"ru",Kopējie!M2:M340,"Jā",Kopējie!N2:N340,"Jā",Kopējie!O2:O340,"Nē",Kopējie!P2:P340,"Nē",Kopējie!Q2:Q340,"Nē",Kopējie!AW2:AW340,"Jā")</f>
        <v>13</v>
      </c>
      <c r="P3" s="121"/>
      <c r="Q3" s="121" t="s">
        <v>345</v>
      </c>
      <c r="R3" s="149">
        <f>COUNTIFS(Kopējie!E2:E340,"lv",Kopējie!M2:M340,"jā",Kopējie!N2:N340,"nē",Kopējie!O2:O340,"nē",Kopējie!P2:P340,"nē",Kopējie!Q2:Q340,"nē",Kopējie!AR2:AR340,"Jā")</f>
        <v>61</v>
      </c>
      <c r="S3">
        <f>COUNTIFS(Kopējie!E2:E340,"lv",Kopējie!M2:M340,"jā",Kopējie!N2:N340,"nē",Kopējie!O2:O340,"nē",Kopējie!P2:P340,"nē",Kopējie!Q2:Q340,"nē",Kopējie!AS2:AS340,"Jā")</f>
        <v>51</v>
      </c>
      <c r="T3">
        <f>COUNTIFS(Kopējie!E2:E340,"lv",Kopējie!M2:M340,"jā",Kopējie!N2:N340,"nē",Kopējie!O2:O340,"nē",Kopējie!P2:P340,"nē",Kopējie!Q2:Q340,"nē",Kopējie!AT2:AT340,"Jā")</f>
        <v>48</v>
      </c>
      <c r="U3">
        <f>COUNTIFS(Kopējie!E2:E340,"lv",Kopējie!M2:M340,"jā",Kopējie!N2:N340,"nē",Kopējie!O2:O340,"nē",Kopējie!P2:P340,"nē",Kopējie!Q2:Q340,"nē",Kopējie!AU2:AU340,"Jā")</f>
        <v>37</v>
      </c>
      <c r="V3">
        <f>COUNTIFS(Kopējie!E2:E340,"lv",Kopējie!M2:M340,"jā",Kopējie!N2:N340,"nē",Kopējie!O2:O340,"nē",Kopējie!P2:P340,"nē",Kopējie!Q2:Q340,"nē",Kopējie!AV2:AV340,"Jā")</f>
        <v>35</v>
      </c>
      <c r="W3">
        <f>COUNTIFS(Kopējie!E2:E340,"lv",Kopējie!M2:M340,"jā",Kopējie!N2:N340,"nē",Kopējie!O2:O340,"nē",Kopējie!P2:P340,"nē",Kopējie!Q2:Q340,"nē",Kopējie!AW2:AW340,"Jā")</f>
        <v>25</v>
      </c>
      <c r="Y3" s="121" t="s">
        <v>345</v>
      </c>
      <c r="Z3">
        <f>COUNTIFS(Kopējie!E2:E340,"ru",Kopējie!M2:M340,"Nē",Kopējie!N2:N340,"Jā",Kopējie!O2:O340,"Nē",Kopējie!P2:P340,"Nē",Kopējie!Q2:Q340,"Nē",Kopējie!AR2:AR340,"Jā")</f>
        <v>30</v>
      </c>
      <c r="AA3">
        <f>COUNTIFS(Kopējie!E2:E340,"ru",Kopējie!M2:M340,"Nē",Kopējie!N2:N340,"Jā",Kopējie!O2:O340,"Nē",Kopējie!P2:P340,"Nē",Kopējie!Q2:Q340,"Nē",Kopējie!AS2:AS340,"Jā")</f>
        <v>34</v>
      </c>
      <c r="AB3">
        <f>COUNTIFS(Kopējie!E2:E340,"ru",Kopējie!M2:M340,"Nē",Kopējie!N2:N340,"Jā",Kopējie!O2:O340,"Nē",Kopējie!P2:P340,"Nē",Kopējie!Q2:Q340,"Nē",Kopējie!AT2:AT340,"Jā")</f>
        <v>34</v>
      </c>
      <c r="AC3">
        <f>COUNTIFS(Kopējie!E2:E340,"ru",Kopējie!M2:M340,"Nē",Kopējie!N2:N340,"Jā",Kopējie!O2:O340,"Nē",Kopējie!P2:P340,"Nē",Kopējie!Q2:Q340,"Nē",Kopējie!AU2:AU340,"Jā")</f>
        <v>30</v>
      </c>
      <c r="AD3">
        <f>COUNTIFS(Kopējie!E2:E340,"ru",Kopējie!M2:M340,"Nē",Kopējie!N2:N340,"Jā",Kopējie!O2:O340,"Nē",Kopējie!P2:P340,"Nē",Kopējie!Q2:Q340,"Nē",Kopējie!AV2:AV340,"Jā")</f>
        <v>30</v>
      </c>
      <c r="AE3">
        <f>COUNTIFS(Kopējie!E2:E340,"ru",Kopējie!M2:M340,"Nē",Kopējie!N2:N340,"Jā",Kopējie!O2:O340,"Nē",Kopējie!P2:P340,"Nē",Kopējie!Q2:Q340,"Nē",Kopējie!AW2:AW340,"Jā")</f>
        <v>27</v>
      </c>
    </row>
    <row r="4" spans="1:31" x14ac:dyDescent="0.3">
      <c r="A4" s="121"/>
      <c r="B4" s="122">
        <v>83</v>
      </c>
      <c r="C4" s="122">
        <v>71</v>
      </c>
      <c r="D4" s="122">
        <v>68</v>
      </c>
      <c r="E4" s="122">
        <v>60</v>
      </c>
      <c r="F4" s="122">
        <v>50</v>
      </c>
      <c r="G4" s="122">
        <v>39</v>
      </c>
      <c r="H4" s="121"/>
      <c r="I4" s="121"/>
      <c r="J4" s="122">
        <v>53</v>
      </c>
      <c r="K4" s="122">
        <v>50</v>
      </c>
      <c r="L4" s="122">
        <v>51</v>
      </c>
      <c r="M4" s="122">
        <v>49</v>
      </c>
      <c r="N4" s="122">
        <v>49</v>
      </c>
      <c r="O4" s="122">
        <v>40</v>
      </c>
      <c r="P4" s="121"/>
      <c r="Q4" s="121" t="s">
        <v>344</v>
      </c>
      <c r="R4">
        <f>COUNTIFS(Kopējie!E2:E340,"lv",Kopējie!M2:M340,"jā",Kopējie!N2:N340,"nē",Kopējie!O2:O340,"nē",Kopējie!P2:P340,"nē",Kopējie!Q2:Q340,"nē",Kopējie!AR2:AR340,"Nē")</f>
        <v>44</v>
      </c>
      <c r="S4">
        <f>COUNTIFS(Kopējie!E2:E340,"lv",Kopējie!M2:M340,"jā",Kopējie!N2:N340,"nē",Kopējie!O2:O340,"nē",Kopējie!P2:P340,"nē",Kopējie!Q2:Q340,"nē",Kopējie!AS2:AS340,"Nē")</f>
        <v>54</v>
      </c>
      <c r="T4">
        <f>COUNTIFS(Kopējie!E2:E340,"lv",Kopējie!M2:M340,"jā",Kopējie!N2:N340,"nē",Kopējie!O2:O340,"nē",Kopējie!P2:P340,"nē",Kopējie!Q2:Q340,"nē",Kopējie!AT2:AT340,"Nē")</f>
        <v>57</v>
      </c>
      <c r="U4">
        <f>COUNTIFS(Kopējie!E2:E340,"lv",Kopējie!M2:M340,"jā",Kopējie!N2:N340,"nē",Kopējie!O2:O340,"nē",Kopējie!P2:P340,"nē",Kopējie!Q2:Q340,"nē",Kopējie!AU2:AU340,"Nē")</f>
        <v>68</v>
      </c>
      <c r="V4">
        <f>COUNTIFS(Kopējie!E2:E340,"lv",Kopējie!M2:M340,"jā",Kopējie!N2:N340,"nē",Kopējie!O2:O340,"nē",Kopējie!P2:P340,"nē",Kopējie!Q2:Q340,"nē",Kopējie!AV2:AV340,"Nē")</f>
        <v>70</v>
      </c>
      <c r="W4">
        <f>COUNTIFS(Kopējie!E2:E340,"lv",Kopējie!M2:M340,"jā",Kopējie!N2:N340,"nē",Kopējie!O2:O340,"nē",Kopējie!P2:P340,"nē",Kopējie!Q2:Q340,"nē",Kopējie!AW2:AW340,"Nē")</f>
        <v>80</v>
      </c>
      <c r="Y4" s="121" t="s">
        <v>344</v>
      </c>
      <c r="Z4">
        <f>COUNTIFS(Kopējie!E2:E340,"ru",Kopējie!M2:M340,"Nē",Kopējie!N2:N340,"Jā",Kopējie!O2:O340,"Nē",Kopējie!P2:P340,"Nē",Kopējie!Q2:Q340,"Nē",Kopējie!AR2:AR340,"Nē")</f>
        <v>43</v>
      </c>
      <c r="AA4">
        <f>COUNTIFS(Kopējie!E2:E340,"ru",Kopējie!M2:M340,"Nē",Kopējie!N2:N340,"Jā",Kopējie!O2:O340,"Nē",Kopējie!P2:P340,"Nē",Kopējie!Q2:Q340,"Nē",Kopējie!AS2:AS340,"Nē")</f>
        <v>39</v>
      </c>
      <c r="AB4">
        <f>COUNTIFS(Kopējie!E2:E340,"ru",Kopējie!M2:M340,"Nē",Kopējie!N2:N340,"Jā",Kopējie!O2:O340,"Nē",Kopējie!P2:P340,"Nē",Kopējie!Q2:Q340,"Nē",Kopējie!AT2:AT340,"Nē")</f>
        <v>39</v>
      </c>
      <c r="AC4">
        <f>COUNTIFS(Kopējie!E2:E340,"ru",Kopējie!M2:M340,"Nē",Kopējie!N2:N340,"Jā",Kopējie!O2:O340,"Nē",Kopējie!P2:P340,"Nē",Kopējie!Q2:Q340,"Nē",Kopējie!AU2:AU340,"Nē")</f>
        <v>43</v>
      </c>
      <c r="AD4">
        <f>COUNTIFS(Kopējie!E2:E340,"ru",Kopējie!M2:M340,"Nē",Kopējie!N2:N340,"Jā",Kopējie!O2:O340,"Nē",Kopējie!P2:P340,"Nē",Kopējie!Q2:Q340,"Nē",Kopējie!AV2:AV340,"Nē")</f>
        <v>43</v>
      </c>
      <c r="AE4">
        <f>COUNTIFS(Kopējie!E2:E340,"ru",Kopējie!M2:M340,"Nē",Kopējie!N2:N340,"Jā",Kopējie!O2:O340,"Nē",Kopējie!P2:P340,"Nē",Kopējie!Q2:Q340,"Nē",Kopējie!AW2:AW340,"Nē")</f>
        <v>46</v>
      </c>
    </row>
    <row r="5" spans="1:31" x14ac:dyDescent="0.3">
      <c r="A5" s="121"/>
      <c r="B5" s="152">
        <v>0.49</v>
      </c>
      <c r="C5" s="152">
        <v>0.42</v>
      </c>
      <c r="D5" s="152">
        <v>0.4</v>
      </c>
      <c r="E5" s="152">
        <v>0.36</v>
      </c>
      <c r="F5" s="152">
        <v>0.3</v>
      </c>
      <c r="G5" s="152">
        <v>0.23</v>
      </c>
      <c r="H5" s="121"/>
      <c r="I5" s="121"/>
      <c r="J5" s="152">
        <v>0.42</v>
      </c>
      <c r="K5" s="152">
        <v>0.39</v>
      </c>
      <c r="L5" s="152">
        <v>0.4</v>
      </c>
      <c r="M5" s="152">
        <v>0.39</v>
      </c>
      <c r="N5" s="152">
        <v>0.39</v>
      </c>
      <c r="O5" s="152">
        <v>0.31</v>
      </c>
      <c r="P5" s="121"/>
      <c r="Q5" s="121" t="s">
        <v>18009</v>
      </c>
      <c r="R5">
        <f>COUNTIFS(Kopējie!E2:E340,"lv",Kopējie!M2:M340,"jā",Kopējie!N2:N340,"nē",Kopējie!O2:O340,"nē",Kopējie!P2:P340,"nē",Kopējie!Q2:Q340,"nē",Kopējie!AR2:AR340,"N/A")</f>
        <v>18</v>
      </c>
      <c r="S5">
        <f>COUNTIFS(Kopējie!E2:E340,"lv",Kopējie!M2:M340,"jā",Kopējie!N2:N340,"nē",Kopējie!O2:O340,"nē",Kopējie!P2:P340,"nē",Kopējie!Q2:Q340,"nē",Kopējie!AS2:AS340,"N/A")</f>
        <v>18</v>
      </c>
      <c r="T5">
        <f>COUNTIFS(Kopējie!E2:E340,"lv",Kopējie!M2:M340,"jā",Kopējie!N2:N340,"nē",Kopējie!O2:O340,"nē",Kopējie!P2:P340,"nē",Kopējie!Q2:Q340,"nē",Kopējie!AT2:AT340,"N/A")</f>
        <v>18</v>
      </c>
      <c r="U5">
        <f>COUNTIFS(Kopējie!E2:E340,"lv",Kopējie!M2:M340,"jā",Kopējie!N2:N340,"nē",Kopējie!O2:O340,"nē",Kopējie!P2:P340,"nē",Kopējie!Q2:Q340,"nē",Kopējie!AU2:AU340,"N/A")</f>
        <v>18</v>
      </c>
      <c r="V5">
        <f>COUNTIFS(Kopējie!E2:E340,"lv",Kopējie!M2:M340,"jā",Kopējie!N2:N340,"nē",Kopējie!O2:O340,"nē",Kopējie!P2:P340,"nē",Kopējie!Q2:Q340,"nē",Kopējie!AV2:AV340,"N/A")</f>
        <v>18</v>
      </c>
      <c r="W5">
        <f>COUNTIFS(Kopējie!E2:E340,"lv",Kopējie!M2:M340,"jā",Kopējie!N2:N340,"nē",Kopējie!O2:O340,"nē",Kopējie!P2:P340,"nē",Kopējie!Q2:Q340,"nē",Kopējie!AW2:AW340,"N/A")</f>
        <v>18</v>
      </c>
      <c r="Y5" s="121" t="s">
        <v>18009</v>
      </c>
      <c r="Z5">
        <f>COUNTIFS(Kopējie!E2:E340,"ru",Kopējie!M2:M340,"Nē",Kopējie!N2:N340,"Jā",Kopējie!O2:O340,"Nē",Kopējie!P2:P340,"Nē",Kopējie!Q2:Q340,"Nē",Kopējie!AR2:AR340,"N/A")</f>
        <v>13</v>
      </c>
      <c r="AA5">
        <f>COUNTIFS(Kopējie!E2:E340,"ru",Kopējie!M2:M340,"Nē",Kopējie!N2:N340,"Jā",Kopējie!O2:O340,"Nē",Kopējie!P2:P340,"Nē",Kopējie!Q2:Q340,"Nē",Kopējie!AS2:AS340,"N/A")</f>
        <v>13</v>
      </c>
      <c r="AB5">
        <f>COUNTIFS(Kopējie!E2:E340,"ru",Kopējie!M2:M340,"Nē",Kopējie!N2:N340,"Jā",Kopējie!O2:O340,"Nē",Kopējie!P2:P340,"Nē",Kopējie!Q2:Q340,"Nē",Kopējie!AT2:AT340,"N/A")</f>
        <v>13</v>
      </c>
      <c r="AC5">
        <f>COUNTIFS(Kopējie!E2:E340,"ru",Kopējie!M2:M340,"Nē",Kopējie!N2:N340,"Jā",Kopējie!O2:O340,"Nē",Kopējie!P2:P340,"Nē",Kopējie!Q2:Q340,"Nē",Kopējie!AU2:AU340,"N/A")</f>
        <v>13</v>
      </c>
      <c r="AD5">
        <f>COUNTIFS(Kopējie!E2:E340,"ru",Kopējie!M2:M340,"Nē",Kopējie!N2:N340,"Jā",Kopējie!O2:O340,"Nē",Kopējie!P2:P340,"Nē",Kopējie!Q2:Q340,"Nē",Kopējie!AV2:AV340,"N/A")</f>
        <v>13</v>
      </c>
      <c r="AE5">
        <f>COUNTIFS(Kopējie!E2:E340,"ru",Kopējie!M2:M340,"Nē",Kopējie!N2:N340,"Jā",Kopējie!O2:O340,"Nē",Kopējie!P2:P340,"Nē",Kopējie!Q2:Q340,"Nē",Kopējie!AW2:AW340,"N/A")</f>
        <v>13</v>
      </c>
    </row>
    <row r="6" spans="1:31" x14ac:dyDescent="0.3">
      <c r="R6" s="150">
        <v>0.49</v>
      </c>
      <c r="S6" s="150">
        <v>0.42</v>
      </c>
      <c r="T6" s="150">
        <v>0.39</v>
      </c>
      <c r="U6" s="150">
        <v>0.3</v>
      </c>
      <c r="V6" s="150">
        <v>0.28000000000000003</v>
      </c>
      <c r="W6" s="150">
        <v>0.2</v>
      </c>
      <c r="Z6" s="150">
        <v>0.35</v>
      </c>
      <c r="AA6" s="150">
        <v>0.39</v>
      </c>
      <c r="AB6" s="150">
        <v>0.39</v>
      </c>
      <c r="AC6" s="150">
        <v>0.35</v>
      </c>
      <c r="AD6" s="150">
        <v>0.35</v>
      </c>
      <c r="AE6" s="150">
        <v>0.31</v>
      </c>
    </row>
    <row r="7" spans="1:31" x14ac:dyDescent="0.3">
      <c r="R7">
        <v>124</v>
      </c>
      <c r="S7">
        <v>124</v>
      </c>
      <c r="T7">
        <v>124</v>
      </c>
      <c r="U7">
        <v>124</v>
      </c>
      <c r="V7">
        <v>124</v>
      </c>
      <c r="W7">
        <v>124</v>
      </c>
      <c r="Z7">
        <v>86</v>
      </c>
      <c r="AA7">
        <v>86</v>
      </c>
      <c r="AB7">
        <v>86</v>
      </c>
      <c r="AC7">
        <v>86</v>
      </c>
      <c r="AD7">
        <v>86</v>
      </c>
      <c r="AE7">
        <v>86</v>
      </c>
    </row>
    <row r="8" spans="1:31" x14ac:dyDescent="0.3">
      <c r="C8" t="s">
        <v>18016</v>
      </c>
      <c r="D8">
        <f>COUNTIFS(Kopējie!AX2:AX340,"Jā")</f>
        <v>48</v>
      </c>
      <c r="E8" s="150">
        <v>0.16</v>
      </c>
      <c r="X8" t="s">
        <v>18013</v>
      </c>
    </row>
    <row r="9" spans="1:31" x14ac:dyDescent="0.3">
      <c r="E9" t="s">
        <v>18014</v>
      </c>
      <c r="F9">
        <f>COUNTIFS(Kopējie!E2:E340,"lv",Kopējie!M2:M340,"jā",Kopējie!N2:N340,"jā",Kopējie!O2:O340,"nē",Kopējie!P2:P340,"nē",Kopējie!Q2:Q340,"nē")</f>
        <v>45</v>
      </c>
      <c r="I9" t="s">
        <v>18017</v>
      </c>
      <c r="J9">
        <f>COUNTIFS(Kopējie!E2:E340,"ru",Kopējie!M2:M340,"Jā",Kopējie!N2:N340,"Jā",Kopējie!O2:O340,"Nē",Kopējie!P2:P340,"Nē",Kopējie!Q2:Q340,"Nē")</f>
        <v>41</v>
      </c>
      <c r="R9" s="121" t="s">
        <v>18010</v>
      </c>
      <c r="S9" s="121" t="s">
        <v>18004</v>
      </c>
      <c r="T9" s="121" t="s">
        <v>18005</v>
      </c>
      <c r="U9" s="121" t="s">
        <v>18006</v>
      </c>
      <c r="V9" s="121" t="s">
        <v>18007</v>
      </c>
      <c r="W9" s="121" t="s">
        <v>18008</v>
      </c>
    </row>
    <row r="10" spans="1:31" x14ac:dyDescent="0.3">
      <c r="E10" t="s">
        <v>1812</v>
      </c>
      <c r="F10">
        <f>COUNTIFS(Kopējie!E2:E340,"lv",Kopējie!M2:M340,"jā",Kopējie!N2:N340,"nē",Kopējie!O2:O340,"nē",Kopējie!P2:P340,"nē",Kopējie!Q2:Q340,"nē")</f>
        <v>123</v>
      </c>
      <c r="I10" t="s">
        <v>18018</v>
      </c>
      <c r="J10">
        <f>COUNTIFS(Kopējie!E2:E340,"ru",Kopējie!M2:M340,"Nē",Kopējie!N2:N340,"Jā",Kopējie!O2:O340,"Nē",Kopējie!P2:P340,"Nē",Kopējie!Q2:Q340,"Nē")</f>
        <v>86</v>
      </c>
      <c r="Q10" t="s">
        <v>18011</v>
      </c>
      <c r="R10" s="152">
        <v>0.49</v>
      </c>
      <c r="S10" s="152">
        <v>0.42</v>
      </c>
      <c r="T10" s="152">
        <v>0.4</v>
      </c>
      <c r="U10" s="152">
        <v>0.36</v>
      </c>
      <c r="V10" s="152">
        <v>0.3</v>
      </c>
      <c r="W10" s="152">
        <v>0.23</v>
      </c>
      <c r="X10" s="150"/>
    </row>
    <row r="11" spans="1:31" x14ac:dyDescent="0.3">
      <c r="F11">
        <v>169</v>
      </c>
      <c r="J11">
        <v>127</v>
      </c>
      <c r="L11">
        <v>296</v>
      </c>
      <c r="Q11" t="s">
        <v>18012</v>
      </c>
      <c r="R11" s="152">
        <v>0.42</v>
      </c>
      <c r="S11" s="152">
        <v>0.39</v>
      </c>
      <c r="T11" s="152">
        <v>0.4</v>
      </c>
      <c r="U11" s="152">
        <v>0.39</v>
      </c>
      <c r="V11" s="152">
        <v>0.39</v>
      </c>
      <c r="W11" s="152">
        <v>0.31</v>
      </c>
      <c r="X11" s="150"/>
    </row>
    <row r="13" spans="1:31" x14ac:dyDescent="0.3">
      <c r="C13" s="153">
        <v>0.49</v>
      </c>
      <c r="D13" s="154">
        <v>0.42</v>
      </c>
      <c r="E13" s="152">
        <v>0.4</v>
      </c>
      <c r="F13" s="152">
        <v>0.36</v>
      </c>
      <c r="G13" s="153">
        <v>0.3</v>
      </c>
      <c r="H13" s="154">
        <v>0.23</v>
      </c>
    </row>
    <row r="14" spans="1:31" x14ac:dyDescent="0.3">
      <c r="C14" s="152">
        <v>0.42</v>
      </c>
      <c r="D14" s="152">
        <v>0.39</v>
      </c>
      <c r="E14" s="152">
        <v>0.4</v>
      </c>
      <c r="F14" s="152">
        <v>0.39</v>
      </c>
      <c r="G14" s="152">
        <v>0.39</v>
      </c>
      <c r="H14" s="152">
        <v>0.31</v>
      </c>
    </row>
    <row r="17" spans="1:29" x14ac:dyDescent="0.3">
      <c r="A17" s="132" t="s">
        <v>17888</v>
      </c>
      <c r="B17" s="130">
        <v>97</v>
      </c>
      <c r="C17" s="130">
        <f>COUNTIF(Kopējie!U2:U340,"pareizticīgo")</f>
        <v>97</v>
      </c>
      <c r="D17" s="130"/>
      <c r="E17" s="130"/>
      <c r="F17" s="130"/>
      <c r="G17" s="130"/>
      <c r="H17" s="130"/>
      <c r="I17" s="130"/>
      <c r="J17" s="130"/>
      <c r="K17" s="130"/>
      <c r="L17" s="130"/>
      <c r="M17" s="130"/>
      <c r="N17" s="130"/>
      <c r="O17" s="130"/>
    </row>
    <row r="18" spans="1:29" x14ac:dyDescent="0.3">
      <c r="A18" s="133" t="s">
        <v>17889</v>
      </c>
      <c r="B18" s="129">
        <v>142</v>
      </c>
      <c r="C18" s="129">
        <v>142</v>
      </c>
      <c r="D18" s="129"/>
      <c r="E18" s="129"/>
      <c r="F18" s="129"/>
      <c r="G18" s="129"/>
      <c r="H18" s="129"/>
      <c r="I18" s="134" t="s">
        <v>17884</v>
      </c>
      <c r="J18" s="129"/>
      <c r="K18" s="129"/>
      <c r="L18" s="129" t="s">
        <v>18247</v>
      </c>
      <c r="M18" s="129" t="s">
        <v>18248</v>
      </c>
      <c r="N18" s="129" t="s">
        <v>18249</v>
      </c>
      <c r="O18" s="129" t="s">
        <v>18250</v>
      </c>
      <c r="Q18">
        <f>SUM(B17:B24)</f>
        <v>339</v>
      </c>
    </row>
    <row r="19" spans="1:29" x14ac:dyDescent="0.3">
      <c r="A19" s="132" t="s">
        <v>17890</v>
      </c>
      <c r="B19" s="130">
        <v>58</v>
      </c>
      <c r="C19" s="130">
        <f>COUNTIF(Kopējie!U2:U340,"Katoli(ieti)")</f>
        <v>58</v>
      </c>
      <c r="D19" s="130"/>
      <c r="E19" s="130"/>
      <c r="F19" s="130"/>
      <c r="G19" s="130"/>
      <c r="H19" s="130"/>
      <c r="I19" s="135" t="s">
        <v>17885</v>
      </c>
      <c r="J19" s="136">
        <v>192</v>
      </c>
      <c r="K19" s="130"/>
      <c r="L19" s="130">
        <f>COUNTIFS(Kopējie!K2:K340,"Vīriešu",Kopējie!M2:M340,"Nē",Kopējie!N2:N340,"Jā",Kopējie!O2:O340,"Nē",Kopējie!P2:P340,"Nē",Kopējie!Q2:Q340,"Nē")</f>
        <v>50</v>
      </c>
      <c r="M19" s="130">
        <f>COUNTIFS(Kopējie!K2:K340,"Vīriešu",Kopējie!M2:M340,"Jā",Kopējie!N2:N340,"Jā",Kopējie!O2:O340,"Nē",Kopējie!P2:P340,"Nē",Kopējie!Q2:Q340,"Nē",Kopējie!E2:E340,"ru")</f>
        <v>24</v>
      </c>
      <c r="N19" s="130">
        <f>COUNTIFS(Kopējie!K2:K340,"Sieviešu",Kopējie!M2:M340,"Nē",Kopējie!N2:N340,"Jā",Kopējie!O2:O340,"Nē",Kopējie!P2:P340,"Nē",Kopējie!Q2:Q340,"Nē")</f>
        <v>58</v>
      </c>
      <c r="O19" s="130">
        <f>COUNTIFS(Kopējie!K2:K340,"Sieviešu",Kopējie!M2:M340,"Jā",Kopējie!N2:N340,"Nē",Kopējie!O2:O340,"Nē",Kopējie!P2:P340,"Nē",Kopējie!Q2:Q340,"Nē")</f>
        <v>41</v>
      </c>
    </row>
    <row r="20" spans="1:29" x14ac:dyDescent="0.3">
      <c r="A20" s="133" t="s">
        <v>17891</v>
      </c>
      <c r="B20" s="129">
        <v>12</v>
      </c>
      <c r="C20" s="129">
        <f>COUNTIF(Kopējie!U2:U340,"protestantu(ti)")</f>
        <v>12</v>
      </c>
      <c r="D20" s="129"/>
      <c r="E20" s="129"/>
      <c r="F20" s="129"/>
      <c r="G20" s="129"/>
      <c r="H20" s="129"/>
      <c r="I20" s="137" t="s">
        <v>17886</v>
      </c>
      <c r="J20" s="138">
        <v>142</v>
      </c>
      <c r="K20" s="129"/>
      <c r="L20" s="129"/>
      <c r="M20" s="129" t="s">
        <v>18251</v>
      </c>
      <c r="N20" s="129"/>
      <c r="O20" s="129"/>
    </row>
    <row r="21" spans="1:29" x14ac:dyDescent="0.3">
      <c r="A21" s="132" t="s">
        <v>17892</v>
      </c>
      <c r="B21" s="130">
        <v>14</v>
      </c>
      <c r="C21" s="130">
        <v>14</v>
      </c>
      <c r="D21" s="130"/>
      <c r="E21" s="130"/>
      <c r="F21" s="130"/>
      <c r="G21" s="130"/>
      <c r="H21" s="130"/>
      <c r="I21" s="135" t="s">
        <v>17887</v>
      </c>
      <c r="J21" s="136">
        <v>5</v>
      </c>
      <c r="K21" s="130"/>
      <c r="L21" s="130"/>
      <c r="M21" s="130">
        <f>COUNTIFS(Kopējie!K2:K340,"Vīriešu",Kopējie!M2:M340,"Jā",Kopējie!N2:N340,"Jā",Kopējie!O2:O340,"Nē",Kopējie!P2:P340,"Nē",Kopējie!Q2:Q340,"Nē",Kopējie!E2:E340,"lv")</f>
        <v>23</v>
      </c>
      <c r="N21" s="130"/>
      <c r="O21" s="130"/>
    </row>
    <row r="22" spans="1:29" x14ac:dyDescent="0.3">
      <c r="A22" s="133" t="s">
        <v>17893</v>
      </c>
      <c r="B22" s="129">
        <v>0</v>
      </c>
      <c r="C22" s="129">
        <v>0</v>
      </c>
      <c r="D22" s="129"/>
      <c r="E22" s="129"/>
      <c r="F22" s="129"/>
      <c r="G22" s="129"/>
      <c r="H22" s="129"/>
      <c r="I22" s="129"/>
      <c r="J22" s="129"/>
      <c r="K22" s="129"/>
      <c r="L22" s="129"/>
      <c r="M22" s="129"/>
      <c r="N22" s="129"/>
      <c r="O22" s="129"/>
    </row>
    <row r="23" spans="1:29" x14ac:dyDescent="0.3">
      <c r="A23" s="132" t="s">
        <v>17894</v>
      </c>
      <c r="B23" s="130">
        <v>0</v>
      </c>
      <c r="C23" s="139" t="s">
        <v>17896</v>
      </c>
      <c r="D23" s="130"/>
      <c r="E23" s="130"/>
      <c r="F23" s="130"/>
      <c r="G23" s="130"/>
      <c r="H23" s="130"/>
      <c r="I23" s="130"/>
      <c r="J23" s="130"/>
      <c r="K23" s="130"/>
      <c r="L23" s="130"/>
      <c r="M23" s="130"/>
      <c r="N23" s="130"/>
      <c r="O23" s="130"/>
    </row>
    <row r="24" spans="1:29" x14ac:dyDescent="0.3">
      <c r="A24" s="133" t="s">
        <v>17895</v>
      </c>
      <c r="B24" s="129">
        <v>16</v>
      </c>
      <c r="C24" s="137" t="s">
        <v>17897</v>
      </c>
      <c r="D24" s="129"/>
      <c r="E24" s="129"/>
      <c r="F24" s="129"/>
      <c r="G24" s="129"/>
      <c r="H24" s="129"/>
      <c r="I24" s="129"/>
      <c r="J24" s="129"/>
      <c r="K24" s="129"/>
      <c r="L24" s="129"/>
      <c r="M24" s="129"/>
      <c r="N24" s="129"/>
      <c r="O24" s="129"/>
    </row>
    <row r="25" spans="1:29" x14ac:dyDescent="0.3">
      <c r="A25" s="131"/>
      <c r="B25" s="130">
        <f>COUNTIF(Kopējie!U2:U340,"Cita atbilde")</f>
        <v>16</v>
      </c>
      <c r="C25" s="130"/>
      <c r="D25" s="130"/>
      <c r="E25" s="130"/>
      <c r="F25" s="130"/>
      <c r="G25" s="130"/>
      <c r="H25" s="130"/>
      <c r="I25" s="130"/>
      <c r="J25" s="130"/>
      <c r="K25" s="130"/>
      <c r="L25" s="130"/>
      <c r="M25" s="130"/>
      <c r="N25" s="130"/>
      <c r="O25" s="130"/>
    </row>
    <row r="26" spans="1:29" x14ac:dyDescent="0.3">
      <c r="A26" s="128"/>
      <c r="B26" s="129"/>
      <c r="C26" s="129"/>
      <c r="D26" s="129"/>
      <c r="E26" s="134" t="s">
        <v>17916</v>
      </c>
      <c r="F26" s="129"/>
      <c r="G26" s="129"/>
      <c r="H26" s="134" t="s">
        <v>17923</v>
      </c>
      <c r="I26" s="129"/>
      <c r="J26" s="129"/>
      <c r="K26" s="140" t="s">
        <v>17932</v>
      </c>
      <c r="L26" s="129"/>
      <c r="M26" s="129"/>
      <c r="N26" s="129"/>
      <c r="O26" s="129"/>
    </row>
    <row r="27" spans="1:29" x14ac:dyDescent="0.3">
      <c r="A27" s="131"/>
      <c r="B27" s="141" t="s">
        <v>17912</v>
      </c>
      <c r="C27" s="130"/>
      <c r="D27" s="130"/>
      <c r="E27" s="135" t="s">
        <v>17917</v>
      </c>
      <c r="F27" s="130">
        <v>99</v>
      </c>
      <c r="G27" s="130">
        <v>99</v>
      </c>
      <c r="H27" s="135" t="s">
        <v>17924</v>
      </c>
      <c r="I27" s="130">
        <v>12</v>
      </c>
      <c r="J27" s="130"/>
      <c r="K27" s="142" t="s">
        <v>17933</v>
      </c>
      <c r="L27" s="130">
        <v>125</v>
      </c>
      <c r="M27" s="130"/>
      <c r="N27" s="130"/>
      <c r="O27" s="130"/>
    </row>
    <row r="28" spans="1:29" x14ac:dyDescent="0.3">
      <c r="A28" s="128"/>
      <c r="B28" s="137" t="s">
        <v>17913</v>
      </c>
      <c r="C28" s="129">
        <v>204</v>
      </c>
      <c r="D28" s="129"/>
      <c r="E28" s="137" t="s">
        <v>17918</v>
      </c>
      <c r="F28" s="129">
        <v>98</v>
      </c>
      <c r="G28" s="129">
        <f>COUNTIF(Kopējie!S2:S340,"Kurzemē")</f>
        <v>98</v>
      </c>
      <c r="H28" s="137" t="s">
        <v>17925</v>
      </c>
      <c r="I28" s="129">
        <v>38</v>
      </c>
      <c r="J28" s="129"/>
      <c r="K28" s="143" t="s">
        <v>17934</v>
      </c>
      <c r="L28" s="129">
        <v>110</v>
      </c>
      <c r="M28" s="129"/>
      <c r="N28" s="129"/>
      <c r="O28" s="129"/>
      <c r="P28">
        <f>SUM(L27:L40)</f>
        <v>339</v>
      </c>
    </row>
    <row r="29" spans="1:29" x14ac:dyDescent="0.3">
      <c r="A29" s="131"/>
      <c r="B29" s="135" t="s">
        <v>17914</v>
      </c>
      <c r="C29" s="130">
        <f>COUNTIF(Kopējie!E2:E340,"ru")</f>
        <v>134</v>
      </c>
      <c r="D29" s="130"/>
      <c r="E29" s="135" t="s">
        <v>17919</v>
      </c>
      <c r="F29" s="130">
        <v>115</v>
      </c>
      <c r="G29" s="130">
        <f>COUNTIF(Kopējie!S2:S340,"Latgalē")</f>
        <v>115</v>
      </c>
      <c r="H29" s="135" t="s">
        <v>17926</v>
      </c>
      <c r="I29" s="130">
        <v>5</v>
      </c>
      <c r="J29" s="130"/>
      <c r="K29" s="135" t="s">
        <v>17935</v>
      </c>
      <c r="L29" s="130">
        <v>86</v>
      </c>
      <c r="M29" s="130">
        <f>COUNTIFS(Kopējie!M2:M340,"Jā",Kopējie!N2:N340,"Jā",Kopējie!O2:O340,"Nē",Kopējie!P2:P340,"Nē",Kopējie!Q2:Q340,"Nē")</f>
        <v>86</v>
      </c>
      <c r="N29" s="130"/>
      <c r="O29" s="130"/>
      <c r="AC29" s="151"/>
    </row>
    <row r="30" spans="1:29" x14ac:dyDescent="0.3">
      <c r="A30" s="128"/>
      <c r="B30" s="137" t="s">
        <v>17915</v>
      </c>
      <c r="C30" s="129">
        <f>COUNTIF(Kopējie!E2:E340,"en")</f>
        <v>1</v>
      </c>
      <c r="D30" s="129"/>
      <c r="E30" s="137" t="s">
        <v>17920</v>
      </c>
      <c r="F30" s="129">
        <f>COUNTIF(Kopējie!S2:S340,"Vidzemē")</f>
        <v>15</v>
      </c>
      <c r="G30" s="129">
        <f>COUNTIF(Kopējie!S2:S340,"Vidzemē")</f>
        <v>15</v>
      </c>
      <c r="H30" s="137" t="s">
        <v>17927</v>
      </c>
      <c r="I30" s="129">
        <v>10</v>
      </c>
      <c r="J30" s="129"/>
      <c r="K30" s="144" t="s">
        <v>17936</v>
      </c>
      <c r="L30" s="129">
        <v>2</v>
      </c>
      <c r="M30" s="129">
        <f>COUNTIFS(Kopējie!M2:M340,"Jā",Kopējie!N2:N340,"Jā",Kopējie!O2:O340,"Nē",Kopējie!P2:P340,"Jā",Kopējie!Q2:Q340,"Nē")</f>
        <v>2</v>
      </c>
      <c r="N30" s="129"/>
      <c r="O30" s="129"/>
    </row>
    <row r="31" spans="1:29" x14ac:dyDescent="0.3">
      <c r="A31" s="131"/>
      <c r="B31" s="130"/>
      <c r="C31" s="130"/>
      <c r="D31" s="130"/>
      <c r="E31" s="135" t="s">
        <v>17921</v>
      </c>
      <c r="F31" s="130">
        <f>COUNTIF(Kopējie!S2:S340,"Zemgalē")</f>
        <v>7</v>
      </c>
      <c r="G31" s="130">
        <f>COUNTIF(Kopējie!S2:S340,"Zemgalē")</f>
        <v>7</v>
      </c>
      <c r="H31" s="135" t="s">
        <v>17928</v>
      </c>
      <c r="I31" s="130">
        <v>0</v>
      </c>
      <c r="J31" s="130"/>
      <c r="K31" s="145" t="s">
        <v>17937</v>
      </c>
      <c r="L31" s="130">
        <v>2</v>
      </c>
      <c r="M31" s="130">
        <f>COUNTIFS(Kopējie!M2:M340,"Jā",Kopējie!N2:N340,"Jā",Kopējie!O2:O340,"Jā",Kopējie!P2:P340,"Nē",Kopējie!Q2:Q340,"Nē")</f>
        <v>2</v>
      </c>
      <c r="N31" s="130"/>
      <c r="O31" s="130"/>
    </row>
    <row r="32" spans="1:29" x14ac:dyDescent="0.3">
      <c r="A32" s="128"/>
      <c r="B32" s="129"/>
      <c r="C32" s="129"/>
      <c r="D32" s="129"/>
      <c r="E32" s="137" t="s">
        <v>17922</v>
      </c>
      <c r="F32" s="129">
        <v>6</v>
      </c>
      <c r="G32" s="129">
        <f>COUNTIF(Kopējie!S2:S340,"Cita atbilde")</f>
        <v>5</v>
      </c>
      <c r="H32" s="137" t="s">
        <v>17929</v>
      </c>
      <c r="I32" s="129">
        <v>1</v>
      </c>
      <c r="J32" s="129"/>
      <c r="K32" s="146" t="s">
        <v>17938</v>
      </c>
      <c r="L32" s="129">
        <v>1</v>
      </c>
      <c r="M32" s="129">
        <f>COUNTIFS(Kopējie!M2:M340,"Jā",Kopējie!N2:N340,"Jā",Kopējie!O2:O340,"Nē",Kopējie!P2:P340,"Nē",Kopējie!Q2:Q340,"Jā")</f>
        <v>1</v>
      </c>
      <c r="N32" s="129"/>
      <c r="O32" s="129"/>
    </row>
    <row r="33" spans="1:26" x14ac:dyDescent="0.3">
      <c r="A33" s="131"/>
      <c r="B33" s="130"/>
      <c r="C33" s="130"/>
      <c r="D33" s="130"/>
      <c r="E33" s="142" t="s">
        <v>17994</v>
      </c>
      <c r="F33" s="130"/>
      <c r="G33" s="130"/>
      <c r="H33" s="135" t="s">
        <v>17930</v>
      </c>
      <c r="I33" s="130">
        <v>1</v>
      </c>
      <c r="J33" s="130"/>
      <c r="K33" s="135" t="s">
        <v>17939</v>
      </c>
      <c r="L33" s="130"/>
      <c r="M33" s="130"/>
      <c r="N33" s="130"/>
      <c r="O33" s="130"/>
      <c r="V33" s="121" t="s">
        <v>18023</v>
      </c>
    </row>
    <row r="34" spans="1:26" x14ac:dyDescent="0.3">
      <c r="A34" s="128"/>
      <c r="B34" s="129"/>
      <c r="C34" s="129"/>
      <c r="D34" s="129"/>
      <c r="E34" s="129"/>
      <c r="F34" s="129"/>
      <c r="G34" s="129"/>
      <c r="H34" s="137" t="s">
        <v>17931</v>
      </c>
      <c r="I34" s="129">
        <v>273</v>
      </c>
      <c r="J34" s="129"/>
      <c r="K34" s="144" t="s">
        <v>17940</v>
      </c>
      <c r="L34" s="129">
        <v>7</v>
      </c>
      <c r="M34" s="129">
        <f>COUNTIFS(Kopējie!M2:M340,"Jā",Kopējie!N2:N340,"Nē",Kopējie!O2:O340,"Nē",Kopējie!P2:P340,"Jā",Kopējie!Q2:Q340,"Nē")</f>
        <v>7</v>
      </c>
      <c r="N34" s="129"/>
      <c r="O34" s="129"/>
      <c r="R34" s="120" t="s">
        <v>18024</v>
      </c>
      <c r="S34" s="120" t="s">
        <v>18025</v>
      </c>
      <c r="T34" s="120" t="s">
        <v>18026</v>
      </c>
      <c r="U34" s="120" t="s">
        <v>18027</v>
      </c>
      <c r="V34" s="120" t="s">
        <v>18028</v>
      </c>
      <c r="W34" s="120" t="s">
        <v>18029</v>
      </c>
      <c r="X34" s="120" t="s">
        <v>18030</v>
      </c>
      <c r="Y34" s="120" t="s">
        <v>1822</v>
      </c>
    </row>
    <row r="35" spans="1:26" x14ac:dyDescent="0.3">
      <c r="A35" s="131"/>
      <c r="B35" s="130"/>
      <c r="C35" s="130"/>
      <c r="D35" s="130"/>
      <c r="E35" s="130"/>
      <c r="F35" s="130"/>
      <c r="G35" s="130"/>
      <c r="H35" s="130"/>
      <c r="I35" s="130"/>
      <c r="J35" s="130"/>
      <c r="K35" s="135" t="s">
        <v>17941</v>
      </c>
      <c r="L35" s="130">
        <v>1</v>
      </c>
      <c r="M35" s="130"/>
      <c r="N35" s="130"/>
      <c r="O35" s="130"/>
      <c r="R35" s="150">
        <v>0.84</v>
      </c>
      <c r="S35" s="150">
        <v>0.73</v>
      </c>
      <c r="T35" s="150">
        <v>0.91</v>
      </c>
      <c r="U35" s="150">
        <v>0.89</v>
      </c>
      <c r="V35" s="150">
        <v>0.98</v>
      </c>
      <c r="W35" s="150">
        <v>0.86</v>
      </c>
      <c r="X35" s="150">
        <v>0.67</v>
      </c>
      <c r="Y35" s="150">
        <v>0.94</v>
      </c>
    </row>
    <row r="36" spans="1:26" x14ac:dyDescent="0.3">
      <c r="A36" s="147" t="s">
        <v>17997</v>
      </c>
      <c r="B36" s="129"/>
      <c r="C36" s="129"/>
      <c r="D36" s="129"/>
      <c r="E36" s="129"/>
      <c r="F36" s="129"/>
      <c r="G36" s="129"/>
      <c r="H36" s="129"/>
      <c r="I36" s="129"/>
      <c r="J36" s="129"/>
      <c r="K36" s="144" t="s">
        <v>17942</v>
      </c>
      <c r="L36" s="129">
        <v>2</v>
      </c>
      <c r="M36" s="129"/>
      <c r="N36" s="129"/>
      <c r="O36" s="129"/>
    </row>
    <row r="37" spans="1:26" x14ac:dyDescent="0.3">
      <c r="A37" s="131" t="s">
        <v>17998</v>
      </c>
      <c r="B37" s="130">
        <v>291</v>
      </c>
      <c r="C37" s="130">
        <f>COUNTIF(Kopējie!EV2:EV340,"pamatizglītību")</f>
        <v>300</v>
      </c>
      <c r="D37" s="130">
        <f>COUNTIF(Kopējie!EV2:EV340,"pamatizglītību")</f>
        <v>300</v>
      </c>
      <c r="E37" s="130"/>
      <c r="F37" s="130"/>
      <c r="G37" s="130"/>
      <c r="H37" s="130"/>
      <c r="I37" s="130"/>
      <c r="J37" s="130"/>
      <c r="K37" s="135" t="s">
        <v>17895</v>
      </c>
      <c r="L37" s="130"/>
      <c r="M37" s="130"/>
      <c r="N37" s="130"/>
      <c r="O37" s="130"/>
    </row>
    <row r="38" spans="1:26" x14ac:dyDescent="0.3">
      <c r="A38" s="128" t="s">
        <v>17999</v>
      </c>
      <c r="B38" s="129">
        <v>37</v>
      </c>
      <c r="C38" s="129">
        <f>COUNTIF(Kopējie!EV2:EV340,"vidējo izglītību")</f>
        <v>27</v>
      </c>
      <c r="D38" s="129"/>
      <c r="E38" s="129"/>
      <c r="F38" s="129"/>
      <c r="G38" s="129"/>
      <c r="H38" s="129"/>
      <c r="I38" s="129"/>
      <c r="J38" s="129"/>
      <c r="K38" s="144" t="s">
        <v>17943</v>
      </c>
      <c r="L38" s="129">
        <v>0</v>
      </c>
      <c r="M38" s="129"/>
      <c r="N38" s="129"/>
      <c r="O38" s="129"/>
    </row>
    <row r="39" spans="1:26" x14ac:dyDescent="0.3">
      <c r="A39" s="131" t="s">
        <v>18000</v>
      </c>
      <c r="B39" s="130">
        <v>5</v>
      </c>
      <c r="C39" s="130">
        <f>COUNTIF(Kopējie!EV2:EV340,"arodskolu/ profesionālo izglītību")</f>
        <v>5</v>
      </c>
      <c r="D39" s="130"/>
      <c r="E39" s="130"/>
      <c r="F39" s="130"/>
      <c r="G39" s="130"/>
      <c r="H39" s="130"/>
      <c r="I39" s="130"/>
      <c r="J39" s="130"/>
      <c r="K39" s="148" t="s">
        <v>17944</v>
      </c>
      <c r="L39" s="130">
        <v>2</v>
      </c>
      <c r="M39" s="130"/>
      <c r="N39" s="130"/>
      <c r="O39" s="130"/>
      <c r="R39">
        <f>COUNTIF(Kopējie!GN2:GN340,"Nē")</f>
        <v>286</v>
      </c>
      <c r="S39">
        <f>COUNTIF(Kopējie!GO2:GO340,"Nē")</f>
        <v>264</v>
      </c>
      <c r="T39">
        <v>310</v>
      </c>
      <c r="U39">
        <f>COUNTIF(Kopējie!HN2:HN340,"Nē")</f>
        <v>303</v>
      </c>
      <c r="V39">
        <f>COUNTIF(Kopējie!HO2:HO340,"Nē")</f>
        <v>333</v>
      </c>
      <c r="W39">
        <f>COUNTIF(Kopējie!HW2:HW340,"Nē")</f>
        <v>292</v>
      </c>
      <c r="X39">
        <f>COUNTIF(Kopējie!HX2:HX340,"Nē")</f>
        <v>226</v>
      </c>
      <c r="Z39">
        <v>319</v>
      </c>
    </row>
    <row r="40" spans="1:26" x14ac:dyDescent="0.3">
      <c r="A40" s="128" t="s">
        <v>18001</v>
      </c>
      <c r="B40" s="129">
        <v>6</v>
      </c>
      <c r="C40" s="129">
        <f>COUNTIF(Kopējie!EV2:EV340,"universitātes līmeni: bakalauru")</f>
        <v>6</v>
      </c>
      <c r="D40" s="129"/>
      <c r="E40" s="129"/>
      <c r="F40" s="129"/>
      <c r="G40" s="129"/>
      <c r="H40" s="129"/>
      <c r="I40" s="129"/>
      <c r="J40" s="129"/>
      <c r="K40" s="144" t="s">
        <v>17945</v>
      </c>
      <c r="L40" s="129">
        <v>1</v>
      </c>
      <c r="M40" s="129"/>
      <c r="N40" s="129"/>
      <c r="O40" s="129"/>
    </row>
    <row r="41" spans="1:26" x14ac:dyDescent="0.3">
      <c r="A41" s="131" t="s">
        <v>18002</v>
      </c>
      <c r="B41" s="130">
        <v>1</v>
      </c>
      <c r="C41" s="130">
        <f>COUNTIF(Kopējie!EV2:EV340,"universitātes līmeni: maģistru")</f>
        <v>1</v>
      </c>
      <c r="D41" s="130"/>
      <c r="E41" s="130"/>
      <c r="F41" s="130"/>
      <c r="G41" s="130"/>
      <c r="H41" s="130"/>
      <c r="I41" s="130"/>
      <c r="J41" s="130"/>
      <c r="K41" s="130"/>
      <c r="L41" s="130"/>
      <c r="M41" s="130"/>
      <c r="N41" s="130"/>
      <c r="O41" s="130"/>
    </row>
    <row r="43" spans="1:26" x14ac:dyDescent="0.3">
      <c r="E43" s="121"/>
    </row>
    <row r="44" spans="1:26" x14ac:dyDescent="0.3">
      <c r="C44" s="120" t="s">
        <v>18019</v>
      </c>
      <c r="D44" s="120" t="s">
        <v>18020</v>
      </c>
      <c r="E44" s="120" t="s">
        <v>18022</v>
      </c>
      <c r="F44" s="120" t="s">
        <v>18021</v>
      </c>
    </row>
    <row r="45" spans="1:26" x14ac:dyDescent="0.3">
      <c r="C45" s="150">
        <v>0.16</v>
      </c>
      <c r="D45" s="150">
        <v>0.49</v>
      </c>
      <c r="E45" s="150">
        <v>0.15</v>
      </c>
      <c r="F45" s="150">
        <v>0.17</v>
      </c>
    </row>
    <row r="48" spans="1:26" x14ac:dyDescent="0.3">
      <c r="I48">
        <f>COUNTIF(Kopējie!CG2:CG340,"Neinteresē")</f>
        <v>55</v>
      </c>
      <c r="J48">
        <f>COUNTIF(Kopējie!CH2:CH340,"Neinteresē")</f>
        <v>166</v>
      </c>
      <c r="K48">
        <f>COUNTIF(Kopējie!CI2:CI340,"Neinteresē")</f>
        <v>48</v>
      </c>
      <c r="L48">
        <f>COUNTIF(Kopējie!CJ2:CJ340,"Neinteresē")</f>
        <v>59</v>
      </c>
    </row>
    <row r="51" spans="1:10" x14ac:dyDescent="0.3">
      <c r="G51" s="120" t="s">
        <v>18031</v>
      </c>
      <c r="H51" s="120" t="s">
        <v>18032</v>
      </c>
      <c r="I51" s="120" t="s">
        <v>18033</v>
      </c>
      <c r="J51" s="120" t="s">
        <v>964</v>
      </c>
    </row>
    <row r="52" spans="1:10" x14ac:dyDescent="0.3">
      <c r="G52" s="150">
        <v>0.71</v>
      </c>
      <c r="H52" s="150">
        <v>0.28999999999999998</v>
      </c>
      <c r="I52" s="150">
        <v>0.67</v>
      </c>
      <c r="J52" s="150">
        <v>0.34</v>
      </c>
    </row>
    <row r="56" spans="1:10" x14ac:dyDescent="0.3">
      <c r="A56">
        <f>COUNTIF(Kopējie!IM2:IM340,"Jā")</f>
        <v>241</v>
      </c>
      <c r="B56">
        <f>COUNTIF(Kopējie!IN2:IN340,"Jā")</f>
        <v>98</v>
      </c>
      <c r="C56">
        <f>COUNTIF(Kopējie!IO2:IO340,"Jā")</f>
        <v>227</v>
      </c>
      <c r="D56">
        <f>COUNTIF(Kopējie!IQ2:IQ340,"Jā")</f>
        <v>116</v>
      </c>
    </row>
  </sheetData>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Darblapas</vt:lpstr>
      </vt:variant>
      <vt:variant>
        <vt:i4>18</vt:i4>
      </vt:variant>
    </vt:vector>
  </HeadingPairs>
  <TitlesOfParts>
    <vt:vector size="18" baseType="lpstr">
      <vt:lpstr>Kopējie</vt:lpstr>
      <vt:lpstr>Populist answer analysis</vt:lpstr>
      <vt:lpstr>Mediji</vt:lpstr>
      <vt:lpstr>Perceived discrimination</vt:lpstr>
      <vt:lpstr>Gender equality</vt:lpstr>
      <vt:lpstr>School groups</vt:lpstr>
      <vt:lpstr>Language usage (BI) </vt:lpstr>
      <vt:lpstr>Study Language</vt:lpstr>
      <vt:lpstr>For presentation</vt:lpstr>
      <vt:lpstr>Spoken about politics</vt:lpstr>
      <vt:lpstr>Gender cities</vt:lpstr>
      <vt:lpstr>Religion cities</vt:lpstr>
      <vt:lpstr>Language City</vt:lpstr>
      <vt:lpstr>Study Abroad</vt:lpstr>
      <vt:lpstr>Izgrieztais saturs</vt:lpstr>
      <vt:lpstr>Language usage (LV)</vt:lpstr>
      <vt:lpstr>Language usage (RU)</vt:lpstr>
      <vt:lpstr>Experiences of discrimination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Uni-Benutzer</dc:creator>
  <cp:lastModifiedBy>Kaspars Zalans</cp:lastModifiedBy>
  <dcterms:created xsi:type="dcterms:W3CDTF">2015-06-05T18:19:34Z</dcterms:created>
  <dcterms:modified xsi:type="dcterms:W3CDTF">2026-04-06T11:48:56Z</dcterms:modified>
</cp:coreProperties>
</file>